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S:\596 ZS U Soudu Liberec\10 - Vyberove rizeni\Jidelna\2024-06-26 DI c. 10 - Zamecnicina\_SOUPIS PRACI\"/>
    </mc:Choice>
  </mc:AlternateContent>
  <xr:revisionPtr revIDLastSave="0" documentId="13_ncr:1_{908499D4-A688-4BBF-A6D5-D41267D009CB}" xr6:coauthVersionLast="47" xr6:coauthVersionMax="47" xr10:uidLastSave="{00000000-0000-0000-0000-000000000000}"/>
  <bookViews>
    <workbookView xWindow="270" yWindow="90" windowWidth="27855" windowHeight="16695" tabRatio="958" xr2:uid="{00000000-000D-0000-FFFF-FFFF00000000}"/>
  </bookViews>
  <sheets>
    <sheet name="KL" sheetId="4" r:id="rId1"/>
    <sheet name="VRN" sheetId="5" r:id="rId2"/>
    <sheet name="D.1.1. ASŘ - BOURACÍ PRÁCE" sheetId="31" r:id="rId3"/>
    <sheet name="REKAPITULACE - NS" sheetId="7" r:id="rId4"/>
    <sheet name="D.1.1. ASŘ - NOVÝ STAV" sheetId="6" r:id="rId5"/>
    <sheet name="D.1.1. VÝPIS DVEŘÍ" sheetId="8" r:id="rId6"/>
    <sheet name="D.1.1.c.02 - VÝPIS OKEN" sheetId="9" r:id="rId7"/>
    <sheet name="D.1.1.c.04. VÝPIS TRUHLÁŘ." sheetId="35" r:id="rId8"/>
    <sheet name="D.1.1.c.05. VÝPIS ZÁMEČN. VÝR." sheetId="11" r:id="rId9"/>
    <sheet name="D.1.1.c.06. VÝPIS KLEMP." sheetId="21" r:id="rId10"/>
    <sheet name="D.1.1.c.07 VÝPIS OSTAT." sheetId="10" r:id="rId11"/>
    <sheet name="D.1.4.1. ZTI" sheetId="30" r:id="rId12"/>
    <sheet name="D.1.4.1.b.08. - REKAPITULACE" sheetId="36" r:id="rId13"/>
    <sheet name="D.1.4.1.b.08. AREÁL. KANALIZACE" sheetId="37" r:id="rId14"/>
    <sheet name="D.1.4.1.b.08. AREÁL. KANAL - BP" sheetId="38" r:id="rId15"/>
    <sheet name="D.1.4.1.b.08. AREÁLOVÝ VODOVOD" sheetId="45" r:id="rId16"/>
    <sheet name="D.1.4.1.b.09. AKUMULAČNÍ NÁDRŽ" sheetId="39" r:id="rId17"/>
    <sheet name="D.1.4.1.b.10. ODLUČOVAČ TUKU" sheetId="40" r:id="rId18"/>
    <sheet name="D.1.4.2. ODBĚR. PLYN. ZAŘÍZ." sheetId="26" r:id="rId19"/>
    <sheet name="D.1.4.3. VZDUCHOTECHNIKA" sheetId="32" r:id="rId20"/>
    <sheet name="D.1.4.4. VYTÁPENÍ" sheetId="29" r:id="rId21"/>
    <sheet name="D.1.4.6. MĚŘENÍ A REGULACE" sheetId="14" r:id="rId22"/>
    <sheet name="D.1.4.7. SILNOPROUD" sheetId="33" r:id="rId23"/>
    <sheet name="D.1.4.7.b.08. - REKAPITULACE" sheetId="50" r:id="rId24"/>
    <sheet name="D.1.4.7.b.08 AREÁL ELE-TRA. A1" sheetId="51" r:id="rId25"/>
    <sheet name="D.1.4.7.b.08 AREÁL ELE-TRA. A2" sheetId="52" r:id="rId26"/>
    <sheet name="D.1.4.7.b.08 AREÁL ELE-TRA. A3" sheetId="53" r:id="rId27"/>
    <sheet name="D.1.4.8. EL. KOMUNIKACE" sheetId="34" r:id="rId28"/>
    <sheet name="D.1.4.8.b.04 - REKAPITULACE" sheetId="46" r:id="rId29"/>
    <sheet name="D.1.4.8.b.04 AREÁL ELE-TRA. A1" sheetId="47" r:id="rId30"/>
    <sheet name="D.1.4.8.b.04 AREÁL ELE-TRA. A2" sheetId="48" r:id="rId31"/>
    <sheet name="D.1.4.8.b.04 AREÁL ELE-TRA. A3" sheetId="49" r:id="rId32"/>
    <sheet name="D.1.4.10.1. REKAPITULACE" sheetId="54" r:id="rId33"/>
    <sheet name="D.1.4.10.1. SADOVÉ ÚPRAVY" sheetId="55" r:id="rId34"/>
    <sheet name="D.1.4.10. OPLOCENÍ" sheetId="56" r:id="rId35"/>
    <sheet name="D.1.4.10.2. POZEMNÍ KOMUNIKACE" sheetId="44" r:id="rId36"/>
    <sheet name="D.2.2. REKAPITULACE" sheetId="41" r:id="rId37"/>
    <sheet name="D.2.2. AREÁL. TEPLOVOD" sheetId="43" r:id="rId38"/>
    <sheet name="D.2.2. AREÁL. TEPLOVOD-BP" sheetId="42" r:id="rId39"/>
    <sheet name="Foto" sheetId="57"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obl11">#REF!</definedName>
    <definedName name="_______________________obl12">#REF!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2">#REF!</definedName>
    <definedName name="_____________________obl11" localSheetId="4">#REF!</definedName>
    <definedName name="_____________________obl11" localSheetId="5">#REF!</definedName>
    <definedName name="_____________________obl11" localSheetId="34">#REF!</definedName>
    <definedName name="_____________________obl11" localSheetId="33">#REF!</definedName>
    <definedName name="_____________________obl11" localSheetId="35">#REF!</definedName>
    <definedName name="_____________________obl11" localSheetId="19">#REF!</definedName>
    <definedName name="_____________________obl11" localSheetId="22">#REF!</definedName>
    <definedName name="_____________________obl11" localSheetId="27">#REF!</definedName>
    <definedName name="_____________________obl11" localSheetId="3">#REF!</definedName>
    <definedName name="_____________________obl11">#REF!</definedName>
    <definedName name="_____________________obl12" localSheetId="2">#REF!</definedName>
    <definedName name="_____________________obl12" localSheetId="4">#REF!</definedName>
    <definedName name="_____________________obl12" localSheetId="5">#REF!</definedName>
    <definedName name="_____________________obl12" localSheetId="34">#REF!</definedName>
    <definedName name="_____________________obl12" localSheetId="33">#REF!</definedName>
    <definedName name="_____________________obl12" localSheetId="35">#REF!</definedName>
    <definedName name="_____________________obl12" localSheetId="19">#REF!</definedName>
    <definedName name="_____________________obl12" localSheetId="22">#REF!</definedName>
    <definedName name="_____________________obl12" localSheetId="27">#REF!</definedName>
    <definedName name="_____________________obl12" localSheetId="3">#REF!</definedName>
    <definedName name="_____________________obl12">#REF!</definedName>
    <definedName name="_____________________obl13" localSheetId="2">#REF!</definedName>
    <definedName name="_____________________obl13" localSheetId="4">#REF!</definedName>
    <definedName name="_____________________obl13" localSheetId="5">#REF!</definedName>
    <definedName name="_____________________obl13" localSheetId="34">#REF!</definedName>
    <definedName name="_____________________obl13" localSheetId="33">#REF!</definedName>
    <definedName name="_____________________obl13" localSheetId="35">#REF!</definedName>
    <definedName name="_____________________obl13" localSheetId="19">#REF!</definedName>
    <definedName name="_____________________obl13" localSheetId="22">#REF!</definedName>
    <definedName name="_____________________obl13" localSheetId="27">#REF!</definedName>
    <definedName name="_____________________obl13" localSheetId="3">#REF!</definedName>
    <definedName name="_____________________obl13">#REF!</definedName>
    <definedName name="_____________________obl14" localSheetId="35">#REF!</definedName>
    <definedName name="_____________________obl14">#REF!</definedName>
    <definedName name="_____________________obl15" localSheetId="35">#REF!</definedName>
    <definedName name="_____________________obl15">#REF!</definedName>
    <definedName name="_____________________obl16" localSheetId="35">#REF!</definedName>
    <definedName name="_____________________obl16">#REF!</definedName>
    <definedName name="_____________________obl17" localSheetId="35">#REF!</definedName>
    <definedName name="_____________________obl17">#REF!</definedName>
    <definedName name="_____________________obl1710" localSheetId="35">#REF!</definedName>
    <definedName name="_____________________obl1710">#REF!</definedName>
    <definedName name="_____________________obl1711" localSheetId="35">#REF!</definedName>
    <definedName name="_____________________obl1711">#REF!</definedName>
    <definedName name="_____________________obl1712" localSheetId="35">#REF!</definedName>
    <definedName name="_____________________obl1712">#REF!</definedName>
    <definedName name="_____________________obl1713" localSheetId="35">#REF!</definedName>
    <definedName name="_____________________obl1713">#REF!</definedName>
    <definedName name="_____________________obl1714" localSheetId="35">#REF!</definedName>
    <definedName name="_____________________obl1714">#REF!</definedName>
    <definedName name="_____________________obl1715" localSheetId="35">#REF!</definedName>
    <definedName name="_____________________obl1715">#REF!</definedName>
    <definedName name="_____________________obl1716" localSheetId="35">#REF!</definedName>
    <definedName name="_____________________obl1716">#REF!</definedName>
    <definedName name="_____________________obl1717" localSheetId="35">#REF!</definedName>
    <definedName name="_____________________obl1717">#REF!</definedName>
    <definedName name="_____________________obl1718" localSheetId="35">#REF!</definedName>
    <definedName name="_____________________obl1718">#REF!</definedName>
    <definedName name="_____________________obl1719" localSheetId="35">#REF!</definedName>
    <definedName name="_____________________obl1719">#REF!</definedName>
    <definedName name="_____________________obl173" localSheetId="35">#REF!</definedName>
    <definedName name="_____________________obl173">#REF!</definedName>
    <definedName name="_____________________obl174" localSheetId="35">#REF!</definedName>
    <definedName name="_____________________obl174">#REF!</definedName>
    <definedName name="_____________________obl175" localSheetId="35">#REF!</definedName>
    <definedName name="_____________________obl175">#REF!</definedName>
    <definedName name="_____________________obl176" localSheetId="35">#REF!</definedName>
    <definedName name="_____________________obl176">#REF!</definedName>
    <definedName name="_____________________obl177" localSheetId="35">#REF!</definedName>
    <definedName name="_____________________obl177">#REF!</definedName>
    <definedName name="_____________________obl178" localSheetId="35">#REF!</definedName>
    <definedName name="_____________________obl178">#REF!</definedName>
    <definedName name="_____________________obl179" localSheetId="35">#REF!</definedName>
    <definedName name="_____________________obl179">#REF!</definedName>
    <definedName name="_____________________obl18" localSheetId="35">#REF!</definedName>
    <definedName name="_____________________obl18">#REF!</definedName>
    <definedName name="_____________________obl181" localSheetId="35">#REF!</definedName>
    <definedName name="_____________________obl181">#REF!</definedName>
    <definedName name="_____________________obl1816" localSheetId="35">#REF!</definedName>
    <definedName name="_____________________obl1816">#REF!</definedName>
    <definedName name="_____________________obl1820" localSheetId="35">#REF!</definedName>
    <definedName name="_____________________obl1820">#REF!</definedName>
    <definedName name="_____________________obl1821" localSheetId="35">#REF!</definedName>
    <definedName name="_____________________obl1821">#REF!</definedName>
    <definedName name="_____________________obl1822" localSheetId="35">#REF!</definedName>
    <definedName name="_____________________obl1822">#REF!</definedName>
    <definedName name="_____________________obl1823" localSheetId="35">#REF!</definedName>
    <definedName name="_____________________obl1823">#REF!</definedName>
    <definedName name="_____________________obl1824" localSheetId="35">#REF!</definedName>
    <definedName name="_____________________obl1824">#REF!</definedName>
    <definedName name="_____________________obl1825" localSheetId="35">#REF!</definedName>
    <definedName name="_____________________obl1825">#REF!</definedName>
    <definedName name="_____________________obl1826" localSheetId="35">#REF!</definedName>
    <definedName name="_____________________obl1826">#REF!</definedName>
    <definedName name="_____________________obl1827" localSheetId="35">#REF!</definedName>
    <definedName name="_____________________obl1827">#REF!</definedName>
    <definedName name="_____________________obl1828" localSheetId="35">#REF!</definedName>
    <definedName name="_____________________obl1828">#REF!</definedName>
    <definedName name="_____________________obl1829" localSheetId="35">#REF!</definedName>
    <definedName name="_____________________obl1829">#REF!</definedName>
    <definedName name="_____________________obl183" localSheetId="35">#REF!</definedName>
    <definedName name="_____________________obl183">#REF!</definedName>
    <definedName name="_____________________obl1831" localSheetId="35">#REF!</definedName>
    <definedName name="_____________________obl1831">#REF!</definedName>
    <definedName name="_____________________obl1832" localSheetId="35">#REF!</definedName>
    <definedName name="_____________________obl1832">#REF!</definedName>
    <definedName name="_____________________obl184" localSheetId="35">#REF!</definedName>
    <definedName name="_____________________obl184">#REF!</definedName>
    <definedName name="_____________________obl185" localSheetId="35">#REF!</definedName>
    <definedName name="_____________________obl185">#REF!</definedName>
    <definedName name="_____________________obl186" localSheetId="35">#REF!</definedName>
    <definedName name="_____________________obl186">#REF!</definedName>
    <definedName name="_____________________obl187" localSheetId="35">#REF!</definedName>
    <definedName name="_____________________obl187">#REF!</definedName>
    <definedName name="___________________obl11" localSheetId="11">#REF!</definedName>
    <definedName name="___________________obl11" localSheetId="14">#REF!</definedName>
    <definedName name="___________________obl11" localSheetId="15">#REF!</definedName>
    <definedName name="___________________obl11" localSheetId="16">#REF!</definedName>
    <definedName name="___________________obl11" localSheetId="17">#REF!</definedName>
    <definedName name="___________________obl11" localSheetId="35">#REF!</definedName>
    <definedName name="___________________obl11" localSheetId="18">#REF!</definedName>
    <definedName name="___________________obl11" localSheetId="20">#REF!</definedName>
    <definedName name="___________________obl11" localSheetId="1">#REF!</definedName>
    <definedName name="___________________obl11">#REF!</definedName>
    <definedName name="___________________obl12" localSheetId="11">#REF!</definedName>
    <definedName name="___________________obl12" localSheetId="14">#REF!</definedName>
    <definedName name="___________________obl12" localSheetId="15">#REF!</definedName>
    <definedName name="___________________obl12" localSheetId="16">#REF!</definedName>
    <definedName name="___________________obl12" localSheetId="17">#REF!</definedName>
    <definedName name="___________________obl12" localSheetId="35">#REF!</definedName>
    <definedName name="___________________obl12" localSheetId="18">#REF!</definedName>
    <definedName name="___________________obl12" localSheetId="20">#REF!</definedName>
    <definedName name="___________________obl12" localSheetId="1">#REF!</definedName>
    <definedName name="___________________obl12">#REF!</definedName>
    <definedName name="___________________obl13" localSheetId="11">#REF!</definedName>
    <definedName name="___________________obl13" localSheetId="14">#REF!</definedName>
    <definedName name="___________________obl13" localSheetId="15">#REF!</definedName>
    <definedName name="___________________obl13" localSheetId="35">#REF!</definedName>
    <definedName name="___________________obl13" localSheetId="18">#REF!</definedName>
    <definedName name="___________________obl13" localSheetId="20">#REF!</definedName>
    <definedName name="___________________obl13" localSheetId="1">#REF!</definedName>
    <definedName name="___________________obl13">#REF!</definedName>
    <definedName name="___________________obl14" localSheetId="35">#REF!</definedName>
    <definedName name="___________________obl14">#REF!</definedName>
    <definedName name="___________________obl15" localSheetId="35">#REF!</definedName>
    <definedName name="___________________obl15">#REF!</definedName>
    <definedName name="___________________obl16" localSheetId="35">#REF!</definedName>
    <definedName name="___________________obl16">#REF!</definedName>
    <definedName name="___________________obl17" localSheetId="35">#REF!</definedName>
    <definedName name="___________________obl17">#REF!</definedName>
    <definedName name="___________________obl1710" localSheetId="35">#REF!</definedName>
    <definedName name="___________________obl1710">#REF!</definedName>
    <definedName name="___________________obl1711" localSheetId="35">#REF!</definedName>
    <definedName name="___________________obl1711">#REF!</definedName>
    <definedName name="___________________obl1712" localSheetId="35">#REF!</definedName>
    <definedName name="___________________obl1712">#REF!</definedName>
    <definedName name="___________________obl1713" localSheetId="35">#REF!</definedName>
    <definedName name="___________________obl1713">#REF!</definedName>
    <definedName name="___________________obl1714" localSheetId="35">#REF!</definedName>
    <definedName name="___________________obl1714">#REF!</definedName>
    <definedName name="___________________obl1715" localSheetId="35">#REF!</definedName>
    <definedName name="___________________obl1715">#REF!</definedName>
    <definedName name="___________________obl1716" localSheetId="35">#REF!</definedName>
    <definedName name="___________________obl1716">#REF!</definedName>
    <definedName name="___________________obl1717" localSheetId="35">#REF!</definedName>
    <definedName name="___________________obl1717">#REF!</definedName>
    <definedName name="___________________obl1718" localSheetId="35">#REF!</definedName>
    <definedName name="___________________obl1718">#REF!</definedName>
    <definedName name="___________________obl1719" localSheetId="35">#REF!</definedName>
    <definedName name="___________________obl1719">#REF!</definedName>
    <definedName name="___________________obl173" localSheetId="35">#REF!</definedName>
    <definedName name="___________________obl173">#REF!</definedName>
    <definedName name="___________________obl174" localSheetId="35">#REF!</definedName>
    <definedName name="___________________obl174">#REF!</definedName>
    <definedName name="___________________obl175" localSheetId="35">#REF!</definedName>
    <definedName name="___________________obl175">#REF!</definedName>
    <definedName name="___________________obl176" localSheetId="35">#REF!</definedName>
    <definedName name="___________________obl176">#REF!</definedName>
    <definedName name="___________________obl177" localSheetId="35">#REF!</definedName>
    <definedName name="___________________obl177">#REF!</definedName>
    <definedName name="___________________obl178" localSheetId="35">#REF!</definedName>
    <definedName name="___________________obl178">#REF!</definedName>
    <definedName name="___________________obl179" localSheetId="35">#REF!</definedName>
    <definedName name="___________________obl179">#REF!</definedName>
    <definedName name="___________________obl18" localSheetId="35">#REF!</definedName>
    <definedName name="___________________obl18">#REF!</definedName>
    <definedName name="___________________obl181" localSheetId="35">#REF!</definedName>
    <definedName name="___________________obl181">#REF!</definedName>
    <definedName name="___________________obl1816" localSheetId="35">#REF!</definedName>
    <definedName name="___________________obl1816">#REF!</definedName>
    <definedName name="___________________obl1820" localSheetId="35">#REF!</definedName>
    <definedName name="___________________obl1820">#REF!</definedName>
    <definedName name="___________________obl1821" localSheetId="35">#REF!</definedName>
    <definedName name="___________________obl1821">#REF!</definedName>
    <definedName name="___________________obl1822" localSheetId="35">#REF!</definedName>
    <definedName name="___________________obl1822">#REF!</definedName>
    <definedName name="___________________obl1823" localSheetId="35">#REF!</definedName>
    <definedName name="___________________obl1823">#REF!</definedName>
    <definedName name="___________________obl1824" localSheetId="35">#REF!</definedName>
    <definedName name="___________________obl1824">#REF!</definedName>
    <definedName name="___________________obl1825" localSheetId="35">#REF!</definedName>
    <definedName name="___________________obl1825">#REF!</definedName>
    <definedName name="___________________obl1826" localSheetId="35">#REF!</definedName>
    <definedName name="___________________obl1826">#REF!</definedName>
    <definedName name="___________________obl1827" localSheetId="35">#REF!</definedName>
    <definedName name="___________________obl1827">#REF!</definedName>
    <definedName name="___________________obl1828" localSheetId="35">#REF!</definedName>
    <definedName name="___________________obl1828">#REF!</definedName>
    <definedName name="___________________obl1829" localSheetId="35">#REF!</definedName>
    <definedName name="___________________obl1829">#REF!</definedName>
    <definedName name="___________________obl183" localSheetId="35">#REF!</definedName>
    <definedName name="___________________obl183">#REF!</definedName>
    <definedName name="___________________obl1831" localSheetId="35">#REF!</definedName>
    <definedName name="___________________obl1831">#REF!</definedName>
    <definedName name="___________________obl1832" localSheetId="35">#REF!</definedName>
    <definedName name="___________________obl1832">#REF!</definedName>
    <definedName name="___________________obl184" localSheetId="35">#REF!</definedName>
    <definedName name="___________________obl184">#REF!</definedName>
    <definedName name="___________________obl185" localSheetId="35">#REF!</definedName>
    <definedName name="___________________obl185">#REF!</definedName>
    <definedName name="___________________obl186" localSheetId="35">#REF!</definedName>
    <definedName name="___________________obl186">#REF!</definedName>
    <definedName name="___________________obl187" localSheetId="35">#REF!</definedName>
    <definedName name="___________________obl187">#REF!</definedName>
    <definedName name="__________________obl11" localSheetId="34">#REF!</definedName>
    <definedName name="__________________obl11" localSheetId="35">#REF!</definedName>
    <definedName name="__________________obl11" localSheetId="37">#REF!</definedName>
    <definedName name="__________________obl11" localSheetId="38">#REF!</definedName>
    <definedName name="__________________obl11">#REF!</definedName>
    <definedName name="__________________obl12" localSheetId="34">#REF!</definedName>
    <definedName name="__________________obl12" localSheetId="35">#REF!</definedName>
    <definedName name="__________________obl12" localSheetId="37">#REF!</definedName>
    <definedName name="__________________obl12" localSheetId="38">#REF!</definedName>
    <definedName name="__________________obl12">#REF!</definedName>
    <definedName name="__________________obl13" localSheetId="34">#REF!</definedName>
    <definedName name="__________________obl13" localSheetId="35">#REF!</definedName>
    <definedName name="__________________obl13" localSheetId="37">#REF!</definedName>
    <definedName name="__________________obl13" localSheetId="38">#REF!</definedName>
    <definedName name="__________________obl13">#REF!</definedName>
    <definedName name="__________________obl14" localSheetId="34">#REF!</definedName>
    <definedName name="__________________obl14" localSheetId="35">#REF!</definedName>
    <definedName name="__________________obl14" localSheetId="37">#REF!</definedName>
    <definedName name="__________________obl14" localSheetId="38">#REF!</definedName>
    <definedName name="__________________obl14">#REF!</definedName>
    <definedName name="__________________obl15" localSheetId="34">#REF!</definedName>
    <definedName name="__________________obl15" localSheetId="35">#REF!</definedName>
    <definedName name="__________________obl15" localSheetId="37">#REF!</definedName>
    <definedName name="__________________obl15" localSheetId="38">#REF!</definedName>
    <definedName name="__________________obl15">#REF!</definedName>
    <definedName name="__________________obl16" localSheetId="34">#REF!</definedName>
    <definedName name="__________________obl16" localSheetId="35">#REF!</definedName>
    <definedName name="__________________obl16" localSheetId="37">#REF!</definedName>
    <definedName name="__________________obl16" localSheetId="38">#REF!</definedName>
    <definedName name="__________________obl16">#REF!</definedName>
    <definedName name="__________________obl17" localSheetId="34">#REF!</definedName>
    <definedName name="__________________obl17" localSheetId="35">#REF!</definedName>
    <definedName name="__________________obl17" localSheetId="37">#REF!</definedName>
    <definedName name="__________________obl17" localSheetId="38">#REF!</definedName>
    <definedName name="__________________obl17">#REF!</definedName>
    <definedName name="__________________obl1710" localSheetId="34">#REF!</definedName>
    <definedName name="__________________obl1710" localSheetId="35">#REF!</definedName>
    <definedName name="__________________obl1710" localSheetId="37">#REF!</definedName>
    <definedName name="__________________obl1710" localSheetId="38">#REF!</definedName>
    <definedName name="__________________obl1710">#REF!</definedName>
    <definedName name="__________________obl1711" localSheetId="34">#REF!</definedName>
    <definedName name="__________________obl1711" localSheetId="35">#REF!</definedName>
    <definedName name="__________________obl1711" localSheetId="37">#REF!</definedName>
    <definedName name="__________________obl1711" localSheetId="38">#REF!</definedName>
    <definedName name="__________________obl1711">#REF!</definedName>
    <definedName name="__________________obl1712" localSheetId="34">#REF!</definedName>
    <definedName name="__________________obl1712" localSheetId="35">#REF!</definedName>
    <definedName name="__________________obl1712" localSheetId="37">#REF!</definedName>
    <definedName name="__________________obl1712" localSheetId="38">#REF!</definedName>
    <definedName name="__________________obl1712">#REF!</definedName>
    <definedName name="__________________obl1713" localSheetId="34">#REF!</definedName>
    <definedName name="__________________obl1713" localSheetId="35">#REF!</definedName>
    <definedName name="__________________obl1713" localSheetId="37">#REF!</definedName>
    <definedName name="__________________obl1713" localSheetId="38">#REF!</definedName>
    <definedName name="__________________obl1713">#REF!</definedName>
    <definedName name="__________________obl1714" localSheetId="34">#REF!</definedName>
    <definedName name="__________________obl1714" localSheetId="35">#REF!</definedName>
    <definedName name="__________________obl1714" localSheetId="37">#REF!</definedName>
    <definedName name="__________________obl1714" localSheetId="38">#REF!</definedName>
    <definedName name="__________________obl1714">#REF!</definedName>
    <definedName name="__________________obl1715" localSheetId="34">#REF!</definedName>
    <definedName name="__________________obl1715" localSheetId="35">#REF!</definedName>
    <definedName name="__________________obl1715" localSheetId="37">#REF!</definedName>
    <definedName name="__________________obl1715" localSheetId="38">#REF!</definedName>
    <definedName name="__________________obl1715">#REF!</definedName>
    <definedName name="__________________obl1716" localSheetId="34">#REF!</definedName>
    <definedName name="__________________obl1716" localSheetId="35">#REF!</definedName>
    <definedName name="__________________obl1716" localSheetId="37">#REF!</definedName>
    <definedName name="__________________obl1716" localSheetId="38">#REF!</definedName>
    <definedName name="__________________obl1716">#REF!</definedName>
    <definedName name="__________________obl1717" localSheetId="34">#REF!</definedName>
    <definedName name="__________________obl1717" localSheetId="35">#REF!</definedName>
    <definedName name="__________________obl1717" localSheetId="37">#REF!</definedName>
    <definedName name="__________________obl1717" localSheetId="38">#REF!</definedName>
    <definedName name="__________________obl1717">#REF!</definedName>
    <definedName name="__________________obl1718" localSheetId="34">#REF!</definedName>
    <definedName name="__________________obl1718" localSheetId="35">#REF!</definedName>
    <definedName name="__________________obl1718" localSheetId="37">#REF!</definedName>
    <definedName name="__________________obl1718" localSheetId="38">#REF!</definedName>
    <definedName name="__________________obl1718">#REF!</definedName>
    <definedName name="__________________obl1719" localSheetId="34">#REF!</definedName>
    <definedName name="__________________obl1719" localSheetId="35">#REF!</definedName>
    <definedName name="__________________obl1719" localSheetId="37">#REF!</definedName>
    <definedName name="__________________obl1719" localSheetId="38">#REF!</definedName>
    <definedName name="__________________obl1719">#REF!</definedName>
    <definedName name="__________________obl173" localSheetId="34">#REF!</definedName>
    <definedName name="__________________obl173" localSheetId="35">#REF!</definedName>
    <definedName name="__________________obl173" localSheetId="37">#REF!</definedName>
    <definedName name="__________________obl173" localSheetId="38">#REF!</definedName>
    <definedName name="__________________obl173">#REF!</definedName>
    <definedName name="__________________obl174" localSheetId="34">#REF!</definedName>
    <definedName name="__________________obl174" localSheetId="35">#REF!</definedName>
    <definedName name="__________________obl174" localSheetId="37">#REF!</definedName>
    <definedName name="__________________obl174" localSheetId="38">#REF!</definedName>
    <definedName name="__________________obl174">#REF!</definedName>
    <definedName name="__________________obl175" localSheetId="34">#REF!</definedName>
    <definedName name="__________________obl175" localSheetId="35">#REF!</definedName>
    <definedName name="__________________obl175" localSheetId="37">#REF!</definedName>
    <definedName name="__________________obl175" localSheetId="38">#REF!</definedName>
    <definedName name="__________________obl175">#REF!</definedName>
    <definedName name="__________________obl176" localSheetId="34">#REF!</definedName>
    <definedName name="__________________obl176" localSheetId="35">#REF!</definedName>
    <definedName name="__________________obl176" localSheetId="37">#REF!</definedName>
    <definedName name="__________________obl176" localSheetId="38">#REF!</definedName>
    <definedName name="__________________obl176">#REF!</definedName>
    <definedName name="__________________obl177" localSheetId="34">#REF!</definedName>
    <definedName name="__________________obl177" localSheetId="35">#REF!</definedName>
    <definedName name="__________________obl177" localSheetId="37">#REF!</definedName>
    <definedName name="__________________obl177" localSheetId="38">#REF!</definedName>
    <definedName name="__________________obl177">#REF!</definedName>
    <definedName name="__________________obl178" localSheetId="34">#REF!</definedName>
    <definedName name="__________________obl178" localSheetId="35">#REF!</definedName>
    <definedName name="__________________obl178" localSheetId="37">#REF!</definedName>
    <definedName name="__________________obl178" localSheetId="38">#REF!</definedName>
    <definedName name="__________________obl178">#REF!</definedName>
    <definedName name="__________________obl179" localSheetId="34">#REF!</definedName>
    <definedName name="__________________obl179" localSheetId="35">#REF!</definedName>
    <definedName name="__________________obl179" localSheetId="37">#REF!</definedName>
    <definedName name="__________________obl179" localSheetId="38">#REF!</definedName>
    <definedName name="__________________obl179">#REF!</definedName>
    <definedName name="__________________obl18" localSheetId="34">#REF!</definedName>
    <definedName name="__________________obl18" localSheetId="35">#REF!</definedName>
    <definedName name="__________________obl18" localSheetId="37">#REF!</definedName>
    <definedName name="__________________obl18" localSheetId="38">#REF!</definedName>
    <definedName name="__________________obl18">#REF!</definedName>
    <definedName name="__________________obl181" localSheetId="34">#REF!</definedName>
    <definedName name="__________________obl181" localSheetId="35">#REF!</definedName>
    <definedName name="__________________obl181" localSheetId="37">#REF!</definedName>
    <definedName name="__________________obl181" localSheetId="38">#REF!</definedName>
    <definedName name="__________________obl181">#REF!</definedName>
    <definedName name="__________________obl1816" localSheetId="34">#REF!</definedName>
    <definedName name="__________________obl1816" localSheetId="35">#REF!</definedName>
    <definedName name="__________________obl1816" localSheetId="37">#REF!</definedName>
    <definedName name="__________________obl1816" localSheetId="38">#REF!</definedName>
    <definedName name="__________________obl1816">#REF!</definedName>
    <definedName name="__________________obl1820" localSheetId="34">#REF!</definedName>
    <definedName name="__________________obl1820" localSheetId="35">#REF!</definedName>
    <definedName name="__________________obl1820" localSheetId="37">#REF!</definedName>
    <definedName name="__________________obl1820" localSheetId="38">#REF!</definedName>
    <definedName name="__________________obl1820">#REF!</definedName>
    <definedName name="__________________obl1821" localSheetId="34">#REF!</definedName>
    <definedName name="__________________obl1821" localSheetId="35">#REF!</definedName>
    <definedName name="__________________obl1821" localSheetId="37">#REF!</definedName>
    <definedName name="__________________obl1821" localSheetId="38">#REF!</definedName>
    <definedName name="__________________obl1821">#REF!</definedName>
    <definedName name="__________________obl1822" localSheetId="34">#REF!</definedName>
    <definedName name="__________________obl1822" localSheetId="35">#REF!</definedName>
    <definedName name="__________________obl1822" localSheetId="37">#REF!</definedName>
    <definedName name="__________________obl1822" localSheetId="38">#REF!</definedName>
    <definedName name="__________________obl1822">#REF!</definedName>
    <definedName name="__________________obl1823" localSheetId="34">#REF!</definedName>
    <definedName name="__________________obl1823" localSheetId="35">#REF!</definedName>
    <definedName name="__________________obl1823" localSheetId="37">#REF!</definedName>
    <definedName name="__________________obl1823" localSheetId="38">#REF!</definedName>
    <definedName name="__________________obl1823">#REF!</definedName>
    <definedName name="__________________obl1824" localSheetId="34">#REF!</definedName>
    <definedName name="__________________obl1824" localSheetId="35">#REF!</definedName>
    <definedName name="__________________obl1824" localSheetId="37">#REF!</definedName>
    <definedName name="__________________obl1824" localSheetId="38">#REF!</definedName>
    <definedName name="__________________obl1824">#REF!</definedName>
    <definedName name="__________________obl1825" localSheetId="34">#REF!</definedName>
    <definedName name="__________________obl1825" localSheetId="35">#REF!</definedName>
    <definedName name="__________________obl1825" localSheetId="37">#REF!</definedName>
    <definedName name="__________________obl1825" localSheetId="38">#REF!</definedName>
    <definedName name="__________________obl1825">#REF!</definedName>
    <definedName name="__________________obl1826" localSheetId="34">#REF!</definedName>
    <definedName name="__________________obl1826" localSheetId="35">#REF!</definedName>
    <definedName name="__________________obl1826" localSheetId="37">#REF!</definedName>
    <definedName name="__________________obl1826" localSheetId="38">#REF!</definedName>
    <definedName name="__________________obl1826">#REF!</definedName>
    <definedName name="__________________obl1827" localSheetId="34">#REF!</definedName>
    <definedName name="__________________obl1827" localSheetId="35">#REF!</definedName>
    <definedName name="__________________obl1827" localSheetId="37">#REF!</definedName>
    <definedName name="__________________obl1827" localSheetId="38">#REF!</definedName>
    <definedName name="__________________obl1827">#REF!</definedName>
    <definedName name="__________________obl1828" localSheetId="34">#REF!</definedName>
    <definedName name="__________________obl1828" localSheetId="35">#REF!</definedName>
    <definedName name="__________________obl1828" localSheetId="37">#REF!</definedName>
    <definedName name="__________________obl1828" localSheetId="38">#REF!</definedName>
    <definedName name="__________________obl1828">#REF!</definedName>
    <definedName name="__________________obl1829" localSheetId="34">#REF!</definedName>
    <definedName name="__________________obl1829" localSheetId="35">#REF!</definedName>
    <definedName name="__________________obl1829" localSheetId="37">#REF!</definedName>
    <definedName name="__________________obl1829" localSheetId="38">#REF!</definedName>
    <definedName name="__________________obl1829">#REF!</definedName>
    <definedName name="__________________obl183" localSheetId="34">#REF!</definedName>
    <definedName name="__________________obl183" localSheetId="35">#REF!</definedName>
    <definedName name="__________________obl183" localSheetId="37">#REF!</definedName>
    <definedName name="__________________obl183" localSheetId="38">#REF!</definedName>
    <definedName name="__________________obl183">#REF!</definedName>
    <definedName name="__________________obl1831" localSheetId="34">#REF!</definedName>
    <definedName name="__________________obl1831" localSheetId="35">#REF!</definedName>
    <definedName name="__________________obl1831" localSheetId="37">#REF!</definedName>
    <definedName name="__________________obl1831" localSheetId="38">#REF!</definedName>
    <definedName name="__________________obl1831">#REF!</definedName>
    <definedName name="__________________obl1832" localSheetId="34">#REF!</definedName>
    <definedName name="__________________obl1832" localSheetId="35">#REF!</definedName>
    <definedName name="__________________obl1832" localSheetId="37">#REF!</definedName>
    <definedName name="__________________obl1832" localSheetId="38">#REF!</definedName>
    <definedName name="__________________obl1832">#REF!</definedName>
    <definedName name="__________________obl184" localSheetId="34">#REF!</definedName>
    <definedName name="__________________obl184" localSheetId="35">#REF!</definedName>
    <definedName name="__________________obl184" localSheetId="37">#REF!</definedName>
    <definedName name="__________________obl184" localSheetId="38">#REF!</definedName>
    <definedName name="__________________obl184">#REF!</definedName>
    <definedName name="__________________obl185" localSheetId="34">#REF!</definedName>
    <definedName name="__________________obl185" localSheetId="35">#REF!</definedName>
    <definedName name="__________________obl185" localSheetId="37">#REF!</definedName>
    <definedName name="__________________obl185" localSheetId="38">#REF!</definedName>
    <definedName name="__________________obl185">#REF!</definedName>
    <definedName name="__________________obl186" localSheetId="34">#REF!</definedName>
    <definedName name="__________________obl186" localSheetId="35">#REF!</definedName>
    <definedName name="__________________obl186" localSheetId="37">#REF!</definedName>
    <definedName name="__________________obl186" localSheetId="38">#REF!</definedName>
    <definedName name="__________________obl186">#REF!</definedName>
    <definedName name="__________________obl187" localSheetId="34">#REF!</definedName>
    <definedName name="__________________obl187" localSheetId="35">#REF!</definedName>
    <definedName name="__________________obl187" localSheetId="37">#REF!</definedName>
    <definedName name="__________________obl187" localSheetId="38">#REF!</definedName>
    <definedName name="__________________obl187">#REF!</definedName>
    <definedName name="_________________obl11" localSheetId="35">#REF!</definedName>
    <definedName name="_________________obl11">#REF!</definedName>
    <definedName name="_________________obl12" localSheetId="35">#REF!</definedName>
    <definedName name="_________________obl12">#REF!</definedName>
    <definedName name="_________________obl13" localSheetId="35">#REF!</definedName>
    <definedName name="_________________obl13">#REF!</definedName>
    <definedName name="_________________obl14" localSheetId="35">#REF!</definedName>
    <definedName name="_________________obl14">#REF!</definedName>
    <definedName name="_________________obl15" localSheetId="35">#REF!</definedName>
    <definedName name="_________________obl15">#REF!</definedName>
    <definedName name="_________________obl16" localSheetId="35">#REF!</definedName>
    <definedName name="_________________obl16">#REF!</definedName>
    <definedName name="_________________obl17" localSheetId="35">#REF!</definedName>
    <definedName name="_________________obl17">#REF!</definedName>
    <definedName name="_________________obl1710" localSheetId="35">#REF!</definedName>
    <definedName name="_________________obl1710">#REF!</definedName>
    <definedName name="_________________obl1711" localSheetId="35">#REF!</definedName>
    <definedName name="_________________obl1711">#REF!</definedName>
    <definedName name="_________________obl1712" localSheetId="35">#REF!</definedName>
    <definedName name="_________________obl1712">#REF!</definedName>
    <definedName name="_________________obl1713" localSheetId="35">#REF!</definedName>
    <definedName name="_________________obl1713">#REF!</definedName>
    <definedName name="_________________obl1714" localSheetId="35">#REF!</definedName>
    <definedName name="_________________obl1714">#REF!</definedName>
    <definedName name="_________________obl1715" localSheetId="35">#REF!</definedName>
    <definedName name="_________________obl1715">#REF!</definedName>
    <definedName name="_________________obl1716" localSheetId="35">#REF!</definedName>
    <definedName name="_________________obl1716">#REF!</definedName>
    <definedName name="_________________obl1717" localSheetId="35">#REF!</definedName>
    <definedName name="_________________obl1717">#REF!</definedName>
    <definedName name="_________________obl1718" localSheetId="35">#REF!</definedName>
    <definedName name="_________________obl1718">#REF!</definedName>
    <definedName name="_________________obl1719" localSheetId="35">#REF!</definedName>
    <definedName name="_________________obl1719">#REF!</definedName>
    <definedName name="_________________obl173" localSheetId="35">#REF!</definedName>
    <definedName name="_________________obl173">#REF!</definedName>
    <definedName name="_________________obl174" localSheetId="35">#REF!</definedName>
    <definedName name="_________________obl174">#REF!</definedName>
    <definedName name="_________________obl175" localSheetId="35">#REF!</definedName>
    <definedName name="_________________obl175">#REF!</definedName>
    <definedName name="_________________obl176" localSheetId="35">#REF!</definedName>
    <definedName name="_________________obl176">#REF!</definedName>
    <definedName name="_________________obl177" localSheetId="35">#REF!</definedName>
    <definedName name="_________________obl177">#REF!</definedName>
    <definedName name="_________________obl178" localSheetId="35">#REF!</definedName>
    <definedName name="_________________obl178">#REF!</definedName>
    <definedName name="_________________obl179" localSheetId="35">#REF!</definedName>
    <definedName name="_________________obl179">#REF!</definedName>
    <definedName name="_________________obl18" localSheetId="35">#REF!</definedName>
    <definedName name="_________________obl18">#REF!</definedName>
    <definedName name="_________________obl181" localSheetId="35">#REF!</definedName>
    <definedName name="_________________obl181">#REF!</definedName>
    <definedName name="_________________obl1816" localSheetId="35">#REF!</definedName>
    <definedName name="_________________obl1816">#REF!</definedName>
    <definedName name="_________________obl1820" localSheetId="35">#REF!</definedName>
    <definedName name="_________________obl1820">#REF!</definedName>
    <definedName name="_________________obl1821" localSheetId="35">#REF!</definedName>
    <definedName name="_________________obl1821">#REF!</definedName>
    <definedName name="_________________obl1822" localSheetId="35">#REF!</definedName>
    <definedName name="_________________obl1822">#REF!</definedName>
    <definedName name="_________________obl1823" localSheetId="35">#REF!</definedName>
    <definedName name="_________________obl1823">#REF!</definedName>
    <definedName name="_________________obl1824" localSheetId="35">#REF!</definedName>
    <definedName name="_________________obl1824">#REF!</definedName>
    <definedName name="_________________obl1825" localSheetId="35">#REF!</definedName>
    <definedName name="_________________obl1825">#REF!</definedName>
    <definedName name="_________________obl1826" localSheetId="35">#REF!</definedName>
    <definedName name="_________________obl1826">#REF!</definedName>
    <definedName name="_________________obl1827" localSheetId="35">#REF!</definedName>
    <definedName name="_________________obl1827">#REF!</definedName>
    <definedName name="_________________obl1828" localSheetId="35">#REF!</definedName>
    <definedName name="_________________obl1828">#REF!</definedName>
    <definedName name="_________________obl1829" localSheetId="35">#REF!</definedName>
    <definedName name="_________________obl1829">#REF!</definedName>
    <definedName name="_________________obl183" localSheetId="35">#REF!</definedName>
    <definedName name="_________________obl183">#REF!</definedName>
    <definedName name="_________________obl1831" localSheetId="35">#REF!</definedName>
    <definedName name="_________________obl1831">#REF!</definedName>
    <definedName name="_________________obl1832" localSheetId="35">#REF!</definedName>
    <definedName name="_________________obl1832">#REF!</definedName>
    <definedName name="_________________obl184" localSheetId="35">#REF!</definedName>
    <definedName name="_________________obl184">#REF!</definedName>
    <definedName name="_________________obl185" localSheetId="35">#REF!</definedName>
    <definedName name="_________________obl185">#REF!</definedName>
    <definedName name="_________________obl186" localSheetId="35">#REF!</definedName>
    <definedName name="_________________obl186">#REF!</definedName>
    <definedName name="_________________obl187" localSheetId="35">#REF!</definedName>
    <definedName name="_________________obl187">#REF!</definedName>
    <definedName name="________________obl11" localSheetId="34">#REF!</definedName>
    <definedName name="________________obl11" localSheetId="35">#REF!</definedName>
    <definedName name="________________obl11" localSheetId="37">#REF!</definedName>
    <definedName name="________________obl11" localSheetId="38">#REF!</definedName>
    <definedName name="________________obl11">#REF!</definedName>
    <definedName name="________________obl12" localSheetId="34">#REF!</definedName>
    <definedName name="________________obl12" localSheetId="35">#REF!</definedName>
    <definedName name="________________obl12" localSheetId="37">#REF!</definedName>
    <definedName name="________________obl12" localSheetId="38">#REF!</definedName>
    <definedName name="________________obl12">#REF!</definedName>
    <definedName name="________________obl13" localSheetId="34">#REF!</definedName>
    <definedName name="________________obl13" localSheetId="35">#REF!</definedName>
    <definedName name="________________obl13" localSheetId="37">#REF!</definedName>
    <definedName name="________________obl13" localSheetId="38">#REF!</definedName>
    <definedName name="________________obl13">#REF!</definedName>
    <definedName name="________________obl14" localSheetId="34">#REF!</definedName>
    <definedName name="________________obl14" localSheetId="35">#REF!</definedName>
    <definedName name="________________obl14" localSheetId="37">#REF!</definedName>
    <definedName name="________________obl14" localSheetId="38">#REF!</definedName>
    <definedName name="________________obl14">#REF!</definedName>
    <definedName name="________________obl15" localSheetId="34">#REF!</definedName>
    <definedName name="________________obl15" localSheetId="35">#REF!</definedName>
    <definedName name="________________obl15" localSheetId="37">#REF!</definedName>
    <definedName name="________________obl15" localSheetId="38">#REF!</definedName>
    <definedName name="________________obl15">#REF!</definedName>
    <definedName name="________________obl16" localSheetId="34">#REF!</definedName>
    <definedName name="________________obl16" localSheetId="35">#REF!</definedName>
    <definedName name="________________obl16" localSheetId="37">#REF!</definedName>
    <definedName name="________________obl16" localSheetId="38">#REF!</definedName>
    <definedName name="________________obl16">#REF!</definedName>
    <definedName name="________________obl17" localSheetId="34">#REF!</definedName>
    <definedName name="________________obl17" localSheetId="35">#REF!</definedName>
    <definedName name="________________obl17" localSheetId="37">#REF!</definedName>
    <definedName name="________________obl17" localSheetId="38">#REF!</definedName>
    <definedName name="________________obl17">#REF!</definedName>
    <definedName name="________________obl1710" localSheetId="34">#REF!</definedName>
    <definedName name="________________obl1710" localSheetId="35">#REF!</definedName>
    <definedName name="________________obl1710" localSheetId="37">#REF!</definedName>
    <definedName name="________________obl1710" localSheetId="38">#REF!</definedName>
    <definedName name="________________obl1710">#REF!</definedName>
    <definedName name="________________obl1711" localSheetId="34">#REF!</definedName>
    <definedName name="________________obl1711" localSheetId="35">#REF!</definedName>
    <definedName name="________________obl1711" localSheetId="37">#REF!</definedName>
    <definedName name="________________obl1711" localSheetId="38">#REF!</definedName>
    <definedName name="________________obl1711">#REF!</definedName>
    <definedName name="________________obl1712" localSheetId="34">#REF!</definedName>
    <definedName name="________________obl1712" localSheetId="35">#REF!</definedName>
    <definedName name="________________obl1712" localSheetId="37">#REF!</definedName>
    <definedName name="________________obl1712" localSheetId="38">#REF!</definedName>
    <definedName name="________________obl1712">#REF!</definedName>
    <definedName name="________________obl1713" localSheetId="34">#REF!</definedName>
    <definedName name="________________obl1713" localSheetId="35">#REF!</definedName>
    <definedName name="________________obl1713" localSheetId="37">#REF!</definedName>
    <definedName name="________________obl1713" localSheetId="38">#REF!</definedName>
    <definedName name="________________obl1713">#REF!</definedName>
    <definedName name="________________obl1714" localSheetId="34">#REF!</definedName>
    <definedName name="________________obl1714" localSheetId="35">#REF!</definedName>
    <definedName name="________________obl1714" localSheetId="37">#REF!</definedName>
    <definedName name="________________obl1714" localSheetId="38">#REF!</definedName>
    <definedName name="________________obl1714">#REF!</definedName>
    <definedName name="________________obl1715" localSheetId="34">#REF!</definedName>
    <definedName name="________________obl1715" localSheetId="35">#REF!</definedName>
    <definedName name="________________obl1715" localSheetId="37">#REF!</definedName>
    <definedName name="________________obl1715" localSheetId="38">#REF!</definedName>
    <definedName name="________________obl1715">#REF!</definedName>
    <definedName name="________________obl1716" localSheetId="34">#REF!</definedName>
    <definedName name="________________obl1716" localSheetId="35">#REF!</definedName>
    <definedName name="________________obl1716" localSheetId="37">#REF!</definedName>
    <definedName name="________________obl1716" localSheetId="38">#REF!</definedName>
    <definedName name="________________obl1716">#REF!</definedName>
    <definedName name="________________obl1717" localSheetId="34">#REF!</definedName>
    <definedName name="________________obl1717" localSheetId="35">#REF!</definedName>
    <definedName name="________________obl1717" localSheetId="37">#REF!</definedName>
    <definedName name="________________obl1717" localSheetId="38">#REF!</definedName>
    <definedName name="________________obl1717">#REF!</definedName>
    <definedName name="________________obl1718" localSheetId="34">#REF!</definedName>
    <definedName name="________________obl1718" localSheetId="35">#REF!</definedName>
    <definedName name="________________obl1718" localSheetId="37">#REF!</definedName>
    <definedName name="________________obl1718" localSheetId="38">#REF!</definedName>
    <definedName name="________________obl1718">#REF!</definedName>
    <definedName name="________________obl1719" localSheetId="34">#REF!</definedName>
    <definedName name="________________obl1719" localSheetId="35">#REF!</definedName>
    <definedName name="________________obl1719" localSheetId="37">#REF!</definedName>
    <definedName name="________________obl1719" localSheetId="38">#REF!</definedName>
    <definedName name="________________obl1719">#REF!</definedName>
    <definedName name="________________obl173" localSheetId="34">#REF!</definedName>
    <definedName name="________________obl173" localSheetId="35">#REF!</definedName>
    <definedName name="________________obl173" localSheetId="37">#REF!</definedName>
    <definedName name="________________obl173" localSheetId="38">#REF!</definedName>
    <definedName name="________________obl173">#REF!</definedName>
    <definedName name="________________obl174" localSheetId="34">#REF!</definedName>
    <definedName name="________________obl174" localSheetId="35">#REF!</definedName>
    <definedName name="________________obl174" localSheetId="37">#REF!</definedName>
    <definedName name="________________obl174" localSheetId="38">#REF!</definedName>
    <definedName name="________________obl174">#REF!</definedName>
    <definedName name="________________obl175" localSheetId="34">#REF!</definedName>
    <definedName name="________________obl175" localSheetId="35">#REF!</definedName>
    <definedName name="________________obl175" localSheetId="37">#REF!</definedName>
    <definedName name="________________obl175" localSheetId="38">#REF!</definedName>
    <definedName name="________________obl175">#REF!</definedName>
    <definedName name="________________obl176" localSheetId="34">#REF!</definedName>
    <definedName name="________________obl176" localSheetId="35">#REF!</definedName>
    <definedName name="________________obl176" localSheetId="37">#REF!</definedName>
    <definedName name="________________obl176" localSheetId="38">#REF!</definedName>
    <definedName name="________________obl176">#REF!</definedName>
    <definedName name="________________obl177" localSheetId="34">#REF!</definedName>
    <definedName name="________________obl177" localSheetId="35">#REF!</definedName>
    <definedName name="________________obl177" localSheetId="37">#REF!</definedName>
    <definedName name="________________obl177" localSheetId="38">#REF!</definedName>
    <definedName name="________________obl177">#REF!</definedName>
    <definedName name="________________obl178" localSheetId="34">#REF!</definedName>
    <definedName name="________________obl178" localSheetId="35">#REF!</definedName>
    <definedName name="________________obl178" localSheetId="37">#REF!</definedName>
    <definedName name="________________obl178" localSheetId="38">#REF!</definedName>
    <definedName name="________________obl178">#REF!</definedName>
    <definedName name="________________obl179" localSheetId="34">#REF!</definedName>
    <definedName name="________________obl179" localSheetId="35">#REF!</definedName>
    <definedName name="________________obl179" localSheetId="37">#REF!</definedName>
    <definedName name="________________obl179" localSheetId="38">#REF!</definedName>
    <definedName name="________________obl179">#REF!</definedName>
    <definedName name="________________obl18" localSheetId="34">#REF!</definedName>
    <definedName name="________________obl18" localSheetId="35">#REF!</definedName>
    <definedName name="________________obl18" localSheetId="37">#REF!</definedName>
    <definedName name="________________obl18" localSheetId="38">#REF!</definedName>
    <definedName name="________________obl18">#REF!</definedName>
    <definedName name="________________obl181" localSheetId="34">#REF!</definedName>
    <definedName name="________________obl181" localSheetId="35">#REF!</definedName>
    <definedName name="________________obl181" localSheetId="37">#REF!</definedName>
    <definedName name="________________obl181" localSheetId="38">#REF!</definedName>
    <definedName name="________________obl181">#REF!</definedName>
    <definedName name="________________obl1816" localSheetId="34">#REF!</definedName>
    <definedName name="________________obl1816" localSheetId="35">#REF!</definedName>
    <definedName name="________________obl1816" localSheetId="37">#REF!</definedName>
    <definedName name="________________obl1816" localSheetId="38">#REF!</definedName>
    <definedName name="________________obl1816">#REF!</definedName>
    <definedName name="________________obl1820" localSheetId="34">#REF!</definedName>
    <definedName name="________________obl1820" localSheetId="35">#REF!</definedName>
    <definedName name="________________obl1820" localSheetId="37">#REF!</definedName>
    <definedName name="________________obl1820" localSheetId="38">#REF!</definedName>
    <definedName name="________________obl1820">#REF!</definedName>
    <definedName name="________________obl1821" localSheetId="34">#REF!</definedName>
    <definedName name="________________obl1821" localSheetId="35">#REF!</definedName>
    <definedName name="________________obl1821" localSheetId="37">#REF!</definedName>
    <definedName name="________________obl1821" localSheetId="38">#REF!</definedName>
    <definedName name="________________obl1821">#REF!</definedName>
    <definedName name="________________obl1822" localSheetId="34">#REF!</definedName>
    <definedName name="________________obl1822" localSheetId="35">#REF!</definedName>
    <definedName name="________________obl1822" localSheetId="37">#REF!</definedName>
    <definedName name="________________obl1822" localSheetId="38">#REF!</definedName>
    <definedName name="________________obl1822">#REF!</definedName>
    <definedName name="________________obl1823" localSheetId="34">#REF!</definedName>
    <definedName name="________________obl1823" localSheetId="35">#REF!</definedName>
    <definedName name="________________obl1823" localSheetId="37">#REF!</definedName>
    <definedName name="________________obl1823" localSheetId="38">#REF!</definedName>
    <definedName name="________________obl1823">#REF!</definedName>
    <definedName name="________________obl1824" localSheetId="34">#REF!</definedName>
    <definedName name="________________obl1824" localSheetId="35">#REF!</definedName>
    <definedName name="________________obl1824" localSheetId="37">#REF!</definedName>
    <definedName name="________________obl1824" localSheetId="38">#REF!</definedName>
    <definedName name="________________obl1824">#REF!</definedName>
    <definedName name="________________obl1825" localSheetId="34">#REF!</definedName>
    <definedName name="________________obl1825" localSheetId="35">#REF!</definedName>
    <definedName name="________________obl1825" localSheetId="37">#REF!</definedName>
    <definedName name="________________obl1825" localSheetId="38">#REF!</definedName>
    <definedName name="________________obl1825">#REF!</definedName>
    <definedName name="________________obl1826" localSheetId="34">#REF!</definedName>
    <definedName name="________________obl1826" localSheetId="35">#REF!</definedName>
    <definedName name="________________obl1826" localSheetId="37">#REF!</definedName>
    <definedName name="________________obl1826" localSheetId="38">#REF!</definedName>
    <definedName name="________________obl1826">#REF!</definedName>
    <definedName name="________________obl1827" localSheetId="34">#REF!</definedName>
    <definedName name="________________obl1827" localSheetId="35">#REF!</definedName>
    <definedName name="________________obl1827" localSheetId="37">#REF!</definedName>
    <definedName name="________________obl1827" localSheetId="38">#REF!</definedName>
    <definedName name="________________obl1827">#REF!</definedName>
    <definedName name="________________obl1828" localSheetId="34">#REF!</definedName>
    <definedName name="________________obl1828" localSheetId="35">#REF!</definedName>
    <definedName name="________________obl1828" localSheetId="37">#REF!</definedName>
    <definedName name="________________obl1828" localSheetId="38">#REF!</definedName>
    <definedName name="________________obl1828">#REF!</definedName>
    <definedName name="________________obl1829" localSheetId="34">#REF!</definedName>
    <definedName name="________________obl1829" localSheetId="35">#REF!</definedName>
    <definedName name="________________obl1829" localSheetId="37">#REF!</definedName>
    <definedName name="________________obl1829" localSheetId="38">#REF!</definedName>
    <definedName name="________________obl1829">#REF!</definedName>
    <definedName name="________________obl183" localSheetId="34">#REF!</definedName>
    <definedName name="________________obl183" localSheetId="35">#REF!</definedName>
    <definedName name="________________obl183" localSheetId="37">#REF!</definedName>
    <definedName name="________________obl183" localSheetId="38">#REF!</definedName>
    <definedName name="________________obl183">#REF!</definedName>
    <definedName name="________________obl1831" localSheetId="34">#REF!</definedName>
    <definedName name="________________obl1831" localSheetId="35">#REF!</definedName>
    <definedName name="________________obl1831" localSheetId="37">#REF!</definedName>
    <definedName name="________________obl1831" localSheetId="38">#REF!</definedName>
    <definedName name="________________obl1831">#REF!</definedName>
    <definedName name="________________obl1832" localSheetId="34">#REF!</definedName>
    <definedName name="________________obl1832" localSheetId="35">#REF!</definedName>
    <definedName name="________________obl1832" localSheetId="37">#REF!</definedName>
    <definedName name="________________obl1832" localSheetId="38">#REF!</definedName>
    <definedName name="________________obl1832">#REF!</definedName>
    <definedName name="________________obl184" localSheetId="34">#REF!</definedName>
    <definedName name="________________obl184" localSheetId="35">#REF!</definedName>
    <definedName name="________________obl184" localSheetId="37">#REF!</definedName>
    <definedName name="________________obl184" localSheetId="38">#REF!</definedName>
    <definedName name="________________obl184">#REF!</definedName>
    <definedName name="________________obl185" localSheetId="34">#REF!</definedName>
    <definedName name="________________obl185" localSheetId="35">#REF!</definedName>
    <definedName name="________________obl185" localSheetId="37">#REF!</definedName>
    <definedName name="________________obl185" localSheetId="38">#REF!</definedName>
    <definedName name="________________obl185">#REF!</definedName>
    <definedName name="________________obl186" localSheetId="34">#REF!</definedName>
    <definedName name="________________obl186" localSheetId="35">#REF!</definedName>
    <definedName name="________________obl186" localSheetId="37">#REF!</definedName>
    <definedName name="________________obl186" localSheetId="38">#REF!</definedName>
    <definedName name="________________obl186">#REF!</definedName>
    <definedName name="________________obl187" localSheetId="34">#REF!</definedName>
    <definedName name="________________obl187" localSheetId="35">#REF!</definedName>
    <definedName name="________________obl187" localSheetId="37">#REF!</definedName>
    <definedName name="________________obl187" localSheetId="38">#REF!</definedName>
    <definedName name="________________obl187">#REF!</definedName>
    <definedName name="_______________obl11" localSheetId="35">#REF!</definedName>
    <definedName name="_______________obl11">#REF!</definedName>
    <definedName name="_______________obl13" localSheetId="35">#REF!</definedName>
    <definedName name="_______________obl13">#REF!</definedName>
    <definedName name="_______________obl14" localSheetId="35">#REF!</definedName>
    <definedName name="_______________obl14">#REF!</definedName>
    <definedName name="_______________obl15" localSheetId="35">#REF!</definedName>
    <definedName name="_______________obl15">#REF!</definedName>
    <definedName name="_______________obl16" localSheetId="35">#REF!</definedName>
    <definedName name="_______________obl16">#REF!</definedName>
    <definedName name="_______________obl17" localSheetId="35">#REF!</definedName>
    <definedName name="_______________obl17">#REF!</definedName>
    <definedName name="_______________obl1710" localSheetId="35">#REF!</definedName>
    <definedName name="_______________obl1710">#REF!</definedName>
    <definedName name="_______________obl1711" localSheetId="35">#REF!</definedName>
    <definedName name="_______________obl1711">#REF!</definedName>
    <definedName name="_______________obl1712" localSheetId="35">#REF!</definedName>
    <definedName name="_______________obl1712">#REF!</definedName>
    <definedName name="_______________obl1713" localSheetId="35">#REF!</definedName>
    <definedName name="_______________obl1713">#REF!</definedName>
    <definedName name="_______________obl1714" localSheetId="35">#REF!</definedName>
    <definedName name="_______________obl1714">#REF!</definedName>
    <definedName name="_______________obl1718" localSheetId="35">#REF!</definedName>
    <definedName name="_______________obl1718">#REF!</definedName>
    <definedName name="_______________obl1719" localSheetId="35">#REF!</definedName>
    <definedName name="_______________obl1719">#REF!</definedName>
    <definedName name="_______________obl173" localSheetId="35">#REF!</definedName>
    <definedName name="_______________obl173">#REF!</definedName>
    <definedName name="_______________obl174" localSheetId="35">#REF!</definedName>
    <definedName name="_______________obl174">#REF!</definedName>
    <definedName name="_______________obl175" localSheetId="35">#REF!</definedName>
    <definedName name="_______________obl175">#REF!</definedName>
    <definedName name="_______________obl176" localSheetId="35">#REF!</definedName>
    <definedName name="_______________obl176">#REF!</definedName>
    <definedName name="_______________obl177" localSheetId="35">#REF!</definedName>
    <definedName name="_______________obl177">#REF!</definedName>
    <definedName name="_______________obl178" localSheetId="35">#REF!</definedName>
    <definedName name="_______________obl178">#REF!</definedName>
    <definedName name="_______________obl179" localSheetId="35">#REF!</definedName>
    <definedName name="_______________obl179">#REF!</definedName>
    <definedName name="_______________obl18" localSheetId="35">#REF!</definedName>
    <definedName name="_______________obl18">#REF!</definedName>
    <definedName name="_______________obl1816" localSheetId="35">#REF!</definedName>
    <definedName name="_______________obl1816">#REF!</definedName>
    <definedName name="_______________obl1820" localSheetId="35">#REF!</definedName>
    <definedName name="_______________obl1820">#REF!</definedName>
    <definedName name="_______________obl1821" localSheetId="35">#REF!</definedName>
    <definedName name="_______________obl1821">#REF!</definedName>
    <definedName name="_______________obl1822" localSheetId="35">#REF!</definedName>
    <definedName name="_______________obl1822">#REF!</definedName>
    <definedName name="_______________obl1823" localSheetId="35">#REF!</definedName>
    <definedName name="_______________obl1823">#REF!</definedName>
    <definedName name="_______________obl1824" localSheetId="35">#REF!</definedName>
    <definedName name="_______________obl1824">#REF!</definedName>
    <definedName name="_______________obl1825" localSheetId="35">#REF!</definedName>
    <definedName name="_______________obl1825">#REF!</definedName>
    <definedName name="_______________obl1826" localSheetId="35">#REF!</definedName>
    <definedName name="_______________obl1826">#REF!</definedName>
    <definedName name="_______________obl1827" localSheetId="35">#REF!</definedName>
    <definedName name="_______________obl1827">#REF!</definedName>
    <definedName name="_______________obl1828" localSheetId="35">#REF!</definedName>
    <definedName name="_______________obl1828">#REF!</definedName>
    <definedName name="_______________obl1829" localSheetId="35">#REF!</definedName>
    <definedName name="_______________obl1829">#REF!</definedName>
    <definedName name="_______________obl183" localSheetId="35">#REF!</definedName>
    <definedName name="_______________obl183">#REF!</definedName>
    <definedName name="_______________obl1831" localSheetId="35">#REF!</definedName>
    <definedName name="_______________obl1831">#REF!</definedName>
    <definedName name="_______________obl1832" localSheetId="35">#REF!</definedName>
    <definedName name="_______________obl1832">#REF!</definedName>
    <definedName name="_______________obl184" localSheetId="35">#REF!</definedName>
    <definedName name="_______________obl184">#REF!</definedName>
    <definedName name="_______________obl185" localSheetId="35">#REF!</definedName>
    <definedName name="_______________obl185">#REF!</definedName>
    <definedName name="_______________obl186" localSheetId="35">#REF!</definedName>
    <definedName name="_______________obl186">#REF!</definedName>
    <definedName name="_______________obl187" localSheetId="35">#REF!</definedName>
    <definedName name="_______________obl187">#REF!</definedName>
    <definedName name="______________obl11" localSheetId="34">#REF!</definedName>
    <definedName name="______________obl11" localSheetId="35">#REF!</definedName>
    <definedName name="______________obl11" localSheetId="37">#REF!</definedName>
    <definedName name="______________obl11" localSheetId="38">#REF!</definedName>
    <definedName name="______________obl11">#REF!</definedName>
    <definedName name="______________obl12" localSheetId="34">#REF!</definedName>
    <definedName name="______________obl12" localSheetId="35">#REF!</definedName>
    <definedName name="______________obl12" localSheetId="37">#REF!</definedName>
    <definedName name="______________obl12" localSheetId="38">#REF!</definedName>
    <definedName name="______________obl12">#REF!</definedName>
    <definedName name="______________obl13" localSheetId="34">#REF!</definedName>
    <definedName name="______________obl13" localSheetId="35">#REF!</definedName>
    <definedName name="______________obl13" localSheetId="37">#REF!</definedName>
    <definedName name="______________obl13" localSheetId="38">#REF!</definedName>
    <definedName name="______________obl13">#REF!</definedName>
    <definedName name="______________obl14" localSheetId="34">#REF!</definedName>
    <definedName name="______________obl14" localSheetId="35">#REF!</definedName>
    <definedName name="______________obl14" localSheetId="37">#REF!</definedName>
    <definedName name="______________obl14" localSheetId="38">#REF!</definedName>
    <definedName name="______________obl14">#REF!</definedName>
    <definedName name="______________obl15" localSheetId="34">#REF!</definedName>
    <definedName name="______________obl15" localSheetId="35">#REF!</definedName>
    <definedName name="______________obl15" localSheetId="37">#REF!</definedName>
    <definedName name="______________obl15" localSheetId="38">#REF!</definedName>
    <definedName name="______________obl15">#REF!</definedName>
    <definedName name="______________obl16" localSheetId="34">#REF!</definedName>
    <definedName name="______________obl16" localSheetId="35">#REF!</definedName>
    <definedName name="______________obl16" localSheetId="37">#REF!</definedName>
    <definedName name="______________obl16" localSheetId="38">#REF!</definedName>
    <definedName name="______________obl16">#REF!</definedName>
    <definedName name="______________obl17" localSheetId="34">#REF!</definedName>
    <definedName name="______________obl17" localSheetId="35">#REF!</definedName>
    <definedName name="______________obl17" localSheetId="37">#REF!</definedName>
    <definedName name="______________obl17" localSheetId="38">#REF!</definedName>
    <definedName name="______________obl17">#REF!</definedName>
    <definedName name="______________obl1710" localSheetId="34">#REF!</definedName>
    <definedName name="______________obl1710" localSheetId="35">#REF!</definedName>
    <definedName name="______________obl1710" localSheetId="37">#REF!</definedName>
    <definedName name="______________obl1710" localSheetId="38">#REF!</definedName>
    <definedName name="______________obl1710">#REF!</definedName>
    <definedName name="______________obl1711" localSheetId="34">#REF!</definedName>
    <definedName name="______________obl1711" localSheetId="35">#REF!</definedName>
    <definedName name="______________obl1711" localSheetId="37">#REF!</definedName>
    <definedName name="______________obl1711" localSheetId="38">#REF!</definedName>
    <definedName name="______________obl1711">#REF!</definedName>
    <definedName name="______________obl1712" localSheetId="34">#REF!</definedName>
    <definedName name="______________obl1712" localSheetId="35">#REF!</definedName>
    <definedName name="______________obl1712" localSheetId="37">#REF!</definedName>
    <definedName name="______________obl1712" localSheetId="38">#REF!</definedName>
    <definedName name="______________obl1712">#REF!</definedName>
    <definedName name="______________obl1713" localSheetId="34">#REF!</definedName>
    <definedName name="______________obl1713" localSheetId="35">#REF!</definedName>
    <definedName name="______________obl1713" localSheetId="37">#REF!</definedName>
    <definedName name="______________obl1713" localSheetId="38">#REF!</definedName>
    <definedName name="______________obl1713">#REF!</definedName>
    <definedName name="______________obl1714" localSheetId="34">#REF!</definedName>
    <definedName name="______________obl1714" localSheetId="35">#REF!</definedName>
    <definedName name="______________obl1714" localSheetId="37">#REF!</definedName>
    <definedName name="______________obl1714" localSheetId="38">#REF!</definedName>
    <definedName name="______________obl1714">#REF!</definedName>
    <definedName name="______________obl1715" localSheetId="34">#REF!</definedName>
    <definedName name="______________obl1715" localSheetId="35">#REF!</definedName>
    <definedName name="______________obl1715" localSheetId="37">#REF!</definedName>
    <definedName name="______________obl1715" localSheetId="38">#REF!</definedName>
    <definedName name="______________obl1715">#REF!</definedName>
    <definedName name="______________obl1716" localSheetId="34">#REF!</definedName>
    <definedName name="______________obl1716" localSheetId="35">#REF!</definedName>
    <definedName name="______________obl1716" localSheetId="37">#REF!</definedName>
    <definedName name="______________obl1716" localSheetId="38">#REF!</definedName>
    <definedName name="______________obl1716">#REF!</definedName>
    <definedName name="______________obl1717" localSheetId="34">#REF!</definedName>
    <definedName name="______________obl1717" localSheetId="35">#REF!</definedName>
    <definedName name="______________obl1717" localSheetId="37">#REF!</definedName>
    <definedName name="______________obl1717" localSheetId="38">#REF!</definedName>
    <definedName name="______________obl1717">#REF!</definedName>
    <definedName name="______________obl1718" localSheetId="34">#REF!</definedName>
    <definedName name="______________obl1718" localSheetId="35">#REF!</definedName>
    <definedName name="______________obl1718" localSheetId="37">#REF!</definedName>
    <definedName name="______________obl1718" localSheetId="38">#REF!</definedName>
    <definedName name="______________obl1718">#REF!</definedName>
    <definedName name="______________obl1719" localSheetId="34">#REF!</definedName>
    <definedName name="______________obl1719" localSheetId="35">#REF!</definedName>
    <definedName name="______________obl1719" localSheetId="37">#REF!</definedName>
    <definedName name="______________obl1719" localSheetId="38">#REF!</definedName>
    <definedName name="______________obl1719">#REF!</definedName>
    <definedName name="______________obl173" localSheetId="34">#REF!</definedName>
    <definedName name="______________obl173" localSheetId="35">#REF!</definedName>
    <definedName name="______________obl173" localSheetId="37">#REF!</definedName>
    <definedName name="______________obl173" localSheetId="38">#REF!</definedName>
    <definedName name="______________obl173">#REF!</definedName>
    <definedName name="______________obl174" localSheetId="34">#REF!</definedName>
    <definedName name="______________obl174" localSheetId="35">#REF!</definedName>
    <definedName name="______________obl174" localSheetId="37">#REF!</definedName>
    <definedName name="______________obl174" localSheetId="38">#REF!</definedName>
    <definedName name="______________obl174">#REF!</definedName>
    <definedName name="______________obl175" localSheetId="34">#REF!</definedName>
    <definedName name="______________obl175" localSheetId="35">#REF!</definedName>
    <definedName name="______________obl175" localSheetId="37">#REF!</definedName>
    <definedName name="______________obl175" localSheetId="38">#REF!</definedName>
    <definedName name="______________obl175">#REF!</definedName>
    <definedName name="______________obl176" localSheetId="34">#REF!</definedName>
    <definedName name="______________obl176" localSheetId="35">#REF!</definedName>
    <definedName name="______________obl176" localSheetId="37">#REF!</definedName>
    <definedName name="______________obl176" localSheetId="38">#REF!</definedName>
    <definedName name="______________obl176">#REF!</definedName>
    <definedName name="______________obl177" localSheetId="34">#REF!</definedName>
    <definedName name="______________obl177" localSheetId="35">#REF!</definedName>
    <definedName name="______________obl177" localSheetId="37">#REF!</definedName>
    <definedName name="______________obl177" localSheetId="38">#REF!</definedName>
    <definedName name="______________obl177">#REF!</definedName>
    <definedName name="______________obl178" localSheetId="34">#REF!</definedName>
    <definedName name="______________obl178" localSheetId="35">#REF!</definedName>
    <definedName name="______________obl178" localSheetId="37">#REF!</definedName>
    <definedName name="______________obl178" localSheetId="38">#REF!</definedName>
    <definedName name="______________obl178">#REF!</definedName>
    <definedName name="______________obl179" localSheetId="34">#REF!</definedName>
    <definedName name="______________obl179" localSheetId="35">#REF!</definedName>
    <definedName name="______________obl179" localSheetId="37">#REF!</definedName>
    <definedName name="______________obl179" localSheetId="38">#REF!</definedName>
    <definedName name="______________obl179">#REF!</definedName>
    <definedName name="______________obl18" localSheetId="34">#REF!</definedName>
    <definedName name="______________obl18" localSheetId="35">#REF!</definedName>
    <definedName name="______________obl18" localSheetId="37">#REF!</definedName>
    <definedName name="______________obl18" localSheetId="38">#REF!</definedName>
    <definedName name="______________obl18">#REF!</definedName>
    <definedName name="______________obl181" localSheetId="34">#REF!</definedName>
    <definedName name="______________obl181" localSheetId="35">#REF!</definedName>
    <definedName name="______________obl181" localSheetId="37">#REF!</definedName>
    <definedName name="______________obl181" localSheetId="38">#REF!</definedName>
    <definedName name="______________obl181">#REF!</definedName>
    <definedName name="______________obl1816" localSheetId="34">#REF!</definedName>
    <definedName name="______________obl1816" localSheetId="35">#REF!</definedName>
    <definedName name="______________obl1816" localSheetId="37">#REF!</definedName>
    <definedName name="______________obl1816" localSheetId="38">#REF!</definedName>
    <definedName name="______________obl1816">#REF!</definedName>
    <definedName name="______________obl1820" localSheetId="34">#REF!</definedName>
    <definedName name="______________obl1820" localSheetId="35">#REF!</definedName>
    <definedName name="______________obl1820" localSheetId="37">#REF!</definedName>
    <definedName name="______________obl1820" localSheetId="38">#REF!</definedName>
    <definedName name="______________obl1820">#REF!</definedName>
    <definedName name="______________obl1821" localSheetId="34">#REF!</definedName>
    <definedName name="______________obl1821" localSheetId="35">#REF!</definedName>
    <definedName name="______________obl1821" localSheetId="37">#REF!</definedName>
    <definedName name="______________obl1821" localSheetId="38">#REF!</definedName>
    <definedName name="______________obl1821">#REF!</definedName>
    <definedName name="______________obl1822" localSheetId="34">#REF!</definedName>
    <definedName name="______________obl1822" localSheetId="35">#REF!</definedName>
    <definedName name="______________obl1822" localSheetId="37">#REF!</definedName>
    <definedName name="______________obl1822" localSheetId="38">#REF!</definedName>
    <definedName name="______________obl1822">#REF!</definedName>
    <definedName name="______________obl1823" localSheetId="34">#REF!</definedName>
    <definedName name="______________obl1823" localSheetId="35">#REF!</definedName>
    <definedName name="______________obl1823" localSheetId="37">#REF!</definedName>
    <definedName name="______________obl1823" localSheetId="38">#REF!</definedName>
    <definedName name="______________obl1823">#REF!</definedName>
    <definedName name="______________obl1824" localSheetId="34">#REF!</definedName>
    <definedName name="______________obl1824" localSheetId="35">#REF!</definedName>
    <definedName name="______________obl1824" localSheetId="37">#REF!</definedName>
    <definedName name="______________obl1824" localSheetId="38">#REF!</definedName>
    <definedName name="______________obl1824">#REF!</definedName>
    <definedName name="______________obl1825" localSheetId="34">#REF!</definedName>
    <definedName name="______________obl1825" localSheetId="35">#REF!</definedName>
    <definedName name="______________obl1825" localSheetId="37">#REF!</definedName>
    <definedName name="______________obl1825" localSheetId="38">#REF!</definedName>
    <definedName name="______________obl1825">#REF!</definedName>
    <definedName name="______________obl1826" localSheetId="34">#REF!</definedName>
    <definedName name="______________obl1826" localSheetId="35">#REF!</definedName>
    <definedName name="______________obl1826" localSheetId="37">#REF!</definedName>
    <definedName name="______________obl1826" localSheetId="38">#REF!</definedName>
    <definedName name="______________obl1826">#REF!</definedName>
    <definedName name="______________obl1827" localSheetId="34">#REF!</definedName>
    <definedName name="______________obl1827" localSheetId="35">#REF!</definedName>
    <definedName name="______________obl1827" localSheetId="37">#REF!</definedName>
    <definedName name="______________obl1827" localSheetId="38">#REF!</definedName>
    <definedName name="______________obl1827">#REF!</definedName>
    <definedName name="______________obl1828" localSheetId="34">#REF!</definedName>
    <definedName name="______________obl1828" localSheetId="35">#REF!</definedName>
    <definedName name="______________obl1828" localSheetId="37">#REF!</definedName>
    <definedName name="______________obl1828" localSheetId="38">#REF!</definedName>
    <definedName name="______________obl1828">#REF!</definedName>
    <definedName name="______________obl1829" localSheetId="34">#REF!</definedName>
    <definedName name="______________obl1829" localSheetId="35">#REF!</definedName>
    <definedName name="______________obl1829" localSheetId="37">#REF!</definedName>
    <definedName name="______________obl1829" localSheetId="38">#REF!</definedName>
    <definedName name="______________obl1829">#REF!</definedName>
    <definedName name="______________obl183" localSheetId="34">#REF!</definedName>
    <definedName name="______________obl183" localSheetId="35">#REF!</definedName>
    <definedName name="______________obl183" localSheetId="37">#REF!</definedName>
    <definedName name="______________obl183" localSheetId="38">#REF!</definedName>
    <definedName name="______________obl183">#REF!</definedName>
    <definedName name="______________obl1831" localSheetId="34">#REF!</definedName>
    <definedName name="______________obl1831" localSheetId="35">#REF!</definedName>
    <definedName name="______________obl1831" localSheetId="37">#REF!</definedName>
    <definedName name="______________obl1831" localSheetId="38">#REF!</definedName>
    <definedName name="______________obl1831">#REF!</definedName>
    <definedName name="______________obl1832" localSheetId="34">#REF!</definedName>
    <definedName name="______________obl1832" localSheetId="35">#REF!</definedName>
    <definedName name="______________obl1832" localSheetId="37">#REF!</definedName>
    <definedName name="______________obl1832" localSheetId="38">#REF!</definedName>
    <definedName name="______________obl1832">#REF!</definedName>
    <definedName name="______________obl184" localSheetId="34">#REF!</definedName>
    <definedName name="______________obl184" localSheetId="35">#REF!</definedName>
    <definedName name="______________obl184" localSheetId="37">#REF!</definedName>
    <definedName name="______________obl184" localSheetId="38">#REF!</definedName>
    <definedName name="______________obl184">#REF!</definedName>
    <definedName name="______________obl185" localSheetId="34">#REF!</definedName>
    <definedName name="______________obl185" localSheetId="35">#REF!</definedName>
    <definedName name="______________obl185" localSheetId="37">#REF!</definedName>
    <definedName name="______________obl185" localSheetId="38">#REF!</definedName>
    <definedName name="______________obl185">#REF!</definedName>
    <definedName name="______________obl186" localSheetId="34">#REF!</definedName>
    <definedName name="______________obl186" localSheetId="35">#REF!</definedName>
    <definedName name="______________obl186" localSheetId="37">#REF!</definedName>
    <definedName name="______________obl186" localSheetId="38">#REF!</definedName>
    <definedName name="______________obl186">#REF!</definedName>
    <definedName name="______________obl187" localSheetId="34">#REF!</definedName>
    <definedName name="______________obl187" localSheetId="35">#REF!</definedName>
    <definedName name="______________obl187" localSheetId="37">#REF!</definedName>
    <definedName name="______________obl187" localSheetId="38">#REF!</definedName>
    <definedName name="______________obl187">#REF!</definedName>
    <definedName name="_____________obl11" localSheetId="35">#REF!</definedName>
    <definedName name="_____________obl11">#REF!</definedName>
    <definedName name="_____________obl12" localSheetId="35">#REF!</definedName>
    <definedName name="_____________obl12">#REF!</definedName>
    <definedName name="_____________obl13" localSheetId="35">#REF!</definedName>
    <definedName name="_____________obl13">#REF!</definedName>
    <definedName name="_____________obl14" localSheetId="35">#REF!</definedName>
    <definedName name="_____________obl14">#REF!</definedName>
    <definedName name="_____________obl15" localSheetId="35">#REF!</definedName>
    <definedName name="_____________obl15">#REF!</definedName>
    <definedName name="_____________obl16" localSheetId="35">#REF!</definedName>
    <definedName name="_____________obl16">#REF!</definedName>
    <definedName name="_____________obl17" localSheetId="35">#REF!</definedName>
    <definedName name="_____________obl17">#REF!</definedName>
    <definedName name="_____________obl1710" localSheetId="35">#REF!</definedName>
    <definedName name="_____________obl1710">#REF!</definedName>
    <definedName name="_____________obl1711" localSheetId="35">#REF!</definedName>
    <definedName name="_____________obl1711">#REF!</definedName>
    <definedName name="_____________obl1712" localSheetId="35">#REF!</definedName>
    <definedName name="_____________obl1712">#REF!</definedName>
    <definedName name="_____________obl1713" localSheetId="35">#REF!</definedName>
    <definedName name="_____________obl1713">#REF!</definedName>
    <definedName name="_____________obl1714" localSheetId="35">#REF!</definedName>
    <definedName name="_____________obl1714">#REF!</definedName>
    <definedName name="_____________obl1715" localSheetId="35">#REF!</definedName>
    <definedName name="_____________obl1715">#REF!</definedName>
    <definedName name="_____________obl1716" localSheetId="35">#REF!</definedName>
    <definedName name="_____________obl1716">#REF!</definedName>
    <definedName name="_____________obl1717" localSheetId="35">#REF!</definedName>
    <definedName name="_____________obl1717">#REF!</definedName>
    <definedName name="_____________obl1718" localSheetId="35">#REF!</definedName>
    <definedName name="_____________obl1718">#REF!</definedName>
    <definedName name="_____________obl1719" localSheetId="35">#REF!</definedName>
    <definedName name="_____________obl1719">#REF!</definedName>
    <definedName name="_____________obl173" localSheetId="35">#REF!</definedName>
    <definedName name="_____________obl173">#REF!</definedName>
    <definedName name="_____________obl174" localSheetId="35">#REF!</definedName>
    <definedName name="_____________obl174">#REF!</definedName>
    <definedName name="_____________obl175" localSheetId="35">#REF!</definedName>
    <definedName name="_____________obl175">#REF!</definedName>
    <definedName name="_____________obl176" localSheetId="35">#REF!</definedName>
    <definedName name="_____________obl176">#REF!</definedName>
    <definedName name="_____________obl177" localSheetId="35">#REF!</definedName>
    <definedName name="_____________obl177">#REF!</definedName>
    <definedName name="_____________obl178" localSheetId="35">#REF!</definedName>
    <definedName name="_____________obl178">#REF!</definedName>
    <definedName name="_____________obl179" localSheetId="35">#REF!</definedName>
    <definedName name="_____________obl179">#REF!</definedName>
    <definedName name="_____________obl18" localSheetId="35">#REF!</definedName>
    <definedName name="_____________obl18">#REF!</definedName>
    <definedName name="_____________obl181" localSheetId="35">#REF!</definedName>
    <definedName name="_____________obl181">#REF!</definedName>
    <definedName name="_____________obl1816" localSheetId="35">#REF!</definedName>
    <definedName name="_____________obl1816">#REF!</definedName>
    <definedName name="_____________obl1820" localSheetId="35">#REF!</definedName>
    <definedName name="_____________obl1820">#REF!</definedName>
    <definedName name="_____________obl1821" localSheetId="35">#REF!</definedName>
    <definedName name="_____________obl1821">#REF!</definedName>
    <definedName name="_____________obl1822" localSheetId="35">#REF!</definedName>
    <definedName name="_____________obl1822">#REF!</definedName>
    <definedName name="_____________obl1823" localSheetId="35">#REF!</definedName>
    <definedName name="_____________obl1823">#REF!</definedName>
    <definedName name="_____________obl1824" localSheetId="35">#REF!</definedName>
    <definedName name="_____________obl1824">#REF!</definedName>
    <definedName name="_____________obl1825" localSheetId="35">#REF!</definedName>
    <definedName name="_____________obl1825">#REF!</definedName>
    <definedName name="_____________obl1826" localSheetId="35">#REF!</definedName>
    <definedName name="_____________obl1826">#REF!</definedName>
    <definedName name="_____________obl1827" localSheetId="35">#REF!</definedName>
    <definedName name="_____________obl1827">#REF!</definedName>
    <definedName name="_____________obl1828" localSheetId="35">#REF!</definedName>
    <definedName name="_____________obl1828">#REF!</definedName>
    <definedName name="_____________obl1829" localSheetId="35">#REF!</definedName>
    <definedName name="_____________obl1829">#REF!</definedName>
    <definedName name="_____________obl183" localSheetId="35">#REF!</definedName>
    <definedName name="_____________obl183">#REF!</definedName>
    <definedName name="_____________obl1831" localSheetId="35">#REF!</definedName>
    <definedName name="_____________obl1831">#REF!</definedName>
    <definedName name="_____________obl1832" localSheetId="35">#REF!</definedName>
    <definedName name="_____________obl1832">#REF!</definedName>
    <definedName name="_____________obl184" localSheetId="35">#REF!</definedName>
    <definedName name="_____________obl184">#REF!</definedName>
    <definedName name="_____________obl185" localSheetId="35">#REF!</definedName>
    <definedName name="_____________obl185">#REF!</definedName>
    <definedName name="_____________obl186" localSheetId="35">#REF!</definedName>
    <definedName name="_____________obl186">#REF!</definedName>
    <definedName name="_____________obl187" localSheetId="35">#REF!</definedName>
    <definedName name="_____________obl187">#REF!</definedName>
    <definedName name="____________obl11" localSheetId="34">#REF!</definedName>
    <definedName name="____________obl11" localSheetId="33">#REF!</definedName>
    <definedName name="____________obl11" localSheetId="35">#REF!</definedName>
    <definedName name="____________obl11">#REF!</definedName>
    <definedName name="____________obl12" localSheetId="34">#REF!</definedName>
    <definedName name="____________obl12" localSheetId="33">#REF!</definedName>
    <definedName name="____________obl12" localSheetId="35">#REF!</definedName>
    <definedName name="____________obl12">#REF!</definedName>
    <definedName name="____________obl13" localSheetId="34">#REF!</definedName>
    <definedName name="____________obl13" localSheetId="33">#REF!</definedName>
    <definedName name="____________obl13" localSheetId="35">#REF!</definedName>
    <definedName name="____________obl13">#REF!</definedName>
    <definedName name="____________obl14" localSheetId="34">#REF!</definedName>
    <definedName name="____________obl14" localSheetId="35">#REF!</definedName>
    <definedName name="____________obl14">#REF!</definedName>
    <definedName name="____________obl15" localSheetId="34">#REF!</definedName>
    <definedName name="____________obl15" localSheetId="35">#REF!</definedName>
    <definedName name="____________obl15">#REF!</definedName>
    <definedName name="____________obl16" localSheetId="34">#REF!</definedName>
    <definedName name="____________obl16" localSheetId="35">#REF!</definedName>
    <definedName name="____________obl16">#REF!</definedName>
    <definedName name="____________obl17" localSheetId="34">#REF!</definedName>
    <definedName name="____________obl17" localSheetId="35">#REF!</definedName>
    <definedName name="____________obl17">#REF!</definedName>
    <definedName name="____________obl1710" localSheetId="34">#REF!</definedName>
    <definedName name="____________obl1710" localSheetId="35">#REF!</definedName>
    <definedName name="____________obl1710">#REF!</definedName>
    <definedName name="____________obl1711" localSheetId="34">#REF!</definedName>
    <definedName name="____________obl1711" localSheetId="35">#REF!</definedName>
    <definedName name="____________obl1711">#REF!</definedName>
    <definedName name="____________obl1712" localSheetId="34">#REF!</definedName>
    <definedName name="____________obl1712" localSheetId="35">#REF!</definedName>
    <definedName name="____________obl1712">#REF!</definedName>
    <definedName name="____________obl1713" localSheetId="34">#REF!</definedName>
    <definedName name="____________obl1713" localSheetId="35">#REF!</definedName>
    <definedName name="____________obl1713">#REF!</definedName>
    <definedName name="____________obl1714" localSheetId="34">#REF!</definedName>
    <definedName name="____________obl1714" localSheetId="35">#REF!</definedName>
    <definedName name="____________obl1714">#REF!</definedName>
    <definedName name="____________obl1715" localSheetId="34">#REF!</definedName>
    <definedName name="____________obl1715" localSheetId="35">#REF!</definedName>
    <definedName name="____________obl1715">#REF!</definedName>
    <definedName name="____________obl1716" localSheetId="34">#REF!</definedName>
    <definedName name="____________obl1716" localSheetId="35">#REF!</definedName>
    <definedName name="____________obl1716">#REF!</definedName>
    <definedName name="____________obl1717" localSheetId="34">#REF!</definedName>
    <definedName name="____________obl1717" localSheetId="35">#REF!</definedName>
    <definedName name="____________obl1717">#REF!</definedName>
    <definedName name="____________obl1718" localSheetId="34">#REF!</definedName>
    <definedName name="____________obl1718" localSheetId="35">#REF!</definedName>
    <definedName name="____________obl1718">#REF!</definedName>
    <definedName name="____________obl1719" localSheetId="34">#REF!</definedName>
    <definedName name="____________obl1719" localSheetId="35">#REF!</definedName>
    <definedName name="____________obl1719">#REF!</definedName>
    <definedName name="____________obl173" localSheetId="34">#REF!</definedName>
    <definedName name="____________obl173" localSheetId="35">#REF!</definedName>
    <definedName name="____________obl173">#REF!</definedName>
    <definedName name="____________obl174" localSheetId="34">#REF!</definedName>
    <definedName name="____________obl174" localSheetId="35">#REF!</definedName>
    <definedName name="____________obl174">#REF!</definedName>
    <definedName name="____________obl175" localSheetId="34">#REF!</definedName>
    <definedName name="____________obl175" localSheetId="35">#REF!</definedName>
    <definedName name="____________obl175">#REF!</definedName>
    <definedName name="____________obl176" localSheetId="34">#REF!</definedName>
    <definedName name="____________obl176" localSheetId="35">#REF!</definedName>
    <definedName name="____________obl176">#REF!</definedName>
    <definedName name="____________obl177" localSheetId="34">#REF!</definedName>
    <definedName name="____________obl177" localSheetId="35">#REF!</definedName>
    <definedName name="____________obl177">#REF!</definedName>
    <definedName name="____________obl178" localSheetId="34">#REF!</definedName>
    <definedName name="____________obl178" localSheetId="35">#REF!</definedName>
    <definedName name="____________obl178">#REF!</definedName>
    <definedName name="____________obl179" localSheetId="34">#REF!</definedName>
    <definedName name="____________obl179" localSheetId="35">#REF!</definedName>
    <definedName name="____________obl179">#REF!</definedName>
    <definedName name="____________obl18" localSheetId="34">#REF!</definedName>
    <definedName name="____________obl18" localSheetId="35">#REF!</definedName>
    <definedName name="____________obl18">#REF!</definedName>
    <definedName name="____________obl181" localSheetId="34">#REF!</definedName>
    <definedName name="____________obl181" localSheetId="35">#REF!</definedName>
    <definedName name="____________obl181">#REF!</definedName>
    <definedName name="____________obl1816" localSheetId="34">#REF!</definedName>
    <definedName name="____________obl1816" localSheetId="35">#REF!</definedName>
    <definedName name="____________obl1816">#REF!</definedName>
    <definedName name="____________obl1820" localSheetId="34">#REF!</definedName>
    <definedName name="____________obl1820" localSheetId="35">#REF!</definedName>
    <definedName name="____________obl1820">#REF!</definedName>
    <definedName name="____________obl1821" localSheetId="34">#REF!</definedName>
    <definedName name="____________obl1821" localSheetId="35">#REF!</definedName>
    <definedName name="____________obl1821">#REF!</definedName>
    <definedName name="____________obl1822" localSheetId="34">#REF!</definedName>
    <definedName name="____________obl1822" localSheetId="35">#REF!</definedName>
    <definedName name="____________obl1822">#REF!</definedName>
    <definedName name="____________obl1823" localSheetId="34">#REF!</definedName>
    <definedName name="____________obl1823" localSheetId="35">#REF!</definedName>
    <definedName name="____________obl1823">#REF!</definedName>
    <definedName name="____________obl1824" localSheetId="34">#REF!</definedName>
    <definedName name="____________obl1824" localSheetId="35">#REF!</definedName>
    <definedName name="____________obl1824">#REF!</definedName>
    <definedName name="____________obl1825" localSheetId="34">#REF!</definedName>
    <definedName name="____________obl1825" localSheetId="35">#REF!</definedName>
    <definedName name="____________obl1825">#REF!</definedName>
    <definedName name="____________obl1826" localSheetId="34">#REF!</definedName>
    <definedName name="____________obl1826" localSheetId="35">#REF!</definedName>
    <definedName name="____________obl1826">#REF!</definedName>
    <definedName name="____________obl1827" localSheetId="34">#REF!</definedName>
    <definedName name="____________obl1827" localSheetId="35">#REF!</definedName>
    <definedName name="____________obl1827">#REF!</definedName>
    <definedName name="____________obl1828" localSheetId="34">#REF!</definedName>
    <definedName name="____________obl1828" localSheetId="35">#REF!</definedName>
    <definedName name="____________obl1828">#REF!</definedName>
    <definedName name="____________obl1829" localSheetId="34">#REF!</definedName>
    <definedName name="____________obl1829" localSheetId="35">#REF!</definedName>
    <definedName name="____________obl1829">#REF!</definedName>
    <definedName name="____________obl183" localSheetId="34">#REF!</definedName>
    <definedName name="____________obl183" localSheetId="35">#REF!</definedName>
    <definedName name="____________obl183">#REF!</definedName>
    <definedName name="____________obl1831" localSheetId="34">#REF!</definedName>
    <definedName name="____________obl1831" localSheetId="35">#REF!</definedName>
    <definedName name="____________obl1831">#REF!</definedName>
    <definedName name="____________obl1832" localSheetId="34">#REF!</definedName>
    <definedName name="____________obl1832" localSheetId="35">#REF!</definedName>
    <definedName name="____________obl1832">#REF!</definedName>
    <definedName name="____________obl184" localSheetId="34">#REF!</definedName>
    <definedName name="____________obl184" localSheetId="35">#REF!</definedName>
    <definedName name="____________obl184">#REF!</definedName>
    <definedName name="____________obl185" localSheetId="34">#REF!</definedName>
    <definedName name="____________obl185" localSheetId="35">#REF!</definedName>
    <definedName name="____________obl185">#REF!</definedName>
    <definedName name="____________obl186" localSheetId="34">#REF!</definedName>
    <definedName name="____________obl186" localSheetId="35">#REF!</definedName>
    <definedName name="____________obl186">#REF!</definedName>
    <definedName name="____________obl187" localSheetId="34">#REF!</definedName>
    <definedName name="____________obl187" localSheetId="35">#REF!</definedName>
    <definedName name="____________obl187">#REF!</definedName>
    <definedName name="___________obl11" localSheetId="34">#REF!</definedName>
    <definedName name="___________obl11" localSheetId="35">#REF!</definedName>
    <definedName name="___________obl11" localSheetId="37">#REF!</definedName>
    <definedName name="___________obl11" localSheetId="38">#REF!</definedName>
    <definedName name="___________obl11">#REF!</definedName>
    <definedName name="___________obl12" localSheetId="34">#REF!</definedName>
    <definedName name="___________obl12" localSheetId="35">#REF!</definedName>
    <definedName name="___________obl12" localSheetId="37">#REF!</definedName>
    <definedName name="___________obl12" localSheetId="38">#REF!</definedName>
    <definedName name="___________obl12">#REF!</definedName>
    <definedName name="___________obl13" localSheetId="34">#REF!</definedName>
    <definedName name="___________obl13" localSheetId="35">#REF!</definedName>
    <definedName name="___________obl13" localSheetId="37">#REF!</definedName>
    <definedName name="___________obl13" localSheetId="38">#REF!</definedName>
    <definedName name="___________obl13">#REF!</definedName>
    <definedName name="___________obl14" localSheetId="34">#REF!</definedName>
    <definedName name="___________obl14" localSheetId="35">#REF!</definedName>
    <definedName name="___________obl14" localSheetId="37">#REF!</definedName>
    <definedName name="___________obl14" localSheetId="38">#REF!</definedName>
    <definedName name="___________obl14">#REF!</definedName>
    <definedName name="___________obl15" localSheetId="34">#REF!</definedName>
    <definedName name="___________obl15" localSheetId="35">#REF!</definedName>
    <definedName name="___________obl15" localSheetId="37">#REF!</definedName>
    <definedName name="___________obl15" localSheetId="38">#REF!</definedName>
    <definedName name="___________obl15">#REF!</definedName>
    <definedName name="___________obl16" localSheetId="34">#REF!</definedName>
    <definedName name="___________obl16" localSheetId="35">#REF!</definedName>
    <definedName name="___________obl16" localSheetId="37">#REF!</definedName>
    <definedName name="___________obl16" localSheetId="38">#REF!</definedName>
    <definedName name="___________obl16">#REF!</definedName>
    <definedName name="___________obl17" localSheetId="34">#REF!</definedName>
    <definedName name="___________obl17" localSheetId="35">#REF!</definedName>
    <definedName name="___________obl17" localSheetId="37">#REF!</definedName>
    <definedName name="___________obl17" localSheetId="38">#REF!</definedName>
    <definedName name="___________obl17">#REF!</definedName>
    <definedName name="___________obl1710" localSheetId="34">#REF!</definedName>
    <definedName name="___________obl1710" localSheetId="35">#REF!</definedName>
    <definedName name="___________obl1710" localSheetId="37">#REF!</definedName>
    <definedName name="___________obl1710" localSheetId="38">#REF!</definedName>
    <definedName name="___________obl1710">#REF!</definedName>
    <definedName name="___________obl1711" localSheetId="34">#REF!</definedName>
    <definedName name="___________obl1711" localSheetId="35">#REF!</definedName>
    <definedName name="___________obl1711" localSheetId="37">#REF!</definedName>
    <definedName name="___________obl1711" localSheetId="38">#REF!</definedName>
    <definedName name="___________obl1711">#REF!</definedName>
    <definedName name="___________obl1712" localSheetId="34">#REF!</definedName>
    <definedName name="___________obl1712" localSheetId="35">#REF!</definedName>
    <definedName name="___________obl1712" localSheetId="37">#REF!</definedName>
    <definedName name="___________obl1712" localSheetId="38">#REF!</definedName>
    <definedName name="___________obl1712">#REF!</definedName>
    <definedName name="___________obl1713" localSheetId="34">#REF!</definedName>
    <definedName name="___________obl1713" localSheetId="35">#REF!</definedName>
    <definedName name="___________obl1713" localSheetId="37">#REF!</definedName>
    <definedName name="___________obl1713" localSheetId="38">#REF!</definedName>
    <definedName name="___________obl1713">#REF!</definedName>
    <definedName name="___________obl1714" localSheetId="34">#REF!</definedName>
    <definedName name="___________obl1714" localSheetId="35">#REF!</definedName>
    <definedName name="___________obl1714" localSheetId="37">#REF!</definedName>
    <definedName name="___________obl1714" localSheetId="38">#REF!</definedName>
    <definedName name="___________obl1714">#REF!</definedName>
    <definedName name="___________obl1715" localSheetId="34">#REF!</definedName>
    <definedName name="___________obl1715" localSheetId="35">#REF!</definedName>
    <definedName name="___________obl1715" localSheetId="37">#REF!</definedName>
    <definedName name="___________obl1715" localSheetId="38">#REF!</definedName>
    <definedName name="___________obl1715">#REF!</definedName>
    <definedName name="___________obl1716" localSheetId="34">#REF!</definedName>
    <definedName name="___________obl1716" localSheetId="35">#REF!</definedName>
    <definedName name="___________obl1716" localSheetId="37">#REF!</definedName>
    <definedName name="___________obl1716" localSheetId="38">#REF!</definedName>
    <definedName name="___________obl1716">#REF!</definedName>
    <definedName name="___________obl1717" localSheetId="34">#REF!</definedName>
    <definedName name="___________obl1717" localSheetId="35">#REF!</definedName>
    <definedName name="___________obl1717" localSheetId="37">#REF!</definedName>
    <definedName name="___________obl1717" localSheetId="38">#REF!</definedName>
    <definedName name="___________obl1717">#REF!</definedName>
    <definedName name="___________obl1718" localSheetId="34">#REF!</definedName>
    <definedName name="___________obl1718" localSheetId="35">#REF!</definedName>
    <definedName name="___________obl1718" localSheetId="37">#REF!</definedName>
    <definedName name="___________obl1718" localSheetId="38">#REF!</definedName>
    <definedName name="___________obl1718">#REF!</definedName>
    <definedName name="___________obl1719" localSheetId="34">#REF!</definedName>
    <definedName name="___________obl1719" localSheetId="35">#REF!</definedName>
    <definedName name="___________obl1719" localSheetId="37">#REF!</definedName>
    <definedName name="___________obl1719" localSheetId="38">#REF!</definedName>
    <definedName name="___________obl1719">#REF!</definedName>
    <definedName name="___________obl173" localSheetId="34">#REF!</definedName>
    <definedName name="___________obl173" localSheetId="35">#REF!</definedName>
    <definedName name="___________obl173" localSheetId="37">#REF!</definedName>
    <definedName name="___________obl173" localSheetId="38">#REF!</definedName>
    <definedName name="___________obl173">#REF!</definedName>
    <definedName name="___________obl174" localSheetId="34">#REF!</definedName>
    <definedName name="___________obl174" localSheetId="35">#REF!</definedName>
    <definedName name="___________obl174" localSheetId="37">#REF!</definedName>
    <definedName name="___________obl174" localSheetId="38">#REF!</definedName>
    <definedName name="___________obl174">#REF!</definedName>
    <definedName name="___________obl175" localSheetId="34">#REF!</definedName>
    <definedName name="___________obl175" localSheetId="35">#REF!</definedName>
    <definedName name="___________obl175" localSheetId="37">#REF!</definedName>
    <definedName name="___________obl175" localSheetId="38">#REF!</definedName>
    <definedName name="___________obl175">#REF!</definedName>
    <definedName name="___________obl176" localSheetId="34">#REF!</definedName>
    <definedName name="___________obl176" localSheetId="35">#REF!</definedName>
    <definedName name="___________obl176" localSheetId="37">#REF!</definedName>
    <definedName name="___________obl176" localSheetId="38">#REF!</definedName>
    <definedName name="___________obl176">#REF!</definedName>
    <definedName name="___________obl177" localSheetId="34">#REF!</definedName>
    <definedName name="___________obl177" localSheetId="35">#REF!</definedName>
    <definedName name="___________obl177" localSheetId="37">#REF!</definedName>
    <definedName name="___________obl177" localSheetId="38">#REF!</definedName>
    <definedName name="___________obl177">#REF!</definedName>
    <definedName name="___________obl178" localSheetId="34">#REF!</definedName>
    <definedName name="___________obl178" localSheetId="35">#REF!</definedName>
    <definedName name="___________obl178" localSheetId="37">#REF!</definedName>
    <definedName name="___________obl178" localSheetId="38">#REF!</definedName>
    <definedName name="___________obl178">#REF!</definedName>
    <definedName name="___________obl179" localSheetId="34">#REF!</definedName>
    <definedName name="___________obl179" localSheetId="35">#REF!</definedName>
    <definedName name="___________obl179" localSheetId="37">#REF!</definedName>
    <definedName name="___________obl179" localSheetId="38">#REF!</definedName>
    <definedName name="___________obl179">#REF!</definedName>
    <definedName name="___________obl18" localSheetId="34">#REF!</definedName>
    <definedName name="___________obl18" localSheetId="35">#REF!</definedName>
    <definedName name="___________obl18" localSheetId="37">#REF!</definedName>
    <definedName name="___________obl18" localSheetId="38">#REF!</definedName>
    <definedName name="___________obl18">#REF!</definedName>
    <definedName name="___________obl181" localSheetId="34">#REF!</definedName>
    <definedName name="___________obl181" localSheetId="35">#REF!</definedName>
    <definedName name="___________obl181" localSheetId="37">#REF!</definedName>
    <definedName name="___________obl181" localSheetId="38">#REF!</definedName>
    <definedName name="___________obl181">#REF!</definedName>
    <definedName name="___________obl1816" localSheetId="34">#REF!</definedName>
    <definedName name="___________obl1816" localSheetId="35">#REF!</definedName>
    <definedName name="___________obl1816" localSheetId="37">#REF!</definedName>
    <definedName name="___________obl1816" localSheetId="38">#REF!</definedName>
    <definedName name="___________obl1816">#REF!</definedName>
    <definedName name="___________obl1820" localSheetId="34">#REF!</definedName>
    <definedName name="___________obl1820" localSheetId="35">#REF!</definedName>
    <definedName name="___________obl1820" localSheetId="37">#REF!</definedName>
    <definedName name="___________obl1820" localSheetId="38">#REF!</definedName>
    <definedName name="___________obl1820">#REF!</definedName>
    <definedName name="___________obl1821" localSheetId="34">#REF!</definedName>
    <definedName name="___________obl1821" localSheetId="35">#REF!</definedName>
    <definedName name="___________obl1821" localSheetId="37">#REF!</definedName>
    <definedName name="___________obl1821" localSheetId="38">#REF!</definedName>
    <definedName name="___________obl1821">#REF!</definedName>
    <definedName name="___________obl1822" localSheetId="34">#REF!</definedName>
    <definedName name="___________obl1822" localSheetId="35">#REF!</definedName>
    <definedName name="___________obl1822" localSheetId="37">#REF!</definedName>
    <definedName name="___________obl1822" localSheetId="38">#REF!</definedName>
    <definedName name="___________obl1822">#REF!</definedName>
    <definedName name="___________obl1823" localSheetId="34">#REF!</definedName>
    <definedName name="___________obl1823" localSheetId="35">#REF!</definedName>
    <definedName name="___________obl1823" localSheetId="37">#REF!</definedName>
    <definedName name="___________obl1823" localSheetId="38">#REF!</definedName>
    <definedName name="___________obl1823">#REF!</definedName>
    <definedName name="___________obl1824" localSheetId="34">#REF!</definedName>
    <definedName name="___________obl1824" localSheetId="35">#REF!</definedName>
    <definedName name="___________obl1824" localSheetId="37">#REF!</definedName>
    <definedName name="___________obl1824" localSheetId="38">#REF!</definedName>
    <definedName name="___________obl1824">#REF!</definedName>
    <definedName name="___________obl1825" localSheetId="34">#REF!</definedName>
    <definedName name="___________obl1825" localSheetId="35">#REF!</definedName>
    <definedName name="___________obl1825" localSheetId="37">#REF!</definedName>
    <definedName name="___________obl1825" localSheetId="38">#REF!</definedName>
    <definedName name="___________obl1825">#REF!</definedName>
    <definedName name="___________obl1826" localSheetId="34">#REF!</definedName>
    <definedName name="___________obl1826" localSheetId="35">#REF!</definedName>
    <definedName name="___________obl1826" localSheetId="37">#REF!</definedName>
    <definedName name="___________obl1826" localSheetId="38">#REF!</definedName>
    <definedName name="___________obl1826">#REF!</definedName>
    <definedName name="___________obl1827" localSheetId="34">#REF!</definedName>
    <definedName name="___________obl1827" localSheetId="35">#REF!</definedName>
    <definedName name="___________obl1827" localSheetId="37">#REF!</definedName>
    <definedName name="___________obl1827" localSheetId="38">#REF!</definedName>
    <definedName name="___________obl1827">#REF!</definedName>
    <definedName name="___________obl1828" localSheetId="34">#REF!</definedName>
    <definedName name="___________obl1828" localSheetId="35">#REF!</definedName>
    <definedName name="___________obl1828" localSheetId="37">#REF!</definedName>
    <definedName name="___________obl1828" localSheetId="38">#REF!</definedName>
    <definedName name="___________obl1828">#REF!</definedName>
    <definedName name="___________obl1829" localSheetId="34">#REF!</definedName>
    <definedName name="___________obl1829" localSheetId="35">#REF!</definedName>
    <definedName name="___________obl1829" localSheetId="37">#REF!</definedName>
    <definedName name="___________obl1829" localSheetId="38">#REF!</definedName>
    <definedName name="___________obl1829">#REF!</definedName>
    <definedName name="___________obl183" localSheetId="34">#REF!</definedName>
    <definedName name="___________obl183" localSheetId="35">#REF!</definedName>
    <definedName name="___________obl183" localSheetId="37">#REF!</definedName>
    <definedName name="___________obl183" localSheetId="38">#REF!</definedName>
    <definedName name="___________obl183">#REF!</definedName>
    <definedName name="___________obl1831" localSheetId="34">#REF!</definedName>
    <definedName name="___________obl1831" localSheetId="35">#REF!</definedName>
    <definedName name="___________obl1831" localSheetId="37">#REF!</definedName>
    <definedName name="___________obl1831" localSheetId="38">#REF!</definedName>
    <definedName name="___________obl1831">#REF!</definedName>
    <definedName name="___________obl1832" localSheetId="34">#REF!</definedName>
    <definedName name="___________obl1832" localSheetId="35">#REF!</definedName>
    <definedName name="___________obl1832" localSheetId="37">#REF!</definedName>
    <definedName name="___________obl1832" localSheetId="38">#REF!</definedName>
    <definedName name="___________obl1832">#REF!</definedName>
    <definedName name="___________obl184" localSheetId="34">#REF!</definedName>
    <definedName name="___________obl184" localSheetId="35">#REF!</definedName>
    <definedName name="___________obl184" localSheetId="37">#REF!</definedName>
    <definedName name="___________obl184" localSheetId="38">#REF!</definedName>
    <definedName name="___________obl184">#REF!</definedName>
    <definedName name="___________obl185" localSheetId="34">#REF!</definedName>
    <definedName name="___________obl185" localSheetId="35">#REF!</definedName>
    <definedName name="___________obl185" localSheetId="37">#REF!</definedName>
    <definedName name="___________obl185" localSheetId="38">#REF!</definedName>
    <definedName name="___________obl185">#REF!</definedName>
    <definedName name="___________obl186" localSheetId="34">#REF!</definedName>
    <definedName name="___________obl186" localSheetId="35">#REF!</definedName>
    <definedName name="___________obl186" localSheetId="37">#REF!</definedName>
    <definedName name="___________obl186" localSheetId="38">#REF!</definedName>
    <definedName name="___________obl186">#REF!</definedName>
    <definedName name="___________obl187" localSheetId="34">#REF!</definedName>
    <definedName name="___________obl187" localSheetId="35">#REF!</definedName>
    <definedName name="___________obl187" localSheetId="37">#REF!</definedName>
    <definedName name="___________obl187" localSheetId="38">#REF!</definedName>
    <definedName name="___________obl187">#REF!</definedName>
    <definedName name="__________obl11" localSheetId="34">#REF!</definedName>
    <definedName name="__________obl11" localSheetId="35">#REF!</definedName>
    <definedName name="__________obl11">#REF!</definedName>
    <definedName name="__________obl12" localSheetId="34">#REF!</definedName>
    <definedName name="__________obl12" localSheetId="35">#REF!</definedName>
    <definedName name="__________obl12">#REF!</definedName>
    <definedName name="__________obl13" localSheetId="34">#REF!</definedName>
    <definedName name="__________obl13" localSheetId="35">#REF!</definedName>
    <definedName name="__________obl13">#REF!</definedName>
    <definedName name="__________obl14" localSheetId="34">#REF!</definedName>
    <definedName name="__________obl14" localSheetId="35">#REF!</definedName>
    <definedName name="__________obl14">#REF!</definedName>
    <definedName name="__________obl15" localSheetId="34">#REF!</definedName>
    <definedName name="__________obl15" localSheetId="35">#REF!</definedName>
    <definedName name="__________obl15">#REF!</definedName>
    <definedName name="__________obl16" localSheetId="34">#REF!</definedName>
    <definedName name="__________obl16" localSheetId="35">#REF!</definedName>
    <definedName name="__________obl16">#REF!</definedName>
    <definedName name="__________obl17" localSheetId="34">#REF!</definedName>
    <definedName name="__________obl17" localSheetId="35">#REF!</definedName>
    <definedName name="__________obl17">#REF!</definedName>
    <definedName name="__________obl1710" localSheetId="34">#REF!</definedName>
    <definedName name="__________obl1710" localSheetId="35">#REF!</definedName>
    <definedName name="__________obl1710">#REF!</definedName>
    <definedName name="__________obl1711" localSheetId="34">#REF!</definedName>
    <definedName name="__________obl1711" localSheetId="35">#REF!</definedName>
    <definedName name="__________obl1711">#REF!</definedName>
    <definedName name="__________obl1712" localSheetId="34">#REF!</definedName>
    <definedName name="__________obl1712" localSheetId="35">#REF!</definedName>
    <definedName name="__________obl1712">#REF!</definedName>
    <definedName name="__________obl1713" localSheetId="34">#REF!</definedName>
    <definedName name="__________obl1713" localSheetId="35">#REF!</definedName>
    <definedName name="__________obl1713">#REF!</definedName>
    <definedName name="__________obl1714" localSheetId="34">#REF!</definedName>
    <definedName name="__________obl1714" localSheetId="35">#REF!</definedName>
    <definedName name="__________obl1714">#REF!</definedName>
    <definedName name="__________obl1715" localSheetId="34">#REF!</definedName>
    <definedName name="__________obl1715" localSheetId="35">#REF!</definedName>
    <definedName name="__________obl1715">#REF!</definedName>
    <definedName name="__________obl1716" localSheetId="34">#REF!</definedName>
    <definedName name="__________obl1716" localSheetId="35">#REF!</definedName>
    <definedName name="__________obl1716">#REF!</definedName>
    <definedName name="__________obl1717" localSheetId="34">#REF!</definedName>
    <definedName name="__________obl1717" localSheetId="35">#REF!</definedName>
    <definedName name="__________obl1717">#REF!</definedName>
    <definedName name="__________obl1718" localSheetId="34">#REF!</definedName>
    <definedName name="__________obl1718" localSheetId="35">#REF!</definedName>
    <definedName name="__________obl1718">#REF!</definedName>
    <definedName name="__________obl1719" localSheetId="34">#REF!</definedName>
    <definedName name="__________obl1719" localSheetId="35">#REF!</definedName>
    <definedName name="__________obl1719">#REF!</definedName>
    <definedName name="__________obl173" localSheetId="34">#REF!</definedName>
    <definedName name="__________obl173" localSheetId="35">#REF!</definedName>
    <definedName name="__________obl173">#REF!</definedName>
    <definedName name="__________obl174" localSheetId="34">#REF!</definedName>
    <definedName name="__________obl174" localSheetId="35">#REF!</definedName>
    <definedName name="__________obl174">#REF!</definedName>
    <definedName name="__________obl175" localSheetId="34">#REF!</definedName>
    <definedName name="__________obl175" localSheetId="35">#REF!</definedName>
    <definedName name="__________obl175">#REF!</definedName>
    <definedName name="__________obl176" localSheetId="34">#REF!</definedName>
    <definedName name="__________obl176" localSheetId="35">#REF!</definedName>
    <definedName name="__________obl176">#REF!</definedName>
    <definedName name="__________obl177" localSheetId="34">#REF!</definedName>
    <definedName name="__________obl177" localSheetId="35">#REF!</definedName>
    <definedName name="__________obl177">#REF!</definedName>
    <definedName name="__________obl178" localSheetId="34">#REF!</definedName>
    <definedName name="__________obl178" localSheetId="35">#REF!</definedName>
    <definedName name="__________obl178">#REF!</definedName>
    <definedName name="__________obl179" localSheetId="34">#REF!</definedName>
    <definedName name="__________obl179" localSheetId="35">#REF!</definedName>
    <definedName name="__________obl179">#REF!</definedName>
    <definedName name="__________obl18" localSheetId="34">#REF!</definedName>
    <definedName name="__________obl18" localSheetId="35">#REF!</definedName>
    <definedName name="__________obl18">#REF!</definedName>
    <definedName name="__________obl181" localSheetId="34">#REF!</definedName>
    <definedName name="__________obl181" localSheetId="35">#REF!</definedName>
    <definedName name="__________obl181">#REF!</definedName>
    <definedName name="__________obl1816" localSheetId="34">#REF!</definedName>
    <definedName name="__________obl1816" localSheetId="35">#REF!</definedName>
    <definedName name="__________obl1816">#REF!</definedName>
    <definedName name="__________obl1820" localSheetId="34">#REF!</definedName>
    <definedName name="__________obl1820" localSheetId="35">#REF!</definedName>
    <definedName name="__________obl1820">#REF!</definedName>
    <definedName name="__________obl1821" localSheetId="34">#REF!</definedName>
    <definedName name="__________obl1821" localSheetId="35">#REF!</definedName>
    <definedName name="__________obl1821">#REF!</definedName>
    <definedName name="__________obl1822" localSheetId="34">#REF!</definedName>
    <definedName name="__________obl1822" localSheetId="35">#REF!</definedName>
    <definedName name="__________obl1822">#REF!</definedName>
    <definedName name="__________obl1823" localSheetId="34">#REF!</definedName>
    <definedName name="__________obl1823" localSheetId="35">#REF!</definedName>
    <definedName name="__________obl1823">#REF!</definedName>
    <definedName name="__________obl1824" localSheetId="34">#REF!</definedName>
    <definedName name="__________obl1824" localSheetId="35">#REF!</definedName>
    <definedName name="__________obl1824">#REF!</definedName>
    <definedName name="__________obl1825" localSheetId="34">#REF!</definedName>
    <definedName name="__________obl1825" localSheetId="35">#REF!</definedName>
    <definedName name="__________obl1825">#REF!</definedName>
    <definedName name="__________obl1826" localSheetId="34">#REF!</definedName>
    <definedName name="__________obl1826" localSheetId="35">#REF!</definedName>
    <definedName name="__________obl1826">#REF!</definedName>
    <definedName name="__________obl1827" localSheetId="34">#REF!</definedName>
    <definedName name="__________obl1827" localSheetId="35">#REF!</definedName>
    <definedName name="__________obl1827">#REF!</definedName>
    <definedName name="__________obl1828" localSheetId="34">#REF!</definedName>
    <definedName name="__________obl1828" localSheetId="35">#REF!</definedName>
    <definedName name="__________obl1828">#REF!</definedName>
    <definedName name="__________obl1829" localSheetId="34">#REF!</definedName>
    <definedName name="__________obl1829" localSheetId="35">#REF!</definedName>
    <definedName name="__________obl1829">#REF!</definedName>
    <definedName name="__________obl183" localSheetId="34">#REF!</definedName>
    <definedName name="__________obl183" localSheetId="35">#REF!</definedName>
    <definedName name="__________obl183">#REF!</definedName>
    <definedName name="__________obl1831" localSheetId="34">#REF!</definedName>
    <definedName name="__________obl1831" localSheetId="35">#REF!</definedName>
    <definedName name="__________obl1831">#REF!</definedName>
    <definedName name="__________obl1832" localSheetId="34">#REF!</definedName>
    <definedName name="__________obl1832" localSheetId="35">#REF!</definedName>
    <definedName name="__________obl1832">#REF!</definedName>
    <definedName name="__________obl184" localSheetId="34">#REF!</definedName>
    <definedName name="__________obl184" localSheetId="35">#REF!</definedName>
    <definedName name="__________obl184">#REF!</definedName>
    <definedName name="__________obl185" localSheetId="34">#REF!</definedName>
    <definedName name="__________obl185" localSheetId="35">#REF!</definedName>
    <definedName name="__________obl185">#REF!</definedName>
    <definedName name="__________obl186" localSheetId="34">#REF!</definedName>
    <definedName name="__________obl186" localSheetId="35">#REF!</definedName>
    <definedName name="__________obl186">#REF!</definedName>
    <definedName name="__________obl187" localSheetId="34">#REF!</definedName>
    <definedName name="__________obl187" localSheetId="35">#REF!</definedName>
    <definedName name="__________obl187">#REF!</definedName>
    <definedName name="_________obl11" localSheetId="35">#REF!</definedName>
    <definedName name="_________obl11">#REF!</definedName>
    <definedName name="_________obl12" localSheetId="35">#REF!</definedName>
    <definedName name="_________obl12">#REF!</definedName>
    <definedName name="_________obl13" localSheetId="35">#REF!</definedName>
    <definedName name="_________obl13">#REF!</definedName>
    <definedName name="_________obl14" localSheetId="35">#REF!</definedName>
    <definedName name="_________obl14">#REF!</definedName>
    <definedName name="_________obl15" localSheetId="35">#REF!</definedName>
    <definedName name="_________obl15">#REF!</definedName>
    <definedName name="_________obl16" localSheetId="35">#REF!</definedName>
    <definedName name="_________obl16">#REF!</definedName>
    <definedName name="_________obl17" localSheetId="35">#REF!</definedName>
    <definedName name="_________obl17">#REF!</definedName>
    <definedName name="_________obl1710" localSheetId="35">#REF!</definedName>
    <definedName name="_________obl1710">#REF!</definedName>
    <definedName name="_________obl1711" localSheetId="35">#REF!</definedName>
    <definedName name="_________obl1711">#REF!</definedName>
    <definedName name="_________obl1712" localSheetId="35">#REF!</definedName>
    <definedName name="_________obl1712">#REF!</definedName>
    <definedName name="_________obl1713" localSheetId="35">#REF!</definedName>
    <definedName name="_________obl1713">#REF!</definedName>
    <definedName name="_________obl1714" localSheetId="35">#REF!</definedName>
    <definedName name="_________obl1714">#REF!</definedName>
    <definedName name="_________obl1715" localSheetId="35">#REF!</definedName>
    <definedName name="_________obl1715">#REF!</definedName>
    <definedName name="_________obl1716" localSheetId="35">#REF!</definedName>
    <definedName name="_________obl1716">#REF!</definedName>
    <definedName name="_________obl1717" localSheetId="35">#REF!</definedName>
    <definedName name="_________obl1717">#REF!</definedName>
    <definedName name="_________obl1718" localSheetId="35">#REF!</definedName>
    <definedName name="_________obl1718">#REF!</definedName>
    <definedName name="_________obl1719" localSheetId="35">#REF!</definedName>
    <definedName name="_________obl1719">#REF!</definedName>
    <definedName name="_________obl173" localSheetId="35">#REF!</definedName>
    <definedName name="_________obl173">#REF!</definedName>
    <definedName name="_________obl174" localSheetId="35">#REF!</definedName>
    <definedName name="_________obl174">#REF!</definedName>
    <definedName name="_________obl175" localSheetId="35">#REF!</definedName>
    <definedName name="_________obl175">#REF!</definedName>
    <definedName name="_________obl176" localSheetId="35">#REF!</definedName>
    <definedName name="_________obl176">#REF!</definedName>
    <definedName name="_________obl177" localSheetId="35">#REF!</definedName>
    <definedName name="_________obl177">#REF!</definedName>
    <definedName name="_________obl178" localSheetId="35">#REF!</definedName>
    <definedName name="_________obl178">#REF!</definedName>
    <definedName name="_________obl179" localSheetId="35">#REF!</definedName>
    <definedName name="_________obl179">#REF!</definedName>
    <definedName name="_________obl18" localSheetId="35">#REF!</definedName>
    <definedName name="_________obl18">#REF!</definedName>
    <definedName name="_________obl181" localSheetId="35">#REF!</definedName>
    <definedName name="_________obl181">#REF!</definedName>
    <definedName name="_________obl1816" localSheetId="35">#REF!</definedName>
    <definedName name="_________obl1816">#REF!</definedName>
    <definedName name="_________obl1820" localSheetId="35">#REF!</definedName>
    <definedName name="_________obl1820">#REF!</definedName>
    <definedName name="_________obl1821" localSheetId="35">#REF!</definedName>
    <definedName name="_________obl1821">#REF!</definedName>
    <definedName name="_________obl1822" localSheetId="35">#REF!</definedName>
    <definedName name="_________obl1822">#REF!</definedName>
    <definedName name="_________obl1823" localSheetId="35">#REF!</definedName>
    <definedName name="_________obl1823">#REF!</definedName>
    <definedName name="_________obl1824" localSheetId="35">#REF!</definedName>
    <definedName name="_________obl1824">#REF!</definedName>
    <definedName name="_________obl1825" localSheetId="35">#REF!</definedName>
    <definedName name="_________obl1825">#REF!</definedName>
    <definedName name="_________obl1826" localSheetId="35">#REF!</definedName>
    <definedName name="_________obl1826">#REF!</definedName>
    <definedName name="_________obl1827" localSheetId="35">#REF!</definedName>
    <definedName name="_________obl1827">#REF!</definedName>
    <definedName name="_________obl1828" localSheetId="35">#REF!</definedName>
    <definedName name="_________obl1828">#REF!</definedName>
    <definedName name="_________obl1829" localSheetId="35">#REF!</definedName>
    <definedName name="_________obl1829">#REF!</definedName>
    <definedName name="_________obl183" localSheetId="35">#REF!</definedName>
    <definedName name="_________obl183">#REF!</definedName>
    <definedName name="_________obl1831" localSheetId="35">#REF!</definedName>
    <definedName name="_________obl1831">#REF!</definedName>
    <definedName name="_________obl1832" localSheetId="35">#REF!</definedName>
    <definedName name="_________obl1832">#REF!</definedName>
    <definedName name="_________obl184" localSheetId="35">#REF!</definedName>
    <definedName name="_________obl184">#REF!</definedName>
    <definedName name="_________obl185" localSheetId="35">#REF!</definedName>
    <definedName name="_________obl185">#REF!</definedName>
    <definedName name="_________obl186" localSheetId="35">#REF!</definedName>
    <definedName name="_________obl186">#REF!</definedName>
    <definedName name="_________obl187" localSheetId="35">#REF!</definedName>
    <definedName name="_________obl187">#REF!</definedName>
    <definedName name="________obl11" localSheetId="34">#REF!</definedName>
    <definedName name="________obl11" localSheetId="33">#REF!</definedName>
    <definedName name="________obl11" localSheetId="35">#REF!</definedName>
    <definedName name="________obl11">#REF!</definedName>
    <definedName name="________obl12" localSheetId="34">#REF!</definedName>
    <definedName name="________obl12" localSheetId="33">#REF!</definedName>
    <definedName name="________obl12" localSheetId="35">#REF!</definedName>
    <definedName name="________obl12">#REF!</definedName>
    <definedName name="________obl13" localSheetId="34">#REF!</definedName>
    <definedName name="________obl13" localSheetId="33">#REF!</definedName>
    <definedName name="________obl13" localSheetId="35">#REF!</definedName>
    <definedName name="________obl13">#REF!</definedName>
    <definedName name="________obl14" localSheetId="34">#REF!</definedName>
    <definedName name="________obl14" localSheetId="33">#REF!</definedName>
    <definedName name="________obl14" localSheetId="35">#REF!</definedName>
    <definedName name="________obl14">#REF!</definedName>
    <definedName name="________obl15" localSheetId="34">#REF!</definedName>
    <definedName name="________obl15" localSheetId="33">#REF!</definedName>
    <definedName name="________obl15" localSheetId="35">#REF!</definedName>
    <definedName name="________obl15">#REF!</definedName>
    <definedName name="________obl16" localSheetId="34">#REF!</definedName>
    <definedName name="________obl16" localSheetId="33">#REF!</definedName>
    <definedName name="________obl16" localSheetId="35">#REF!</definedName>
    <definedName name="________obl16">#REF!</definedName>
    <definedName name="________obl17" localSheetId="34">#REF!</definedName>
    <definedName name="________obl17" localSheetId="33">#REF!</definedName>
    <definedName name="________obl17" localSheetId="35">#REF!</definedName>
    <definedName name="________obl17">#REF!</definedName>
    <definedName name="________obl1710" localSheetId="34">#REF!</definedName>
    <definedName name="________obl1710" localSheetId="33">#REF!</definedName>
    <definedName name="________obl1710" localSheetId="35">#REF!</definedName>
    <definedName name="________obl1710">#REF!</definedName>
    <definedName name="________obl1711" localSheetId="34">#REF!</definedName>
    <definedName name="________obl1711" localSheetId="33">#REF!</definedName>
    <definedName name="________obl1711" localSheetId="35">#REF!</definedName>
    <definedName name="________obl1711">#REF!</definedName>
    <definedName name="________obl1712" localSheetId="34">#REF!</definedName>
    <definedName name="________obl1712" localSheetId="33">#REF!</definedName>
    <definedName name="________obl1712" localSheetId="35">#REF!</definedName>
    <definedName name="________obl1712">#REF!</definedName>
    <definedName name="________obl1713" localSheetId="34">#REF!</definedName>
    <definedName name="________obl1713" localSheetId="33">#REF!</definedName>
    <definedName name="________obl1713" localSheetId="35">#REF!</definedName>
    <definedName name="________obl1713">#REF!</definedName>
    <definedName name="________obl1714" localSheetId="34">#REF!</definedName>
    <definedName name="________obl1714" localSheetId="33">#REF!</definedName>
    <definedName name="________obl1714" localSheetId="35">#REF!</definedName>
    <definedName name="________obl1714">#REF!</definedName>
    <definedName name="________obl1715" localSheetId="34">#REF!</definedName>
    <definedName name="________obl1715" localSheetId="33">#REF!</definedName>
    <definedName name="________obl1715" localSheetId="35">#REF!</definedName>
    <definedName name="________obl1715">#REF!</definedName>
    <definedName name="________obl1716" localSheetId="34">#REF!</definedName>
    <definedName name="________obl1716" localSheetId="33">#REF!</definedName>
    <definedName name="________obl1716" localSheetId="35">#REF!</definedName>
    <definedName name="________obl1716">#REF!</definedName>
    <definedName name="________obl1717" localSheetId="34">#REF!</definedName>
    <definedName name="________obl1717" localSheetId="33">#REF!</definedName>
    <definedName name="________obl1717" localSheetId="35">#REF!</definedName>
    <definedName name="________obl1717">#REF!</definedName>
    <definedName name="________obl1718" localSheetId="34">#REF!</definedName>
    <definedName name="________obl1718" localSheetId="33">#REF!</definedName>
    <definedName name="________obl1718" localSheetId="35">#REF!</definedName>
    <definedName name="________obl1718">#REF!</definedName>
    <definedName name="________obl1719" localSheetId="34">#REF!</definedName>
    <definedName name="________obl1719" localSheetId="33">#REF!</definedName>
    <definedName name="________obl1719" localSheetId="35">#REF!</definedName>
    <definedName name="________obl1719">#REF!</definedName>
    <definedName name="________obl173" localSheetId="34">#REF!</definedName>
    <definedName name="________obl173" localSheetId="33">#REF!</definedName>
    <definedName name="________obl173" localSheetId="35">#REF!</definedName>
    <definedName name="________obl173">#REF!</definedName>
    <definedName name="________obl174" localSheetId="34">#REF!</definedName>
    <definedName name="________obl174" localSheetId="33">#REF!</definedName>
    <definedName name="________obl174" localSheetId="35">#REF!</definedName>
    <definedName name="________obl174">#REF!</definedName>
    <definedName name="________obl175" localSheetId="34">#REF!</definedName>
    <definedName name="________obl175" localSheetId="33">#REF!</definedName>
    <definedName name="________obl175" localSheetId="35">#REF!</definedName>
    <definedName name="________obl175">#REF!</definedName>
    <definedName name="________obl176" localSheetId="34">#REF!</definedName>
    <definedName name="________obl176" localSheetId="33">#REF!</definedName>
    <definedName name="________obl176" localSheetId="35">#REF!</definedName>
    <definedName name="________obl176">#REF!</definedName>
    <definedName name="________obl177" localSheetId="34">#REF!</definedName>
    <definedName name="________obl177" localSheetId="33">#REF!</definedName>
    <definedName name="________obl177" localSheetId="35">#REF!</definedName>
    <definedName name="________obl177">#REF!</definedName>
    <definedName name="________obl178" localSheetId="34">#REF!</definedName>
    <definedName name="________obl178" localSheetId="33">#REF!</definedName>
    <definedName name="________obl178" localSheetId="35">#REF!</definedName>
    <definedName name="________obl178">#REF!</definedName>
    <definedName name="________obl179" localSheetId="34">#REF!</definedName>
    <definedName name="________obl179" localSheetId="33">#REF!</definedName>
    <definedName name="________obl179" localSheetId="35">#REF!</definedName>
    <definedName name="________obl179">#REF!</definedName>
    <definedName name="________obl18" localSheetId="34">#REF!</definedName>
    <definedName name="________obl18" localSheetId="33">#REF!</definedName>
    <definedName name="________obl18" localSheetId="35">#REF!</definedName>
    <definedName name="________obl18">#REF!</definedName>
    <definedName name="________obl181" localSheetId="34">#REF!</definedName>
    <definedName name="________obl181" localSheetId="33">#REF!</definedName>
    <definedName name="________obl181" localSheetId="35">#REF!</definedName>
    <definedName name="________obl181">#REF!</definedName>
    <definedName name="________obl1816" localSheetId="34">#REF!</definedName>
    <definedName name="________obl1816" localSheetId="33">#REF!</definedName>
    <definedName name="________obl1816" localSheetId="35">#REF!</definedName>
    <definedName name="________obl1816">#REF!</definedName>
    <definedName name="________obl1820" localSheetId="34">#REF!</definedName>
    <definedName name="________obl1820" localSheetId="33">#REF!</definedName>
    <definedName name="________obl1820" localSheetId="35">#REF!</definedName>
    <definedName name="________obl1820">#REF!</definedName>
    <definedName name="________obl1821" localSheetId="34">#REF!</definedName>
    <definedName name="________obl1821" localSheetId="33">#REF!</definedName>
    <definedName name="________obl1821" localSheetId="35">#REF!</definedName>
    <definedName name="________obl1821">#REF!</definedName>
    <definedName name="________obl1822" localSheetId="34">#REF!</definedName>
    <definedName name="________obl1822" localSheetId="33">#REF!</definedName>
    <definedName name="________obl1822" localSheetId="35">#REF!</definedName>
    <definedName name="________obl1822">#REF!</definedName>
    <definedName name="________obl1823" localSheetId="34">#REF!</definedName>
    <definedName name="________obl1823" localSheetId="33">#REF!</definedName>
    <definedName name="________obl1823" localSheetId="35">#REF!</definedName>
    <definedName name="________obl1823">#REF!</definedName>
    <definedName name="________obl1824" localSheetId="34">#REF!</definedName>
    <definedName name="________obl1824" localSheetId="33">#REF!</definedName>
    <definedName name="________obl1824" localSheetId="35">#REF!</definedName>
    <definedName name="________obl1824">#REF!</definedName>
    <definedName name="________obl1825" localSheetId="34">#REF!</definedName>
    <definedName name="________obl1825" localSheetId="33">#REF!</definedName>
    <definedName name="________obl1825" localSheetId="35">#REF!</definedName>
    <definedName name="________obl1825">#REF!</definedName>
    <definedName name="________obl1826" localSheetId="34">#REF!</definedName>
    <definedName name="________obl1826" localSheetId="33">#REF!</definedName>
    <definedName name="________obl1826" localSheetId="35">#REF!</definedName>
    <definedName name="________obl1826">#REF!</definedName>
    <definedName name="________obl1827" localSheetId="34">#REF!</definedName>
    <definedName name="________obl1827" localSheetId="33">#REF!</definedName>
    <definedName name="________obl1827" localSheetId="35">#REF!</definedName>
    <definedName name="________obl1827">#REF!</definedName>
    <definedName name="________obl1828" localSheetId="34">#REF!</definedName>
    <definedName name="________obl1828" localSheetId="33">#REF!</definedName>
    <definedName name="________obl1828" localSheetId="35">#REF!</definedName>
    <definedName name="________obl1828">#REF!</definedName>
    <definedName name="________obl1829" localSheetId="34">#REF!</definedName>
    <definedName name="________obl1829" localSheetId="33">#REF!</definedName>
    <definedName name="________obl1829" localSheetId="35">#REF!</definedName>
    <definedName name="________obl1829">#REF!</definedName>
    <definedName name="________obl183" localSheetId="34">#REF!</definedName>
    <definedName name="________obl183" localSheetId="33">#REF!</definedName>
    <definedName name="________obl183" localSheetId="35">#REF!</definedName>
    <definedName name="________obl183">#REF!</definedName>
    <definedName name="________obl1831" localSheetId="34">#REF!</definedName>
    <definedName name="________obl1831" localSheetId="33">#REF!</definedName>
    <definedName name="________obl1831" localSheetId="35">#REF!</definedName>
    <definedName name="________obl1831">#REF!</definedName>
    <definedName name="________obl1832" localSheetId="34">#REF!</definedName>
    <definedName name="________obl1832" localSheetId="33">#REF!</definedName>
    <definedName name="________obl1832" localSheetId="35">#REF!</definedName>
    <definedName name="________obl1832">#REF!</definedName>
    <definedName name="________obl184" localSheetId="34">#REF!</definedName>
    <definedName name="________obl184" localSheetId="33">#REF!</definedName>
    <definedName name="________obl184" localSheetId="35">#REF!</definedName>
    <definedName name="________obl184">#REF!</definedName>
    <definedName name="________obl185" localSheetId="34">#REF!</definedName>
    <definedName name="________obl185" localSheetId="33">#REF!</definedName>
    <definedName name="________obl185" localSheetId="35">#REF!</definedName>
    <definedName name="________obl185">#REF!</definedName>
    <definedName name="________obl186" localSheetId="34">#REF!</definedName>
    <definedName name="________obl186" localSheetId="33">#REF!</definedName>
    <definedName name="________obl186" localSheetId="35">#REF!</definedName>
    <definedName name="________obl186">#REF!</definedName>
    <definedName name="________obl187" localSheetId="34">#REF!</definedName>
    <definedName name="________obl187" localSheetId="33">#REF!</definedName>
    <definedName name="________obl187" localSheetId="35">#REF!</definedName>
    <definedName name="________obl187">#REF!</definedName>
    <definedName name="_______obl11" localSheetId="16">#REF!</definedName>
    <definedName name="_______obl11" localSheetId="17">#REF!</definedName>
    <definedName name="_______obl11" localSheetId="35">#REF!</definedName>
    <definedName name="_______obl11">#REF!</definedName>
    <definedName name="_______obl12" localSheetId="16">#REF!</definedName>
    <definedName name="_______obl12" localSheetId="17">#REF!</definedName>
    <definedName name="_______obl12" localSheetId="35">#REF!</definedName>
    <definedName name="_______obl12">#REF!</definedName>
    <definedName name="_______obl13" localSheetId="16">#REF!</definedName>
    <definedName name="_______obl13" localSheetId="17">#REF!</definedName>
    <definedName name="_______obl13" localSheetId="35">#REF!</definedName>
    <definedName name="_______obl13">#REF!</definedName>
    <definedName name="_______obl14" localSheetId="16">#REF!</definedName>
    <definedName name="_______obl14" localSheetId="17">#REF!</definedName>
    <definedName name="_______obl14" localSheetId="35">#REF!</definedName>
    <definedName name="_______obl14">#REF!</definedName>
    <definedName name="_______obl15" localSheetId="16">#REF!</definedName>
    <definedName name="_______obl15" localSheetId="17">#REF!</definedName>
    <definedName name="_______obl15" localSheetId="35">#REF!</definedName>
    <definedName name="_______obl15">#REF!</definedName>
    <definedName name="_______obl16" localSheetId="16">#REF!</definedName>
    <definedName name="_______obl16" localSheetId="17">#REF!</definedName>
    <definedName name="_______obl16" localSheetId="35">#REF!</definedName>
    <definedName name="_______obl16">#REF!</definedName>
    <definedName name="_______obl17" localSheetId="16">#REF!</definedName>
    <definedName name="_______obl17" localSheetId="17">#REF!</definedName>
    <definedName name="_______obl17" localSheetId="35">#REF!</definedName>
    <definedName name="_______obl17">#REF!</definedName>
    <definedName name="_______obl1710" localSheetId="16">#REF!</definedName>
    <definedName name="_______obl1710" localSheetId="17">#REF!</definedName>
    <definedName name="_______obl1710" localSheetId="35">#REF!</definedName>
    <definedName name="_______obl1710">#REF!</definedName>
    <definedName name="_______obl1711" localSheetId="16">#REF!</definedName>
    <definedName name="_______obl1711" localSheetId="17">#REF!</definedName>
    <definedName name="_______obl1711" localSheetId="35">#REF!</definedName>
    <definedName name="_______obl1711">#REF!</definedName>
    <definedName name="_______obl1712" localSheetId="16">#REF!</definedName>
    <definedName name="_______obl1712" localSheetId="17">#REF!</definedName>
    <definedName name="_______obl1712" localSheetId="35">#REF!</definedName>
    <definedName name="_______obl1712">#REF!</definedName>
    <definedName name="_______obl1713" localSheetId="16">#REF!</definedName>
    <definedName name="_______obl1713" localSheetId="17">#REF!</definedName>
    <definedName name="_______obl1713" localSheetId="35">#REF!</definedName>
    <definedName name="_______obl1713">#REF!</definedName>
    <definedName name="_______obl1714" localSheetId="16">#REF!</definedName>
    <definedName name="_______obl1714" localSheetId="17">#REF!</definedName>
    <definedName name="_______obl1714" localSheetId="35">#REF!</definedName>
    <definedName name="_______obl1714">#REF!</definedName>
    <definedName name="_______obl1715" localSheetId="16">#REF!</definedName>
    <definedName name="_______obl1715" localSheetId="17">#REF!</definedName>
    <definedName name="_______obl1715" localSheetId="35">#REF!</definedName>
    <definedName name="_______obl1715">#REF!</definedName>
    <definedName name="_______obl1716" localSheetId="16">#REF!</definedName>
    <definedName name="_______obl1716" localSheetId="17">#REF!</definedName>
    <definedName name="_______obl1716" localSheetId="35">#REF!</definedName>
    <definedName name="_______obl1716">#REF!</definedName>
    <definedName name="_______obl1717" localSheetId="16">#REF!</definedName>
    <definedName name="_______obl1717" localSheetId="17">#REF!</definedName>
    <definedName name="_______obl1717" localSheetId="35">#REF!</definedName>
    <definedName name="_______obl1717">#REF!</definedName>
    <definedName name="_______obl1718" localSheetId="16">#REF!</definedName>
    <definedName name="_______obl1718" localSheetId="17">#REF!</definedName>
    <definedName name="_______obl1718" localSheetId="35">#REF!</definedName>
    <definedName name="_______obl1718">#REF!</definedName>
    <definedName name="_______obl1719" localSheetId="16">#REF!</definedName>
    <definedName name="_______obl1719" localSheetId="17">#REF!</definedName>
    <definedName name="_______obl1719" localSheetId="35">#REF!</definedName>
    <definedName name="_______obl1719">#REF!</definedName>
    <definedName name="_______obl173" localSheetId="16">#REF!</definedName>
    <definedName name="_______obl173" localSheetId="17">#REF!</definedName>
    <definedName name="_______obl173" localSheetId="35">#REF!</definedName>
    <definedName name="_______obl173">#REF!</definedName>
    <definedName name="_______obl174" localSheetId="16">#REF!</definedName>
    <definedName name="_______obl174" localSheetId="17">#REF!</definedName>
    <definedName name="_______obl174" localSheetId="35">#REF!</definedName>
    <definedName name="_______obl174">#REF!</definedName>
    <definedName name="_______obl175" localSheetId="16">#REF!</definedName>
    <definedName name="_______obl175" localSheetId="17">#REF!</definedName>
    <definedName name="_______obl175" localSheetId="35">#REF!</definedName>
    <definedName name="_______obl175">#REF!</definedName>
    <definedName name="_______obl176" localSheetId="16">#REF!</definedName>
    <definedName name="_______obl176" localSheetId="17">#REF!</definedName>
    <definedName name="_______obl176" localSheetId="35">#REF!</definedName>
    <definedName name="_______obl176">#REF!</definedName>
    <definedName name="_______obl177" localSheetId="16">#REF!</definedName>
    <definedName name="_______obl177" localSheetId="17">#REF!</definedName>
    <definedName name="_______obl177" localSheetId="35">#REF!</definedName>
    <definedName name="_______obl177">#REF!</definedName>
    <definedName name="_______obl178" localSheetId="16">#REF!</definedName>
    <definedName name="_______obl178" localSheetId="17">#REF!</definedName>
    <definedName name="_______obl178" localSheetId="35">#REF!</definedName>
    <definedName name="_______obl178">#REF!</definedName>
    <definedName name="_______obl179" localSheetId="16">#REF!</definedName>
    <definedName name="_______obl179" localSheetId="17">#REF!</definedName>
    <definedName name="_______obl179" localSheetId="35">#REF!</definedName>
    <definedName name="_______obl179">#REF!</definedName>
    <definedName name="_______obl18" localSheetId="16">#REF!</definedName>
    <definedName name="_______obl18" localSheetId="17">#REF!</definedName>
    <definedName name="_______obl18" localSheetId="35">#REF!</definedName>
    <definedName name="_______obl18">#REF!</definedName>
    <definedName name="_______obl181" localSheetId="16">#REF!</definedName>
    <definedName name="_______obl181" localSheetId="17">#REF!</definedName>
    <definedName name="_______obl181" localSheetId="35">#REF!</definedName>
    <definedName name="_______obl181">#REF!</definedName>
    <definedName name="_______obl1816" localSheetId="16">#REF!</definedName>
    <definedName name="_______obl1816" localSheetId="17">#REF!</definedName>
    <definedName name="_______obl1816" localSheetId="35">#REF!</definedName>
    <definedName name="_______obl1816">#REF!</definedName>
    <definedName name="_______obl1820" localSheetId="16">#REF!</definedName>
    <definedName name="_______obl1820" localSheetId="17">#REF!</definedName>
    <definedName name="_______obl1820" localSheetId="35">#REF!</definedName>
    <definedName name="_______obl1820">#REF!</definedName>
    <definedName name="_______obl1821" localSheetId="16">#REF!</definedName>
    <definedName name="_______obl1821" localSheetId="17">#REF!</definedName>
    <definedName name="_______obl1821" localSheetId="35">#REF!</definedName>
    <definedName name="_______obl1821">#REF!</definedName>
    <definedName name="_______obl1822" localSheetId="16">#REF!</definedName>
    <definedName name="_______obl1822" localSheetId="17">#REF!</definedName>
    <definedName name="_______obl1822" localSheetId="35">#REF!</definedName>
    <definedName name="_______obl1822">#REF!</definedName>
    <definedName name="_______obl1823" localSheetId="16">#REF!</definedName>
    <definedName name="_______obl1823" localSheetId="17">#REF!</definedName>
    <definedName name="_______obl1823" localSheetId="35">#REF!</definedName>
    <definedName name="_______obl1823">#REF!</definedName>
    <definedName name="_______obl1824" localSheetId="16">#REF!</definedName>
    <definedName name="_______obl1824" localSheetId="17">#REF!</definedName>
    <definedName name="_______obl1824" localSheetId="35">#REF!</definedName>
    <definedName name="_______obl1824">#REF!</definedName>
    <definedName name="_______obl1825" localSheetId="16">#REF!</definedName>
    <definedName name="_______obl1825" localSheetId="17">#REF!</definedName>
    <definedName name="_______obl1825" localSheetId="35">#REF!</definedName>
    <definedName name="_______obl1825">#REF!</definedName>
    <definedName name="_______obl1826" localSheetId="16">#REF!</definedName>
    <definedName name="_______obl1826" localSheetId="17">#REF!</definedName>
    <definedName name="_______obl1826" localSheetId="35">#REF!</definedName>
    <definedName name="_______obl1826">#REF!</definedName>
    <definedName name="_______obl1827" localSheetId="16">#REF!</definedName>
    <definedName name="_______obl1827" localSheetId="17">#REF!</definedName>
    <definedName name="_______obl1827" localSheetId="35">#REF!</definedName>
    <definedName name="_______obl1827">#REF!</definedName>
    <definedName name="_______obl1828" localSheetId="16">#REF!</definedName>
    <definedName name="_______obl1828" localSheetId="17">#REF!</definedName>
    <definedName name="_______obl1828" localSheetId="35">#REF!</definedName>
    <definedName name="_______obl1828">#REF!</definedName>
    <definedName name="_______obl1829" localSheetId="16">#REF!</definedName>
    <definedName name="_______obl1829" localSheetId="17">#REF!</definedName>
    <definedName name="_______obl1829" localSheetId="35">#REF!</definedName>
    <definedName name="_______obl1829">#REF!</definedName>
    <definedName name="_______obl183" localSheetId="16">#REF!</definedName>
    <definedName name="_______obl183" localSheetId="17">#REF!</definedName>
    <definedName name="_______obl183" localSheetId="35">#REF!</definedName>
    <definedName name="_______obl183">#REF!</definedName>
    <definedName name="_______obl1831" localSheetId="16">#REF!</definedName>
    <definedName name="_______obl1831" localSheetId="17">#REF!</definedName>
    <definedName name="_______obl1831" localSheetId="35">#REF!</definedName>
    <definedName name="_______obl1831">#REF!</definedName>
    <definedName name="_______obl1832" localSheetId="16">#REF!</definedName>
    <definedName name="_______obl1832" localSheetId="17">#REF!</definedName>
    <definedName name="_______obl1832" localSheetId="35">#REF!</definedName>
    <definedName name="_______obl1832">#REF!</definedName>
    <definedName name="_______obl184" localSheetId="16">#REF!</definedName>
    <definedName name="_______obl184" localSheetId="17">#REF!</definedName>
    <definedName name="_______obl184" localSheetId="35">#REF!</definedName>
    <definedName name="_______obl184">#REF!</definedName>
    <definedName name="_______obl185" localSheetId="16">#REF!</definedName>
    <definedName name="_______obl185" localSheetId="17">#REF!</definedName>
    <definedName name="_______obl185" localSheetId="35">#REF!</definedName>
    <definedName name="_______obl185">#REF!</definedName>
    <definedName name="_______obl186" localSheetId="16">#REF!</definedName>
    <definedName name="_______obl186" localSheetId="17">#REF!</definedName>
    <definedName name="_______obl186" localSheetId="35">#REF!</definedName>
    <definedName name="_______obl186">#REF!</definedName>
    <definedName name="_______obl187" localSheetId="16">#REF!</definedName>
    <definedName name="_______obl187" localSheetId="17">#REF!</definedName>
    <definedName name="_______obl187" localSheetId="35">#REF!</definedName>
    <definedName name="_______obl187">#REF!</definedName>
    <definedName name="______obl11" localSheetId="6">#REF!</definedName>
    <definedName name="______obl11" localSheetId="34">#REF!</definedName>
    <definedName name="______obl11" localSheetId="32">#REF!</definedName>
    <definedName name="______obl11" localSheetId="35">#REF!</definedName>
    <definedName name="______obl11" localSheetId="37">#REF!</definedName>
    <definedName name="______obl11" localSheetId="38">#REF!</definedName>
    <definedName name="______obl11" localSheetId="36">#REF!</definedName>
    <definedName name="______obl11">#REF!</definedName>
    <definedName name="______obl12" localSheetId="6">#REF!</definedName>
    <definedName name="______obl12" localSheetId="34">#REF!</definedName>
    <definedName name="______obl12" localSheetId="32">#REF!</definedName>
    <definedName name="______obl12" localSheetId="35">#REF!</definedName>
    <definedName name="______obl12" localSheetId="37">#REF!</definedName>
    <definedName name="______obl12" localSheetId="38">#REF!</definedName>
    <definedName name="______obl12" localSheetId="36">#REF!</definedName>
    <definedName name="______obl12">#REF!</definedName>
    <definedName name="______obl13" localSheetId="6">#REF!</definedName>
    <definedName name="______obl13" localSheetId="34">#REF!</definedName>
    <definedName name="______obl13" localSheetId="32">#REF!</definedName>
    <definedName name="______obl13" localSheetId="35">#REF!</definedName>
    <definedName name="______obl13" localSheetId="37">#REF!</definedName>
    <definedName name="______obl13" localSheetId="38">#REF!</definedName>
    <definedName name="______obl13" localSheetId="36">#REF!</definedName>
    <definedName name="______obl13">#REF!</definedName>
    <definedName name="______obl14" localSheetId="34">#REF!</definedName>
    <definedName name="______obl14" localSheetId="32">#REF!</definedName>
    <definedName name="______obl14" localSheetId="35">#REF!</definedName>
    <definedName name="______obl14" localSheetId="37">#REF!</definedName>
    <definedName name="______obl14" localSheetId="38">#REF!</definedName>
    <definedName name="______obl14" localSheetId="36">#REF!</definedName>
    <definedName name="______obl14">#REF!</definedName>
    <definedName name="______obl15" localSheetId="34">#REF!</definedName>
    <definedName name="______obl15" localSheetId="32">#REF!</definedName>
    <definedName name="______obl15" localSheetId="35">#REF!</definedName>
    <definedName name="______obl15" localSheetId="37">#REF!</definedName>
    <definedName name="______obl15" localSheetId="38">#REF!</definedName>
    <definedName name="______obl15" localSheetId="36">#REF!</definedName>
    <definedName name="______obl15">#REF!</definedName>
    <definedName name="______obl16" localSheetId="34">#REF!</definedName>
    <definedName name="______obl16" localSheetId="32">#REF!</definedName>
    <definedName name="______obl16" localSheetId="35">#REF!</definedName>
    <definedName name="______obl16" localSheetId="37">#REF!</definedName>
    <definedName name="______obl16" localSheetId="38">#REF!</definedName>
    <definedName name="______obl16" localSheetId="36">#REF!</definedName>
    <definedName name="______obl16">#REF!</definedName>
    <definedName name="______obl17" localSheetId="34">#REF!</definedName>
    <definedName name="______obl17" localSheetId="32">#REF!</definedName>
    <definedName name="______obl17" localSheetId="35">#REF!</definedName>
    <definedName name="______obl17" localSheetId="37">#REF!</definedName>
    <definedName name="______obl17" localSheetId="38">#REF!</definedName>
    <definedName name="______obl17" localSheetId="36">#REF!</definedName>
    <definedName name="______obl17">#REF!</definedName>
    <definedName name="______obl1710" localSheetId="34">#REF!</definedName>
    <definedName name="______obl1710" localSheetId="32">#REF!</definedName>
    <definedName name="______obl1710" localSheetId="35">#REF!</definedName>
    <definedName name="______obl1710" localSheetId="37">#REF!</definedName>
    <definedName name="______obl1710" localSheetId="38">#REF!</definedName>
    <definedName name="______obl1710" localSheetId="36">#REF!</definedName>
    <definedName name="______obl1710">#REF!</definedName>
    <definedName name="______obl1711" localSheetId="34">#REF!</definedName>
    <definedName name="______obl1711" localSheetId="32">#REF!</definedName>
    <definedName name="______obl1711" localSheetId="35">#REF!</definedName>
    <definedName name="______obl1711" localSheetId="37">#REF!</definedName>
    <definedName name="______obl1711" localSheetId="38">#REF!</definedName>
    <definedName name="______obl1711" localSheetId="36">#REF!</definedName>
    <definedName name="______obl1711">#REF!</definedName>
    <definedName name="______obl1712" localSheetId="34">#REF!</definedName>
    <definedName name="______obl1712" localSheetId="32">#REF!</definedName>
    <definedName name="______obl1712" localSheetId="35">#REF!</definedName>
    <definedName name="______obl1712" localSheetId="37">#REF!</definedName>
    <definedName name="______obl1712" localSheetId="38">#REF!</definedName>
    <definedName name="______obl1712" localSheetId="36">#REF!</definedName>
    <definedName name="______obl1712">#REF!</definedName>
    <definedName name="______obl1713" localSheetId="34">#REF!</definedName>
    <definedName name="______obl1713" localSheetId="32">#REF!</definedName>
    <definedName name="______obl1713" localSheetId="35">#REF!</definedName>
    <definedName name="______obl1713" localSheetId="37">#REF!</definedName>
    <definedName name="______obl1713" localSheetId="38">#REF!</definedName>
    <definedName name="______obl1713" localSheetId="36">#REF!</definedName>
    <definedName name="______obl1713">#REF!</definedName>
    <definedName name="______obl1714" localSheetId="34">#REF!</definedName>
    <definedName name="______obl1714" localSheetId="32">#REF!</definedName>
    <definedName name="______obl1714" localSheetId="35">#REF!</definedName>
    <definedName name="______obl1714" localSheetId="37">#REF!</definedName>
    <definedName name="______obl1714" localSheetId="38">#REF!</definedName>
    <definedName name="______obl1714" localSheetId="36">#REF!</definedName>
    <definedName name="______obl1714">#REF!</definedName>
    <definedName name="______obl1715" localSheetId="34">#REF!</definedName>
    <definedName name="______obl1715" localSheetId="32">#REF!</definedName>
    <definedName name="______obl1715" localSheetId="35">#REF!</definedName>
    <definedName name="______obl1715" localSheetId="37">#REF!</definedName>
    <definedName name="______obl1715" localSheetId="38">#REF!</definedName>
    <definedName name="______obl1715" localSheetId="36">#REF!</definedName>
    <definedName name="______obl1715">#REF!</definedName>
    <definedName name="______obl1716" localSheetId="34">#REF!</definedName>
    <definedName name="______obl1716" localSheetId="32">#REF!</definedName>
    <definedName name="______obl1716" localSheetId="35">#REF!</definedName>
    <definedName name="______obl1716" localSheetId="37">#REF!</definedName>
    <definedName name="______obl1716" localSheetId="38">#REF!</definedName>
    <definedName name="______obl1716" localSheetId="36">#REF!</definedName>
    <definedName name="______obl1716">#REF!</definedName>
    <definedName name="______obl1717" localSheetId="34">#REF!</definedName>
    <definedName name="______obl1717" localSheetId="32">#REF!</definedName>
    <definedName name="______obl1717" localSheetId="35">#REF!</definedName>
    <definedName name="______obl1717" localSheetId="37">#REF!</definedName>
    <definedName name="______obl1717" localSheetId="38">#REF!</definedName>
    <definedName name="______obl1717" localSheetId="36">#REF!</definedName>
    <definedName name="______obl1717">#REF!</definedName>
    <definedName name="______obl1718" localSheetId="34">#REF!</definedName>
    <definedName name="______obl1718" localSheetId="32">#REF!</definedName>
    <definedName name="______obl1718" localSheetId="35">#REF!</definedName>
    <definedName name="______obl1718" localSheetId="37">#REF!</definedName>
    <definedName name="______obl1718" localSheetId="38">#REF!</definedName>
    <definedName name="______obl1718" localSheetId="36">#REF!</definedName>
    <definedName name="______obl1718">#REF!</definedName>
    <definedName name="______obl1719" localSheetId="34">#REF!</definedName>
    <definedName name="______obl1719" localSheetId="32">#REF!</definedName>
    <definedName name="______obl1719" localSheetId="35">#REF!</definedName>
    <definedName name="______obl1719" localSheetId="37">#REF!</definedName>
    <definedName name="______obl1719" localSheetId="38">#REF!</definedName>
    <definedName name="______obl1719" localSheetId="36">#REF!</definedName>
    <definedName name="______obl1719">#REF!</definedName>
    <definedName name="______obl173" localSheetId="34">#REF!</definedName>
    <definedName name="______obl173" localSheetId="32">#REF!</definedName>
    <definedName name="______obl173" localSheetId="35">#REF!</definedName>
    <definedName name="______obl173" localSheetId="37">#REF!</definedName>
    <definedName name="______obl173" localSheetId="38">#REF!</definedName>
    <definedName name="______obl173" localSheetId="36">#REF!</definedName>
    <definedName name="______obl173">#REF!</definedName>
    <definedName name="______obl174" localSheetId="34">#REF!</definedName>
    <definedName name="______obl174" localSheetId="32">#REF!</definedName>
    <definedName name="______obl174" localSheetId="35">#REF!</definedName>
    <definedName name="______obl174" localSheetId="37">#REF!</definedName>
    <definedName name="______obl174" localSheetId="38">#REF!</definedName>
    <definedName name="______obl174" localSheetId="36">#REF!</definedName>
    <definedName name="______obl174">#REF!</definedName>
    <definedName name="______obl175" localSheetId="34">#REF!</definedName>
    <definedName name="______obl175" localSheetId="32">#REF!</definedName>
    <definedName name="______obl175" localSheetId="35">#REF!</definedName>
    <definedName name="______obl175" localSheetId="37">#REF!</definedName>
    <definedName name="______obl175" localSheetId="38">#REF!</definedName>
    <definedName name="______obl175" localSheetId="36">#REF!</definedName>
    <definedName name="______obl175">#REF!</definedName>
    <definedName name="______obl176" localSheetId="34">#REF!</definedName>
    <definedName name="______obl176" localSheetId="32">#REF!</definedName>
    <definedName name="______obl176" localSheetId="35">#REF!</definedName>
    <definedName name="______obl176" localSheetId="37">#REF!</definedName>
    <definedName name="______obl176" localSheetId="38">#REF!</definedName>
    <definedName name="______obl176" localSheetId="36">#REF!</definedName>
    <definedName name="______obl176">#REF!</definedName>
    <definedName name="______obl177" localSheetId="34">#REF!</definedName>
    <definedName name="______obl177" localSheetId="32">#REF!</definedName>
    <definedName name="______obl177" localSheetId="35">#REF!</definedName>
    <definedName name="______obl177" localSheetId="37">#REF!</definedName>
    <definedName name="______obl177" localSheetId="38">#REF!</definedName>
    <definedName name="______obl177" localSheetId="36">#REF!</definedName>
    <definedName name="______obl177">#REF!</definedName>
    <definedName name="______obl178" localSheetId="34">#REF!</definedName>
    <definedName name="______obl178" localSheetId="32">#REF!</definedName>
    <definedName name="______obl178" localSheetId="35">#REF!</definedName>
    <definedName name="______obl178" localSheetId="37">#REF!</definedName>
    <definedName name="______obl178" localSheetId="38">#REF!</definedName>
    <definedName name="______obl178" localSheetId="36">#REF!</definedName>
    <definedName name="______obl178">#REF!</definedName>
    <definedName name="______obl179" localSheetId="34">#REF!</definedName>
    <definedName name="______obl179" localSheetId="32">#REF!</definedName>
    <definedName name="______obl179" localSheetId="35">#REF!</definedName>
    <definedName name="______obl179" localSheetId="37">#REF!</definedName>
    <definedName name="______obl179" localSheetId="38">#REF!</definedName>
    <definedName name="______obl179" localSheetId="36">#REF!</definedName>
    <definedName name="______obl179">#REF!</definedName>
    <definedName name="______obl18" localSheetId="34">#REF!</definedName>
    <definedName name="______obl18" localSheetId="32">#REF!</definedName>
    <definedName name="______obl18" localSheetId="35">#REF!</definedName>
    <definedName name="______obl18" localSheetId="37">#REF!</definedName>
    <definedName name="______obl18" localSheetId="38">#REF!</definedName>
    <definedName name="______obl18" localSheetId="36">#REF!</definedName>
    <definedName name="______obl18">#REF!</definedName>
    <definedName name="______obl181" localSheetId="34">#REF!</definedName>
    <definedName name="______obl181" localSheetId="32">#REF!</definedName>
    <definedName name="______obl181" localSheetId="35">#REF!</definedName>
    <definedName name="______obl181" localSheetId="37">#REF!</definedName>
    <definedName name="______obl181" localSheetId="38">#REF!</definedName>
    <definedName name="______obl181" localSheetId="36">#REF!</definedName>
    <definedName name="______obl181">#REF!</definedName>
    <definedName name="______obl1816" localSheetId="34">#REF!</definedName>
    <definedName name="______obl1816" localSheetId="32">#REF!</definedName>
    <definedName name="______obl1816" localSheetId="35">#REF!</definedName>
    <definedName name="______obl1816" localSheetId="37">#REF!</definedName>
    <definedName name="______obl1816" localSheetId="38">#REF!</definedName>
    <definedName name="______obl1816" localSheetId="36">#REF!</definedName>
    <definedName name="______obl1816">#REF!</definedName>
    <definedName name="______obl1820" localSheetId="34">#REF!</definedName>
    <definedName name="______obl1820" localSheetId="32">#REF!</definedName>
    <definedName name="______obl1820" localSheetId="35">#REF!</definedName>
    <definedName name="______obl1820" localSheetId="37">#REF!</definedName>
    <definedName name="______obl1820" localSheetId="38">#REF!</definedName>
    <definedName name="______obl1820" localSheetId="36">#REF!</definedName>
    <definedName name="______obl1820">#REF!</definedName>
    <definedName name="______obl1821" localSheetId="34">#REF!</definedName>
    <definedName name="______obl1821" localSheetId="32">#REF!</definedName>
    <definedName name="______obl1821" localSheetId="35">#REF!</definedName>
    <definedName name="______obl1821" localSheetId="37">#REF!</definedName>
    <definedName name="______obl1821" localSheetId="38">#REF!</definedName>
    <definedName name="______obl1821" localSheetId="36">#REF!</definedName>
    <definedName name="______obl1821">#REF!</definedName>
    <definedName name="______obl1822" localSheetId="34">#REF!</definedName>
    <definedName name="______obl1822" localSheetId="32">#REF!</definedName>
    <definedName name="______obl1822" localSheetId="35">#REF!</definedName>
    <definedName name="______obl1822" localSheetId="37">#REF!</definedName>
    <definedName name="______obl1822" localSheetId="38">#REF!</definedName>
    <definedName name="______obl1822" localSheetId="36">#REF!</definedName>
    <definedName name="______obl1822">#REF!</definedName>
    <definedName name="______obl1823" localSheetId="34">#REF!</definedName>
    <definedName name="______obl1823" localSheetId="32">#REF!</definedName>
    <definedName name="______obl1823" localSheetId="35">#REF!</definedName>
    <definedName name="______obl1823" localSheetId="37">#REF!</definedName>
    <definedName name="______obl1823" localSheetId="38">#REF!</definedName>
    <definedName name="______obl1823" localSheetId="36">#REF!</definedName>
    <definedName name="______obl1823">#REF!</definedName>
    <definedName name="______obl1824" localSheetId="34">#REF!</definedName>
    <definedName name="______obl1824" localSheetId="32">#REF!</definedName>
    <definedName name="______obl1824" localSheetId="35">#REF!</definedName>
    <definedName name="______obl1824" localSheetId="37">#REF!</definedName>
    <definedName name="______obl1824" localSheetId="38">#REF!</definedName>
    <definedName name="______obl1824" localSheetId="36">#REF!</definedName>
    <definedName name="______obl1824">#REF!</definedName>
    <definedName name="______obl1825" localSheetId="34">#REF!</definedName>
    <definedName name="______obl1825" localSheetId="32">#REF!</definedName>
    <definedName name="______obl1825" localSheetId="35">#REF!</definedName>
    <definedName name="______obl1825" localSheetId="37">#REF!</definedName>
    <definedName name="______obl1825" localSheetId="38">#REF!</definedName>
    <definedName name="______obl1825" localSheetId="36">#REF!</definedName>
    <definedName name="______obl1825">#REF!</definedName>
    <definedName name="______obl1826" localSheetId="34">#REF!</definedName>
    <definedName name="______obl1826" localSheetId="32">#REF!</definedName>
    <definedName name="______obl1826" localSheetId="35">#REF!</definedName>
    <definedName name="______obl1826" localSheetId="37">#REF!</definedName>
    <definedName name="______obl1826" localSheetId="38">#REF!</definedName>
    <definedName name="______obl1826" localSheetId="36">#REF!</definedName>
    <definedName name="______obl1826">#REF!</definedName>
    <definedName name="______obl1827" localSheetId="34">#REF!</definedName>
    <definedName name="______obl1827" localSheetId="32">#REF!</definedName>
    <definedName name="______obl1827" localSheetId="35">#REF!</definedName>
    <definedName name="______obl1827" localSheetId="37">#REF!</definedName>
    <definedName name="______obl1827" localSheetId="38">#REF!</definedName>
    <definedName name="______obl1827" localSheetId="36">#REF!</definedName>
    <definedName name="______obl1827">#REF!</definedName>
    <definedName name="______obl1828" localSheetId="34">#REF!</definedName>
    <definedName name="______obl1828" localSheetId="32">#REF!</definedName>
    <definedName name="______obl1828" localSheetId="35">#REF!</definedName>
    <definedName name="______obl1828" localSheetId="37">#REF!</definedName>
    <definedName name="______obl1828" localSheetId="38">#REF!</definedName>
    <definedName name="______obl1828" localSheetId="36">#REF!</definedName>
    <definedName name="______obl1828">#REF!</definedName>
    <definedName name="______obl1829" localSheetId="34">#REF!</definedName>
    <definedName name="______obl1829" localSheetId="32">#REF!</definedName>
    <definedName name="______obl1829" localSheetId="35">#REF!</definedName>
    <definedName name="______obl1829" localSheetId="37">#REF!</definedName>
    <definedName name="______obl1829" localSheetId="38">#REF!</definedName>
    <definedName name="______obl1829" localSheetId="36">#REF!</definedName>
    <definedName name="______obl1829">#REF!</definedName>
    <definedName name="______obl183" localSheetId="34">#REF!</definedName>
    <definedName name="______obl183" localSheetId="32">#REF!</definedName>
    <definedName name="______obl183" localSheetId="35">#REF!</definedName>
    <definedName name="______obl183" localSheetId="37">#REF!</definedName>
    <definedName name="______obl183" localSheetId="38">#REF!</definedName>
    <definedName name="______obl183" localSheetId="36">#REF!</definedName>
    <definedName name="______obl183">#REF!</definedName>
    <definedName name="______obl1831" localSheetId="34">#REF!</definedName>
    <definedName name="______obl1831" localSheetId="32">#REF!</definedName>
    <definedName name="______obl1831" localSheetId="35">#REF!</definedName>
    <definedName name="______obl1831" localSheetId="37">#REF!</definedName>
    <definedName name="______obl1831" localSheetId="38">#REF!</definedName>
    <definedName name="______obl1831" localSheetId="36">#REF!</definedName>
    <definedName name="______obl1831">#REF!</definedName>
    <definedName name="______obl1832" localSheetId="34">#REF!</definedName>
    <definedName name="______obl1832" localSheetId="32">#REF!</definedName>
    <definedName name="______obl1832" localSheetId="35">#REF!</definedName>
    <definedName name="______obl1832" localSheetId="37">#REF!</definedName>
    <definedName name="______obl1832" localSheetId="38">#REF!</definedName>
    <definedName name="______obl1832" localSheetId="36">#REF!</definedName>
    <definedName name="______obl1832">#REF!</definedName>
    <definedName name="______obl184" localSheetId="34">#REF!</definedName>
    <definedName name="______obl184" localSheetId="32">#REF!</definedName>
    <definedName name="______obl184" localSheetId="35">#REF!</definedName>
    <definedName name="______obl184" localSheetId="37">#REF!</definedName>
    <definedName name="______obl184" localSheetId="38">#REF!</definedName>
    <definedName name="______obl184" localSheetId="36">#REF!</definedName>
    <definedName name="______obl184">#REF!</definedName>
    <definedName name="______obl185" localSheetId="34">#REF!</definedName>
    <definedName name="______obl185" localSheetId="32">#REF!</definedName>
    <definedName name="______obl185" localSheetId="35">#REF!</definedName>
    <definedName name="______obl185" localSheetId="37">#REF!</definedName>
    <definedName name="______obl185" localSheetId="38">#REF!</definedName>
    <definedName name="______obl185" localSheetId="36">#REF!</definedName>
    <definedName name="______obl185">#REF!</definedName>
    <definedName name="______obl186" localSheetId="34">#REF!</definedName>
    <definedName name="______obl186" localSheetId="32">#REF!</definedName>
    <definedName name="______obl186" localSheetId="35">#REF!</definedName>
    <definedName name="______obl186" localSheetId="37">#REF!</definedName>
    <definedName name="______obl186" localSheetId="38">#REF!</definedName>
    <definedName name="______obl186" localSheetId="36">#REF!</definedName>
    <definedName name="______obl186">#REF!</definedName>
    <definedName name="______obl187" localSheetId="34">#REF!</definedName>
    <definedName name="______obl187" localSheetId="32">#REF!</definedName>
    <definedName name="______obl187" localSheetId="35">#REF!</definedName>
    <definedName name="______obl187" localSheetId="37">#REF!</definedName>
    <definedName name="______obl187" localSheetId="38">#REF!</definedName>
    <definedName name="______obl187" localSheetId="36">#REF!</definedName>
    <definedName name="______obl187">#REF!</definedName>
    <definedName name="_____obl11" localSheetId="35">#REF!</definedName>
    <definedName name="_____obl11">#REF!</definedName>
    <definedName name="_____obl12" localSheetId="35">#REF!</definedName>
    <definedName name="_____obl12">#REF!</definedName>
    <definedName name="_____obl13" localSheetId="35">#REF!</definedName>
    <definedName name="_____obl13">#REF!</definedName>
    <definedName name="_____obl14" localSheetId="35">#REF!</definedName>
    <definedName name="_____obl14">#REF!</definedName>
    <definedName name="_____obl15" localSheetId="35">#REF!</definedName>
    <definedName name="_____obl15">#REF!</definedName>
    <definedName name="_____obl16" localSheetId="35">#REF!</definedName>
    <definedName name="_____obl16">#REF!</definedName>
    <definedName name="_____obl17" localSheetId="35">#REF!</definedName>
    <definedName name="_____obl17">#REF!</definedName>
    <definedName name="_____obl1710" localSheetId="35">#REF!</definedName>
    <definedName name="_____obl1710">#REF!</definedName>
    <definedName name="_____obl1711" localSheetId="35">#REF!</definedName>
    <definedName name="_____obl1711">#REF!</definedName>
    <definedName name="_____obl1712" localSheetId="35">#REF!</definedName>
    <definedName name="_____obl1712">#REF!</definedName>
    <definedName name="_____obl1713" localSheetId="35">#REF!</definedName>
    <definedName name="_____obl1713">#REF!</definedName>
    <definedName name="_____obl1714" localSheetId="35">#REF!</definedName>
    <definedName name="_____obl1714">#REF!</definedName>
    <definedName name="_____obl1715" localSheetId="35">#REF!</definedName>
    <definedName name="_____obl1715">#REF!</definedName>
    <definedName name="_____obl1716" localSheetId="35">#REF!</definedName>
    <definedName name="_____obl1716">#REF!</definedName>
    <definedName name="_____obl1717" localSheetId="35">#REF!</definedName>
    <definedName name="_____obl1717">#REF!</definedName>
    <definedName name="_____obl1718" localSheetId="35">#REF!</definedName>
    <definedName name="_____obl1718">#REF!</definedName>
    <definedName name="_____obl1719" localSheetId="35">#REF!</definedName>
    <definedName name="_____obl1719">#REF!</definedName>
    <definedName name="_____obl173" localSheetId="35">#REF!</definedName>
    <definedName name="_____obl173">#REF!</definedName>
    <definedName name="_____obl174" localSheetId="35">#REF!</definedName>
    <definedName name="_____obl174">#REF!</definedName>
    <definedName name="_____obl175" localSheetId="35">#REF!</definedName>
    <definedName name="_____obl175">#REF!</definedName>
    <definedName name="_____obl176" localSheetId="35">#REF!</definedName>
    <definedName name="_____obl176">#REF!</definedName>
    <definedName name="_____obl177" localSheetId="35">#REF!</definedName>
    <definedName name="_____obl177">#REF!</definedName>
    <definedName name="_____obl178" localSheetId="35">#REF!</definedName>
    <definedName name="_____obl178">#REF!</definedName>
    <definedName name="_____obl179" localSheetId="35">#REF!</definedName>
    <definedName name="_____obl179">#REF!</definedName>
    <definedName name="_____obl18" localSheetId="35">#REF!</definedName>
    <definedName name="_____obl18">#REF!</definedName>
    <definedName name="_____obl181" localSheetId="35">#REF!</definedName>
    <definedName name="_____obl181">#REF!</definedName>
    <definedName name="_____obl1816" localSheetId="35">#REF!</definedName>
    <definedName name="_____obl1816">#REF!</definedName>
    <definedName name="_____obl1820" localSheetId="35">#REF!</definedName>
    <definedName name="_____obl1820">#REF!</definedName>
    <definedName name="_____obl1821" localSheetId="35">#REF!</definedName>
    <definedName name="_____obl1821">#REF!</definedName>
    <definedName name="_____obl1822" localSheetId="35">#REF!</definedName>
    <definedName name="_____obl1822">#REF!</definedName>
    <definedName name="_____obl1823" localSheetId="35">#REF!</definedName>
    <definedName name="_____obl1823">#REF!</definedName>
    <definedName name="_____obl1824" localSheetId="35">#REF!</definedName>
    <definedName name="_____obl1824">#REF!</definedName>
    <definedName name="_____obl1825" localSheetId="35">#REF!</definedName>
    <definedName name="_____obl1825">#REF!</definedName>
    <definedName name="_____obl1826" localSheetId="35">#REF!</definedName>
    <definedName name="_____obl1826">#REF!</definedName>
    <definedName name="_____obl1827" localSheetId="35">#REF!</definedName>
    <definedName name="_____obl1827">#REF!</definedName>
    <definedName name="_____obl1828" localSheetId="35">#REF!</definedName>
    <definedName name="_____obl1828">#REF!</definedName>
    <definedName name="_____obl1829" localSheetId="35">#REF!</definedName>
    <definedName name="_____obl1829">#REF!</definedName>
    <definedName name="_____obl183" localSheetId="35">#REF!</definedName>
    <definedName name="_____obl183">#REF!</definedName>
    <definedName name="_____obl1831" localSheetId="35">#REF!</definedName>
    <definedName name="_____obl1831">#REF!</definedName>
    <definedName name="_____obl1832" localSheetId="35">#REF!</definedName>
    <definedName name="_____obl1832">#REF!</definedName>
    <definedName name="_____obl184" localSheetId="35">#REF!</definedName>
    <definedName name="_____obl184">#REF!</definedName>
    <definedName name="_____obl185" localSheetId="35">#REF!</definedName>
    <definedName name="_____obl185">#REF!</definedName>
    <definedName name="_____obl186" localSheetId="35">#REF!</definedName>
    <definedName name="_____obl186">#REF!</definedName>
    <definedName name="_____obl187" localSheetId="35">#REF!</definedName>
    <definedName name="_____obl187">#REF!</definedName>
    <definedName name="____obl11" localSheetId="12">#REF!</definedName>
    <definedName name="____obl11" localSheetId="34">#REF!</definedName>
    <definedName name="____obl11" localSheetId="32">#REF!</definedName>
    <definedName name="____obl11" localSheetId="35">#REF!</definedName>
    <definedName name="____obl11" localSheetId="23">#REF!</definedName>
    <definedName name="____obl11" localSheetId="28">#REF!</definedName>
    <definedName name="____obl11" localSheetId="37">#REF!</definedName>
    <definedName name="____obl11" localSheetId="38">#REF!</definedName>
    <definedName name="____obl11" localSheetId="36">#REF!</definedName>
    <definedName name="____obl11">#REF!</definedName>
    <definedName name="____obl12" localSheetId="12">#REF!</definedName>
    <definedName name="____obl12" localSheetId="34">#REF!</definedName>
    <definedName name="____obl12" localSheetId="32">#REF!</definedName>
    <definedName name="____obl12" localSheetId="35">#REF!</definedName>
    <definedName name="____obl12" localSheetId="23">#REF!</definedName>
    <definedName name="____obl12" localSheetId="28">#REF!</definedName>
    <definedName name="____obl12" localSheetId="37">#REF!</definedName>
    <definedName name="____obl12" localSheetId="38">#REF!</definedName>
    <definedName name="____obl12" localSheetId="36">#REF!</definedName>
    <definedName name="____obl12">#REF!</definedName>
    <definedName name="____obl13" localSheetId="12">#REF!</definedName>
    <definedName name="____obl13" localSheetId="34">#REF!</definedName>
    <definedName name="____obl13" localSheetId="32">#REF!</definedName>
    <definedName name="____obl13" localSheetId="35">#REF!</definedName>
    <definedName name="____obl13" localSheetId="23">#REF!</definedName>
    <definedName name="____obl13" localSheetId="28">#REF!</definedName>
    <definedName name="____obl13" localSheetId="37">#REF!</definedName>
    <definedName name="____obl13" localSheetId="38">#REF!</definedName>
    <definedName name="____obl13" localSheetId="36">#REF!</definedName>
    <definedName name="____obl13">#REF!</definedName>
    <definedName name="____obl14" localSheetId="34">#REF!</definedName>
    <definedName name="____obl14" localSheetId="32">#REF!</definedName>
    <definedName name="____obl14" localSheetId="35">#REF!</definedName>
    <definedName name="____obl14" localSheetId="37">#REF!</definedName>
    <definedName name="____obl14" localSheetId="38">#REF!</definedName>
    <definedName name="____obl14" localSheetId="36">#REF!</definedName>
    <definedName name="____obl14">#REF!</definedName>
    <definedName name="____obl15" localSheetId="34">#REF!</definedName>
    <definedName name="____obl15" localSheetId="32">#REF!</definedName>
    <definedName name="____obl15" localSheetId="35">#REF!</definedName>
    <definedName name="____obl15" localSheetId="37">#REF!</definedName>
    <definedName name="____obl15" localSheetId="38">#REF!</definedName>
    <definedName name="____obl15" localSheetId="36">#REF!</definedName>
    <definedName name="____obl15">#REF!</definedName>
    <definedName name="____obl16" localSheetId="34">#REF!</definedName>
    <definedName name="____obl16" localSheetId="32">#REF!</definedName>
    <definedName name="____obl16" localSheetId="35">#REF!</definedName>
    <definedName name="____obl16" localSheetId="37">#REF!</definedName>
    <definedName name="____obl16" localSheetId="38">#REF!</definedName>
    <definedName name="____obl16" localSheetId="36">#REF!</definedName>
    <definedName name="____obl16">#REF!</definedName>
    <definedName name="____obl17" localSheetId="34">#REF!</definedName>
    <definedName name="____obl17" localSheetId="32">#REF!</definedName>
    <definedName name="____obl17" localSheetId="35">#REF!</definedName>
    <definedName name="____obl17" localSheetId="37">#REF!</definedName>
    <definedName name="____obl17" localSheetId="38">#REF!</definedName>
    <definedName name="____obl17" localSheetId="36">#REF!</definedName>
    <definedName name="____obl17">#REF!</definedName>
    <definedName name="____obl1710" localSheetId="34">#REF!</definedName>
    <definedName name="____obl1710" localSheetId="32">#REF!</definedName>
    <definedName name="____obl1710" localSheetId="35">#REF!</definedName>
    <definedName name="____obl1710" localSheetId="37">#REF!</definedName>
    <definedName name="____obl1710" localSheetId="38">#REF!</definedName>
    <definedName name="____obl1710" localSheetId="36">#REF!</definedName>
    <definedName name="____obl1710">#REF!</definedName>
    <definedName name="____obl1711" localSheetId="34">#REF!</definedName>
    <definedName name="____obl1711" localSheetId="32">#REF!</definedName>
    <definedName name="____obl1711" localSheetId="35">#REF!</definedName>
    <definedName name="____obl1711" localSheetId="37">#REF!</definedName>
    <definedName name="____obl1711" localSheetId="38">#REF!</definedName>
    <definedName name="____obl1711" localSheetId="36">#REF!</definedName>
    <definedName name="____obl1711">#REF!</definedName>
    <definedName name="____obl1712" localSheetId="34">#REF!</definedName>
    <definedName name="____obl1712" localSheetId="32">#REF!</definedName>
    <definedName name="____obl1712" localSheetId="35">#REF!</definedName>
    <definedName name="____obl1712" localSheetId="37">#REF!</definedName>
    <definedName name="____obl1712" localSheetId="38">#REF!</definedName>
    <definedName name="____obl1712" localSheetId="36">#REF!</definedName>
    <definedName name="____obl1712">#REF!</definedName>
    <definedName name="____obl1713" localSheetId="34">#REF!</definedName>
    <definedName name="____obl1713" localSheetId="32">#REF!</definedName>
    <definedName name="____obl1713" localSheetId="35">#REF!</definedName>
    <definedName name="____obl1713" localSheetId="37">#REF!</definedName>
    <definedName name="____obl1713" localSheetId="38">#REF!</definedName>
    <definedName name="____obl1713" localSheetId="36">#REF!</definedName>
    <definedName name="____obl1713">#REF!</definedName>
    <definedName name="____obl1714" localSheetId="34">#REF!</definedName>
    <definedName name="____obl1714" localSheetId="32">#REF!</definedName>
    <definedName name="____obl1714" localSheetId="35">#REF!</definedName>
    <definedName name="____obl1714" localSheetId="37">#REF!</definedName>
    <definedName name="____obl1714" localSheetId="38">#REF!</definedName>
    <definedName name="____obl1714" localSheetId="36">#REF!</definedName>
    <definedName name="____obl1714">#REF!</definedName>
    <definedName name="____obl1715" localSheetId="34">#REF!</definedName>
    <definedName name="____obl1715" localSheetId="32">#REF!</definedName>
    <definedName name="____obl1715" localSheetId="35">#REF!</definedName>
    <definedName name="____obl1715" localSheetId="37">#REF!</definedName>
    <definedName name="____obl1715" localSheetId="38">#REF!</definedName>
    <definedName name="____obl1715" localSheetId="36">#REF!</definedName>
    <definedName name="____obl1715">#REF!</definedName>
    <definedName name="____obl1716" localSheetId="34">#REF!</definedName>
    <definedName name="____obl1716" localSheetId="32">#REF!</definedName>
    <definedName name="____obl1716" localSheetId="35">#REF!</definedName>
    <definedName name="____obl1716" localSheetId="37">#REF!</definedName>
    <definedName name="____obl1716" localSheetId="38">#REF!</definedName>
    <definedName name="____obl1716" localSheetId="36">#REF!</definedName>
    <definedName name="____obl1716">#REF!</definedName>
    <definedName name="____obl1717" localSheetId="34">#REF!</definedName>
    <definedName name="____obl1717" localSheetId="32">#REF!</definedName>
    <definedName name="____obl1717" localSheetId="35">#REF!</definedName>
    <definedName name="____obl1717" localSheetId="37">#REF!</definedName>
    <definedName name="____obl1717" localSheetId="38">#REF!</definedName>
    <definedName name="____obl1717" localSheetId="36">#REF!</definedName>
    <definedName name="____obl1717">#REF!</definedName>
    <definedName name="____obl1718" localSheetId="34">#REF!</definedName>
    <definedName name="____obl1718" localSheetId="32">#REF!</definedName>
    <definedName name="____obl1718" localSheetId="35">#REF!</definedName>
    <definedName name="____obl1718" localSheetId="37">#REF!</definedName>
    <definedName name="____obl1718" localSheetId="38">#REF!</definedName>
    <definedName name="____obl1718" localSheetId="36">#REF!</definedName>
    <definedName name="____obl1718">#REF!</definedName>
    <definedName name="____obl1719" localSheetId="34">#REF!</definedName>
    <definedName name="____obl1719" localSheetId="32">#REF!</definedName>
    <definedName name="____obl1719" localSheetId="35">#REF!</definedName>
    <definedName name="____obl1719" localSheetId="37">#REF!</definedName>
    <definedName name="____obl1719" localSheetId="38">#REF!</definedName>
    <definedName name="____obl1719" localSheetId="36">#REF!</definedName>
    <definedName name="____obl1719">#REF!</definedName>
    <definedName name="____obl173" localSheetId="34">#REF!</definedName>
    <definedName name="____obl173" localSheetId="32">#REF!</definedName>
    <definedName name="____obl173" localSheetId="35">#REF!</definedName>
    <definedName name="____obl173" localSheetId="37">#REF!</definedName>
    <definedName name="____obl173" localSheetId="38">#REF!</definedName>
    <definedName name="____obl173" localSheetId="36">#REF!</definedName>
    <definedName name="____obl173">#REF!</definedName>
    <definedName name="____obl174" localSheetId="34">#REF!</definedName>
    <definedName name="____obl174" localSheetId="32">#REF!</definedName>
    <definedName name="____obl174" localSheetId="35">#REF!</definedName>
    <definedName name="____obl174" localSheetId="37">#REF!</definedName>
    <definedName name="____obl174" localSheetId="38">#REF!</definedName>
    <definedName name="____obl174" localSheetId="36">#REF!</definedName>
    <definedName name="____obl174">#REF!</definedName>
    <definedName name="____obl175" localSheetId="34">#REF!</definedName>
    <definedName name="____obl175" localSheetId="32">#REF!</definedName>
    <definedName name="____obl175" localSheetId="35">#REF!</definedName>
    <definedName name="____obl175" localSheetId="37">#REF!</definedName>
    <definedName name="____obl175" localSheetId="38">#REF!</definedName>
    <definedName name="____obl175" localSheetId="36">#REF!</definedName>
    <definedName name="____obl175">#REF!</definedName>
    <definedName name="____obl176" localSheetId="34">#REF!</definedName>
    <definedName name="____obl176" localSheetId="32">#REF!</definedName>
    <definedName name="____obl176" localSheetId="35">#REF!</definedName>
    <definedName name="____obl176" localSheetId="37">#REF!</definedName>
    <definedName name="____obl176" localSheetId="38">#REF!</definedName>
    <definedName name="____obl176" localSheetId="36">#REF!</definedName>
    <definedName name="____obl176">#REF!</definedName>
    <definedName name="____obl177" localSheetId="34">#REF!</definedName>
    <definedName name="____obl177" localSheetId="32">#REF!</definedName>
    <definedName name="____obl177" localSheetId="35">#REF!</definedName>
    <definedName name="____obl177" localSheetId="37">#REF!</definedName>
    <definedName name="____obl177" localSheetId="38">#REF!</definedName>
    <definedName name="____obl177" localSheetId="36">#REF!</definedName>
    <definedName name="____obl177">#REF!</definedName>
    <definedName name="____obl178" localSheetId="34">#REF!</definedName>
    <definedName name="____obl178" localSheetId="32">#REF!</definedName>
    <definedName name="____obl178" localSheetId="35">#REF!</definedName>
    <definedName name="____obl178" localSheetId="37">#REF!</definedName>
    <definedName name="____obl178" localSheetId="38">#REF!</definedName>
    <definedName name="____obl178" localSheetId="36">#REF!</definedName>
    <definedName name="____obl178">#REF!</definedName>
    <definedName name="____obl179" localSheetId="34">#REF!</definedName>
    <definedName name="____obl179" localSheetId="32">#REF!</definedName>
    <definedName name="____obl179" localSheetId="35">#REF!</definedName>
    <definedName name="____obl179" localSheetId="37">#REF!</definedName>
    <definedName name="____obl179" localSheetId="38">#REF!</definedName>
    <definedName name="____obl179" localSheetId="36">#REF!</definedName>
    <definedName name="____obl179">#REF!</definedName>
    <definedName name="____obl18" localSheetId="34">#REF!</definedName>
    <definedName name="____obl18" localSheetId="32">#REF!</definedName>
    <definedName name="____obl18" localSheetId="35">#REF!</definedName>
    <definedName name="____obl18" localSheetId="37">#REF!</definedName>
    <definedName name="____obl18" localSheetId="38">#REF!</definedName>
    <definedName name="____obl18" localSheetId="36">#REF!</definedName>
    <definedName name="____obl18">#REF!</definedName>
    <definedName name="____obl181" localSheetId="34">#REF!</definedName>
    <definedName name="____obl181" localSheetId="32">#REF!</definedName>
    <definedName name="____obl181" localSheetId="35">#REF!</definedName>
    <definedName name="____obl181" localSheetId="37">#REF!</definedName>
    <definedName name="____obl181" localSheetId="38">#REF!</definedName>
    <definedName name="____obl181" localSheetId="36">#REF!</definedName>
    <definedName name="____obl181">#REF!</definedName>
    <definedName name="____obl1816" localSheetId="34">#REF!</definedName>
    <definedName name="____obl1816" localSheetId="32">#REF!</definedName>
    <definedName name="____obl1816" localSheetId="35">#REF!</definedName>
    <definedName name="____obl1816" localSheetId="37">#REF!</definedName>
    <definedName name="____obl1816" localSheetId="38">#REF!</definedName>
    <definedName name="____obl1816" localSheetId="36">#REF!</definedName>
    <definedName name="____obl1816">#REF!</definedName>
    <definedName name="____obl1820" localSheetId="34">#REF!</definedName>
    <definedName name="____obl1820" localSheetId="32">#REF!</definedName>
    <definedName name="____obl1820" localSheetId="35">#REF!</definedName>
    <definedName name="____obl1820" localSheetId="37">#REF!</definedName>
    <definedName name="____obl1820" localSheetId="38">#REF!</definedName>
    <definedName name="____obl1820" localSheetId="36">#REF!</definedName>
    <definedName name="____obl1820">#REF!</definedName>
    <definedName name="____obl1821" localSheetId="34">#REF!</definedName>
    <definedName name="____obl1821" localSheetId="32">#REF!</definedName>
    <definedName name="____obl1821" localSheetId="35">#REF!</definedName>
    <definedName name="____obl1821" localSheetId="37">#REF!</definedName>
    <definedName name="____obl1821" localSheetId="38">#REF!</definedName>
    <definedName name="____obl1821" localSheetId="36">#REF!</definedName>
    <definedName name="____obl1821">#REF!</definedName>
    <definedName name="____obl1822" localSheetId="34">#REF!</definedName>
    <definedName name="____obl1822" localSheetId="32">#REF!</definedName>
    <definedName name="____obl1822" localSheetId="35">#REF!</definedName>
    <definedName name="____obl1822" localSheetId="37">#REF!</definedName>
    <definedName name="____obl1822" localSheetId="38">#REF!</definedName>
    <definedName name="____obl1822" localSheetId="36">#REF!</definedName>
    <definedName name="____obl1822">#REF!</definedName>
    <definedName name="____obl1823" localSheetId="34">#REF!</definedName>
    <definedName name="____obl1823" localSheetId="32">#REF!</definedName>
    <definedName name="____obl1823" localSheetId="35">#REF!</definedName>
    <definedName name="____obl1823" localSheetId="37">#REF!</definedName>
    <definedName name="____obl1823" localSheetId="38">#REF!</definedName>
    <definedName name="____obl1823" localSheetId="36">#REF!</definedName>
    <definedName name="____obl1823">#REF!</definedName>
    <definedName name="____obl1824" localSheetId="34">#REF!</definedName>
    <definedName name="____obl1824" localSheetId="32">#REF!</definedName>
    <definedName name="____obl1824" localSheetId="35">#REF!</definedName>
    <definedName name="____obl1824" localSheetId="37">#REF!</definedName>
    <definedName name="____obl1824" localSheetId="38">#REF!</definedName>
    <definedName name="____obl1824" localSheetId="36">#REF!</definedName>
    <definedName name="____obl1824">#REF!</definedName>
    <definedName name="____obl1825" localSheetId="34">#REF!</definedName>
    <definedName name="____obl1825" localSheetId="32">#REF!</definedName>
    <definedName name="____obl1825" localSheetId="35">#REF!</definedName>
    <definedName name="____obl1825" localSheetId="37">#REF!</definedName>
    <definedName name="____obl1825" localSheetId="38">#REF!</definedName>
    <definedName name="____obl1825" localSheetId="36">#REF!</definedName>
    <definedName name="____obl1825">#REF!</definedName>
    <definedName name="____obl1826" localSheetId="34">#REF!</definedName>
    <definedName name="____obl1826" localSheetId="32">#REF!</definedName>
    <definedName name="____obl1826" localSheetId="35">#REF!</definedName>
    <definedName name="____obl1826" localSheetId="37">#REF!</definedName>
    <definedName name="____obl1826" localSheetId="38">#REF!</definedName>
    <definedName name="____obl1826" localSheetId="36">#REF!</definedName>
    <definedName name="____obl1826">#REF!</definedName>
    <definedName name="____obl1827" localSheetId="34">#REF!</definedName>
    <definedName name="____obl1827" localSheetId="32">#REF!</definedName>
    <definedName name="____obl1827" localSheetId="35">#REF!</definedName>
    <definedName name="____obl1827" localSheetId="37">#REF!</definedName>
    <definedName name="____obl1827" localSheetId="38">#REF!</definedName>
    <definedName name="____obl1827" localSheetId="36">#REF!</definedName>
    <definedName name="____obl1827">#REF!</definedName>
    <definedName name="____obl1828" localSheetId="34">#REF!</definedName>
    <definedName name="____obl1828" localSheetId="32">#REF!</definedName>
    <definedName name="____obl1828" localSheetId="35">#REF!</definedName>
    <definedName name="____obl1828" localSheetId="37">#REF!</definedName>
    <definedName name="____obl1828" localSheetId="38">#REF!</definedName>
    <definedName name="____obl1828" localSheetId="36">#REF!</definedName>
    <definedName name="____obl1828">#REF!</definedName>
    <definedName name="____obl1829" localSheetId="34">#REF!</definedName>
    <definedName name="____obl1829" localSheetId="32">#REF!</definedName>
    <definedName name="____obl1829" localSheetId="35">#REF!</definedName>
    <definedName name="____obl1829" localSheetId="37">#REF!</definedName>
    <definedName name="____obl1829" localSheetId="38">#REF!</definedName>
    <definedName name="____obl1829" localSheetId="36">#REF!</definedName>
    <definedName name="____obl1829">#REF!</definedName>
    <definedName name="____obl183" localSheetId="34">#REF!</definedName>
    <definedName name="____obl183" localSheetId="32">#REF!</definedName>
    <definedName name="____obl183" localSheetId="35">#REF!</definedName>
    <definedName name="____obl183" localSheetId="37">#REF!</definedName>
    <definedName name="____obl183" localSheetId="38">#REF!</definedName>
    <definedName name="____obl183" localSheetId="36">#REF!</definedName>
    <definedName name="____obl183">#REF!</definedName>
    <definedName name="____obl1831" localSheetId="34">#REF!</definedName>
    <definedName name="____obl1831" localSheetId="32">#REF!</definedName>
    <definedName name="____obl1831" localSheetId="35">#REF!</definedName>
    <definedName name="____obl1831" localSheetId="37">#REF!</definedName>
    <definedName name="____obl1831" localSheetId="38">#REF!</definedName>
    <definedName name="____obl1831" localSheetId="36">#REF!</definedName>
    <definedName name="____obl1831">#REF!</definedName>
    <definedName name="____obl1832" localSheetId="34">#REF!</definedName>
    <definedName name="____obl1832" localSheetId="32">#REF!</definedName>
    <definedName name="____obl1832" localSheetId="35">#REF!</definedName>
    <definedName name="____obl1832" localSheetId="37">#REF!</definedName>
    <definedName name="____obl1832" localSheetId="38">#REF!</definedName>
    <definedName name="____obl1832" localSheetId="36">#REF!</definedName>
    <definedName name="____obl1832">#REF!</definedName>
    <definedName name="____obl184" localSheetId="34">#REF!</definedName>
    <definedName name="____obl184" localSheetId="32">#REF!</definedName>
    <definedName name="____obl184" localSheetId="35">#REF!</definedName>
    <definedName name="____obl184" localSheetId="37">#REF!</definedName>
    <definedName name="____obl184" localSheetId="38">#REF!</definedName>
    <definedName name="____obl184" localSheetId="36">#REF!</definedName>
    <definedName name="____obl184">#REF!</definedName>
    <definedName name="____obl185" localSheetId="34">#REF!</definedName>
    <definedName name="____obl185" localSheetId="32">#REF!</definedName>
    <definedName name="____obl185" localSheetId="35">#REF!</definedName>
    <definedName name="____obl185" localSheetId="37">#REF!</definedName>
    <definedName name="____obl185" localSheetId="38">#REF!</definedName>
    <definedName name="____obl185" localSheetId="36">#REF!</definedName>
    <definedName name="____obl185">#REF!</definedName>
    <definedName name="____obl186" localSheetId="34">#REF!</definedName>
    <definedName name="____obl186" localSheetId="32">#REF!</definedName>
    <definedName name="____obl186" localSheetId="35">#REF!</definedName>
    <definedName name="____obl186" localSheetId="37">#REF!</definedName>
    <definedName name="____obl186" localSheetId="38">#REF!</definedName>
    <definedName name="____obl186" localSheetId="36">#REF!</definedName>
    <definedName name="____obl186">#REF!</definedName>
    <definedName name="____obl187" localSheetId="34">#REF!</definedName>
    <definedName name="____obl187" localSheetId="32">#REF!</definedName>
    <definedName name="____obl187" localSheetId="35">#REF!</definedName>
    <definedName name="____obl187" localSheetId="37">#REF!</definedName>
    <definedName name="____obl187" localSheetId="38">#REF!</definedName>
    <definedName name="____obl187" localSheetId="36">#REF!</definedName>
    <definedName name="____obl187">#REF!</definedName>
    <definedName name="___obl11" localSheetId="34">#REF!</definedName>
    <definedName name="___obl11" localSheetId="35">#REF!</definedName>
    <definedName name="___obl11" localSheetId="37">#REF!</definedName>
    <definedName name="___obl11" localSheetId="38">#REF!</definedName>
    <definedName name="___obl11">#REF!</definedName>
    <definedName name="___obl12" localSheetId="34">#REF!</definedName>
    <definedName name="___obl12" localSheetId="35">#REF!</definedName>
    <definedName name="___obl12" localSheetId="37">#REF!</definedName>
    <definedName name="___obl12" localSheetId="38">#REF!</definedName>
    <definedName name="___obl12">#REF!</definedName>
    <definedName name="___obl13" localSheetId="34">#REF!</definedName>
    <definedName name="___obl13" localSheetId="35">#REF!</definedName>
    <definedName name="___obl13" localSheetId="37">#REF!</definedName>
    <definedName name="___obl13" localSheetId="38">#REF!</definedName>
    <definedName name="___obl13">#REF!</definedName>
    <definedName name="___obl14" localSheetId="34">#REF!</definedName>
    <definedName name="___obl14" localSheetId="35">#REF!</definedName>
    <definedName name="___obl14" localSheetId="37">#REF!</definedName>
    <definedName name="___obl14" localSheetId="38">#REF!</definedName>
    <definedName name="___obl14">#REF!</definedName>
    <definedName name="___obl15" localSheetId="34">#REF!</definedName>
    <definedName name="___obl15" localSheetId="35">#REF!</definedName>
    <definedName name="___obl15" localSheetId="37">#REF!</definedName>
    <definedName name="___obl15" localSheetId="38">#REF!</definedName>
    <definedName name="___obl15">#REF!</definedName>
    <definedName name="___obl16" localSheetId="34">#REF!</definedName>
    <definedName name="___obl16" localSheetId="35">#REF!</definedName>
    <definedName name="___obl16" localSheetId="37">#REF!</definedName>
    <definedName name="___obl16" localSheetId="38">#REF!</definedName>
    <definedName name="___obl16">#REF!</definedName>
    <definedName name="___obl17" localSheetId="34">#REF!</definedName>
    <definedName name="___obl17" localSheetId="35">#REF!</definedName>
    <definedName name="___obl17" localSheetId="37">#REF!</definedName>
    <definedName name="___obl17" localSheetId="38">#REF!</definedName>
    <definedName name="___obl17">#REF!</definedName>
    <definedName name="___obl1710" localSheetId="34">#REF!</definedName>
    <definedName name="___obl1710" localSheetId="35">#REF!</definedName>
    <definedName name="___obl1710" localSheetId="37">#REF!</definedName>
    <definedName name="___obl1710" localSheetId="38">#REF!</definedName>
    <definedName name="___obl1710">#REF!</definedName>
    <definedName name="___obl1711" localSheetId="34">#REF!</definedName>
    <definedName name="___obl1711" localSheetId="35">#REF!</definedName>
    <definedName name="___obl1711" localSheetId="37">#REF!</definedName>
    <definedName name="___obl1711" localSheetId="38">#REF!</definedName>
    <definedName name="___obl1711">#REF!</definedName>
    <definedName name="___obl1712" localSheetId="34">#REF!</definedName>
    <definedName name="___obl1712" localSheetId="35">#REF!</definedName>
    <definedName name="___obl1712" localSheetId="37">#REF!</definedName>
    <definedName name="___obl1712" localSheetId="38">#REF!</definedName>
    <definedName name="___obl1712">#REF!</definedName>
    <definedName name="___obl1713" localSheetId="34">#REF!</definedName>
    <definedName name="___obl1713" localSheetId="35">#REF!</definedName>
    <definedName name="___obl1713" localSheetId="37">#REF!</definedName>
    <definedName name="___obl1713" localSheetId="38">#REF!</definedName>
    <definedName name="___obl1713">#REF!</definedName>
    <definedName name="___obl1714" localSheetId="34">#REF!</definedName>
    <definedName name="___obl1714" localSheetId="35">#REF!</definedName>
    <definedName name="___obl1714" localSheetId="37">#REF!</definedName>
    <definedName name="___obl1714" localSheetId="38">#REF!</definedName>
    <definedName name="___obl1714">#REF!</definedName>
    <definedName name="___obl1715" localSheetId="34">#REF!</definedName>
    <definedName name="___obl1715" localSheetId="35">#REF!</definedName>
    <definedName name="___obl1715" localSheetId="37">#REF!</definedName>
    <definedName name="___obl1715" localSheetId="38">#REF!</definedName>
    <definedName name="___obl1715">#REF!</definedName>
    <definedName name="___obl1716" localSheetId="34">#REF!</definedName>
    <definedName name="___obl1716" localSheetId="35">#REF!</definedName>
    <definedName name="___obl1716" localSheetId="37">#REF!</definedName>
    <definedName name="___obl1716" localSheetId="38">#REF!</definedName>
    <definedName name="___obl1716">#REF!</definedName>
    <definedName name="___obl1717" localSheetId="34">#REF!</definedName>
    <definedName name="___obl1717" localSheetId="35">#REF!</definedName>
    <definedName name="___obl1717" localSheetId="37">#REF!</definedName>
    <definedName name="___obl1717" localSheetId="38">#REF!</definedName>
    <definedName name="___obl1717">#REF!</definedName>
    <definedName name="___obl1718" localSheetId="34">#REF!</definedName>
    <definedName name="___obl1718" localSheetId="35">#REF!</definedName>
    <definedName name="___obl1718" localSheetId="37">#REF!</definedName>
    <definedName name="___obl1718" localSheetId="38">#REF!</definedName>
    <definedName name="___obl1718">#REF!</definedName>
    <definedName name="___obl1719" localSheetId="34">#REF!</definedName>
    <definedName name="___obl1719" localSheetId="35">#REF!</definedName>
    <definedName name="___obl1719" localSheetId="37">#REF!</definedName>
    <definedName name="___obl1719" localSheetId="38">#REF!</definedName>
    <definedName name="___obl1719">#REF!</definedName>
    <definedName name="___obl173" localSheetId="34">#REF!</definedName>
    <definedName name="___obl173" localSheetId="35">#REF!</definedName>
    <definedName name="___obl173" localSheetId="37">#REF!</definedName>
    <definedName name="___obl173" localSheetId="38">#REF!</definedName>
    <definedName name="___obl173">#REF!</definedName>
    <definedName name="___obl174" localSheetId="34">#REF!</definedName>
    <definedName name="___obl174" localSheetId="35">#REF!</definedName>
    <definedName name="___obl174" localSheetId="37">#REF!</definedName>
    <definedName name="___obl174" localSheetId="38">#REF!</definedName>
    <definedName name="___obl174">#REF!</definedName>
    <definedName name="___obl175" localSheetId="34">#REF!</definedName>
    <definedName name="___obl175" localSheetId="35">#REF!</definedName>
    <definedName name="___obl175" localSheetId="37">#REF!</definedName>
    <definedName name="___obl175" localSheetId="38">#REF!</definedName>
    <definedName name="___obl175">#REF!</definedName>
    <definedName name="___obl176" localSheetId="34">#REF!</definedName>
    <definedName name="___obl176" localSheetId="35">#REF!</definedName>
    <definedName name="___obl176" localSheetId="37">#REF!</definedName>
    <definedName name="___obl176" localSheetId="38">#REF!</definedName>
    <definedName name="___obl176">#REF!</definedName>
    <definedName name="___obl177" localSheetId="34">#REF!</definedName>
    <definedName name="___obl177" localSheetId="35">#REF!</definedName>
    <definedName name="___obl177" localSheetId="37">#REF!</definedName>
    <definedName name="___obl177" localSheetId="38">#REF!</definedName>
    <definedName name="___obl177">#REF!</definedName>
    <definedName name="___obl178" localSheetId="34">#REF!</definedName>
    <definedName name="___obl178" localSheetId="35">#REF!</definedName>
    <definedName name="___obl178" localSheetId="37">#REF!</definedName>
    <definedName name="___obl178" localSheetId="38">#REF!</definedName>
    <definedName name="___obl178">#REF!</definedName>
    <definedName name="___obl179" localSheetId="34">#REF!</definedName>
    <definedName name="___obl179" localSheetId="35">#REF!</definedName>
    <definedName name="___obl179" localSheetId="37">#REF!</definedName>
    <definedName name="___obl179" localSheetId="38">#REF!</definedName>
    <definedName name="___obl179">#REF!</definedName>
    <definedName name="___obl18" localSheetId="34">#REF!</definedName>
    <definedName name="___obl18" localSheetId="35">#REF!</definedName>
    <definedName name="___obl18" localSheetId="37">#REF!</definedName>
    <definedName name="___obl18" localSheetId="38">#REF!</definedName>
    <definedName name="___obl18">#REF!</definedName>
    <definedName name="___obl181" localSheetId="34">#REF!</definedName>
    <definedName name="___obl181" localSheetId="35">#REF!</definedName>
    <definedName name="___obl181" localSheetId="37">#REF!</definedName>
    <definedName name="___obl181" localSheetId="38">#REF!</definedName>
    <definedName name="___obl181">#REF!</definedName>
    <definedName name="___obl1816" localSheetId="34">#REF!</definedName>
    <definedName name="___obl1816" localSheetId="35">#REF!</definedName>
    <definedName name="___obl1816" localSheetId="37">#REF!</definedName>
    <definedName name="___obl1816" localSheetId="38">#REF!</definedName>
    <definedName name="___obl1816">#REF!</definedName>
    <definedName name="___obl1820" localSheetId="34">#REF!</definedName>
    <definedName name="___obl1820" localSheetId="35">#REF!</definedName>
    <definedName name="___obl1820" localSheetId="37">#REF!</definedName>
    <definedName name="___obl1820" localSheetId="38">#REF!</definedName>
    <definedName name="___obl1820">#REF!</definedName>
    <definedName name="___obl1821" localSheetId="34">#REF!</definedName>
    <definedName name="___obl1821" localSheetId="35">#REF!</definedName>
    <definedName name="___obl1821" localSheetId="37">#REF!</definedName>
    <definedName name="___obl1821" localSheetId="38">#REF!</definedName>
    <definedName name="___obl1821">#REF!</definedName>
    <definedName name="___obl1822" localSheetId="34">#REF!</definedName>
    <definedName name="___obl1822" localSheetId="35">#REF!</definedName>
    <definedName name="___obl1822" localSheetId="37">#REF!</definedName>
    <definedName name="___obl1822" localSheetId="38">#REF!</definedName>
    <definedName name="___obl1822">#REF!</definedName>
    <definedName name="___obl1823" localSheetId="34">#REF!</definedName>
    <definedName name="___obl1823" localSheetId="35">#REF!</definedName>
    <definedName name="___obl1823" localSheetId="37">#REF!</definedName>
    <definedName name="___obl1823" localSheetId="38">#REF!</definedName>
    <definedName name="___obl1823">#REF!</definedName>
    <definedName name="___obl1824" localSheetId="34">#REF!</definedName>
    <definedName name="___obl1824" localSheetId="35">#REF!</definedName>
    <definedName name="___obl1824" localSheetId="37">#REF!</definedName>
    <definedName name="___obl1824" localSheetId="38">#REF!</definedName>
    <definedName name="___obl1824">#REF!</definedName>
    <definedName name="___obl1825" localSheetId="34">#REF!</definedName>
    <definedName name="___obl1825" localSheetId="35">#REF!</definedName>
    <definedName name="___obl1825" localSheetId="37">#REF!</definedName>
    <definedName name="___obl1825" localSheetId="38">#REF!</definedName>
    <definedName name="___obl1825">#REF!</definedName>
    <definedName name="___obl1826" localSheetId="34">#REF!</definedName>
    <definedName name="___obl1826" localSheetId="35">#REF!</definedName>
    <definedName name="___obl1826" localSheetId="37">#REF!</definedName>
    <definedName name="___obl1826" localSheetId="38">#REF!</definedName>
    <definedName name="___obl1826">#REF!</definedName>
    <definedName name="___obl1827" localSheetId="34">#REF!</definedName>
    <definedName name="___obl1827" localSheetId="35">#REF!</definedName>
    <definedName name="___obl1827" localSheetId="37">#REF!</definedName>
    <definedName name="___obl1827" localSheetId="38">#REF!</definedName>
    <definedName name="___obl1827">#REF!</definedName>
    <definedName name="___obl1828" localSheetId="34">#REF!</definedName>
    <definedName name="___obl1828" localSheetId="35">#REF!</definedName>
    <definedName name="___obl1828" localSheetId="37">#REF!</definedName>
    <definedName name="___obl1828" localSheetId="38">#REF!</definedName>
    <definedName name="___obl1828">#REF!</definedName>
    <definedName name="___obl1829" localSheetId="34">#REF!</definedName>
    <definedName name="___obl1829" localSheetId="35">#REF!</definedName>
    <definedName name="___obl1829" localSheetId="37">#REF!</definedName>
    <definedName name="___obl1829" localSheetId="38">#REF!</definedName>
    <definedName name="___obl1829">#REF!</definedName>
    <definedName name="___obl183" localSheetId="34">#REF!</definedName>
    <definedName name="___obl183" localSheetId="35">#REF!</definedName>
    <definedName name="___obl183" localSheetId="37">#REF!</definedName>
    <definedName name="___obl183" localSheetId="38">#REF!</definedName>
    <definedName name="___obl183">#REF!</definedName>
    <definedName name="___obl1831" localSheetId="34">#REF!</definedName>
    <definedName name="___obl1831" localSheetId="35">#REF!</definedName>
    <definedName name="___obl1831" localSheetId="37">#REF!</definedName>
    <definedName name="___obl1831" localSheetId="38">#REF!</definedName>
    <definedName name="___obl1831">#REF!</definedName>
    <definedName name="___obl1832" localSheetId="34">#REF!</definedName>
    <definedName name="___obl1832" localSheetId="35">#REF!</definedName>
    <definedName name="___obl1832" localSheetId="37">#REF!</definedName>
    <definedName name="___obl1832" localSheetId="38">#REF!</definedName>
    <definedName name="___obl1832">#REF!</definedName>
    <definedName name="___obl184" localSheetId="34">#REF!</definedName>
    <definedName name="___obl184" localSheetId="35">#REF!</definedName>
    <definedName name="___obl184" localSheetId="37">#REF!</definedName>
    <definedName name="___obl184" localSheetId="38">#REF!</definedName>
    <definedName name="___obl184">#REF!</definedName>
    <definedName name="___obl185" localSheetId="34">#REF!</definedName>
    <definedName name="___obl185" localSheetId="35">#REF!</definedName>
    <definedName name="___obl185" localSheetId="37">#REF!</definedName>
    <definedName name="___obl185" localSheetId="38">#REF!</definedName>
    <definedName name="___obl185">#REF!</definedName>
    <definedName name="___obl186" localSheetId="34">#REF!</definedName>
    <definedName name="___obl186" localSheetId="35">#REF!</definedName>
    <definedName name="___obl186" localSheetId="37">#REF!</definedName>
    <definedName name="___obl186" localSheetId="38">#REF!</definedName>
    <definedName name="___obl186">#REF!</definedName>
    <definedName name="___obl187" localSheetId="34">#REF!</definedName>
    <definedName name="___obl187" localSheetId="35">#REF!</definedName>
    <definedName name="___obl187" localSheetId="37">#REF!</definedName>
    <definedName name="___obl187" localSheetId="38">#REF!</definedName>
    <definedName name="___obl187">#REF!</definedName>
    <definedName name="__obl11" localSheetId="2">#REF!</definedName>
    <definedName name="__obl11" localSheetId="4">#REF!</definedName>
    <definedName name="__obl11" localSheetId="5">#REF!</definedName>
    <definedName name="__obl11" localSheetId="11">#REF!</definedName>
    <definedName name="__obl11" localSheetId="12">#REF!</definedName>
    <definedName name="__obl11" localSheetId="14">#REF!</definedName>
    <definedName name="__obl11" localSheetId="13">#REF!</definedName>
    <definedName name="__obl11" localSheetId="15">#REF!</definedName>
    <definedName name="__obl11" localSheetId="34">#REF!</definedName>
    <definedName name="__obl11" localSheetId="32">#REF!</definedName>
    <definedName name="__obl11" localSheetId="35">#REF!</definedName>
    <definedName name="__obl11" localSheetId="18">#REF!</definedName>
    <definedName name="__obl11" localSheetId="20">#REF!</definedName>
    <definedName name="__obl11" localSheetId="24">#REF!</definedName>
    <definedName name="__obl11" localSheetId="25">#REF!</definedName>
    <definedName name="__obl11" localSheetId="26">#REF!</definedName>
    <definedName name="__obl11" localSheetId="23">#REF!</definedName>
    <definedName name="__obl11" localSheetId="28">#REF!</definedName>
    <definedName name="__obl11" localSheetId="29">#REF!</definedName>
    <definedName name="__obl11" localSheetId="30">#REF!</definedName>
    <definedName name="__obl11" localSheetId="31">#REF!</definedName>
    <definedName name="__obl11" localSheetId="37">#REF!</definedName>
    <definedName name="__obl11" localSheetId="38">#REF!</definedName>
    <definedName name="__obl11" localSheetId="36">#REF!</definedName>
    <definedName name="__obl11">#REF!</definedName>
    <definedName name="__obl12" localSheetId="2">#REF!</definedName>
    <definedName name="__obl12" localSheetId="4">#REF!</definedName>
    <definedName name="__obl12" localSheetId="5">#REF!</definedName>
    <definedName name="__obl12" localSheetId="11">#REF!</definedName>
    <definedName name="__obl12" localSheetId="14">#REF!</definedName>
    <definedName name="__obl12" localSheetId="13">#REF!</definedName>
    <definedName name="__obl12" localSheetId="15">#REF!</definedName>
    <definedName name="__obl12" localSheetId="34">#REF!</definedName>
    <definedName name="__obl12" localSheetId="32">#REF!</definedName>
    <definedName name="__obl12" localSheetId="35">#REF!</definedName>
    <definedName name="__obl12" localSheetId="18">#REF!</definedName>
    <definedName name="__obl12" localSheetId="20">#REF!</definedName>
    <definedName name="__obl12" localSheetId="24">#REF!</definedName>
    <definedName name="__obl12" localSheetId="25">#REF!</definedName>
    <definedName name="__obl12" localSheetId="26">#REF!</definedName>
    <definedName name="__obl12" localSheetId="29">#REF!</definedName>
    <definedName name="__obl12" localSheetId="30">#REF!</definedName>
    <definedName name="__obl12" localSheetId="31">#REF!</definedName>
    <definedName name="__obl12" localSheetId="37">#REF!</definedName>
    <definedName name="__obl12" localSheetId="38">#REF!</definedName>
    <definedName name="__obl12" localSheetId="36">#REF!</definedName>
    <definedName name="__obl12">#REF!</definedName>
    <definedName name="__obl13" localSheetId="2">#REF!</definedName>
    <definedName name="__obl13" localSheetId="4">#REF!</definedName>
    <definedName name="__obl13" localSheetId="5">#REF!</definedName>
    <definedName name="__obl13" localSheetId="11">#REF!</definedName>
    <definedName name="__obl13" localSheetId="14">#REF!</definedName>
    <definedName name="__obl13" localSheetId="13">#REF!</definedName>
    <definedName name="__obl13" localSheetId="15">#REF!</definedName>
    <definedName name="__obl13" localSheetId="34">#REF!</definedName>
    <definedName name="__obl13" localSheetId="32">#REF!</definedName>
    <definedName name="__obl13" localSheetId="35">#REF!</definedName>
    <definedName name="__obl13" localSheetId="18">#REF!</definedName>
    <definedName name="__obl13" localSheetId="20">#REF!</definedName>
    <definedName name="__obl13" localSheetId="24">#REF!</definedName>
    <definedName name="__obl13" localSheetId="25">#REF!</definedName>
    <definedName name="__obl13" localSheetId="26">#REF!</definedName>
    <definedName name="__obl13" localSheetId="29">#REF!</definedName>
    <definedName name="__obl13" localSheetId="30">#REF!</definedName>
    <definedName name="__obl13" localSheetId="31">#REF!</definedName>
    <definedName name="__obl13" localSheetId="37">#REF!</definedName>
    <definedName name="__obl13" localSheetId="38">#REF!</definedName>
    <definedName name="__obl13" localSheetId="36">#REF!</definedName>
    <definedName name="__obl13">#REF!</definedName>
    <definedName name="__obl14" localSheetId="2">#REF!</definedName>
    <definedName name="__obl14" localSheetId="4">#REF!</definedName>
    <definedName name="__obl14" localSheetId="5">#REF!</definedName>
    <definedName name="__obl14" localSheetId="11">#REF!</definedName>
    <definedName name="__obl14" localSheetId="14">#REF!</definedName>
    <definedName name="__obl14" localSheetId="13">#REF!</definedName>
    <definedName name="__obl14" localSheetId="15">#REF!</definedName>
    <definedName name="__obl14" localSheetId="34">#REF!</definedName>
    <definedName name="__obl14" localSheetId="32">#REF!</definedName>
    <definedName name="__obl14" localSheetId="35">#REF!</definedName>
    <definedName name="__obl14" localSheetId="18">#REF!</definedName>
    <definedName name="__obl14" localSheetId="20">#REF!</definedName>
    <definedName name="__obl14" localSheetId="24">#REF!</definedName>
    <definedName name="__obl14" localSheetId="25">#REF!</definedName>
    <definedName name="__obl14" localSheetId="26">#REF!</definedName>
    <definedName name="__obl14" localSheetId="29">#REF!</definedName>
    <definedName name="__obl14" localSheetId="30">#REF!</definedName>
    <definedName name="__obl14" localSheetId="31">#REF!</definedName>
    <definedName name="__obl14" localSheetId="37">#REF!</definedName>
    <definedName name="__obl14" localSheetId="38">#REF!</definedName>
    <definedName name="__obl14" localSheetId="36">#REF!</definedName>
    <definedName name="__obl14">#REF!</definedName>
    <definedName name="__obl15" localSheetId="2">#REF!</definedName>
    <definedName name="__obl15" localSheetId="4">#REF!</definedName>
    <definedName name="__obl15" localSheetId="5">#REF!</definedName>
    <definedName name="__obl15" localSheetId="11">#REF!</definedName>
    <definedName name="__obl15" localSheetId="14">#REF!</definedName>
    <definedName name="__obl15" localSheetId="13">#REF!</definedName>
    <definedName name="__obl15" localSheetId="15">#REF!</definedName>
    <definedName name="__obl15" localSheetId="34">#REF!</definedName>
    <definedName name="__obl15" localSheetId="32">#REF!</definedName>
    <definedName name="__obl15" localSheetId="35">#REF!</definedName>
    <definedName name="__obl15" localSheetId="18">#REF!</definedName>
    <definedName name="__obl15" localSheetId="20">#REF!</definedName>
    <definedName name="__obl15" localSheetId="24">#REF!</definedName>
    <definedName name="__obl15" localSheetId="25">#REF!</definedName>
    <definedName name="__obl15" localSheetId="26">#REF!</definedName>
    <definedName name="__obl15" localSheetId="29">#REF!</definedName>
    <definedName name="__obl15" localSheetId="30">#REF!</definedName>
    <definedName name="__obl15" localSheetId="31">#REF!</definedName>
    <definedName name="__obl15" localSheetId="37">#REF!</definedName>
    <definedName name="__obl15" localSheetId="38">#REF!</definedName>
    <definedName name="__obl15" localSheetId="36">#REF!</definedName>
    <definedName name="__obl15">#REF!</definedName>
    <definedName name="__obl16" localSheetId="2">#REF!</definedName>
    <definedName name="__obl16" localSheetId="4">#REF!</definedName>
    <definedName name="__obl16" localSheetId="5">#REF!</definedName>
    <definedName name="__obl16" localSheetId="11">#REF!</definedName>
    <definedName name="__obl16" localSheetId="14">#REF!</definedName>
    <definedName name="__obl16" localSheetId="13">#REF!</definedName>
    <definedName name="__obl16" localSheetId="15">#REF!</definedName>
    <definedName name="__obl16" localSheetId="34">#REF!</definedName>
    <definedName name="__obl16" localSheetId="32">#REF!</definedName>
    <definedName name="__obl16" localSheetId="35">#REF!</definedName>
    <definedName name="__obl16" localSheetId="18">#REF!</definedName>
    <definedName name="__obl16" localSheetId="20">#REF!</definedName>
    <definedName name="__obl16" localSheetId="24">#REF!</definedName>
    <definedName name="__obl16" localSheetId="25">#REF!</definedName>
    <definedName name="__obl16" localSheetId="26">#REF!</definedName>
    <definedName name="__obl16" localSheetId="29">#REF!</definedName>
    <definedName name="__obl16" localSheetId="30">#REF!</definedName>
    <definedName name="__obl16" localSheetId="31">#REF!</definedName>
    <definedName name="__obl16" localSheetId="37">#REF!</definedName>
    <definedName name="__obl16" localSheetId="38">#REF!</definedName>
    <definedName name="__obl16" localSheetId="36">#REF!</definedName>
    <definedName name="__obl16">#REF!</definedName>
    <definedName name="__obl17" localSheetId="2">#REF!</definedName>
    <definedName name="__obl17" localSheetId="4">#REF!</definedName>
    <definedName name="__obl17" localSheetId="5">#REF!</definedName>
    <definedName name="__obl17" localSheetId="11">#REF!</definedName>
    <definedName name="__obl17" localSheetId="14">#REF!</definedName>
    <definedName name="__obl17" localSheetId="13">#REF!</definedName>
    <definedName name="__obl17" localSheetId="15">#REF!</definedName>
    <definedName name="__obl17" localSheetId="34">#REF!</definedName>
    <definedName name="__obl17" localSheetId="32">#REF!</definedName>
    <definedName name="__obl17" localSheetId="35">#REF!</definedName>
    <definedName name="__obl17" localSheetId="18">#REF!</definedName>
    <definedName name="__obl17" localSheetId="20">#REF!</definedName>
    <definedName name="__obl17" localSheetId="24">#REF!</definedName>
    <definedName name="__obl17" localSheetId="25">#REF!</definedName>
    <definedName name="__obl17" localSheetId="26">#REF!</definedName>
    <definedName name="__obl17" localSheetId="29">#REF!</definedName>
    <definedName name="__obl17" localSheetId="30">#REF!</definedName>
    <definedName name="__obl17" localSheetId="31">#REF!</definedName>
    <definedName name="__obl17" localSheetId="37">#REF!</definedName>
    <definedName name="__obl17" localSheetId="38">#REF!</definedName>
    <definedName name="__obl17" localSheetId="36">#REF!</definedName>
    <definedName name="__obl17">#REF!</definedName>
    <definedName name="__obl1710" localSheetId="2">#REF!</definedName>
    <definedName name="__obl1710" localSheetId="4">#REF!</definedName>
    <definedName name="__obl1710" localSheetId="5">#REF!</definedName>
    <definedName name="__obl1710" localSheetId="11">#REF!</definedName>
    <definedName name="__obl1710" localSheetId="14">#REF!</definedName>
    <definedName name="__obl1710" localSheetId="13">#REF!</definedName>
    <definedName name="__obl1710" localSheetId="15">#REF!</definedName>
    <definedName name="__obl1710" localSheetId="34">#REF!</definedName>
    <definedName name="__obl1710" localSheetId="32">#REF!</definedName>
    <definedName name="__obl1710" localSheetId="35">#REF!</definedName>
    <definedName name="__obl1710" localSheetId="18">#REF!</definedName>
    <definedName name="__obl1710" localSheetId="20">#REF!</definedName>
    <definedName name="__obl1710" localSheetId="24">#REF!</definedName>
    <definedName name="__obl1710" localSheetId="25">#REF!</definedName>
    <definedName name="__obl1710" localSheetId="26">#REF!</definedName>
    <definedName name="__obl1710" localSheetId="29">#REF!</definedName>
    <definedName name="__obl1710" localSheetId="30">#REF!</definedName>
    <definedName name="__obl1710" localSheetId="31">#REF!</definedName>
    <definedName name="__obl1710" localSheetId="37">#REF!</definedName>
    <definedName name="__obl1710" localSheetId="38">#REF!</definedName>
    <definedName name="__obl1710" localSheetId="36">#REF!</definedName>
    <definedName name="__obl1710">#REF!</definedName>
    <definedName name="__obl1711" localSheetId="2">#REF!</definedName>
    <definedName name="__obl1711" localSheetId="4">#REF!</definedName>
    <definedName name="__obl1711" localSheetId="5">#REF!</definedName>
    <definedName name="__obl1711" localSheetId="11">#REF!</definedName>
    <definedName name="__obl1711" localSheetId="14">#REF!</definedName>
    <definedName name="__obl1711" localSheetId="13">#REF!</definedName>
    <definedName name="__obl1711" localSheetId="15">#REF!</definedName>
    <definedName name="__obl1711" localSheetId="34">#REF!</definedName>
    <definedName name="__obl1711" localSheetId="32">#REF!</definedName>
    <definedName name="__obl1711" localSheetId="35">#REF!</definedName>
    <definedName name="__obl1711" localSheetId="18">#REF!</definedName>
    <definedName name="__obl1711" localSheetId="20">#REF!</definedName>
    <definedName name="__obl1711" localSheetId="24">#REF!</definedName>
    <definedName name="__obl1711" localSheetId="25">#REF!</definedName>
    <definedName name="__obl1711" localSheetId="26">#REF!</definedName>
    <definedName name="__obl1711" localSheetId="29">#REF!</definedName>
    <definedName name="__obl1711" localSheetId="30">#REF!</definedName>
    <definedName name="__obl1711" localSheetId="31">#REF!</definedName>
    <definedName name="__obl1711" localSheetId="37">#REF!</definedName>
    <definedName name="__obl1711" localSheetId="38">#REF!</definedName>
    <definedName name="__obl1711" localSheetId="36">#REF!</definedName>
    <definedName name="__obl1711">#REF!</definedName>
    <definedName name="__obl1712" localSheetId="2">#REF!</definedName>
    <definedName name="__obl1712" localSheetId="4">#REF!</definedName>
    <definedName name="__obl1712" localSheetId="5">#REF!</definedName>
    <definedName name="__obl1712" localSheetId="11">#REF!</definedName>
    <definedName name="__obl1712" localSheetId="14">#REF!</definedName>
    <definedName name="__obl1712" localSheetId="13">#REF!</definedName>
    <definedName name="__obl1712" localSheetId="15">#REF!</definedName>
    <definedName name="__obl1712" localSheetId="34">#REF!</definedName>
    <definedName name="__obl1712" localSheetId="32">#REF!</definedName>
    <definedName name="__obl1712" localSheetId="35">#REF!</definedName>
    <definedName name="__obl1712" localSheetId="18">#REF!</definedName>
    <definedName name="__obl1712" localSheetId="20">#REF!</definedName>
    <definedName name="__obl1712" localSheetId="24">#REF!</definedName>
    <definedName name="__obl1712" localSheetId="25">#REF!</definedName>
    <definedName name="__obl1712" localSheetId="26">#REF!</definedName>
    <definedName name="__obl1712" localSheetId="29">#REF!</definedName>
    <definedName name="__obl1712" localSheetId="30">#REF!</definedName>
    <definedName name="__obl1712" localSheetId="31">#REF!</definedName>
    <definedName name="__obl1712" localSheetId="37">#REF!</definedName>
    <definedName name="__obl1712" localSheetId="38">#REF!</definedName>
    <definedName name="__obl1712" localSheetId="36">#REF!</definedName>
    <definedName name="__obl1712">#REF!</definedName>
    <definedName name="__obl1713" localSheetId="2">#REF!</definedName>
    <definedName name="__obl1713" localSheetId="4">#REF!</definedName>
    <definedName name="__obl1713" localSheetId="5">#REF!</definedName>
    <definedName name="__obl1713" localSheetId="11">#REF!</definedName>
    <definedName name="__obl1713" localSheetId="14">#REF!</definedName>
    <definedName name="__obl1713" localSheetId="13">#REF!</definedName>
    <definedName name="__obl1713" localSheetId="15">#REF!</definedName>
    <definedName name="__obl1713" localSheetId="34">#REF!</definedName>
    <definedName name="__obl1713" localSheetId="32">#REF!</definedName>
    <definedName name="__obl1713" localSheetId="35">#REF!</definedName>
    <definedName name="__obl1713" localSheetId="18">#REF!</definedName>
    <definedName name="__obl1713" localSheetId="20">#REF!</definedName>
    <definedName name="__obl1713" localSheetId="24">#REF!</definedName>
    <definedName name="__obl1713" localSheetId="25">#REF!</definedName>
    <definedName name="__obl1713" localSheetId="26">#REF!</definedName>
    <definedName name="__obl1713" localSheetId="29">#REF!</definedName>
    <definedName name="__obl1713" localSheetId="30">#REF!</definedName>
    <definedName name="__obl1713" localSheetId="31">#REF!</definedName>
    <definedName name="__obl1713" localSheetId="37">#REF!</definedName>
    <definedName name="__obl1713" localSheetId="38">#REF!</definedName>
    <definedName name="__obl1713" localSheetId="36">#REF!</definedName>
    <definedName name="__obl1713">#REF!</definedName>
    <definedName name="__obl1714" localSheetId="2">#REF!</definedName>
    <definedName name="__obl1714" localSheetId="4">#REF!</definedName>
    <definedName name="__obl1714" localSheetId="5">#REF!</definedName>
    <definedName name="__obl1714" localSheetId="11">#REF!</definedName>
    <definedName name="__obl1714" localSheetId="14">#REF!</definedName>
    <definedName name="__obl1714" localSheetId="13">#REF!</definedName>
    <definedName name="__obl1714" localSheetId="15">#REF!</definedName>
    <definedName name="__obl1714" localSheetId="34">#REF!</definedName>
    <definedName name="__obl1714" localSheetId="32">#REF!</definedName>
    <definedName name="__obl1714" localSheetId="35">#REF!</definedName>
    <definedName name="__obl1714" localSheetId="18">#REF!</definedName>
    <definedName name="__obl1714" localSheetId="20">#REF!</definedName>
    <definedName name="__obl1714" localSheetId="24">#REF!</definedName>
    <definedName name="__obl1714" localSheetId="25">#REF!</definedName>
    <definedName name="__obl1714" localSheetId="26">#REF!</definedName>
    <definedName name="__obl1714" localSheetId="29">#REF!</definedName>
    <definedName name="__obl1714" localSheetId="30">#REF!</definedName>
    <definedName name="__obl1714" localSheetId="31">#REF!</definedName>
    <definedName name="__obl1714" localSheetId="37">#REF!</definedName>
    <definedName name="__obl1714" localSheetId="38">#REF!</definedName>
    <definedName name="__obl1714" localSheetId="36">#REF!</definedName>
    <definedName name="__obl1714">#REF!</definedName>
    <definedName name="__obl1715" localSheetId="2">#REF!</definedName>
    <definedName name="__obl1715" localSheetId="4">#REF!</definedName>
    <definedName name="__obl1715" localSheetId="5">#REF!</definedName>
    <definedName name="__obl1715" localSheetId="11">#REF!</definedName>
    <definedName name="__obl1715" localSheetId="14">#REF!</definedName>
    <definedName name="__obl1715" localSheetId="13">#REF!</definedName>
    <definedName name="__obl1715" localSheetId="15">#REF!</definedName>
    <definedName name="__obl1715" localSheetId="34">#REF!</definedName>
    <definedName name="__obl1715" localSheetId="32">#REF!</definedName>
    <definedName name="__obl1715" localSheetId="35">#REF!</definedName>
    <definedName name="__obl1715" localSheetId="18">#REF!</definedName>
    <definedName name="__obl1715" localSheetId="20">#REF!</definedName>
    <definedName name="__obl1715" localSheetId="24">#REF!</definedName>
    <definedName name="__obl1715" localSheetId="25">#REF!</definedName>
    <definedName name="__obl1715" localSheetId="26">#REF!</definedName>
    <definedName name="__obl1715" localSheetId="29">#REF!</definedName>
    <definedName name="__obl1715" localSheetId="30">#REF!</definedName>
    <definedName name="__obl1715" localSheetId="31">#REF!</definedName>
    <definedName name="__obl1715" localSheetId="37">#REF!</definedName>
    <definedName name="__obl1715" localSheetId="38">#REF!</definedName>
    <definedName name="__obl1715" localSheetId="36">#REF!</definedName>
    <definedName name="__obl1715">#REF!</definedName>
    <definedName name="__obl1716" localSheetId="2">#REF!</definedName>
    <definedName name="__obl1716" localSheetId="4">#REF!</definedName>
    <definedName name="__obl1716" localSheetId="5">#REF!</definedName>
    <definedName name="__obl1716" localSheetId="11">#REF!</definedName>
    <definedName name="__obl1716" localSheetId="14">#REF!</definedName>
    <definedName name="__obl1716" localSheetId="13">#REF!</definedName>
    <definedName name="__obl1716" localSheetId="15">#REF!</definedName>
    <definedName name="__obl1716" localSheetId="34">#REF!</definedName>
    <definedName name="__obl1716" localSheetId="32">#REF!</definedName>
    <definedName name="__obl1716" localSheetId="35">#REF!</definedName>
    <definedName name="__obl1716" localSheetId="18">#REF!</definedName>
    <definedName name="__obl1716" localSheetId="20">#REF!</definedName>
    <definedName name="__obl1716" localSheetId="24">#REF!</definedName>
    <definedName name="__obl1716" localSheetId="25">#REF!</definedName>
    <definedName name="__obl1716" localSheetId="26">#REF!</definedName>
    <definedName name="__obl1716" localSheetId="29">#REF!</definedName>
    <definedName name="__obl1716" localSheetId="30">#REF!</definedName>
    <definedName name="__obl1716" localSheetId="31">#REF!</definedName>
    <definedName name="__obl1716" localSheetId="37">#REF!</definedName>
    <definedName name="__obl1716" localSheetId="38">#REF!</definedName>
    <definedName name="__obl1716" localSheetId="36">#REF!</definedName>
    <definedName name="__obl1716">#REF!</definedName>
    <definedName name="__obl1717" localSheetId="2">#REF!</definedName>
    <definedName name="__obl1717" localSheetId="4">#REF!</definedName>
    <definedName name="__obl1717" localSheetId="5">#REF!</definedName>
    <definedName name="__obl1717" localSheetId="11">#REF!</definedName>
    <definedName name="__obl1717" localSheetId="14">#REF!</definedName>
    <definedName name="__obl1717" localSheetId="13">#REF!</definedName>
    <definedName name="__obl1717" localSheetId="15">#REF!</definedName>
    <definedName name="__obl1717" localSheetId="34">#REF!</definedName>
    <definedName name="__obl1717" localSheetId="32">#REF!</definedName>
    <definedName name="__obl1717" localSheetId="35">#REF!</definedName>
    <definedName name="__obl1717" localSheetId="18">#REF!</definedName>
    <definedName name="__obl1717" localSheetId="20">#REF!</definedName>
    <definedName name="__obl1717" localSheetId="24">#REF!</definedName>
    <definedName name="__obl1717" localSheetId="25">#REF!</definedName>
    <definedName name="__obl1717" localSheetId="26">#REF!</definedName>
    <definedName name="__obl1717" localSheetId="29">#REF!</definedName>
    <definedName name="__obl1717" localSheetId="30">#REF!</definedName>
    <definedName name="__obl1717" localSheetId="31">#REF!</definedName>
    <definedName name="__obl1717" localSheetId="37">#REF!</definedName>
    <definedName name="__obl1717" localSheetId="38">#REF!</definedName>
    <definedName name="__obl1717" localSheetId="36">#REF!</definedName>
    <definedName name="__obl1717">#REF!</definedName>
    <definedName name="__obl1718" localSheetId="2">#REF!</definedName>
    <definedName name="__obl1718" localSheetId="4">#REF!</definedName>
    <definedName name="__obl1718" localSheetId="5">#REF!</definedName>
    <definedName name="__obl1718" localSheetId="11">#REF!</definedName>
    <definedName name="__obl1718" localSheetId="14">#REF!</definedName>
    <definedName name="__obl1718" localSheetId="13">#REF!</definedName>
    <definedName name="__obl1718" localSheetId="15">#REF!</definedName>
    <definedName name="__obl1718" localSheetId="34">#REF!</definedName>
    <definedName name="__obl1718" localSheetId="32">#REF!</definedName>
    <definedName name="__obl1718" localSheetId="35">#REF!</definedName>
    <definedName name="__obl1718" localSheetId="18">#REF!</definedName>
    <definedName name="__obl1718" localSheetId="20">#REF!</definedName>
    <definedName name="__obl1718" localSheetId="24">#REF!</definedName>
    <definedName name="__obl1718" localSheetId="25">#REF!</definedName>
    <definedName name="__obl1718" localSheetId="26">#REF!</definedName>
    <definedName name="__obl1718" localSheetId="29">#REF!</definedName>
    <definedName name="__obl1718" localSheetId="30">#REF!</definedName>
    <definedName name="__obl1718" localSheetId="31">#REF!</definedName>
    <definedName name="__obl1718" localSheetId="37">#REF!</definedName>
    <definedName name="__obl1718" localSheetId="38">#REF!</definedName>
    <definedName name="__obl1718" localSheetId="36">#REF!</definedName>
    <definedName name="__obl1718">#REF!</definedName>
    <definedName name="__obl1719" localSheetId="2">#REF!</definedName>
    <definedName name="__obl1719" localSheetId="4">#REF!</definedName>
    <definedName name="__obl1719" localSheetId="5">#REF!</definedName>
    <definedName name="__obl1719" localSheetId="11">#REF!</definedName>
    <definedName name="__obl1719" localSheetId="14">#REF!</definedName>
    <definedName name="__obl1719" localSheetId="13">#REF!</definedName>
    <definedName name="__obl1719" localSheetId="15">#REF!</definedName>
    <definedName name="__obl1719" localSheetId="34">#REF!</definedName>
    <definedName name="__obl1719" localSheetId="32">#REF!</definedName>
    <definedName name="__obl1719" localSheetId="35">#REF!</definedName>
    <definedName name="__obl1719" localSheetId="18">#REF!</definedName>
    <definedName name="__obl1719" localSheetId="20">#REF!</definedName>
    <definedName name="__obl1719" localSheetId="24">#REF!</definedName>
    <definedName name="__obl1719" localSheetId="25">#REF!</definedName>
    <definedName name="__obl1719" localSheetId="26">#REF!</definedName>
    <definedName name="__obl1719" localSheetId="29">#REF!</definedName>
    <definedName name="__obl1719" localSheetId="30">#REF!</definedName>
    <definedName name="__obl1719" localSheetId="31">#REF!</definedName>
    <definedName name="__obl1719" localSheetId="37">#REF!</definedName>
    <definedName name="__obl1719" localSheetId="38">#REF!</definedName>
    <definedName name="__obl1719" localSheetId="36">#REF!</definedName>
    <definedName name="__obl1719">#REF!</definedName>
    <definedName name="__obl173" localSheetId="2">#REF!</definedName>
    <definedName name="__obl173" localSheetId="4">#REF!</definedName>
    <definedName name="__obl173" localSheetId="5">#REF!</definedName>
    <definedName name="__obl173" localSheetId="11">#REF!</definedName>
    <definedName name="__obl173" localSheetId="14">#REF!</definedName>
    <definedName name="__obl173" localSheetId="13">#REF!</definedName>
    <definedName name="__obl173" localSheetId="15">#REF!</definedName>
    <definedName name="__obl173" localSheetId="34">#REF!</definedName>
    <definedName name="__obl173" localSheetId="32">#REF!</definedName>
    <definedName name="__obl173" localSheetId="35">#REF!</definedName>
    <definedName name="__obl173" localSheetId="18">#REF!</definedName>
    <definedName name="__obl173" localSheetId="20">#REF!</definedName>
    <definedName name="__obl173" localSheetId="24">#REF!</definedName>
    <definedName name="__obl173" localSheetId="25">#REF!</definedName>
    <definedName name="__obl173" localSheetId="26">#REF!</definedName>
    <definedName name="__obl173" localSheetId="29">#REF!</definedName>
    <definedName name="__obl173" localSheetId="30">#REF!</definedName>
    <definedName name="__obl173" localSheetId="31">#REF!</definedName>
    <definedName name="__obl173" localSheetId="37">#REF!</definedName>
    <definedName name="__obl173" localSheetId="38">#REF!</definedName>
    <definedName name="__obl173" localSheetId="36">#REF!</definedName>
    <definedName name="__obl173">#REF!</definedName>
    <definedName name="__obl174" localSheetId="2">#REF!</definedName>
    <definedName name="__obl174" localSheetId="4">#REF!</definedName>
    <definedName name="__obl174" localSheetId="5">#REF!</definedName>
    <definedName name="__obl174" localSheetId="11">#REF!</definedName>
    <definedName name="__obl174" localSheetId="14">#REF!</definedName>
    <definedName name="__obl174" localSheetId="13">#REF!</definedName>
    <definedName name="__obl174" localSheetId="15">#REF!</definedName>
    <definedName name="__obl174" localSheetId="34">#REF!</definedName>
    <definedName name="__obl174" localSheetId="32">#REF!</definedName>
    <definedName name="__obl174" localSheetId="35">#REF!</definedName>
    <definedName name="__obl174" localSheetId="18">#REF!</definedName>
    <definedName name="__obl174" localSheetId="20">#REF!</definedName>
    <definedName name="__obl174" localSheetId="24">#REF!</definedName>
    <definedName name="__obl174" localSheetId="25">#REF!</definedName>
    <definedName name="__obl174" localSheetId="26">#REF!</definedName>
    <definedName name="__obl174" localSheetId="29">#REF!</definedName>
    <definedName name="__obl174" localSheetId="30">#REF!</definedName>
    <definedName name="__obl174" localSheetId="31">#REF!</definedName>
    <definedName name="__obl174" localSheetId="37">#REF!</definedName>
    <definedName name="__obl174" localSheetId="38">#REF!</definedName>
    <definedName name="__obl174" localSheetId="36">#REF!</definedName>
    <definedName name="__obl174">#REF!</definedName>
    <definedName name="__obl175" localSheetId="2">#REF!</definedName>
    <definedName name="__obl175" localSheetId="4">#REF!</definedName>
    <definedName name="__obl175" localSheetId="5">#REF!</definedName>
    <definedName name="__obl175" localSheetId="11">#REF!</definedName>
    <definedName name="__obl175" localSheetId="14">#REF!</definedName>
    <definedName name="__obl175" localSheetId="13">#REF!</definedName>
    <definedName name="__obl175" localSheetId="15">#REF!</definedName>
    <definedName name="__obl175" localSheetId="34">#REF!</definedName>
    <definedName name="__obl175" localSheetId="32">#REF!</definedName>
    <definedName name="__obl175" localSheetId="35">#REF!</definedName>
    <definedName name="__obl175" localSheetId="18">#REF!</definedName>
    <definedName name="__obl175" localSheetId="20">#REF!</definedName>
    <definedName name="__obl175" localSheetId="24">#REF!</definedName>
    <definedName name="__obl175" localSheetId="25">#REF!</definedName>
    <definedName name="__obl175" localSheetId="26">#REF!</definedName>
    <definedName name="__obl175" localSheetId="29">#REF!</definedName>
    <definedName name="__obl175" localSheetId="30">#REF!</definedName>
    <definedName name="__obl175" localSheetId="31">#REF!</definedName>
    <definedName name="__obl175" localSheetId="37">#REF!</definedName>
    <definedName name="__obl175" localSheetId="38">#REF!</definedName>
    <definedName name="__obl175" localSheetId="36">#REF!</definedName>
    <definedName name="__obl175">#REF!</definedName>
    <definedName name="__obl176" localSheetId="2">#REF!</definedName>
    <definedName name="__obl176" localSheetId="4">#REF!</definedName>
    <definedName name="__obl176" localSheetId="5">#REF!</definedName>
    <definedName name="__obl176" localSheetId="11">#REF!</definedName>
    <definedName name="__obl176" localSheetId="14">#REF!</definedName>
    <definedName name="__obl176" localSheetId="13">#REF!</definedName>
    <definedName name="__obl176" localSheetId="15">#REF!</definedName>
    <definedName name="__obl176" localSheetId="34">#REF!</definedName>
    <definedName name="__obl176" localSheetId="32">#REF!</definedName>
    <definedName name="__obl176" localSheetId="35">#REF!</definedName>
    <definedName name="__obl176" localSheetId="18">#REF!</definedName>
    <definedName name="__obl176" localSheetId="20">#REF!</definedName>
    <definedName name="__obl176" localSheetId="24">#REF!</definedName>
    <definedName name="__obl176" localSheetId="25">#REF!</definedName>
    <definedName name="__obl176" localSheetId="26">#REF!</definedName>
    <definedName name="__obl176" localSheetId="29">#REF!</definedName>
    <definedName name="__obl176" localSheetId="30">#REF!</definedName>
    <definedName name="__obl176" localSheetId="31">#REF!</definedName>
    <definedName name="__obl176" localSheetId="37">#REF!</definedName>
    <definedName name="__obl176" localSheetId="38">#REF!</definedName>
    <definedName name="__obl176" localSheetId="36">#REF!</definedName>
    <definedName name="__obl176">#REF!</definedName>
    <definedName name="__obl177" localSheetId="2">#REF!</definedName>
    <definedName name="__obl177" localSheetId="4">#REF!</definedName>
    <definedName name="__obl177" localSheetId="5">#REF!</definedName>
    <definedName name="__obl177" localSheetId="11">#REF!</definedName>
    <definedName name="__obl177" localSheetId="14">#REF!</definedName>
    <definedName name="__obl177" localSheetId="13">#REF!</definedName>
    <definedName name="__obl177" localSheetId="15">#REF!</definedName>
    <definedName name="__obl177" localSheetId="34">#REF!</definedName>
    <definedName name="__obl177" localSheetId="32">#REF!</definedName>
    <definedName name="__obl177" localSheetId="35">#REF!</definedName>
    <definedName name="__obl177" localSheetId="18">#REF!</definedName>
    <definedName name="__obl177" localSheetId="20">#REF!</definedName>
    <definedName name="__obl177" localSheetId="24">#REF!</definedName>
    <definedName name="__obl177" localSheetId="25">#REF!</definedName>
    <definedName name="__obl177" localSheetId="26">#REF!</definedName>
    <definedName name="__obl177" localSheetId="29">#REF!</definedName>
    <definedName name="__obl177" localSheetId="30">#REF!</definedName>
    <definedName name="__obl177" localSheetId="31">#REF!</definedName>
    <definedName name="__obl177" localSheetId="37">#REF!</definedName>
    <definedName name="__obl177" localSheetId="38">#REF!</definedName>
    <definedName name="__obl177" localSheetId="36">#REF!</definedName>
    <definedName name="__obl177">#REF!</definedName>
    <definedName name="__obl178" localSheetId="2">#REF!</definedName>
    <definedName name="__obl178" localSheetId="4">#REF!</definedName>
    <definedName name="__obl178" localSheetId="5">#REF!</definedName>
    <definedName name="__obl178" localSheetId="11">#REF!</definedName>
    <definedName name="__obl178" localSheetId="14">#REF!</definedName>
    <definedName name="__obl178" localSheetId="13">#REF!</definedName>
    <definedName name="__obl178" localSheetId="15">#REF!</definedName>
    <definedName name="__obl178" localSheetId="34">#REF!</definedName>
    <definedName name="__obl178" localSheetId="32">#REF!</definedName>
    <definedName name="__obl178" localSheetId="35">#REF!</definedName>
    <definedName name="__obl178" localSheetId="18">#REF!</definedName>
    <definedName name="__obl178" localSheetId="20">#REF!</definedName>
    <definedName name="__obl178" localSheetId="24">#REF!</definedName>
    <definedName name="__obl178" localSheetId="25">#REF!</definedName>
    <definedName name="__obl178" localSheetId="26">#REF!</definedName>
    <definedName name="__obl178" localSheetId="29">#REF!</definedName>
    <definedName name="__obl178" localSheetId="30">#REF!</definedName>
    <definedName name="__obl178" localSheetId="31">#REF!</definedName>
    <definedName name="__obl178" localSheetId="37">#REF!</definedName>
    <definedName name="__obl178" localSheetId="38">#REF!</definedName>
    <definedName name="__obl178" localSheetId="36">#REF!</definedName>
    <definedName name="__obl178">#REF!</definedName>
    <definedName name="__obl179" localSheetId="2">#REF!</definedName>
    <definedName name="__obl179" localSheetId="4">#REF!</definedName>
    <definedName name="__obl179" localSheetId="5">#REF!</definedName>
    <definedName name="__obl179" localSheetId="11">#REF!</definedName>
    <definedName name="__obl179" localSheetId="14">#REF!</definedName>
    <definedName name="__obl179" localSheetId="13">#REF!</definedName>
    <definedName name="__obl179" localSheetId="15">#REF!</definedName>
    <definedName name="__obl179" localSheetId="34">#REF!</definedName>
    <definedName name="__obl179" localSheetId="32">#REF!</definedName>
    <definedName name="__obl179" localSheetId="35">#REF!</definedName>
    <definedName name="__obl179" localSheetId="18">#REF!</definedName>
    <definedName name="__obl179" localSheetId="20">#REF!</definedName>
    <definedName name="__obl179" localSheetId="24">#REF!</definedName>
    <definedName name="__obl179" localSheetId="25">#REF!</definedName>
    <definedName name="__obl179" localSheetId="26">#REF!</definedName>
    <definedName name="__obl179" localSheetId="29">#REF!</definedName>
    <definedName name="__obl179" localSheetId="30">#REF!</definedName>
    <definedName name="__obl179" localSheetId="31">#REF!</definedName>
    <definedName name="__obl179" localSheetId="37">#REF!</definedName>
    <definedName name="__obl179" localSheetId="38">#REF!</definedName>
    <definedName name="__obl179" localSheetId="36">#REF!</definedName>
    <definedName name="__obl179">#REF!</definedName>
    <definedName name="__obl18" localSheetId="2">#REF!</definedName>
    <definedName name="__obl18" localSheetId="4">#REF!</definedName>
    <definedName name="__obl18" localSheetId="5">#REF!</definedName>
    <definedName name="__obl18" localSheetId="11">#REF!</definedName>
    <definedName name="__obl18" localSheetId="14">#REF!</definedName>
    <definedName name="__obl18" localSheetId="13">#REF!</definedName>
    <definedName name="__obl18" localSheetId="15">#REF!</definedName>
    <definedName name="__obl18" localSheetId="34">#REF!</definedName>
    <definedName name="__obl18" localSheetId="32">#REF!</definedName>
    <definedName name="__obl18" localSheetId="35">#REF!</definedName>
    <definedName name="__obl18" localSheetId="18">#REF!</definedName>
    <definedName name="__obl18" localSheetId="20">#REF!</definedName>
    <definedName name="__obl18" localSheetId="24">#REF!</definedName>
    <definedName name="__obl18" localSheetId="25">#REF!</definedName>
    <definedName name="__obl18" localSheetId="26">#REF!</definedName>
    <definedName name="__obl18" localSheetId="29">#REF!</definedName>
    <definedName name="__obl18" localSheetId="30">#REF!</definedName>
    <definedName name="__obl18" localSheetId="31">#REF!</definedName>
    <definedName name="__obl18" localSheetId="37">#REF!</definedName>
    <definedName name="__obl18" localSheetId="38">#REF!</definedName>
    <definedName name="__obl18" localSheetId="36">#REF!</definedName>
    <definedName name="__obl18">#REF!</definedName>
    <definedName name="__obl181" localSheetId="2">#REF!</definedName>
    <definedName name="__obl181" localSheetId="4">#REF!</definedName>
    <definedName name="__obl181" localSheetId="5">#REF!</definedName>
    <definedName name="__obl181" localSheetId="11">#REF!</definedName>
    <definedName name="__obl181" localSheetId="14">#REF!</definedName>
    <definedName name="__obl181" localSheetId="13">#REF!</definedName>
    <definedName name="__obl181" localSheetId="15">#REF!</definedName>
    <definedName name="__obl181" localSheetId="34">#REF!</definedName>
    <definedName name="__obl181" localSheetId="32">#REF!</definedName>
    <definedName name="__obl181" localSheetId="35">#REF!</definedName>
    <definedName name="__obl181" localSheetId="18">#REF!</definedName>
    <definedName name="__obl181" localSheetId="20">#REF!</definedName>
    <definedName name="__obl181" localSheetId="24">#REF!</definedName>
    <definedName name="__obl181" localSheetId="25">#REF!</definedName>
    <definedName name="__obl181" localSheetId="26">#REF!</definedName>
    <definedName name="__obl181" localSheetId="29">#REF!</definedName>
    <definedName name="__obl181" localSheetId="30">#REF!</definedName>
    <definedName name="__obl181" localSheetId="31">#REF!</definedName>
    <definedName name="__obl181" localSheetId="37">#REF!</definedName>
    <definedName name="__obl181" localSheetId="38">#REF!</definedName>
    <definedName name="__obl181" localSheetId="36">#REF!</definedName>
    <definedName name="__obl181">#REF!</definedName>
    <definedName name="__obl1816" localSheetId="2">#REF!</definedName>
    <definedName name="__obl1816" localSheetId="4">#REF!</definedName>
    <definedName name="__obl1816" localSheetId="5">#REF!</definedName>
    <definedName name="__obl1816" localSheetId="11">#REF!</definedName>
    <definedName name="__obl1816" localSheetId="14">#REF!</definedName>
    <definedName name="__obl1816" localSheetId="13">#REF!</definedName>
    <definedName name="__obl1816" localSheetId="15">#REF!</definedName>
    <definedName name="__obl1816" localSheetId="34">#REF!</definedName>
    <definedName name="__obl1816" localSheetId="32">#REF!</definedName>
    <definedName name="__obl1816" localSheetId="35">#REF!</definedName>
    <definedName name="__obl1816" localSheetId="18">#REF!</definedName>
    <definedName name="__obl1816" localSheetId="20">#REF!</definedName>
    <definedName name="__obl1816" localSheetId="24">#REF!</definedName>
    <definedName name="__obl1816" localSheetId="25">#REF!</definedName>
    <definedName name="__obl1816" localSheetId="26">#REF!</definedName>
    <definedName name="__obl1816" localSheetId="29">#REF!</definedName>
    <definedName name="__obl1816" localSheetId="30">#REF!</definedName>
    <definedName name="__obl1816" localSheetId="31">#REF!</definedName>
    <definedName name="__obl1816" localSheetId="37">#REF!</definedName>
    <definedName name="__obl1816" localSheetId="38">#REF!</definedName>
    <definedName name="__obl1816" localSheetId="36">#REF!</definedName>
    <definedName name="__obl1816">#REF!</definedName>
    <definedName name="__obl1820" localSheetId="2">#REF!</definedName>
    <definedName name="__obl1820" localSheetId="4">#REF!</definedName>
    <definedName name="__obl1820" localSheetId="5">#REF!</definedName>
    <definedName name="__obl1820" localSheetId="11">#REF!</definedName>
    <definedName name="__obl1820" localSheetId="14">#REF!</definedName>
    <definedName name="__obl1820" localSheetId="13">#REF!</definedName>
    <definedName name="__obl1820" localSheetId="15">#REF!</definedName>
    <definedName name="__obl1820" localSheetId="34">#REF!</definedName>
    <definedName name="__obl1820" localSheetId="32">#REF!</definedName>
    <definedName name="__obl1820" localSheetId="35">#REF!</definedName>
    <definedName name="__obl1820" localSheetId="18">#REF!</definedName>
    <definedName name="__obl1820" localSheetId="20">#REF!</definedName>
    <definedName name="__obl1820" localSheetId="24">#REF!</definedName>
    <definedName name="__obl1820" localSheetId="25">#REF!</definedName>
    <definedName name="__obl1820" localSheetId="26">#REF!</definedName>
    <definedName name="__obl1820" localSheetId="29">#REF!</definedName>
    <definedName name="__obl1820" localSheetId="30">#REF!</definedName>
    <definedName name="__obl1820" localSheetId="31">#REF!</definedName>
    <definedName name="__obl1820" localSheetId="37">#REF!</definedName>
    <definedName name="__obl1820" localSheetId="38">#REF!</definedName>
    <definedName name="__obl1820" localSheetId="36">#REF!</definedName>
    <definedName name="__obl1820">#REF!</definedName>
    <definedName name="__obl1821" localSheetId="2">#REF!</definedName>
    <definedName name="__obl1821" localSheetId="4">#REF!</definedName>
    <definedName name="__obl1821" localSheetId="5">#REF!</definedName>
    <definedName name="__obl1821" localSheetId="11">#REF!</definedName>
    <definedName name="__obl1821" localSheetId="14">#REF!</definedName>
    <definedName name="__obl1821" localSheetId="13">#REF!</definedName>
    <definedName name="__obl1821" localSheetId="15">#REF!</definedName>
    <definedName name="__obl1821" localSheetId="34">#REF!</definedName>
    <definedName name="__obl1821" localSheetId="32">#REF!</definedName>
    <definedName name="__obl1821" localSheetId="35">#REF!</definedName>
    <definedName name="__obl1821" localSheetId="18">#REF!</definedName>
    <definedName name="__obl1821" localSheetId="20">#REF!</definedName>
    <definedName name="__obl1821" localSheetId="24">#REF!</definedName>
    <definedName name="__obl1821" localSheetId="25">#REF!</definedName>
    <definedName name="__obl1821" localSheetId="26">#REF!</definedName>
    <definedName name="__obl1821" localSheetId="29">#REF!</definedName>
    <definedName name="__obl1821" localSheetId="30">#REF!</definedName>
    <definedName name="__obl1821" localSheetId="31">#REF!</definedName>
    <definedName name="__obl1821" localSheetId="37">#REF!</definedName>
    <definedName name="__obl1821" localSheetId="38">#REF!</definedName>
    <definedName name="__obl1821" localSheetId="36">#REF!</definedName>
    <definedName name="__obl1821">#REF!</definedName>
    <definedName name="__obl1822" localSheetId="2">#REF!</definedName>
    <definedName name="__obl1822" localSheetId="4">#REF!</definedName>
    <definedName name="__obl1822" localSheetId="5">#REF!</definedName>
    <definedName name="__obl1822" localSheetId="11">#REF!</definedName>
    <definedName name="__obl1822" localSheetId="14">#REF!</definedName>
    <definedName name="__obl1822" localSheetId="13">#REF!</definedName>
    <definedName name="__obl1822" localSheetId="15">#REF!</definedName>
    <definedName name="__obl1822" localSheetId="34">#REF!</definedName>
    <definedName name="__obl1822" localSheetId="32">#REF!</definedName>
    <definedName name="__obl1822" localSheetId="35">#REF!</definedName>
    <definedName name="__obl1822" localSheetId="18">#REF!</definedName>
    <definedName name="__obl1822" localSheetId="20">#REF!</definedName>
    <definedName name="__obl1822" localSheetId="24">#REF!</definedName>
    <definedName name="__obl1822" localSheetId="25">#REF!</definedName>
    <definedName name="__obl1822" localSheetId="26">#REF!</definedName>
    <definedName name="__obl1822" localSheetId="29">#REF!</definedName>
    <definedName name="__obl1822" localSheetId="30">#REF!</definedName>
    <definedName name="__obl1822" localSheetId="31">#REF!</definedName>
    <definedName name="__obl1822" localSheetId="37">#REF!</definedName>
    <definedName name="__obl1822" localSheetId="38">#REF!</definedName>
    <definedName name="__obl1822" localSheetId="36">#REF!</definedName>
    <definedName name="__obl1822">#REF!</definedName>
    <definedName name="__obl1823" localSheetId="2">#REF!</definedName>
    <definedName name="__obl1823" localSheetId="4">#REF!</definedName>
    <definedName name="__obl1823" localSheetId="5">#REF!</definedName>
    <definedName name="__obl1823" localSheetId="11">#REF!</definedName>
    <definedName name="__obl1823" localSheetId="14">#REF!</definedName>
    <definedName name="__obl1823" localSheetId="13">#REF!</definedName>
    <definedName name="__obl1823" localSheetId="15">#REF!</definedName>
    <definedName name="__obl1823" localSheetId="34">#REF!</definedName>
    <definedName name="__obl1823" localSheetId="32">#REF!</definedName>
    <definedName name="__obl1823" localSheetId="35">#REF!</definedName>
    <definedName name="__obl1823" localSheetId="18">#REF!</definedName>
    <definedName name="__obl1823" localSheetId="20">#REF!</definedName>
    <definedName name="__obl1823" localSheetId="24">#REF!</definedName>
    <definedName name="__obl1823" localSheetId="25">#REF!</definedName>
    <definedName name="__obl1823" localSheetId="26">#REF!</definedName>
    <definedName name="__obl1823" localSheetId="29">#REF!</definedName>
    <definedName name="__obl1823" localSheetId="30">#REF!</definedName>
    <definedName name="__obl1823" localSheetId="31">#REF!</definedName>
    <definedName name="__obl1823" localSheetId="37">#REF!</definedName>
    <definedName name="__obl1823" localSheetId="38">#REF!</definedName>
    <definedName name="__obl1823" localSheetId="36">#REF!</definedName>
    <definedName name="__obl1823">#REF!</definedName>
    <definedName name="__obl1824" localSheetId="2">#REF!</definedName>
    <definedName name="__obl1824" localSheetId="4">#REF!</definedName>
    <definedName name="__obl1824" localSheetId="5">#REF!</definedName>
    <definedName name="__obl1824" localSheetId="11">#REF!</definedName>
    <definedName name="__obl1824" localSheetId="14">#REF!</definedName>
    <definedName name="__obl1824" localSheetId="13">#REF!</definedName>
    <definedName name="__obl1824" localSheetId="15">#REF!</definedName>
    <definedName name="__obl1824" localSheetId="34">#REF!</definedName>
    <definedName name="__obl1824" localSheetId="32">#REF!</definedName>
    <definedName name="__obl1824" localSheetId="35">#REF!</definedName>
    <definedName name="__obl1824" localSheetId="18">#REF!</definedName>
    <definedName name="__obl1824" localSheetId="20">#REF!</definedName>
    <definedName name="__obl1824" localSheetId="24">#REF!</definedName>
    <definedName name="__obl1824" localSheetId="25">#REF!</definedName>
    <definedName name="__obl1824" localSheetId="26">#REF!</definedName>
    <definedName name="__obl1824" localSheetId="29">#REF!</definedName>
    <definedName name="__obl1824" localSheetId="30">#REF!</definedName>
    <definedName name="__obl1824" localSheetId="31">#REF!</definedName>
    <definedName name="__obl1824" localSheetId="37">#REF!</definedName>
    <definedName name="__obl1824" localSheetId="38">#REF!</definedName>
    <definedName name="__obl1824" localSheetId="36">#REF!</definedName>
    <definedName name="__obl1824">#REF!</definedName>
    <definedName name="__obl1825" localSheetId="2">#REF!</definedName>
    <definedName name="__obl1825" localSheetId="4">#REF!</definedName>
    <definedName name="__obl1825" localSheetId="5">#REF!</definedName>
    <definedName name="__obl1825" localSheetId="11">#REF!</definedName>
    <definedName name="__obl1825" localSheetId="14">#REF!</definedName>
    <definedName name="__obl1825" localSheetId="13">#REF!</definedName>
    <definedName name="__obl1825" localSheetId="15">#REF!</definedName>
    <definedName name="__obl1825" localSheetId="34">#REF!</definedName>
    <definedName name="__obl1825" localSheetId="32">#REF!</definedName>
    <definedName name="__obl1825" localSheetId="35">#REF!</definedName>
    <definedName name="__obl1825" localSheetId="18">#REF!</definedName>
    <definedName name="__obl1825" localSheetId="20">#REF!</definedName>
    <definedName name="__obl1825" localSheetId="24">#REF!</definedName>
    <definedName name="__obl1825" localSheetId="25">#REF!</definedName>
    <definedName name="__obl1825" localSheetId="26">#REF!</definedName>
    <definedName name="__obl1825" localSheetId="29">#REF!</definedName>
    <definedName name="__obl1825" localSheetId="30">#REF!</definedName>
    <definedName name="__obl1825" localSheetId="31">#REF!</definedName>
    <definedName name="__obl1825" localSheetId="37">#REF!</definedName>
    <definedName name="__obl1825" localSheetId="38">#REF!</definedName>
    <definedName name="__obl1825" localSheetId="36">#REF!</definedName>
    <definedName name="__obl1825">#REF!</definedName>
    <definedName name="__obl1826" localSheetId="2">#REF!</definedName>
    <definedName name="__obl1826" localSheetId="4">#REF!</definedName>
    <definedName name="__obl1826" localSheetId="5">#REF!</definedName>
    <definedName name="__obl1826" localSheetId="11">#REF!</definedName>
    <definedName name="__obl1826" localSheetId="14">#REF!</definedName>
    <definedName name="__obl1826" localSheetId="13">#REF!</definedName>
    <definedName name="__obl1826" localSheetId="15">#REF!</definedName>
    <definedName name="__obl1826" localSheetId="34">#REF!</definedName>
    <definedName name="__obl1826" localSheetId="32">#REF!</definedName>
    <definedName name="__obl1826" localSheetId="35">#REF!</definedName>
    <definedName name="__obl1826" localSheetId="18">#REF!</definedName>
    <definedName name="__obl1826" localSheetId="20">#REF!</definedName>
    <definedName name="__obl1826" localSheetId="24">#REF!</definedName>
    <definedName name="__obl1826" localSheetId="25">#REF!</definedName>
    <definedName name="__obl1826" localSheetId="26">#REF!</definedName>
    <definedName name="__obl1826" localSheetId="29">#REF!</definedName>
    <definedName name="__obl1826" localSheetId="30">#REF!</definedName>
    <definedName name="__obl1826" localSheetId="31">#REF!</definedName>
    <definedName name="__obl1826" localSheetId="37">#REF!</definedName>
    <definedName name="__obl1826" localSheetId="38">#REF!</definedName>
    <definedName name="__obl1826" localSheetId="36">#REF!</definedName>
    <definedName name="__obl1826">#REF!</definedName>
    <definedName name="__obl1827" localSheetId="2">#REF!</definedName>
    <definedName name="__obl1827" localSheetId="4">#REF!</definedName>
    <definedName name="__obl1827" localSheetId="5">#REF!</definedName>
    <definedName name="__obl1827" localSheetId="11">#REF!</definedName>
    <definedName name="__obl1827" localSheetId="14">#REF!</definedName>
    <definedName name="__obl1827" localSheetId="13">#REF!</definedName>
    <definedName name="__obl1827" localSheetId="15">#REF!</definedName>
    <definedName name="__obl1827" localSheetId="34">#REF!</definedName>
    <definedName name="__obl1827" localSheetId="32">#REF!</definedName>
    <definedName name="__obl1827" localSheetId="35">#REF!</definedName>
    <definedName name="__obl1827" localSheetId="18">#REF!</definedName>
    <definedName name="__obl1827" localSheetId="20">#REF!</definedName>
    <definedName name="__obl1827" localSheetId="24">#REF!</definedName>
    <definedName name="__obl1827" localSheetId="25">#REF!</definedName>
    <definedName name="__obl1827" localSheetId="26">#REF!</definedName>
    <definedName name="__obl1827" localSheetId="29">#REF!</definedName>
    <definedName name="__obl1827" localSheetId="30">#REF!</definedName>
    <definedName name="__obl1827" localSheetId="31">#REF!</definedName>
    <definedName name="__obl1827" localSheetId="37">#REF!</definedName>
    <definedName name="__obl1827" localSheetId="38">#REF!</definedName>
    <definedName name="__obl1827" localSheetId="36">#REF!</definedName>
    <definedName name="__obl1827">#REF!</definedName>
    <definedName name="__obl1828" localSheetId="2">#REF!</definedName>
    <definedName name="__obl1828" localSheetId="4">#REF!</definedName>
    <definedName name="__obl1828" localSheetId="5">#REF!</definedName>
    <definedName name="__obl1828" localSheetId="11">#REF!</definedName>
    <definedName name="__obl1828" localSheetId="14">#REF!</definedName>
    <definedName name="__obl1828" localSheetId="13">#REF!</definedName>
    <definedName name="__obl1828" localSheetId="15">#REF!</definedName>
    <definedName name="__obl1828" localSheetId="34">#REF!</definedName>
    <definedName name="__obl1828" localSheetId="32">#REF!</definedName>
    <definedName name="__obl1828" localSheetId="35">#REF!</definedName>
    <definedName name="__obl1828" localSheetId="18">#REF!</definedName>
    <definedName name="__obl1828" localSheetId="20">#REF!</definedName>
    <definedName name="__obl1828" localSheetId="24">#REF!</definedName>
    <definedName name="__obl1828" localSheetId="25">#REF!</definedName>
    <definedName name="__obl1828" localSheetId="26">#REF!</definedName>
    <definedName name="__obl1828" localSheetId="29">#REF!</definedName>
    <definedName name="__obl1828" localSheetId="30">#REF!</definedName>
    <definedName name="__obl1828" localSheetId="31">#REF!</definedName>
    <definedName name="__obl1828" localSheetId="37">#REF!</definedName>
    <definedName name="__obl1828" localSheetId="38">#REF!</definedName>
    <definedName name="__obl1828" localSheetId="36">#REF!</definedName>
    <definedName name="__obl1828">#REF!</definedName>
    <definedName name="__obl1829" localSheetId="2">#REF!</definedName>
    <definedName name="__obl1829" localSheetId="4">#REF!</definedName>
    <definedName name="__obl1829" localSheetId="5">#REF!</definedName>
    <definedName name="__obl1829" localSheetId="11">#REF!</definedName>
    <definedName name="__obl1829" localSheetId="14">#REF!</definedName>
    <definedName name="__obl1829" localSheetId="13">#REF!</definedName>
    <definedName name="__obl1829" localSheetId="15">#REF!</definedName>
    <definedName name="__obl1829" localSheetId="34">#REF!</definedName>
    <definedName name="__obl1829" localSheetId="32">#REF!</definedName>
    <definedName name="__obl1829" localSheetId="35">#REF!</definedName>
    <definedName name="__obl1829" localSheetId="18">#REF!</definedName>
    <definedName name="__obl1829" localSheetId="20">#REF!</definedName>
    <definedName name="__obl1829" localSheetId="24">#REF!</definedName>
    <definedName name="__obl1829" localSheetId="25">#REF!</definedName>
    <definedName name="__obl1829" localSheetId="26">#REF!</definedName>
    <definedName name="__obl1829" localSheetId="29">#REF!</definedName>
    <definedName name="__obl1829" localSheetId="30">#REF!</definedName>
    <definedName name="__obl1829" localSheetId="31">#REF!</definedName>
    <definedName name="__obl1829" localSheetId="37">#REF!</definedName>
    <definedName name="__obl1829" localSheetId="38">#REF!</definedName>
    <definedName name="__obl1829" localSheetId="36">#REF!</definedName>
    <definedName name="__obl1829">#REF!</definedName>
    <definedName name="__obl183" localSheetId="2">#REF!</definedName>
    <definedName name="__obl183" localSheetId="4">#REF!</definedName>
    <definedName name="__obl183" localSheetId="5">#REF!</definedName>
    <definedName name="__obl183" localSheetId="11">#REF!</definedName>
    <definedName name="__obl183" localSheetId="14">#REF!</definedName>
    <definedName name="__obl183" localSheetId="13">#REF!</definedName>
    <definedName name="__obl183" localSheetId="15">#REF!</definedName>
    <definedName name="__obl183" localSheetId="34">#REF!</definedName>
    <definedName name="__obl183" localSheetId="32">#REF!</definedName>
    <definedName name="__obl183" localSheetId="35">#REF!</definedName>
    <definedName name="__obl183" localSheetId="18">#REF!</definedName>
    <definedName name="__obl183" localSheetId="20">#REF!</definedName>
    <definedName name="__obl183" localSheetId="24">#REF!</definedName>
    <definedName name="__obl183" localSheetId="25">#REF!</definedName>
    <definedName name="__obl183" localSheetId="26">#REF!</definedName>
    <definedName name="__obl183" localSheetId="29">#REF!</definedName>
    <definedName name="__obl183" localSheetId="30">#REF!</definedName>
    <definedName name="__obl183" localSheetId="31">#REF!</definedName>
    <definedName name="__obl183" localSheetId="37">#REF!</definedName>
    <definedName name="__obl183" localSheetId="38">#REF!</definedName>
    <definedName name="__obl183" localSheetId="36">#REF!</definedName>
    <definedName name="__obl183">#REF!</definedName>
    <definedName name="__obl1831" localSheetId="2">#REF!</definedName>
    <definedName name="__obl1831" localSheetId="4">#REF!</definedName>
    <definedName name="__obl1831" localSheetId="5">#REF!</definedName>
    <definedName name="__obl1831" localSheetId="11">#REF!</definedName>
    <definedName name="__obl1831" localSheetId="14">#REF!</definedName>
    <definedName name="__obl1831" localSheetId="13">#REF!</definedName>
    <definedName name="__obl1831" localSheetId="15">#REF!</definedName>
    <definedName name="__obl1831" localSheetId="34">#REF!</definedName>
    <definedName name="__obl1831" localSheetId="32">#REF!</definedName>
    <definedName name="__obl1831" localSheetId="35">#REF!</definedName>
    <definedName name="__obl1831" localSheetId="18">#REF!</definedName>
    <definedName name="__obl1831" localSheetId="20">#REF!</definedName>
    <definedName name="__obl1831" localSheetId="24">#REF!</definedName>
    <definedName name="__obl1831" localSheetId="25">#REF!</definedName>
    <definedName name="__obl1831" localSheetId="26">#REF!</definedName>
    <definedName name="__obl1831" localSheetId="29">#REF!</definedName>
    <definedName name="__obl1831" localSheetId="30">#REF!</definedName>
    <definedName name="__obl1831" localSheetId="31">#REF!</definedName>
    <definedName name="__obl1831" localSheetId="37">#REF!</definedName>
    <definedName name="__obl1831" localSheetId="38">#REF!</definedName>
    <definedName name="__obl1831" localSheetId="36">#REF!</definedName>
    <definedName name="__obl1831">#REF!</definedName>
    <definedName name="__obl1832" localSheetId="2">#REF!</definedName>
    <definedName name="__obl1832" localSheetId="4">#REF!</definedName>
    <definedName name="__obl1832" localSheetId="5">#REF!</definedName>
    <definedName name="__obl1832" localSheetId="11">#REF!</definedName>
    <definedName name="__obl1832" localSheetId="14">#REF!</definedName>
    <definedName name="__obl1832" localSheetId="13">#REF!</definedName>
    <definedName name="__obl1832" localSheetId="15">#REF!</definedName>
    <definedName name="__obl1832" localSheetId="34">#REF!</definedName>
    <definedName name="__obl1832" localSheetId="32">#REF!</definedName>
    <definedName name="__obl1832" localSheetId="35">#REF!</definedName>
    <definedName name="__obl1832" localSheetId="18">#REF!</definedName>
    <definedName name="__obl1832" localSheetId="20">#REF!</definedName>
    <definedName name="__obl1832" localSheetId="24">#REF!</definedName>
    <definedName name="__obl1832" localSheetId="25">#REF!</definedName>
    <definedName name="__obl1832" localSheetId="26">#REF!</definedName>
    <definedName name="__obl1832" localSheetId="29">#REF!</definedName>
    <definedName name="__obl1832" localSheetId="30">#REF!</definedName>
    <definedName name="__obl1832" localSheetId="31">#REF!</definedName>
    <definedName name="__obl1832" localSheetId="37">#REF!</definedName>
    <definedName name="__obl1832" localSheetId="38">#REF!</definedName>
    <definedName name="__obl1832" localSheetId="36">#REF!</definedName>
    <definedName name="__obl1832">#REF!</definedName>
    <definedName name="__obl184" localSheetId="2">#REF!</definedName>
    <definedName name="__obl184" localSheetId="4">#REF!</definedName>
    <definedName name="__obl184" localSheetId="5">#REF!</definedName>
    <definedName name="__obl184" localSheetId="11">#REF!</definedName>
    <definedName name="__obl184" localSheetId="14">#REF!</definedName>
    <definedName name="__obl184" localSheetId="13">#REF!</definedName>
    <definedName name="__obl184" localSheetId="15">#REF!</definedName>
    <definedName name="__obl184" localSheetId="34">#REF!</definedName>
    <definedName name="__obl184" localSheetId="32">#REF!</definedName>
    <definedName name="__obl184" localSheetId="35">#REF!</definedName>
    <definedName name="__obl184" localSheetId="18">#REF!</definedName>
    <definedName name="__obl184" localSheetId="20">#REF!</definedName>
    <definedName name="__obl184" localSheetId="24">#REF!</definedName>
    <definedName name="__obl184" localSheetId="25">#REF!</definedName>
    <definedName name="__obl184" localSheetId="26">#REF!</definedName>
    <definedName name="__obl184" localSheetId="29">#REF!</definedName>
    <definedName name="__obl184" localSheetId="30">#REF!</definedName>
    <definedName name="__obl184" localSheetId="31">#REF!</definedName>
    <definedName name="__obl184" localSheetId="37">#REF!</definedName>
    <definedName name="__obl184" localSheetId="38">#REF!</definedName>
    <definedName name="__obl184" localSheetId="36">#REF!</definedName>
    <definedName name="__obl184">#REF!</definedName>
    <definedName name="__obl185" localSheetId="2">#REF!</definedName>
    <definedName name="__obl185" localSheetId="4">#REF!</definedName>
    <definedName name="__obl185" localSheetId="5">#REF!</definedName>
    <definedName name="__obl185" localSheetId="11">#REF!</definedName>
    <definedName name="__obl185" localSheetId="14">#REF!</definedName>
    <definedName name="__obl185" localSheetId="13">#REF!</definedName>
    <definedName name="__obl185" localSheetId="15">#REF!</definedName>
    <definedName name="__obl185" localSheetId="34">#REF!</definedName>
    <definedName name="__obl185" localSheetId="32">#REF!</definedName>
    <definedName name="__obl185" localSheetId="35">#REF!</definedName>
    <definedName name="__obl185" localSheetId="18">#REF!</definedName>
    <definedName name="__obl185" localSheetId="20">#REF!</definedName>
    <definedName name="__obl185" localSheetId="24">#REF!</definedName>
    <definedName name="__obl185" localSheetId="25">#REF!</definedName>
    <definedName name="__obl185" localSheetId="26">#REF!</definedName>
    <definedName name="__obl185" localSheetId="29">#REF!</definedName>
    <definedName name="__obl185" localSheetId="30">#REF!</definedName>
    <definedName name="__obl185" localSheetId="31">#REF!</definedName>
    <definedName name="__obl185" localSheetId="37">#REF!</definedName>
    <definedName name="__obl185" localSheetId="38">#REF!</definedName>
    <definedName name="__obl185" localSheetId="36">#REF!</definedName>
    <definedName name="__obl185">#REF!</definedName>
    <definedName name="__obl186" localSheetId="2">#REF!</definedName>
    <definedName name="__obl186" localSheetId="4">#REF!</definedName>
    <definedName name="__obl186" localSheetId="5">#REF!</definedName>
    <definedName name="__obl186" localSheetId="11">#REF!</definedName>
    <definedName name="__obl186" localSheetId="14">#REF!</definedName>
    <definedName name="__obl186" localSheetId="13">#REF!</definedName>
    <definedName name="__obl186" localSheetId="15">#REF!</definedName>
    <definedName name="__obl186" localSheetId="34">#REF!</definedName>
    <definedName name="__obl186" localSheetId="32">#REF!</definedName>
    <definedName name="__obl186" localSheetId="35">#REF!</definedName>
    <definedName name="__obl186" localSheetId="18">#REF!</definedName>
    <definedName name="__obl186" localSheetId="20">#REF!</definedName>
    <definedName name="__obl186" localSheetId="24">#REF!</definedName>
    <definedName name="__obl186" localSheetId="25">#REF!</definedName>
    <definedName name="__obl186" localSheetId="26">#REF!</definedName>
    <definedName name="__obl186" localSheetId="29">#REF!</definedName>
    <definedName name="__obl186" localSheetId="30">#REF!</definedName>
    <definedName name="__obl186" localSheetId="31">#REF!</definedName>
    <definedName name="__obl186" localSheetId="37">#REF!</definedName>
    <definedName name="__obl186" localSheetId="38">#REF!</definedName>
    <definedName name="__obl186" localSheetId="36">#REF!</definedName>
    <definedName name="__obl186">#REF!</definedName>
    <definedName name="__obl187" localSheetId="2">#REF!</definedName>
    <definedName name="__obl187" localSheetId="4">#REF!</definedName>
    <definedName name="__obl187" localSheetId="5">#REF!</definedName>
    <definedName name="__obl187" localSheetId="11">#REF!</definedName>
    <definedName name="__obl187" localSheetId="14">#REF!</definedName>
    <definedName name="__obl187" localSheetId="13">#REF!</definedName>
    <definedName name="__obl187" localSheetId="15">#REF!</definedName>
    <definedName name="__obl187" localSheetId="34">#REF!</definedName>
    <definedName name="__obl187" localSheetId="32">#REF!</definedName>
    <definedName name="__obl187" localSheetId="35">#REF!</definedName>
    <definedName name="__obl187" localSheetId="18">#REF!</definedName>
    <definedName name="__obl187" localSheetId="20">#REF!</definedName>
    <definedName name="__obl187" localSheetId="24">#REF!</definedName>
    <definedName name="__obl187" localSheetId="25">#REF!</definedName>
    <definedName name="__obl187" localSheetId="26">#REF!</definedName>
    <definedName name="__obl187" localSheetId="29">#REF!</definedName>
    <definedName name="__obl187" localSheetId="30">#REF!</definedName>
    <definedName name="__obl187" localSheetId="31">#REF!</definedName>
    <definedName name="__obl187" localSheetId="37">#REF!</definedName>
    <definedName name="__obl187" localSheetId="38">#REF!</definedName>
    <definedName name="__obl187" localSheetId="36">#REF!</definedName>
    <definedName name="__obl187">#REF!</definedName>
    <definedName name="_NS" localSheetId="2">Scheduled_Payment+Extra_Payment</definedName>
    <definedName name="_NS" localSheetId="4">Scheduled_Payment+Extra_Payment</definedName>
    <definedName name="_NS" localSheetId="5">Scheduled_Payment+Extra_Payment</definedName>
    <definedName name="_NS" localSheetId="6">Scheduled_Payment+Extra_Payment</definedName>
    <definedName name="_NS" localSheetId="7">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19">Scheduled_Payment+Extra_Payment</definedName>
    <definedName name="_NS" localSheetId="22">Scheduled_Payment+Extra_Payment</definedName>
    <definedName name="_NS" localSheetId="27">Scheduled_Payment+Extra_Payment</definedName>
    <definedName name="_NS" localSheetId="37">Scheduled_Payment+Extra_Payment</definedName>
    <definedName name="_NS" localSheetId="3">Scheduled_Payment+Extra_Payment</definedName>
    <definedName name="_NS">Scheduled_Payment+Extra_Payment</definedName>
    <definedName name="_obl11" localSheetId="2">#REF!</definedName>
    <definedName name="_obl11" localSheetId="4">#REF!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4">#REF!</definedName>
    <definedName name="_obl11" localSheetId="13">#REF!</definedName>
    <definedName name="_obl11" localSheetId="15">#REF!</definedName>
    <definedName name="_obl11" localSheetId="16">#REF!</definedName>
    <definedName name="_obl11" localSheetId="17">#REF!</definedName>
    <definedName name="_obl11" localSheetId="34">#REF!</definedName>
    <definedName name="_obl11" localSheetId="32">#REF!</definedName>
    <definedName name="_obl11" localSheetId="33">#REF!</definedName>
    <definedName name="_obl11" localSheetId="35">#REF!</definedName>
    <definedName name="_obl11" localSheetId="18">#REF!</definedName>
    <definedName name="_obl11" localSheetId="20">#REF!</definedName>
    <definedName name="_obl11" localSheetId="22">#REF!</definedName>
    <definedName name="_obl11" localSheetId="24">#REF!</definedName>
    <definedName name="_obl11" localSheetId="25">#REF!</definedName>
    <definedName name="_obl11" localSheetId="26">#REF!</definedName>
    <definedName name="_obl11" localSheetId="23">#REF!</definedName>
    <definedName name="_obl11" localSheetId="27">#REF!</definedName>
    <definedName name="_obl11" localSheetId="28">#REF!</definedName>
    <definedName name="_obl11" localSheetId="29">#REF!</definedName>
    <definedName name="_obl11" localSheetId="30">#REF!</definedName>
    <definedName name="_obl11" localSheetId="31">#REF!</definedName>
    <definedName name="_obl11" localSheetId="37">#REF!</definedName>
    <definedName name="_obl11" localSheetId="38">#REF!</definedName>
    <definedName name="_obl11" localSheetId="36">#REF!</definedName>
    <definedName name="_obl11" localSheetId="3">#REF!</definedName>
    <definedName name="_obl11" localSheetId="1">#REF!</definedName>
    <definedName name="_obl11">#REF!</definedName>
    <definedName name="_obl112" localSheetId="5">#REF!</definedName>
    <definedName name="_obl112" localSheetId="12">#REF!</definedName>
    <definedName name="_obl112" localSheetId="13">#REF!</definedName>
    <definedName name="_obl112" localSheetId="34">#REF!</definedName>
    <definedName name="_obl112" localSheetId="35">#REF!</definedName>
    <definedName name="_obl112" localSheetId="22">#REF!</definedName>
    <definedName name="_obl112" localSheetId="24">#REF!</definedName>
    <definedName name="_obl112" localSheetId="25">#REF!</definedName>
    <definedName name="_obl112" localSheetId="26">#REF!</definedName>
    <definedName name="_obl112" localSheetId="23">#REF!</definedName>
    <definedName name="_obl112" localSheetId="27">#REF!</definedName>
    <definedName name="_obl112" localSheetId="28">#REF!</definedName>
    <definedName name="_obl112" localSheetId="29">#REF!</definedName>
    <definedName name="_obl112" localSheetId="30">#REF!</definedName>
    <definedName name="_obl112" localSheetId="31">#REF!</definedName>
    <definedName name="_obl112" localSheetId="37">#REF!</definedName>
    <definedName name="_obl112" localSheetId="38">#REF!</definedName>
    <definedName name="_obl112" localSheetId="1">#REF!</definedName>
    <definedName name="_obl112">#REF!</definedName>
    <definedName name="_obl12" localSheetId="2">#REF!</definedName>
    <definedName name="_obl12" localSheetId="4">#REF!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4">#REF!</definedName>
    <definedName name="_obl12" localSheetId="13">#REF!</definedName>
    <definedName name="_obl12" localSheetId="15">#REF!</definedName>
    <definedName name="_obl12" localSheetId="16">#REF!</definedName>
    <definedName name="_obl12" localSheetId="17">#REF!</definedName>
    <definedName name="_obl12" localSheetId="34">#REF!</definedName>
    <definedName name="_obl12" localSheetId="32">#REF!</definedName>
    <definedName name="_obl12" localSheetId="35">#REF!</definedName>
    <definedName name="_obl12" localSheetId="18">#REF!</definedName>
    <definedName name="_obl12" localSheetId="20">#REF!</definedName>
    <definedName name="_obl12" localSheetId="22">#REF!</definedName>
    <definedName name="_obl12" localSheetId="24">#REF!</definedName>
    <definedName name="_obl12" localSheetId="25">#REF!</definedName>
    <definedName name="_obl12" localSheetId="26">#REF!</definedName>
    <definedName name="_obl12" localSheetId="23">#REF!</definedName>
    <definedName name="_obl12" localSheetId="27">#REF!</definedName>
    <definedName name="_obl12" localSheetId="28">#REF!</definedName>
    <definedName name="_obl12" localSheetId="29">#REF!</definedName>
    <definedName name="_obl12" localSheetId="30">#REF!</definedName>
    <definedName name="_obl12" localSheetId="31">#REF!</definedName>
    <definedName name="_obl12" localSheetId="37">#REF!</definedName>
    <definedName name="_obl12" localSheetId="38">#REF!</definedName>
    <definedName name="_obl12" localSheetId="36">#REF!</definedName>
    <definedName name="_obl12" localSheetId="1">#REF!</definedName>
    <definedName name="_obl12">#REF!</definedName>
    <definedName name="_obl13" localSheetId="2">#REF!</definedName>
    <definedName name="_obl13" localSheetId="4">#REF!</definedName>
    <definedName name="_obl13" localSheetId="5">#REF!</definedName>
    <definedName name="_obl13" localSheetId="6">#REF!</definedName>
    <definedName name="_obl13" localSheetId="7">#REF!</definedName>
    <definedName name="_obl13" localSheetId="8">#REF!</definedName>
    <definedName name="_obl13" localSheetId="9">#REF!</definedName>
    <definedName name="_obl13" localSheetId="10">#REF!</definedName>
    <definedName name="_obl13" localSheetId="11">#REF!</definedName>
    <definedName name="_obl13" localSheetId="14">#REF!</definedName>
    <definedName name="_obl13" localSheetId="13">#REF!</definedName>
    <definedName name="_obl13" localSheetId="15">#REF!</definedName>
    <definedName name="_obl13" localSheetId="16">#REF!</definedName>
    <definedName name="_obl13" localSheetId="17">#REF!</definedName>
    <definedName name="_obl13" localSheetId="34">#REF!</definedName>
    <definedName name="_obl13" localSheetId="32">#REF!</definedName>
    <definedName name="_obl13" localSheetId="35">#REF!</definedName>
    <definedName name="_obl13" localSheetId="18">#REF!</definedName>
    <definedName name="_obl13" localSheetId="20">#REF!</definedName>
    <definedName name="_obl13" localSheetId="24">#REF!</definedName>
    <definedName name="_obl13" localSheetId="25">#REF!</definedName>
    <definedName name="_obl13" localSheetId="26">#REF!</definedName>
    <definedName name="_obl13" localSheetId="29">#REF!</definedName>
    <definedName name="_obl13" localSheetId="30">#REF!</definedName>
    <definedName name="_obl13" localSheetId="31">#REF!</definedName>
    <definedName name="_obl13" localSheetId="37">#REF!</definedName>
    <definedName name="_obl13" localSheetId="38">#REF!</definedName>
    <definedName name="_obl13" localSheetId="36">#REF!</definedName>
    <definedName name="_obl13" localSheetId="1">#REF!</definedName>
    <definedName name="_obl13">#REF!</definedName>
    <definedName name="_obl14" localSheetId="2">#REF!</definedName>
    <definedName name="_obl14" localSheetId="4">#REF!</definedName>
    <definedName name="_obl14" localSheetId="5">#REF!</definedName>
    <definedName name="_obl14" localSheetId="6">#REF!</definedName>
    <definedName name="_obl14" localSheetId="7">#REF!</definedName>
    <definedName name="_obl14" localSheetId="8">#REF!</definedName>
    <definedName name="_obl14" localSheetId="10">#REF!</definedName>
    <definedName name="_obl14" localSheetId="11">#REF!</definedName>
    <definedName name="_obl14" localSheetId="14">#REF!</definedName>
    <definedName name="_obl14" localSheetId="13">#REF!</definedName>
    <definedName name="_obl14" localSheetId="15">#REF!</definedName>
    <definedName name="_obl14" localSheetId="16">#REF!</definedName>
    <definedName name="_obl14" localSheetId="17">#REF!</definedName>
    <definedName name="_obl14" localSheetId="34">#REF!</definedName>
    <definedName name="_obl14" localSheetId="32">#REF!</definedName>
    <definedName name="_obl14" localSheetId="35">#REF!</definedName>
    <definedName name="_obl14" localSheetId="18">#REF!</definedName>
    <definedName name="_obl14" localSheetId="20">#REF!</definedName>
    <definedName name="_obl14" localSheetId="24">#REF!</definedName>
    <definedName name="_obl14" localSheetId="25">#REF!</definedName>
    <definedName name="_obl14" localSheetId="26">#REF!</definedName>
    <definedName name="_obl14" localSheetId="29">#REF!</definedName>
    <definedName name="_obl14" localSheetId="30">#REF!</definedName>
    <definedName name="_obl14" localSheetId="31">#REF!</definedName>
    <definedName name="_obl14" localSheetId="37">#REF!</definedName>
    <definedName name="_obl14" localSheetId="38">#REF!</definedName>
    <definedName name="_obl14" localSheetId="36">#REF!</definedName>
    <definedName name="_obl14" localSheetId="1">#REF!</definedName>
    <definedName name="_obl14">#REF!</definedName>
    <definedName name="_obl15" localSheetId="2">#REF!</definedName>
    <definedName name="_obl15" localSheetId="4">#REF!</definedName>
    <definedName name="_obl15" localSheetId="5">#REF!</definedName>
    <definedName name="_obl15" localSheetId="6">#REF!</definedName>
    <definedName name="_obl15" localSheetId="7">#REF!</definedName>
    <definedName name="_obl15" localSheetId="8">#REF!</definedName>
    <definedName name="_obl15" localSheetId="10">#REF!</definedName>
    <definedName name="_obl15" localSheetId="11">#REF!</definedName>
    <definedName name="_obl15" localSheetId="14">#REF!</definedName>
    <definedName name="_obl15" localSheetId="13">#REF!</definedName>
    <definedName name="_obl15" localSheetId="15">#REF!</definedName>
    <definedName name="_obl15" localSheetId="16">#REF!</definedName>
    <definedName name="_obl15" localSheetId="17">#REF!</definedName>
    <definedName name="_obl15" localSheetId="34">#REF!</definedName>
    <definedName name="_obl15" localSheetId="32">#REF!</definedName>
    <definedName name="_obl15" localSheetId="35">#REF!</definedName>
    <definedName name="_obl15" localSheetId="18">#REF!</definedName>
    <definedName name="_obl15" localSheetId="20">#REF!</definedName>
    <definedName name="_obl15" localSheetId="24">#REF!</definedName>
    <definedName name="_obl15" localSheetId="25">#REF!</definedName>
    <definedName name="_obl15" localSheetId="26">#REF!</definedName>
    <definedName name="_obl15" localSheetId="29">#REF!</definedName>
    <definedName name="_obl15" localSheetId="30">#REF!</definedName>
    <definedName name="_obl15" localSheetId="31">#REF!</definedName>
    <definedName name="_obl15" localSheetId="37">#REF!</definedName>
    <definedName name="_obl15" localSheetId="38">#REF!</definedName>
    <definedName name="_obl15" localSheetId="36">#REF!</definedName>
    <definedName name="_obl15" localSheetId="1">#REF!</definedName>
    <definedName name="_obl15">#REF!</definedName>
    <definedName name="_obl16" localSheetId="2">#REF!</definedName>
    <definedName name="_obl16" localSheetId="4">#REF!</definedName>
    <definedName name="_obl16" localSheetId="5">#REF!</definedName>
    <definedName name="_obl16" localSheetId="6">#REF!</definedName>
    <definedName name="_obl16" localSheetId="7">#REF!</definedName>
    <definedName name="_obl16" localSheetId="8">#REF!</definedName>
    <definedName name="_obl16" localSheetId="10">#REF!</definedName>
    <definedName name="_obl16" localSheetId="11">#REF!</definedName>
    <definedName name="_obl16" localSheetId="14">#REF!</definedName>
    <definedName name="_obl16" localSheetId="13">#REF!</definedName>
    <definedName name="_obl16" localSheetId="15">#REF!</definedName>
    <definedName name="_obl16" localSheetId="16">#REF!</definedName>
    <definedName name="_obl16" localSheetId="17">#REF!</definedName>
    <definedName name="_obl16" localSheetId="34">#REF!</definedName>
    <definedName name="_obl16" localSheetId="32">#REF!</definedName>
    <definedName name="_obl16" localSheetId="35">#REF!</definedName>
    <definedName name="_obl16" localSheetId="18">#REF!</definedName>
    <definedName name="_obl16" localSheetId="20">#REF!</definedName>
    <definedName name="_obl16" localSheetId="24">#REF!</definedName>
    <definedName name="_obl16" localSheetId="25">#REF!</definedName>
    <definedName name="_obl16" localSheetId="26">#REF!</definedName>
    <definedName name="_obl16" localSheetId="29">#REF!</definedName>
    <definedName name="_obl16" localSheetId="30">#REF!</definedName>
    <definedName name="_obl16" localSheetId="31">#REF!</definedName>
    <definedName name="_obl16" localSheetId="37">#REF!</definedName>
    <definedName name="_obl16" localSheetId="38">#REF!</definedName>
    <definedName name="_obl16" localSheetId="36">#REF!</definedName>
    <definedName name="_obl16" localSheetId="1">#REF!</definedName>
    <definedName name="_obl16">#REF!</definedName>
    <definedName name="_obl17" localSheetId="2">#REF!</definedName>
    <definedName name="_obl17" localSheetId="4">#REF!</definedName>
    <definedName name="_obl17" localSheetId="5">#REF!</definedName>
    <definedName name="_obl17" localSheetId="6">#REF!</definedName>
    <definedName name="_obl17" localSheetId="7">#REF!</definedName>
    <definedName name="_obl17" localSheetId="8">#REF!</definedName>
    <definedName name="_obl17" localSheetId="10">#REF!</definedName>
    <definedName name="_obl17" localSheetId="11">#REF!</definedName>
    <definedName name="_obl17" localSheetId="14">#REF!</definedName>
    <definedName name="_obl17" localSheetId="13">#REF!</definedName>
    <definedName name="_obl17" localSheetId="15">#REF!</definedName>
    <definedName name="_obl17" localSheetId="16">#REF!</definedName>
    <definedName name="_obl17" localSheetId="17">#REF!</definedName>
    <definedName name="_obl17" localSheetId="34">#REF!</definedName>
    <definedName name="_obl17" localSheetId="32">#REF!</definedName>
    <definedName name="_obl17" localSheetId="35">#REF!</definedName>
    <definedName name="_obl17" localSheetId="18">#REF!</definedName>
    <definedName name="_obl17" localSheetId="20">#REF!</definedName>
    <definedName name="_obl17" localSheetId="24">#REF!</definedName>
    <definedName name="_obl17" localSheetId="25">#REF!</definedName>
    <definedName name="_obl17" localSheetId="26">#REF!</definedName>
    <definedName name="_obl17" localSheetId="29">#REF!</definedName>
    <definedName name="_obl17" localSheetId="30">#REF!</definedName>
    <definedName name="_obl17" localSheetId="31">#REF!</definedName>
    <definedName name="_obl17" localSheetId="37">#REF!</definedName>
    <definedName name="_obl17" localSheetId="38">#REF!</definedName>
    <definedName name="_obl17" localSheetId="36">#REF!</definedName>
    <definedName name="_obl17" localSheetId="1">#REF!</definedName>
    <definedName name="_obl17">#REF!</definedName>
    <definedName name="_obl1710" localSheetId="2">#REF!</definedName>
    <definedName name="_obl1710" localSheetId="4">#REF!</definedName>
    <definedName name="_obl1710" localSheetId="5">#REF!</definedName>
    <definedName name="_obl1710" localSheetId="6">#REF!</definedName>
    <definedName name="_obl1710" localSheetId="7">#REF!</definedName>
    <definedName name="_obl1710" localSheetId="8">#REF!</definedName>
    <definedName name="_obl1710" localSheetId="10">#REF!</definedName>
    <definedName name="_obl1710" localSheetId="11">#REF!</definedName>
    <definedName name="_obl1710" localSheetId="14">#REF!</definedName>
    <definedName name="_obl1710" localSheetId="13">#REF!</definedName>
    <definedName name="_obl1710" localSheetId="15">#REF!</definedName>
    <definedName name="_obl1710" localSheetId="16">#REF!</definedName>
    <definedName name="_obl1710" localSheetId="17">#REF!</definedName>
    <definedName name="_obl1710" localSheetId="34">#REF!</definedName>
    <definedName name="_obl1710" localSheetId="32">#REF!</definedName>
    <definedName name="_obl1710" localSheetId="35">#REF!</definedName>
    <definedName name="_obl1710" localSheetId="18">#REF!</definedName>
    <definedName name="_obl1710" localSheetId="20">#REF!</definedName>
    <definedName name="_obl1710" localSheetId="24">#REF!</definedName>
    <definedName name="_obl1710" localSheetId="25">#REF!</definedName>
    <definedName name="_obl1710" localSheetId="26">#REF!</definedName>
    <definedName name="_obl1710" localSheetId="29">#REF!</definedName>
    <definedName name="_obl1710" localSheetId="30">#REF!</definedName>
    <definedName name="_obl1710" localSheetId="31">#REF!</definedName>
    <definedName name="_obl1710" localSheetId="37">#REF!</definedName>
    <definedName name="_obl1710" localSheetId="38">#REF!</definedName>
    <definedName name="_obl1710" localSheetId="36">#REF!</definedName>
    <definedName name="_obl1710" localSheetId="1">#REF!</definedName>
    <definedName name="_obl1710">#REF!</definedName>
    <definedName name="_obl1711" localSheetId="2">#REF!</definedName>
    <definedName name="_obl1711" localSheetId="4">#REF!</definedName>
    <definedName name="_obl1711" localSheetId="5">#REF!</definedName>
    <definedName name="_obl1711" localSheetId="6">#REF!</definedName>
    <definedName name="_obl1711" localSheetId="7">#REF!</definedName>
    <definedName name="_obl1711" localSheetId="8">#REF!</definedName>
    <definedName name="_obl1711" localSheetId="10">#REF!</definedName>
    <definedName name="_obl1711" localSheetId="11">#REF!</definedName>
    <definedName name="_obl1711" localSheetId="14">#REF!</definedName>
    <definedName name="_obl1711" localSheetId="13">#REF!</definedName>
    <definedName name="_obl1711" localSheetId="15">#REF!</definedName>
    <definedName name="_obl1711" localSheetId="16">#REF!</definedName>
    <definedName name="_obl1711" localSheetId="17">#REF!</definedName>
    <definedName name="_obl1711" localSheetId="34">#REF!</definedName>
    <definedName name="_obl1711" localSheetId="32">#REF!</definedName>
    <definedName name="_obl1711" localSheetId="35">#REF!</definedName>
    <definedName name="_obl1711" localSheetId="18">#REF!</definedName>
    <definedName name="_obl1711" localSheetId="20">#REF!</definedName>
    <definedName name="_obl1711" localSheetId="24">#REF!</definedName>
    <definedName name="_obl1711" localSheetId="25">#REF!</definedName>
    <definedName name="_obl1711" localSheetId="26">#REF!</definedName>
    <definedName name="_obl1711" localSheetId="29">#REF!</definedName>
    <definedName name="_obl1711" localSheetId="30">#REF!</definedName>
    <definedName name="_obl1711" localSheetId="31">#REF!</definedName>
    <definedName name="_obl1711" localSheetId="37">#REF!</definedName>
    <definedName name="_obl1711" localSheetId="38">#REF!</definedName>
    <definedName name="_obl1711" localSheetId="36">#REF!</definedName>
    <definedName name="_obl1711" localSheetId="1">#REF!</definedName>
    <definedName name="_obl1711">#REF!</definedName>
    <definedName name="_obl1712" localSheetId="2">#REF!</definedName>
    <definedName name="_obl1712" localSheetId="4">#REF!</definedName>
    <definedName name="_obl1712" localSheetId="5">#REF!</definedName>
    <definedName name="_obl1712" localSheetId="6">#REF!</definedName>
    <definedName name="_obl1712" localSheetId="7">#REF!</definedName>
    <definedName name="_obl1712" localSheetId="8">#REF!</definedName>
    <definedName name="_obl1712" localSheetId="10">#REF!</definedName>
    <definedName name="_obl1712" localSheetId="11">#REF!</definedName>
    <definedName name="_obl1712" localSheetId="14">#REF!</definedName>
    <definedName name="_obl1712" localSheetId="13">#REF!</definedName>
    <definedName name="_obl1712" localSheetId="15">#REF!</definedName>
    <definedName name="_obl1712" localSheetId="16">#REF!</definedName>
    <definedName name="_obl1712" localSheetId="17">#REF!</definedName>
    <definedName name="_obl1712" localSheetId="34">#REF!</definedName>
    <definedName name="_obl1712" localSheetId="32">#REF!</definedName>
    <definedName name="_obl1712" localSheetId="35">#REF!</definedName>
    <definedName name="_obl1712" localSheetId="18">#REF!</definedName>
    <definedName name="_obl1712" localSheetId="20">#REF!</definedName>
    <definedName name="_obl1712" localSheetId="24">#REF!</definedName>
    <definedName name="_obl1712" localSheetId="25">#REF!</definedName>
    <definedName name="_obl1712" localSheetId="26">#REF!</definedName>
    <definedName name="_obl1712" localSheetId="29">#REF!</definedName>
    <definedName name="_obl1712" localSheetId="30">#REF!</definedName>
    <definedName name="_obl1712" localSheetId="31">#REF!</definedName>
    <definedName name="_obl1712" localSheetId="37">#REF!</definedName>
    <definedName name="_obl1712" localSheetId="38">#REF!</definedName>
    <definedName name="_obl1712" localSheetId="36">#REF!</definedName>
    <definedName name="_obl1712" localSheetId="1">#REF!</definedName>
    <definedName name="_obl1712">#REF!</definedName>
    <definedName name="_obl1713" localSheetId="2">#REF!</definedName>
    <definedName name="_obl1713" localSheetId="4">#REF!</definedName>
    <definedName name="_obl1713" localSheetId="5">#REF!</definedName>
    <definedName name="_obl1713" localSheetId="6">#REF!</definedName>
    <definedName name="_obl1713" localSheetId="7">#REF!</definedName>
    <definedName name="_obl1713" localSheetId="8">#REF!</definedName>
    <definedName name="_obl1713" localSheetId="10">#REF!</definedName>
    <definedName name="_obl1713" localSheetId="11">#REF!</definedName>
    <definedName name="_obl1713" localSheetId="14">#REF!</definedName>
    <definedName name="_obl1713" localSheetId="13">#REF!</definedName>
    <definedName name="_obl1713" localSheetId="15">#REF!</definedName>
    <definedName name="_obl1713" localSheetId="16">#REF!</definedName>
    <definedName name="_obl1713" localSheetId="17">#REF!</definedName>
    <definedName name="_obl1713" localSheetId="34">#REF!</definedName>
    <definedName name="_obl1713" localSheetId="32">#REF!</definedName>
    <definedName name="_obl1713" localSheetId="35">#REF!</definedName>
    <definedName name="_obl1713" localSheetId="18">#REF!</definedName>
    <definedName name="_obl1713" localSheetId="20">#REF!</definedName>
    <definedName name="_obl1713" localSheetId="24">#REF!</definedName>
    <definedName name="_obl1713" localSheetId="25">#REF!</definedName>
    <definedName name="_obl1713" localSheetId="26">#REF!</definedName>
    <definedName name="_obl1713" localSheetId="29">#REF!</definedName>
    <definedName name="_obl1713" localSheetId="30">#REF!</definedName>
    <definedName name="_obl1713" localSheetId="31">#REF!</definedName>
    <definedName name="_obl1713" localSheetId="37">#REF!</definedName>
    <definedName name="_obl1713" localSheetId="38">#REF!</definedName>
    <definedName name="_obl1713" localSheetId="36">#REF!</definedName>
    <definedName name="_obl1713" localSheetId="1">#REF!</definedName>
    <definedName name="_obl1713">#REF!</definedName>
    <definedName name="_obl1714" localSheetId="2">#REF!</definedName>
    <definedName name="_obl1714" localSheetId="4">#REF!</definedName>
    <definedName name="_obl1714" localSheetId="5">#REF!</definedName>
    <definedName name="_obl1714" localSheetId="6">#REF!</definedName>
    <definedName name="_obl1714" localSheetId="7">#REF!</definedName>
    <definedName name="_obl1714" localSheetId="8">#REF!</definedName>
    <definedName name="_obl1714" localSheetId="10">#REF!</definedName>
    <definedName name="_obl1714" localSheetId="11">#REF!</definedName>
    <definedName name="_obl1714" localSheetId="14">#REF!</definedName>
    <definedName name="_obl1714" localSheetId="13">#REF!</definedName>
    <definedName name="_obl1714" localSheetId="15">#REF!</definedName>
    <definedName name="_obl1714" localSheetId="16">#REF!</definedName>
    <definedName name="_obl1714" localSheetId="17">#REF!</definedName>
    <definedName name="_obl1714" localSheetId="34">#REF!</definedName>
    <definedName name="_obl1714" localSheetId="32">#REF!</definedName>
    <definedName name="_obl1714" localSheetId="35">#REF!</definedName>
    <definedName name="_obl1714" localSheetId="18">#REF!</definedName>
    <definedName name="_obl1714" localSheetId="20">#REF!</definedName>
    <definedName name="_obl1714" localSheetId="24">#REF!</definedName>
    <definedName name="_obl1714" localSheetId="25">#REF!</definedName>
    <definedName name="_obl1714" localSheetId="26">#REF!</definedName>
    <definedName name="_obl1714" localSheetId="29">#REF!</definedName>
    <definedName name="_obl1714" localSheetId="30">#REF!</definedName>
    <definedName name="_obl1714" localSheetId="31">#REF!</definedName>
    <definedName name="_obl1714" localSheetId="37">#REF!</definedName>
    <definedName name="_obl1714" localSheetId="38">#REF!</definedName>
    <definedName name="_obl1714" localSheetId="36">#REF!</definedName>
    <definedName name="_obl1714" localSheetId="1">#REF!</definedName>
    <definedName name="_obl1714">#REF!</definedName>
    <definedName name="_obl1715" localSheetId="2">#REF!</definedName>
    <definedName name="_obl1715" localSheetId="4">#REF!</definedName>
    <definedName name="_obl1715" localSheetId="5">#REF!</definedName>
    <definedName name="_obl1715" localSheetId="6">#REF!</definedName>
    <definedName name="_obl1715" localSheetId="7">#REF!</definedName>
    <definedName name="_obl1715" localSheetId="8">#REF!</definedName>
    <definedName name="_obl1715" localSheetId="10">#REF!</definedName>
    <definedName name="_obl1715" localSheetId="11">#REF!</definedName>
    <definedName name="_obl1715" localSheetId="14">#REF!</definedName>
    <definedName name="_obl1715" localSheetId="13">#REF!</definedName>
    <definedName name="_obl1715" localSheetId="15">#REF!</definedName>
    <definedName name="_obl1715" localSheetId="16">#REF!</definedName>
    <definedName name="_obl1715" localSheetId="17">#REF!</definedName>
    <definedName name="_obl1715" localSheetId="34">#REF!</definedName>
    <definedName name="_obl1715" localSheetId="32">#REF!</definedName>
    <definedName name="_obl1715" localSheetId="35">#REF!</definedName>
    <definedName name="_obl1715" localSheetId="18">#REF!</definedName>
    <definedName name="_obl1715" localSheetId="20">#REF!</definedName>
    <definedName name="_obl1715" localSheetId="24">#REF!</definedName>
    <definedName name="_obl1715" localSheetId="25">#REF!</definedName>
    <definedName name="_obl1715" localSheetId="26">#REF!</definedName>
    <definedName name="_obl1715" localSheetId="29">#REF!</definedName>
    <definedName name="_obl1715" localSheetId="30">#REF!</definedName>
    <definedName name="_obl1715" localSheetId="31">#REF!</definedName>
    <definedName name="_obl1715" localSheetId="37">#REF!</definedName>
    <definedName name="_obl1715" localSheetId="38">#REF!</definedName>
    <definedName name="_obl1715" localSheetId="36">#REF!</definedName>
    <definedName name="_obl1715" localSheetId="1">#REF!</definedName>
    <definedName name="_obl1715">#REF!</definedName>
    <definedName name="_obl1716" localSheetId="2">#REF!</definedName>
    <definedName name="_obl1716" localSheetId="4">#REF!</definedName>
    <definedName name="_obl1716" localSheetId="5">#REF!</definedName>
    <definedName name="_obl1716" localSheetId="6">#REF!</definedName>
    <definedName name="_obl1716" localSheetId="7">#REF!</definedName>
    <definedName name="_obl1716" localSheetId="8">#REF!</definedName>
    <definedName name="_obl1716" localSheetId="10">#REF!</definedName>
    <definedName name="_obl1716" localSheetId="11">#REF!</definedName>
    <definedName name="_obl1716" localSheetId="14">#REF!</definedName>
    <definedName name="_obl1716" localSheetId="13">#REF!</definedName>
    <definedName name="_obl1716" localSheetId="15">#REF!</definedName>
    <definedName name="_obl1716" localSheetId="16">#REF!</definedName>
    <definedName name="_obl1716" localSheetId="17">#REF!</definedName>
    <definedName name="_obl1716" localSheetId="34">#REF!</definedName>
    <definedName name="_obl1716" localSheetId="32">#REF!</definedName>
    <definedName name="_obl1716" localSheetId="35">#REF!</definedName>
    <definedName name="_obl1716" localSheetId="18">#REF!</definedName>
    <definedName name="_obl1716" localSheetId="20">#REF!</definedName>
    <definedName name="_obl1716" localSheetId="24">#REF!</definedName>
    <definedName name="_obl1716" localSheetId="25">#REF!</definedName>
    <definedName name="_obl1716" localSheetId="26">#REF!</definedName>
    <definedName name="_obl1716" localSheetId="29">#REF!</definedName>
    <definedName name="_obl1716" localSheetId="30">#REF!</definedName>
    <definedName name="_obl1716" localSheetId="31">#REF!</definedName>
    <definedName name="_obl1716" localSheetId="37">#REF!</definedName>
    <definedName name="_obl1716" localSheetId="38">#REF!</definedName>
    <definedName name="_obl1716" localSheetId="36">#REF!</definedName>
    <definedName name="_obl1716" localSheetId="1">#REF!</definedName>
    <definedName name="_obl1716">#REF!</definedName>
    <definedName name="_obl1717" localSheetId="2">#REF!</definedName>
    <definedName name="_obl1717" localSheetId="4">#REF!</definedName>
    <definedName name="_obl1717" localSheetId="5">#REF!</definedName>
    <definedName name="_obl1717" localSheetId="6">#REF!</definedName>
    <definedName name="_obl1717" localSheetId="7">#REF!</definedName>
    <definedName name="_obl1717" localSheetId="8">#REF!</definedName>
    <definedName name="_obl1717" localSheetId="10">#REF!</definedName>
    <definedName name="_obl1717" localSheetId="11">#REF!</definedName>
    <definedName name="_obl1717" localSheetId="14">#REF!</definedName>
    <definedName name="_obl1717" localSheetId="13">#REF!</definedName>
    <definedName name="_obl1717" localSheetId="15">#REF!</definedName>
    <definedName name="_obl1717" localSheetId="16">#REF!</definedName>
    <definedName name="_obl1717" localSheetId="17">#REF!</definedName>
    <definedName name="_obl1717" localSheetId="34">#REF!</definedName>
    <definedName name="_obl1717" localSheetId="32">#REF!</definedName>
    <definedName name="_obl1717" localSheetId="35">#REF!</definedName>
    <definedName name="_obl1717" localSheetId="18">#REF!</definedName>
    <definedName name="_obl1717" localSheetId="20">#REF!</definedName>
    <definedName name="_obl1717" localSheetId="24">#REF!</definedName>
    <definedName name="_obl1717" localSheetId="25">#REF!</definedName>
    <definedName name="_obl1717" localSheetId="26">#REF!</definedName>
    <definedName name="_obl1717" localSheetId="29">#REF!</definedName>
    <definedName name="_obl1717" localSheetId="30">#REF!</definedName>
    <definedName name="_obl1717" localSheetId="31">#REF!</definedName>
    <definedName name="_obl1717" localSheetId="37">#REF!</definedName>
    <definedName name="_obl1717" localSheetId="38">#REF!</definedName>
    <definedName name="_obl1717" localSheetId="36">#REF!</definedName>
    <definedName name="_obl1717" localSheetId="1">#REF!</definedName>
    <definedName name="_obl1717">#REF!</definedName>
    <definedName name="_obl1718" localSheetId="2">#REF!</definedName>
    <definedName name="_obl1718" localSheetId="4">#REF!</definedName>
    <definedName name="_obl1718" localSheetId="5">#REF!</definedName>
    <definedName name="_obl1718" localSheetId="6">#REF!</definedName>
    <definedName name="_obl1718" localSheetId="7">#REF!</definedName>
    <definedName name="_obl1718" localSheetId="8">#REF!</definedName>
    <definedName name="_obl1718" localSheetId="10">#REF!</definedName>
    <definedName name="_obl1718" localSheetId="11">#REF!</definedName>
    <definedName name="_obl1718" localSheetId="14">#REF!</definedName>
    <definedName name="_obl1718" localSheetId="13">#REF!</definedName>
    <definedName name="_obl1718" localSheetId="15">#REF!</definedName>
    <definedName name="_obl1718" localSheetId="16">#REF!</definedName>
    <definedName name="_obl1718" localSheetId="17">#REF!</definedName>
    <definedName name="_obl1718" localSheetId="34">#REF!</definedName>
    <definedName name="_obl1718" localSheetId="32">#REF!</definedName>
    <definedName name="_obl1718" localSheetId="35">#REF!</definedName>
    <definedName name="_obl1718" localSheetId="18">#REF!</definedName>
    <definedName name="_obl1718" localSheetId="20">#REF!</definedName>
    <definedName name="_obl1718" localSheetId="24">#REF!</definedName>
    <definedName name="_obl1718" localSheetId="25">#REF!</definedName>
    <definedName name="_obl1718" localSheetId="26">#REF!</definedName>
    <definedName name="_obl1718" localSheetId="29">#REF!</definedName>
    <definedName name="_obl1718" localSheetId="30">#REF!</definedName>
    <definedName name="_obl1718" localSheetId="31">#REF!</definedName>
    <definedName name="_obl1718" localSheetId="37">#REF!</definedName>
    <definedName name="_obl1718" localSheetId="38">#REF!</definedName>
    <definedName name="_obl1718" localSheetId="36">#REF!</definedName>
    <definedName name="_obl1718" localSheetId="1">#REF!</definedName>
    <definedName name="_obl1718">#REF!</definedName>
    <definedName name="_obl1719" localSheetId="2">#REF!</definedName>
    <definedName name="_obl1719" localSheetId="4">#REF!</definedName>
    <definedName name="_obl1719" localSheetId="5">#REF!</definedName>
    <definedName name="_obl1719" localSheetId="6">#REF!</definedName>
    <definedName name="_obl1719" localSheetId="7">#REF!</definedName>
    <definedName name="_obl1719" localSheetId="8">#REF!</definedName>
    <definedName name="_obl1719" localSheetId="10">#REF!</definedName>
    <definedName name="_obl1719" localSheetId="11">#REF!</definedName>
    <definedName name="_obl1719" localSheetId="14">#REF!</definedName>
    <definedName name="_obl1719" localSheetId="13">#REF!</definedName>
    <definedName name="_obl1719" localSheetId="15">#REF!</definedName>
    <definedName name="_obl1719" localSheetId="16">#REF!</definedName>
    <definedName name="_obl1719" localSheetId="17">#REF!</definedName>
    <definedName name="_obl1719" localSheetId="34">#REF!</definedName>
    <definedName name="_obl1719" localSheetId="32">#REF!</definedName>
    <definedName name="_obl1719" localSheetId="35">#REF!</definedName>
    <definedName name="_obl1719" localSheetId="18">#REF!</definedName>
    <definedName name="_obl1719" localSheetId="20">#REF!</definedName>
    <definedName name="_obl1719" localSheetId="24">#REF!</definedName>
    <definedName name="_obl1719" localSheetId="25">#REF!</definedName>
    <definedName name="_obl1719" localSheetId="26">#REF!</definedName>
    <definedName name="_obl1719" localSheetId="29">#REF!</definedName>
    <definedName name="_obl1719" localSheetId="30">#REF!</definedName>
    <definedName name="_obl1719" localSheetId="31">#REF!</definedName>
    <definedName name="_obl1719" localSheetId="37">#REF!</definedName>
    <definedName name="_obl1719" localSheetId="38">#REF!</definedName>
    <definedName name="_obl1719" localSheetId="36">#REF!</definedName>
    <definedName name="_obl1719" localSheetId="1">#REF!</definedName>
    <definedName name="_obl1719">#REF!</definedName>
    <definedName name="_obl173" localSheetId="2">#REF!</definedName>
    <definedName name="_obl173" localSheetId="4">#REF!</definedName>
    <definedName name="_obl173" localSheetId="5">#REF!</definedName>
    <definedName name="_obl173" localSheetId="6">#REF!</definedName>
    <definedName name="_obl173" localSheetId="7">#REF!</definedName>
    <definedName name="_obl173" localSheetId="8">#REF!</definedName>
    <definedName name="_obl173" localSheetId="10">#REF!</definedName>
    <definedName name="_obl173" localSheetId="11">#REF!</definedName>
    <definedName name="_obl173" localSheetId="14">#REF!</definedName>
    <definedName name="_obl173" localSheetId="13">#REF!</definedName>
    <definedName name="_obl173" localSheetId="15">#REF!</definedName>
    <definedName name="_obl173" localSheetId="16">#REF!</definedName>
    <definedName name="_obl173" localSheetId="17">#REF!</definedName>
    <definedName name="_obl173" localSheetId="34">#REF!</definedName>
    <definedName name="_obl173" localSheetId="32">#REF!</definedName>
    <definedName name="_obl173" localSheetId="35">#REF!</definedName>
    <definedName name="_obl173" localSheetId="18">#REF!</definedName>
    <definedName name="_obl173" localSheetId="20">#REF!</definedName>
    <definedName name="_obl173" localSheetId="24">#REF!</definedName>
    <definedName name="_obl173" localSheetId="25">#REF!</definedName>
    <definedName name="_obl173" localSheetId="26">#REF!</definedName>
    <definedName name="_obl173" localSheetId="29">#REF!</definedName>
    <definedName name="_obl173" localSheetId="30">#REF!</definedName>
    <definedName name="_obl173" localSheetId="31">#REF!</definedName>
    <definedName name="_obl173" localSheetId="37">#REF!</definedName>
    <definedName name="_obl173" localSheetId="38">#REF!</definedName>
    <definedName name="_obl173" localSheetId="36">#REF!</definedName>
    <definedName name="_obl173" localSheetId="1">#REF!</definedName>
    <definedName name="_obl173">#REF!</definedName>
    <definedName name="_obl174" localSheetId="2">#REF!</definedName>
    <definedName name="_obl174" localSheetId="4">#REF!</definedName>
    <definedName name="_obl174" localSheetId="5">#REF!</definedName>
    <definedName name="_obl174" localSheetId="6">#REF!</definedName>
    <definedName name="_obl174" localSheetId="7">#REF!</definedName>
    <definedName name="_obl174" localSheetId="8">#REF!</definedName>
    <definedName name="_obl174" localSheetId="10">#REF!</definedName>
    <definedName name="_obl174" localSheetId="11">#REF!</definedName>
    <definedName name="_obl174" localSheetId="14">#REF!</definedName>
    <definedName name="_obl174" localSheetId="13">#REF!</definedName>
    <definedName name="_obl174" localSheetId="15">#REF!</definedName>
    <definedName name="_obl174" localSheetId="16">#REF!</definedName>
    <definedName name="_obl174" localSheetId="17">#REF!</definedName>
    <definedName name="_obl174" localSheetId="34">#REF!</definedName>
    <definedName name="_obl174" localSheetId="32">#REF!</definedName>
    <definedName name="_obl174" localSheetId="35">#REF!</definedName>
    <definedName name="_obl174" localSheetId="18">#REF!</definedName>
    <definedName name="_obl174" localSheetId="20">#REF!</definedName>
    <definedName name="_obl174" localSheetId="24">#REF!</definedName>
    <definedName name="_obl174" localSheetId="25">#REF!</definedName>
    <definedName name="_obl174" localSheetId="26">#REF!</definedName>
    <definedName name="_obl174" localSheetId="29">#REF!</definedName>
    <definedName name="_obl174" localSheetId="30">#REF!</definedName>
    <definedName name="_obl174" localSheetId="31">#REF!</definedName>
    <definedName name="_obl174" localSheetId="37">#REF!</definedName>
    <definedName name="_obl174" localSheetId="38">#REF!</definedName>
    <definedName name="_obl174" localSheetId="36">#REF!</definedName>
    <definedName name="_obl174" localSheetId="1">#REF!</definedName>
    <definedName name="_obl174">#REF!</definedName>
    <definedName name="_obl175" localSheetId="2">#REF!</definedName>
    <definedName name="_obl175" localSheetId="4">#REF!</definedName>
    <definedName name="_obl175" localSheetId="5">#REF!</definedName>
    <definedName name="_obl175" localSheetId="6">#REF!</definedName>
    <definedName name="_obl175" localSheetId="7">#REF!</definedName>
    <definedName name="_obl175" localSheetId="8">#REF!</definedName>
    <definedName name="_obl175" localSheetId="10">#REF!</definedName>
    <definedName name="_obl175" localSheetId="11">#REF!</definedName>
    <definedName name="_obl175" localSheetId="14">#REF!</definedName>
    <definedName name="_obl175" localSheetId="13">#REF!</definedName>
    <definedName name="_obl175" localSheetId="15">#REF!</definedName>
    <definedName name="_obl175" localSheetId="16">#REF!</definedName>
    <definedName name="_obl175" localSheetId="17">#REF!</definedName>
    <definedName name="_obl175" localSheetId="34">#REF!</definedName>
    <definedName name="_obl175" localSheetId="32">#REF!</definedName>
    <definedName name="_obl175" localSheetId="35">#REF!</definedName>
    <definedName name="_obl175" localSheetId="18">#REF!</definedName>
    <definedName name="_obl175" localSheetId="20">#REF!</definedName>
    <definedName name="_obl175" localSheetId="24">#REF!</definedName>
    <definedName name="_obl175" localSheetId="25">#REF!</definedName>
    <definedName name="_obl175" localSheetId="26">#REF!</definedName>
    <definedName name="_obl175" localSheetId="29">#REF!</definedName>
    <definedName name="_obl175" localSheetId="30">#REF!</definedName>
    <definedName name="_obl175" localSheetId="31">#REF!</definedName>
    <definedName name="_obl175" localSheetId="37">#REF!</definedName>
    <definedName name="_obl175" localSheetId="38">#REF!</definedName>
    <definedName name="_obl175" localSheetId="36">#REF!</definedName>
    <definedName name="_obl175" localSheetId="1">#REF!</definedName>
    <definedName name="_obl175">#REF!</definedName>
    <definedName name="_obl176" localSheetId="2">#REF!</definedName>
    <definedName name="_obl176" localSheetId="4">#REF!</definedName>
    <definedName name="_obl176" localSheetId="5">#REF!</definedName>
    <definedName name="_obl176" localSheetId="6">#REF!</definedName>
    <definedName name="_obl176" localSheetId="7">#REF!</definedName>
    <definedName name="_obl176" localSheetId="8">#REF!</definedName>
    <definedName name="_obl176" localSheetId="10">#REF!</definedName>
    <definedName name="_obl176" localSheetId="11">#REF!</definedName>
    <definedName name="_obl176" localSheetId="14">#REF!</definedName>
    <definedName name="_obl176" localSheetId="13">#REF!</definedName>
    <definedName name="_obl176" localSheetId="15">#REF!</definedName>
    <definedName name="_obl176" localSheetId="16">#REF!</definedName>
    <definedName name="_obl176" localSheetId="17">#REF!</definedName>
    <definedName name="_obl176" localSheetId="34">#REF!</definedName>
    <definedName name="_obl176" localSheetId="32">#REF!</definedName>
    <definedName name="_obl176" localSheetId="35">#REF!</definedName>
    <definedName name="_obl176" localSheetId="18">#REF!</definedName>
    <definedName name="_obl176" localSheetId="20">#REF!</definedName>
    <definedName name="_obl176" localSheetId="24">#REF!</definedName>
    <definedName name="_obl176" localSheetId="25">#REF!</definedName>
    <definedName name="_obl176" localSheetId="26">#REF!</definedName>
    <definedName name="_obl176" localSheetId="29">#REF!</definedName>
    <definedName name="_obl176" localSheetId="30">#REF!</definedName>
    <definedName name="_obl176" localSheetId="31">#REF!</definedName>
    <definedName name="_obl176" localSheetId="37">#REF!</definedName>
    <definedName name="_obl176" localSheetId="38">#REF!</definedName>
    <definedName name="_obl176" localSheetId="36">#REF!</definedName>
    <definedName name="_obl176" localSheetId="1">#REF!</definedName>
    <definedName name="_obl176">#REF!</definedName>
    <definedName name="_obl177" localSheetId="2">#REF!</definedName>
    <definedName name="_obl177" localSheetId="4">#REF!</definedName>
    <definedName name="_obl177" localSheetId="5">#REF!</definedName>
    <definedName name="_obl177" localSheetId="6">#REF!</definedName>
    <definedName name="_obl177" localSheetId="7">#REF!</definedName>
    <definedName name="_obl177" localSheetId="8">#REF!</definedName>
    <definedName name="_obl177" localSheetId="10">#REF!</definedName>
    <definedName name="_obl177" localSheetId="11">#REF!</definedName>
    <definedName name="_obl177" localSheetId="14">#REF!</definedName>
    <definedName name="_obl177" localSheetId="13">#REF!</definedName>
    <definedName name="_obl177" localSheetId="15">#REF!</definedName>
    <definedName name="_obl177" localSheetId="16">#REF!</definedName>
    <definedName name="_obl177" localSheetId="17">#REF!</definedName>
    <definedName name="_obl177" localSheetId="34">#REF!</definedName>
    <definedName name="_obl177" localSheetId="32">#REF!</definedName>
    <definedName name="_obl177" localSheetId="35">#REF!</definedName>
    <definedName name="_obl177" localSheetId="18">#REF!</definedName>
    <definedName name="_obl177" localSheetId="20">#REF!</definedName>
    <definedName name="_obl177" localSheetId="24">#REF!</definedName>
    <definedName name="_obl177" localSheetId="25">#REF!</definedName>
    <definedName name="_obl177" localSheetId="26">#REF!</definedName>
    <definedName name="_obl177" localSheetId="29">#REF!</definedName>
    <definedName name="_obl177" localSheetId="30">#REF!</definedName>
    <definedName name="_obl177" localSheetId="31">#REF!</definedName>
    <definedName name="_obl177" localSheetId="37">#REF!</definedName>
    <definedName name="_obl177" localSheetId="38">#REF!</definedName>
    <definedName name="_obl177" localSheetId="36">#REF!</definedName>
    <definedName name="_obl177" localSheetId="1">#REF!</definedName>
    <definedName name="_obl177">#REF!</definedName>
    <definedName name="_obl178" localSheetId="2">#REF!</definedName>
    <definedName name="_obl178" localSheetId="4">#REF!</definedName>
    <definedName name="_obl178" localSheetId="5">#REF!</definedName>
    <definedName name="_obl178" localSheetId="6">#REF!</definedName>
    <definedName name="_obl178" localSheetId="7">#REF!</definedName>
    <definedName name="_obl178" localSheetId="8">#REF!</definedName>
    <definedName name="_obl178" localSheetId="10">#REF!</definedName>
    <definedName name="_obl178" localSheetId="11">#REF!</definedName>
    <definedName name="_obl178" localSheetId="14">#REF!</definedName>
    <definedName name="_obl178" localSheetId="13">#REF!</definedName>
    <definedName name="_obl178" localSheetId="15">#REF!</definedName>
    <definedName name="_obl178" localSheetId="16">#REF!</definedName>
    <definedName name="_obl178" localSheetId="17">#REF!</definedName>
    <definedName name="_obl178" localSheetId="34">#REF!</definedName>
    <definedName name="_obl178" localSheetId="32">#REF!</definedName>
    <definedName name="_obl178" localSheetId="35">#REF!</definedName>
    <definedName name="_obl178" localSheetId="18">#REF!</definedName>
    <definedName name="_obl178" localSheetId="20">#REF!</definedName>
    <definedName name="_obl178" localSheetId="24">#REF!</definedName>
    <definedName name="_obl178" localSheetId="25">#REF!</definedName>
    <definedName name="_obl178" localSheetId="26">#REF!</definedName>
    <definedName name="_obl178" localSheetId="29">#REF!</definedName>
    <definedName name="_obl178" localSheetId="30">#REF!</definedName>
    <definedName name="_obl178" localSheetId="31">#REF!</definedName>
    <definedName name="_obl178" localSheetId="37">#REF!</definedName>
    <definedName name="_obl178" localSheetId="38">#REF!</definedName>
    <definedName name="_obl178" localSheetId="36">#REF!</definedName>
    <definedName name="_obl178" localSheetId="1">#REF!</definedName>
    <definedName name="_obl178">#REF!</definedName>
    <definedName name="_obl179" localSheetId="2">#REF!</definedName>
    <definedName name="_obl179" localSheetId="4">#REF!</definedName>
    <definedName name="_obl179" localSheetId="5">#REF!</definedName>
    <definedName name="_obl179" localSheetId="6">#REF!</definedName>
    <definedName name="_obl179" localSheetId="7">#REF!</definedName>
    <definedName name="_obl179" localSheetId="8">#REF!</definedName>
    <definedName name="_obl179" localSheetId="10">#REF!</definedName>
    <definedName name="_obl179" localSheetId="11">#REF!</definedName>
    <definedName name="_obl179" localSheetId="14">#REF!</definedName>
    <definedName name="_obl179" localSheetId="13">#REF!</definedName>
    <definedName name="_obl179" localSheetId="15">#REF!</definedName>
    <definedName name="_obl179" localSheetId="16">#REF!</definedName>
    <definedName name="_obl179" localSheetId="17">#REF!</definedName>
    <definedName name="_obl179" localSheetId="34">#REF!</definedName>
    <definedName name="_obl179" localSheetId="32">#REF!</definedName>
    <definedName name="_obl179" localSheetId="35">#REF!</definedName>
    <definedName name="_obl179" localSheetId="18">#REF!</definedName>
    <definedName name="_obl179" localSheetId="20">#REF!</definedName>
    <definedName name="_obl179" localSheetId="24">#REF!</definedName>
    <definedName name="_obl179" localSheetId="25">#REF!</definedName>
    <definedName name="_obl179" localSheetId="26">#REF!</definedName>
    <definedName name="_obl179" localSheetId="29">#REF!</definedName>
    <definedName name="_obl179" localSheetId="30">#REF!</definedName>
    <definedName name="_obl179" localSheetId="31">#REF!</definedName>
    <definedName name="_obl179" localSheetId="37">#REF!</definedName>
    <definedName name="_obl179" localSheetId="38">#REF!</definedName>
    <definedName name="_obl179" localSheetId="36">#REF!</definedName>
    <definedName name="_obl179" localSheetId="1">#REF!</definedName>
    <definedName name="_obl179">#REF!</definedName>
    <definedName name="_obl18" localSheetId="2">#REF!</definedName>
    <definedName name="_obl18" localSheetId="4">#REF!</definedName>
    <definedName name="_obl18" localSheetId="5">#REF!</definedName>
    <definedName name="_obl18" localSheetId="6">#REF!</definedName>
    <definedName name="_obl18" localSheetId="7">#REF!</definedName>
    <definedName name="_obl18" localSheetId="8">#REF!</definedName>
    <definedName name="_obl18" localSheetId="10">#REF!</definedName>
    <definedName name="_obl18" localSheetId="11">#REF!</definedName>
    <definedName name="_obl18" localSheetId="14">#REF!</definedName>
    <definedName name="_obl18" localSheetId="13">#REF!</definedName>
    <definedName name="_obl18" localSheetId="15">#REF!</definedName>
    <definedName name="_obl18" localSheetId="16">#REF!</definedName>
    <definedName name="_obl18" localSheetId="17">#REF!</definedName>
    <definedName name="_obl18" localSheetId="34">#REF!</definedName>
    <definedName name="_obl18" localSheetId="32">#REF!</definedName>
    <definedName name="_obl18" localSheetId="35">#REF!</definedName>
    <definedName name="_obl18" localSheetId="18">#REF!</definedName>
    <definedName name="_obl18" localSheetId="20">#REF!</definedName>
    <definedName name="_obl18" localSheetId="24">#REF!</definedName>
    <definedName name="_obl18" localSheetId="25">#REF!</definedName>
    <definedName name="_obl18" localSheetId="26">#REF!</definedName>
    <definedName name="_obl18" localSheetId="29">#REF!</definedName>
    <definedName name="_obl18" localSheetId="30">#REF!</definedName>
    <definedName name="_obl18" localSheetId="31">#REF!</definedName>
    <definedName name="_obl18" localSheetId="37">#REF!</definedName>
    <definedName name="_obl18" localSheetId="38">#REF!</definedName>
    <definedName name="_obl18" localSheetId="36">#REF!</definedName>
    <definedName name="_obl18" localSheetId="1">#REF!</definedName>
    <definedName name="_obl18">#REF!</definedName>
    <definedName name="_obl181" localSheetId="2">#REF!</definedName>
    <definedName name="_obl181" localSheetId="4">#REF!</definedName>
    <definedName name="_obl181" localSheetId="5">#REF!</definedName>
    <definedName name="_obl181" localSheetId="6">#REF!</definedName>
    <definedName name="_obl181" localSheetId="7">#REF!</definedName>
    <definedName name="_obl181" localSheetId="8">#REF!</definedName>
    <definedName name="_obl181" localSheetId="10">#REF!</definedName>
    <definedName name="_obl181" localSheetId="11">#REF!</definedName>
    <definedName name="_obl181" localSheetId="14">#REF!</definedName>
    <definedName name="_obl181" localSheetId="13">#REF!</definedName>
    <definedName name="_obl181" localSheetId="15">#REF!</definedName>
    <definedName name="_obl181" localSheetId="16">#REF!</definedName>
    <definedName name="_obl181" localSheetId="17">#REF!</definedName>
    <definedName name="_obl181" localSheetId="34">#REF!</definedName>
    <definedName name="_obl181" localSheetId="32">#REF!</definedName>
    <definedName name="_obl181" localSheetId="35">#REF!</definedName>
    <definedName name="_obl181" localSheetId="18">#REF!</definedName>
    <definedName name="_obl181" localSheetId="20">#REF!</definedName>
    <definedName name="_obl181" localSheetId="24">#REF!</definedName>
    <definedName name="_obl181" localSheetId="25">#REF!</definedName>
    <definedName name="_obl181" localSheetId="26">#REF!</definedName>
    <definedName name="_obl181" localSheetId="29">#REF!</definedName>
    <definedName name="_obl181" localSheetId="30">#REF!</definedName>
    <definedName name="_obl181" localSheetId="31">#REF!</definedName>
    <definedName name="_obl181" localSheetId="37">#REF!</definedName>
    <definedName name="_obl181" localSheetId="38">#REF!</definedName>
    <definedName name="_obl181" localSheetId="36">#REF!</definedName>
    <definedName name="_obl181" localSheetId="1">#REF!</definedName>
    <definedName name="_obl181">#REF!</definedName>
    <definedName name="_obl1816" localSheetId="2">#REF!</definedName>
    <definedName name="_obl1816" localSheetId="4">#REF!</definedName>
    <definedName name="_obl1816" localSheetId="5">#REF!</definedName>
    <definedName name="_obl1816" localSheetId="6">#REF!</definedName>
    <definedName name="_obl1816" localSheetId="7">#REF!</definedName>
    <definedName name="_obl1816" localSheetId="8">#REF!</definedName>
    <definedName name="_obl1816" localSheetId="10">#REF!</definedName>
    <definedName name="_obl1816" localSheetId="11">#REF!</definedName>
    <definedName name="_obl1816" localSheetId="14">#REF!</definedName>
    <definedName name="_obl1816" localSheetId="13">#REF!</definedName>
    <definedName name="_obl1816" localSheetId="15">#REF!</definedName>
    <definedName name="_obl1816" localSheetId="16">#REF!</definedName>
    <definedName name="_obl1816" localSheetId="17">#REF!</definedName>
    <definedName name="_obl1816" localSheetId="34">#REF!</definedName>
    <definedName name="_obl1816" localSheetId="32">#REF!</definedName>
    <definedName name="_obl1816" localSheetId="35">#REF!</definedName>
    <definedName name="_obl1816" localSheetId="18">#REF!</definedName>
    <definedName name="_obl1816" localSheetId="20">#REF!</definedName>
    <definedName name="_obl1816" localSheetId="24">#REF!</definedName>
    <definedName name="_obl1816" localSheetId="25">#REF!</definedName>
    <definedName name="_obl1816" localSheetId="26">#REF!</definedName>
    <definedName name="_obl1816" localSheetId="29">#REF!</definedName>
    <definedName name="_obl1816" localSheetId="30">#REF!</definedName>
    <definedName name="_obl1816" localSheetId="31">#REF!</definedName>
    <definedName name="_obl1816" localSheetId="37">#REF!</definedName>
    <definedName name="_obl1816" localSheetId="38">#REF!</definedName>
    <definedName name="_obl1816" localSheetId="36">#REF!</definedName>
    <definedName name="_obl1816" localSheetId="1">#REF!</definedName>
    <definedName name="_obl1816">#REF!</definedName>
    <definedName name="_obl1820" localSheetId="2">#REF!</definedName>
    <definedName name="_obl1820" localSheetId="4">#REF!</definedName>
    <definedName name="_obl1820" localSheetId="5">#REF!</definedName>
    <definedName name="_obl1820" localSheetId="6">#REF!</definedName>
    <definedName name="_obl1820" localSheetId="7">#REF!</definedName>
    <definedName name="_obl1820" localSheetId="8">#REF!</definedName>
    <definedName name="_obl1820" localSheetId="10">#REF!</definedName>
    <definedName name="_obl1820" localSheetId="11">#REF!</definedName>
    <definedName name="_obl1820" localSheetId="14">#REF!</definedName>
    <definedName name="_obl1820" localSheetId="13">#REF!</definedName>
    <definedName name="_obl1820" localSheetId="15">#REF!</definedName>
    <definedName name="_obl1820" localSheetId="16">#REF!</definedName>
    <definedName name="_obl1820" localSheetId="17">#REF!</definedName>
    <definedName name="_obl1820" localSheetId="34">#REF!</definedName>
    <definedName name="_obl1820" localSheetId="32">#REF!</definedName>
    <definedName name="_obl1820" localSheetId="35">#REF!</definedName>
    <definedName name="_obl1820" localSheetId="18">#REF!</definedName>
    <definedName name="_obl1820" localSheetId="20">#REF!</definedName>
    <definedName name="_obl1820" localSheetId="24">#REF!</definedName>
    <definedName name="_obl1820" localSheetId="25">#REF!</definedName>
    <definedName name="_obl1820" localSheetId="26">#REF!</definedName>
    <definedName name="_obl1820" localSheetId="29">#REF!</definedName>
    <definedName name="_obl1820" localSheetId="30">#REF!</definedName>
    <definedName name="_obl1820" localSheetId="31">#REF!</definedName>
    <definedName name="_obl1820" localSheetId="37">#REF!</definedName>
    <definedName name="_obl1820" localSheetId="38">#REF!</definedName>
    <definedName name="_obl1820" localSheetId="36">#REF!</definedName>
    <definedName name="_obl1820" localSheetId="1">#REF!</definedName>
    <definedName name="_obl1820">#REF!</definedName>
    <definedName name="_obl1821" localSheetId="2">#REF!</definedName>
    <definedName name="_obl1821" localSheetId="4">#REF!</definedName>
    <definedName name="_obl1821" localSheetId="5">#REF!</definedName>
    <definedName name="_obl1821" localSheetId="6">#REF!</definedName>
    <definedName name="_obl1821" localSheetId="7">#REF!</definedName>
    <definedName name="_obl1821" localSheetId="8">#REF!</definedName>
    <definedName name="_obl1821" localSheetId="10">#REF!</definedName>
    <definedName name="_obl1821" localSheetId="11">#REF!</definedName>
    <definedName name="_obl1821" localSheetId="14">#REF!</definedName>
    <definedName name="_obl1821" localSheetId="13">#REF!</definedName>
    <definedName name="_obl1821" localSheetId="15">#REF!</definedName>
    <definedName name="_obl1821" localSheetId="16">#REF!</definedName>
    <definedName name="_obl1821" localSheetId="17">#REF!</definedName>
    <definedName name="_obl1821" localSheetId="34">#REF!</definedName>
    <definedName name="_obl1821" localSheetId="32">#REF!</definedName>
    <definedName name="_obl1821" localSheetId="35">#REF!</definedName>
    <definedName name="_obl1821" localSheetId="18">#REF!</definedName>
    <definedName name="_obl1821" localSheetId="20">#REF!</definedName>
    <definedName name="_obl1821" localSheetId="24">#REF!</definedName>
    <definedName name="_obl1821" localSheetId="25">#REF!</definedName>
    <definedName name="_obl1821" localSheetId="26">#REF!</definedName>
    <definedName name="_obl1821" localSheetId="29">#REF!</definedName>
    <definedName name="_obl1821" localSheetId="30">#REF!</definedName>
    <definedName name="_obl1821" localSheetId="31">#REF!</definedName>
    <definedName name="_obl1821" localSheetId="37">#REF!</definedName>
    <definedName name="_obl1821" localSheetId="38">#REF!</definedName>
    <definedName name="_obl1821" localSheetId="36">#REF!</definedName>
    <definedName name="_obl1821" localSheetId="1">#REF!</definedName>
    <definedName name="_obl1821">#REF!</definedName>
    <definedName name="_obl1822" localSheetId="2">#REF!</definedName>
    <definedName name="_obl1822" localSheetId="4">#REF!</definedName>
    <definedName name="_obl1822" localSheetId="5">#REF!</definedName>
    <definedName name="_obl1822" localSheetId="6">#REF!</definedName>
    <definedName name="_obl1822" localSheetId="7">#REF!</definedName>
    <definedName name="_obl1822" localSheetId="8">#REF!</definedName>
    <definedName name="_obl1822" localSheetId="10">#REF!</definedName>
    <definedName name="_obl1822" localSheetId="11">#REF!</definedName>
    <definedName name="_obl1822" localSheetId="14">#REF!</definedName>
    <definedName name="_obl1822" localSheetId="13">#REF!</definedName>
    <definedName name="_obl1822" localSheetId="15">#REF!</definedName>
    <definedName name="_obl1822" localSheetId="16">#REF!</definedName>
    <definedName name="_obl1822" localSheetId="17">#REF!</definedName>
    <definedName name="_obl1822" localSheetId="34">#REF!</definedName>
    <definedName name="_obl1822" localSheetId="32">#REF!</definedName>
    <definedName name="_obl1822" localSheetId="35">#REF!</definedName>
    <definedName name="_obl1822" localSheetId="18">#REF!</definedName>
    <definedName name="_obl1822" localSheetId="20">#REF!</definedName>
    <definedName name="_obl1822" localSheetId="24">#REF!</definedName>
    <definedName name="_obl1822" localSheetId="25">#REF!</definedName>
    <definedName name="_obl1822" localSheetId="26">#REF!</definedName>
    <definedName name="_obl1822" localSheetId="29">#REF!</definedName>
    <definedName name="_obl1822" localSheetId="30">#REF!</definedName>
    <definedName name="_obl1822" localSheetId="31">#REF!</definedName>
    <definedName name="_obl1822" localSheetId="37">#REF!</definedName>
    <definedName name="_obl1822" localSheetId="38">#REF!</definedName>
    <definedName name="_obl1822" localSheetId="36">#REF!</definedName>
    <definedName name="_obl1822" localSheetId="1">#REF!</definedName>
    <definedName name="_obl1822">#REF!</definedName>
    <definedName name="_obl1823" localSheetId="2">#REF!</definedName>
    <definedName name="_obl1823" localSheetId="4">#REF!</definedName>
    <definedName name="_obl1823" localSheetId="5">#REF!</definedName>
    <definedName name="_obl1823" localSheetId="6">#REF!</definedName>
    <definedName name="_obl1823" localSheetId="7">#REF!</definedName>
    <definedName name="_obl1823" localSheetId="8">#REF!</definedName>
    <definedName name="_obl1823" localSheetId="10">#REF!</definedName>
    <definedName name="_obl1823" localSheetId="11">#REF!</definedName>
    <definedName name="_obl1823" localSheetId="14">#REF!</definedName>
    <definedName name="_obl1823" localSheetId="13">#REF!</definedName>
    <definedName name="_obl1823" localSheetId="15">#REF!</definedName>
    <definedName name="_obl1823" localSheetId="16">#REF!</definedName>
    <definedName name="_obl1823" localSheetId="17">#REF!</definedName>
    <definedName name="_obl1823" localSheetId="34">#REF!</definedName>
    <definedName name="_obl1823" localSheetId="32">#REF!</definedName>
    <definedName name="_obl1823" localSheetId="35">#REF!</definedName>
    <definedName name="_obl1823" localSheetId="18">#REF!</definedName>
    <definedName name="_obl1823" localSheetId="20">#REF!</definedName>
    <definedName name="_obl1823" localSheetId="24">#REF!</definedName>
    <definedName name="_obl1823" localSheetId="25">#REF!</definedName>
    <definedName name="_obl1823" localSheetId="26">#REF!</definedName>
    <definedName name="_obl1823" localSheetId="29">#REF!</definedName>
    <definedName name="_obl1823" localSheetId="30">#REF!</definedName>
    <definedName name="_obl1823" localSheetId="31">#REF!</definedName>
    <definedName name="_obl1823" localSheetId="37">#REF!</definedName>
    <definedName name="_obl1823" localSheetId="38">#REF!</definedName>
    <definedName name="_obl1823" localSheetId="36">#REF!</definedName>
    <definedName name="_obl1823" localSheetId="1">#REF!</definedName>
    <definedName name="_obl1823">#REF!</definedName>
    <definedName name="_obl1824" localSheetId="2">#REF!</definedName>
    <definedName name="_obl1824" localSheetId="4">#REF!</definedName>
    <definedName name="_obl1824" localSheetId="5">#REF!</definedName>
    <definedName name="_obl1824" localSheetId="6">#REF!</definedName>
    <definedName name="_obl1824" localSheetId="7">#REF!</definedName>
    <definedName name="_obl1824" localSheetId="8">#REF!</definedName>
    <definedName name="_obl1824" localSheetId="10">#REF!</definedName>
    <definedName name="_obl1824" localSheetId="11">#REF!</definedName>
    <definedName name="_obl1824" localSheetId="14">#REF!</definedName>
    <definedName name="_obl1824" localSheetId="13">#REF!</definedName>
    <definedName name="_obl1824" localSheetId="15">#REF!</definedName>
    <definedName name="_obl1824" localSheetId="16">#REF!</definedName>
    <definedName name="_obl1824" localSheetId="17">#REF!</definedName>
    <definedName name="_obl1824" localSheetId="34">#REF!</definedName>
    <definedName name="_obl1824" localSheetId="32">#REF!</definedName>
    <definedName name="_obl1824" localSheetId="35">#REF!</definedName>
    <definedName name="_obl1824" localSheetId="18">#REF!</definedName>
    <definedName name="_obl1824" localSheetId="20">#REF!</definedName>
    <definedName name="_obl1824" localSheetId="24">#REF!</definedName>
    <definedName name="_obl1824" localSheetId="25">#REF!</definedName>
    <definedName name="_obl1824" localSheetId="26">#REF!</definedName>
    <definedName name="_obl1824" localSheetId="29">#REF!</definedName>
    <definedName name="_obl1824" localSheetId="30">#REF!</definedName>
    <definedName name="_obl1824" localSheetId="31">#REF!</definedName>
    <definedName name="_obl1824" localSheetId="37">#REF!</definedName>
    <definedName name="_obl1824" localSheetId="38">#REF!</definedName>
    <definedName name="_obl1824" localSheetId="36">#REF!</definedName>
    <definedName name="_obl1824" localSheetId="1">#REF!</definedName>
    <definedName name="_obl1824">#REF!</definedName>
    <definedName name="_obl1825" localSheetId="2">#REF!</definedName>
    <definedName name="_obl1825" localSheetId="4">#REF!</definedName>
    <definedName name="_obl1825" localSheetId="5">#REF!</definedName>
    <definedName name="_obl1825" localSheetId="6">#REF!</definedName>
    <definedName name="_obl1825" localSheetId="7">#REF!</definedName>
    <definedName name="_obl1825" localSheetId="8">#REF!</definedName>
    <definedName name="_obl1825" localSheetId="10">#REF!</definedName>
    <definedName name="_obl1825" localSheetId="11">#REF!</definedName>
    <definedName name="_obl1825" localSheetId="14">#REF!</definedName>
    <definedName name="_obl1825" localSheetId="13">#REF!</definedName>
    <definedName name="_obl1825" localSheetId="15">#REF!</definedName>
    <definedName name="_obl1825" localSheetId="16">#REF!</definedName>
    <definedName name="_obl1825" localSheetId="17">#REF!</definedName>
    <definedName name="_obl1825" localSheetId="34">#REF!</definedName>
    <definedName name="_obl1825" localSheetId="32">#REF!</definedName>
    <definedName name="_obl1825" localSheetId="35">#REF!</definedName>
    <definedName name="_obl1825" localSheetId="18">#REF!</definedName>
    <definedName name="_obl1825" localSheetId="20">#REF!</definedName>
    <definedName name="_obl1825" localSheetId="24">#REF!</definedName>
    <definedName name="_obl1825" localSheetId="25">#REF!</definedName>
    <definedName name="_obl1825" localSheetId="26">#REF!</definedName>
    <definedName name="_obl1825" localSheetId="29">#REF!</definedName>
    <definedName name="_obl1825" localSheetId="30">#REF!</definedName>
    <definedName name="_obl1825" localSheetId="31">#REF!</definedName>
    <definedName name="_obl1825" localSheetId="37">#REF!</definedName>
    <definedName name="_obl1825" localSheetId="38">#REF!</definedName>
    <definedName name="_obl1825" localSheetId="36">#REF!</definedName>
    <definedName name="_obl1825" localSheetId="1">#REF!</definedName>
    <definedName name="_obl1825">#REF!</definedName>
    <definedName name="_obl1826" localSheetId="2">#REF!</definedName>
    <definedName name="_obl1826" localSheetId="4">#REF!</definedName>
    <definedName name="_obl1826" localSheetId="5">#REF!</definedName>
    <definedName name="_obl1826" localSheetId="6">#REF!</definedName>
    <definedName name="_obl1826" localSheetId="7">#REF!</definedName>
    <definedName name="_obl1826" localSheetId="8">#REF!</definedName>
    <definedName name="_obl1826" localSheetId="10">#REF!</definedName>
    <definedName name="_obl1826" localSheetId="11">#REF!</definedName>
    <definedName name="_obl1826" localSheetId="14">#REF!</definedName>
    <definedName name="_obl1826" localSheetId="13">#REF!</definedName>
    <definedName name="_obl1826" localSheetId="15">#REF!</definedName>
    <definedName name="_obl1826" localSheetId="16">#REF!</definedName>
    <definedName name="_obl1826" localSheetId="17">#REF!</definedName>
    <definedName name="_obl1826" localSheetId="34">#REF!</definedName>
    <definedName name="_obl1826" localSheetId="32">#REF!</definedName>
    <definedName name="_obl1826" localSheetId="35">#REF!</definedName>
    <definedName name="_obl1826" localSheetId="18">#REF!</definedName>
    <definedName name="_obl1826" localSheetId="20">#REF!</definedName>
    <definedName name="_obl1826" localSheetId="24">#REF!</definedName>
    <definedName name="_obl1826" localSheetId="25">#REF!</definedName>
    <definedName name="_obl1826" localSheetId="26">#REF!</definedName>
    <definedName name="_obl1826" localSheetId="29">#REF!</definedName>
    <definedName name="_obl1826" localSheetId="30">#REF!</definedName>
    <definedName name="_obl1826" localSheetId="31">#REF!</definedName>
    <definedName name="_obl1826" localSheetId="37">#REF!</definedName>
    <definedName name="_obl1826" localSheetId="38">#REF!</definedName>
    <definedName name="_obl1826" localSheetId="36">#REF!</definedName>
    <definedName name="_obl1826" localSheetId="1">#REF!</definedName>
    <definedName name="_obl1826">#REF!</definedName>
    <definedName name="_obl1827" localSheetId="2">#REF!</definedName>
    <definedName name="_obl1827" localSheetId="4">#REF!</definedName>
    <definedName name="_obl1827" localSheetId="5">#REF!</definedName>
    <definedName name="_obl1827" localSheetId="6">#REF!</definedName>
    <definedName name="_obl1827" localSheetId="7">#REF!</definedName>
    <definedName name="_obl1827" localSheetId="8">#REF!</definedName>
    <definedName name="_obl1827" localSheetId="10">#REF!</definedName>
    <definedName name="_obl1827" localSheetId="11">#REF!</definedName>
    <definedName name="_obl1827" localSheetId="14">#REF!</definedName>
    <definedName name="_obl1827" localSheetId="13">#REF!</definedName>
    <definedName name="_obl1827" localSheetId="15">#REF!</definedName>
    <definedName name="_obl1827" localSheetId="16">#REF!</definedName>
    <definedName name="_obl1827" localSheetId="17">#REF!</definedName>
    <definedName name="_obl1827" localSheetId="34">#REF!</definedName>
    <definedName name="_obl1827" localSheetId="32">#REF!</definedName>
    <definedName name="_obl1827" localSheetId="35">#REF!</definedName>
    <definedName name="_obl1827" localSheetId="18">#REF!</definedName>
    <definedName name="_obl1827" localSheetId="20">#REF!</definedName>
    <definedName name="_obl1827" localSheetId="24">#REF!</definedName>
    <definedName name="_obl1827" localSheetId="25">#REF!</definedName>
    <definedName name="_obl1827" localSheetId="26">#REF!</definedName>
    <definedName name="_obl1827" localSheetId="29">#REF!</definedName>
    <definedName name="_obl1827" localSheetId="30">#REF!</definedName>
    <definedName name="_obl1827" localSheetId="31">#REF!</definedName>
    <definedName name="_obl1827" localSheetId="37">#REF!</definedName>
    <definedName name="_obl1827" localSheetId="38">#REF!</definedName>
    <definedName name="_obl1827" localSheetId="36">#REF!</definedName>
    <definedName name="_obl1827" localSheetId="1">#REF!</definedName>
    <definedName name="_obl1827">#REF!</definedName>
    <definedName name="_obl1828" localSheetId="2">#REF!</definedName>
    <definedName name="_obl1828" localSheetId="4">#REF!</definedName>
    <definedName name="_obl1828" localSheetId="5">#REF!</definedName>
    <definedName name="_obl1828" localSheetId="6">#REF!</definedName>
    <definedName name="_obl1828" localSheetId="7">#REF!</definedName>
    <definedName name="_obl1828" localSheetId="8">#REF!</definedName>
    <definedName name="_obl1828" localSheetId="10">#REF!</definedName>
    <definedName name="_obl1828" localSheetId="11">#REF!</definedName>
    <definedName name="_obl1828" localSheetId="14">#REF!</definedName>
    <definedName name="_obl1828" localSheetId="13">#REF!</definedName>
    <definedName name="_obl1828" localSheetId="15">#REF!</definedName>
    <definedName name="_obl1828" localSheetId="16">#REF!</definedName>
    <definedName name="_obl1828" localSheetId="17">#REF!</definedName>
    <definedName name="_obl1828" localSheetId="34">#REF!</definedName>
    <definedName name="_obl1828" localSheetId="32">#REF!</definedName>
    <definedName name="_obl1828" localSheetId="35">#REF!</definedName>
    <definedName name="_obl1828" localSheetId="18">#REF!</definedName>
    <definedName name="_obl1828" localSheetId="20">#REF!</definedName>
    <definedName name="_obl1828" localSheetId="24">#REF!</definedName>
    <definedName name="_obl1828" localSheetId="25">#REF!</definedName>
    <definedName name="_obl1828" localSheetId="26">#REF!</definedName>
    <definedName name="_obl1828" localSheetId="29">#REF!</definedName>
    <definedName name="_obl1828" localSheetId="30">#REF!</definedName>
    <definedName name="_obl1828" localSheetId="31">#REF!</definedName>
    <definedName name="_obl1828" localSheetId="37">#REF!</definedName>
    <definedName name="_obl1828" localSheetId="38">#REF!</definedName>
    <definedName name="_obl1828" localSheetId="36">#REF!</definedName>
    <definedName name="_obl1828" localSheetId="1">#REF!</definedName>
    <definedName name="_obl1828">#REF!</definedName>
    <definedName name="_obl1829" localSheetId="2">#REF!</definedName>
    <definedName name="_obl1829" localSheetId="4">#REF!</definedName>
    <definedName name="_obl1829" localSheetId="5">#REF!</definedName>
    <definedName name="_obl1829" localSheetId="6">#REF!</definedName>
    <definedName name="_obl1829" localSheetId="7">#REF!</definedName>
    <definedName name="_obl1829" localSheetId="8">#REF!</definedName>
    <definedName name="_obl1829" localSheetId="10">#REF!</definedName>
    <definedName name="_obl1829" localSheetId="11">#REF!</definedName>
    <definedName name="_obl1829" localSheetId="14">#REF!</definedName>
    <definedName name="_obl1829" localSheetId="13">#REF!</definedName>
    <definedName name="_obl1829" localSheetId="15">#REF!</definedName>
    <definedName name="_obl1829" localSheetId="16">#REF!</definedName>
    <definedName name="_obl1829" localSheetId="17">#REF!</definedName>
    <definedName name="_obl1829" localSheetId="34">#REF!</definedName>
    <definedName name="_obl1829" localSheetId="32">#REF!</definedName>
    <definedName name="_obl1829" localSheetId="35">#REF!</definedName>
    <definedName name="_obl1829" localSheetId="18">#REF!</definedName>
    <definedName name="_obl1829" localSheetId="20">#REF!</definedName>
    <definedName name="_obl1829" localSheetId="24">#REF!</definedName>
    <definedName name="_obl1829" localSheetId="25">#REF!</definedName>
    <definedName name="_obl1829" localSheetId="26">#REF!</definedName>
    <definedName name="_obl1829" localSheetId="29">#REF!</definedName>
    <definedName name="_obl1829" localSheetId="30">#REF!</definedName>
    <definedName name="_obl1829" localSheetId="31">#REF!</definedName>
    <definedName name="_obl1829" localSheetId="37">#REF!</definedName>
    <definedName name="_obl1829" localSheetId="38">#REF!</definedName>
    <definedName name="_obl1829" localSheetId="36">#REF!</definedName>
    <definedName name="_obl1829" localSheetId="1">#REF!</definedName>
    <definedName name="_obl1829">#REF!</definedName>
    <definedName name="_obl183" localSheetId="2">#REF!</definedName>
    <definedName name="_obl183" localSheetId="4">#REF!</definedName>
    <definedName name="_obl183" localSheetId="5">#REF!</definedName>
    <definedName name="_obl183" localSheetId="6">#REF!</definedName>
    <definedName name="_obl183" localSheetId="7">#REF!</definedName>
    <definedName name="_obl183" localSheetId="8">#REF!</definedName>
    <definedName name="_obl183" localSheetId="10">#REF!</definedName>
    <definedName name="_obl183" localSheetId="11">#REF!</definedName>
    <definedName name="_obl183" localSheetId="14">#REF!</definedName>
    <definedName name="_obl183" localSheetId="13">#REF!</definedName>
    <definedName name="_obl183" localSheetId="15">#REF!</definedName>
    <definedName name="_obl183" localSheetId="16">#REF!</definedName>
    <definedName name="_obl183" localSheetId="17">#REF!</definedName>
    <definedName name="_obl183" localSheetId="34">#REF!</definedName>
    <definedName name="_obl183" localSheetId="32">#REF!</definedName>
    <definedName name="_obl183" localSheetId="35">#REF!</definedName>
    <definedName name="_obl183" localSheetId="18">#REF!</definedName>
    <definedName name="_obl183" localSheetId="20">#REF!</definedName>
    <definedName name="_obl183" localSheetId="24">#REF!</definedName>
    <definedName name="_obl183" localSheetId="25">#REF!</definedName>
    <definedName name="_obl183" localSheetId="26">#REF!</definedName>
    <definedName name="_obl183" localSheetId="29">#REF!</definedName>
    <definedName name="_obl183" localSheetId="30">#REF!</definedName>
    <definedName name="_obl183" localSheetId="31">#REF!</definedName>
    <definedName name="_obl183" localSheetId="37">#REF!</definedName>
    <definedName name="_obl183" localSheetId="38">#REF!</definedName>
    <definedName name="_obl183" localSheetId="36">#REF!</definedName>
    <definedName name="_obl183" localSheetId="1">#REF!</definedName>
    <definedName name="_obl183">#REF!</definedName>
    <definedName name="_obl1831" localSheetId="2">#REF!</definedName>
    <definedName name="_obl1831" localSheetId="4">#REF!</definedName>
    <definedName name="_obl1831" localSheetId="5">#REF!</definedName>
    <definedName name="_obl1831" localSheetId="6">#REF!</definedName>
    <definedName name="_obl1831" localSheetId="7">#REF!</definedName>
    <definedName name="_obl1831" localSheetId="8">#REF!</definedName>
    <definedName name="_obl1831" localSheetId="10">#REF!</definedName>
    <definedName name="_obl1831" localSheetId="11">#REF!</definedName>
    <definedName name="_obl1831" localSheetId="14">#REF!</definedName>
    <definedName name="_obl1831" localSheetId="13">#REF!</definedName>
    <definedName name="_obl1831" localSheetId="15">#REF!</definedName>
    <definedName name="_obl1831" localSheetId="16">#REF!</definedName>
    <definedName name="_obl1831" localSheetId="17">#REF!</definedName>
    <definedName name="_obl1831" localSheetId="34">#REF!</definedName>
    <definedName name="_obl1831" localSheetId="32">#REF!</definedName>
    <definedName name="_obl1831" localSheetId="35">#REF!</definedName>
    <definedName name="_obl1831" localSheetId="18">#REF!</definedName>
    <definedName name="_obl1831" localSheetId="20">#REF!</definedName>
    <definedName name="_obl1831" localSheetId="24">#REF!</definedName>
    <definedName name="_obl1831" localSheetId="25">#REF!</definedName>
    <definedName name="_obl1831" localSheetId="26">#REF!</definedName>
    <definedName name="_obl1831" localSheetId="29">#REF!</definedName>
    <definedName name="_obl1831" localSheetId="30">#REF!</definedName>
    <definedName name="_obl1831" localSheetId="31">#REF!</definedName>
    <definedName name="_obl1831" localSheetId="37">#REF!</definedName>
    <definedName name="_obl1831" localSheetId="38">#REF!</definedName>
    <definedName name="_obl1831" localSheetId="36">#REF!</definedName>
    <definedName name="_obl1831" localSheetId="1">#REF!</definedName>
    <definedName name="_obl1831">#REF!</definedName>
    <definedName name="_obl1832" localSheetId="2">#REF!</definedName>
    <definedName name="_obl1832" localSheetId="4">#REF!</definedName>
    <definedName name="_obl1832" localSheetId="5">#REF!</definedName>
    <definedName name="_obl1832" localSheetId="6">#REF!</definedName>
    <definedName name="_obl1832" localSheetId="7">#REF!</definedName>
    <definedName name="_obl1832" localSheetId="8">#REF!</definedName>
    <definedName name="_obl1832" localSheetId="10">#REF!</definedName>
    <definedName name="_obl1832" localSheetId="11">#REF!</definedName>
    <definedName name="_obl1832" localSheetId="14">#REF!</definedName>
    <definedName name="_obl1832" localSheetId="13">#REF!</definedName>
    <definedName name="_obl1832" localSheetId="15">#REF!</definedName>
    <definedName name="_obl1832" localSheetId="16">#REF!</definedName>
    <definedName name="_obl1832" localSheetId="17">#REF!</definedName>
    <definedName name="_obl1832" localSheetId="34">#REF!</definedName>
    <definedName name="_obl1832" localSheetId="32">#REF!</definedName>
    <definedName name="_obl1832" localSheetId="35">#REF!</definedName>
    <definedName name="_obl1832" localSheetId="18">#REF!</definedName>
    <definedName name="_obl1832" localSheetId="20">#REF!</definedName>
    <definedName name="_obl1832" localSheetId="24">#REF!</definedName>
    <definedName name="_obl1832" localSheetId="25">#REF!</definedName>
    <definedName name="_obl1832" localSheetId="26">#REF!</definedName>
    <definedName name="_obl1832" localSheetId="29">#REF!</definedName>
    <definedName name="_obl1832" localSheetId="30">#REF!</definedName>
    <definedName name="_obl1832" localSheetId="31">#REF!</definedName>
    <definedName name="_obl1832" localSheetId="37">#REF!</definedName>
    <definedName name="_obl1832" localSheetId="38">#REF!</definedName>
    <definedName name="_obl1832" localSheetId="36">#REF!</definedName>
    <definedName name="_obl1832" localSheetId="1">#REF!</definedName>
    <definedName name="_obl1832">#REF!</definedName>
    <definedName name="_obl184" localSheetId="2">#REF!</definedName>
    <definedName name="_obl184" localSheetId="4">#REF!</definedName>
    <definedName name="_obl184" localSheetId="5">#REF!</definedName>
    <definedName name="_obl184" localSheetId="6">#REF!</definedName>
    <definedName name="_obl184" localSheetId="7">#REF!</definedName>
    <definedName name="_obl184" localSheetId="8">#REF!</definedName>
    <definedName name="_obl184" localSheetId="10">#REF!</definedName>
    <definedName name="_obl184" localSheetId="11">#REF!</definedName>
    <definedName name="_obl184" localSheetId="14">#REF!</definedName>
    <definedName name="_obl184" localSheetId="13">#REF!</definedName>
    <definedName name="_obl184" localSheetId="15">#REF!</definedName>
    <definedName name="_obl184" localSheetId="16">#REF!</definedName>
    <definedName name="_obl184" localSheetId="17">#REF!</definedName>
    <definedName name="_obl184" localSheetId="34">#REF!</definedName>
    <definedName name="_obl184" localSheetId="32">#REF!</definedName>
    <definedName name="_obl184" localSheetId="35">#REF!</definedName>
    <definedName name="_obl184" localSheetId="18">#REF!</definedName>
    <definedName name="_obl184" localSheetId="20">#REF!</definedName>
    <definedName name="_obl184" localSheetId="24">#REF!</definedName>
    <definedName name="_obl184" localSheetId="25">#REF!</definedName>
    <definedName name="_obl184" localSheetId="26">#REF!</definedName>
    <definedName name="_obl184" localSheetId="29">#REF!</definedName>
    <definedName name="_obl184" localSheetId="30">#REF!</definedName>
    <definedName name="_obl184" localSheetId="31">#REF!</definedName>
    <definedName name="_obl184" localSheetId="37">#REF!</definedName>
    <definedName name="_obl184" localSheetId="38">#REF!</definedName>
    <definedName name="_obl184" localSheetId="36">#REF!</definedName>
    <definedName name="_obl184" localSheetId="1">#REF!</definedName>
    <definedName name="_obl184">#REF!</definedName>
    <definedName name="_obl185" localSheetId="2">#REF!</definedName>
    <definedName name="_obl185" localSheetId="4">#REF!</definedName>
    <definedName name="_obl185" localSheetId="5">#REF!</definedName>
    <definedName name="_obl185" localSheetId="6">#REF!</definedName>
    <definedName name="_obl185" localSheetId="7">#REF!</definedName>
    <definedName name="_obl185" localSheetId="8">#REF!</definedName>
    <definedName name="_obl185" localSheetId="10">#REF!</definedName>
    <definedName name="_obl185" localSheetId="11">#REF!</definedName>
    <definedName name="_obl185" localSheetId="14">#REF!</definedName>
    <definedName name="_obl185" localSheetId="13">#REF!</definedName>
    <definedName name="_obl185" localSheetId="15">#REF!</definedName>
    <definedName name="_obl185" localSheetId="16">#REF!</definedName>
    <definedName name="_obl185" localSheetId="17">#REF!</definedName>
    <definedName name="_obl185" localSheetId="34">#REF!</definedName>
    <definedName name="_obl185" localSheetId="32">#REF!</definedName>
    <definedName name="_obl185" localSheetId="35">#REF!</definedName>
    <definedName name="_obl185" localSheetId="18">#REF!</definedName>
    <definedName name="_obl185" localSheetId="20">#REF!</definedName>
    <definedName name="_obl185" localSheetId="24">#REF!</definedName>
    <definedName name="_obl185" localSheetId="25">#REF!</definedName>
    <definedName name="_obl185" localSheetId="26">#REF!</definedName>
    <definedName name="_obl185" localSheetId="29">#REF!</definedName>
    <definedName name="_obl185" localSheetId="30">#REF!</definedName>
    <definedName name="_obl185" localSheetId="31">#REF!</definedName>
    <definedName name="_obl185" localSheetId="37">#REF!</definedName>
    <definedName name="_obl185" localSheetId="38">#REF!</definedName>
    <definedName name="_obl185" localSheetId="36">#REF!</definedName>
    <definedName name="_obl185" localSheetId="1">#REF!</definedName>
    <definedName name="_obl185">#REF!</definedName>
    <definedName name="_obl186" localSheetId="2">#REF!</definedName>
    <definedName name="_obl186" localSheetId="4">#REF!</definedName>
    <definedName name="_obl186" localSheetId="5">#REF!</definedName>
    <definedName name="_obl186" localSheetId="6">#REF!</definedName>
    <definedName name="_obl186" localSheetId="7">#REF!</definedName>
    <definedName name="_obl186" localSheetId="8">#REF!</definedName>
    <definedName name="_obl186" localSheetId="10">#REF!</definedName>
    <definedName name="_obl186" localSheetId="11">#REF!</definedName>
    <definedName name="_obl186" localSheetId="14">#REF!</definedName>
    <definedName name="_obl186" localSheetId="13">#REF!</definedName>
    <definedName name="_obl186" localSheetId="15">#REF!</definedName>
    <definedName name="_obl186" localSheetId="16">#REF!</definedName>
    <definedName name="_obl186" localSheetId="17">#REF!</definedName>
    <definedName name="_obl186" localSheetId="34">#REF!</definedName>
    <definedName name="_obl186" localSheetId="32">#REF!</definedName>
    <definedName name="_obl186" localSheetId="35">#REF!</definedName>
    <definedName name="_obl186" localSheetId="18">#REF!</definedName>
    <definedName name="_obl186" localSheetId="20">#REF!</definedName>
    <definedName name="_obl186" localSheetId="24">#REF!</definedName>
    <definedName name="_obl186" localSheetId="25">#REF!</definedName>
    <definedName name="_obl186" localSheetId="26">#REF!</definedName>
    <definedName name="_obl186" localSheetId="29">#REF!</definedName>
    <definedName name="_obl186" localSheetId="30">#REF!</definedName>
    <definedName name="_obl186" localSheetId="31">#REF!</definedName>
    <definedName name="_obl186" localSheetId="37">#REF!</definedName>
    <definedName name="_obl186" localSheetId="38">#REF!</definedName>
    <definedName name="_obl186" localSheetId="36">#REF!</definedName>
    <definedName name="_obl186" localSheetId="1">#REF!</definedName>
    <definedName name="_obl186">#REF!</definedName>
    <definedName name="_obl187" localSheetId="2">#REF!</definedName>
    <definedName name="_obl187" localSheetId="4">#REF!</definedName>
    <definedName name="_obl187" localSheetId="5">#REF!</definedName>
    <definedName name="_obl187" localSheetId="6">#REF!</definedName>
    <definedName name="_obl187" localSheetId="7">#REF!</definedName>
    <definedName name="_obl187" localSheetId="8">#REF!</definedName>
    <definedName name="_obl187" localSheetId="10">#REF!</definedName>
    <definedName name="_obl187" localSheetId="11">#REF!</definedName>
    <definedName name="_obl187" localSheetId="14">#REF!</definedName>
    <definedName name="_obl187" localSheetId="13">#REF!</definedName>
    <definedName name="_obl187" localSheetId="15">#REF!</definedName>
    <definedName name="_obl187" localSheetId="16">#REF!</definedName>
    <definedName name="_obl187" localSheetId="17">#REF!</definedName>
    <definedName name="_obl187" localSheetId="34">#REF!</definedName>
    <definedName name="_obl187" localSheetId="32">#REF!</definedName>
    <definedName name="_obl187" localSheetId="35">#REF!</definedName>
    <definedName name="_obl187" localSheetId="18">#REF!</definedName>
    <definedName name="_obl187" localSheetId="20">#REF!</definedName>
    <definedName name="_obl187" localSheetId="24">#REF!</definedName>
    <definedName name="_obl187" localSheetId="25">#REF!</definedName>
    <definedName name="_obl187" localSheetId="26">#REF!</definedName>
    <definedName name="_obl187" localSheetId="29">#REF!</definedName>
    <definedName name="_obl187" localSheetId="30">#REF!</definedName>
    <definedName name="_obl187" localSheetId="31">#REF!</definedName>
    <definedName name="_obl187" localSheetId="37">#REF!</definedName>
    <definedName name="_obl187" localSheetId="38">#REF!</definedName>
    <definedName name="_obl187" localSheetId="36">#REF!</definedName>
    <definedName name="_obl187" localSheetId="1">#REF!</definedName>
    <definedName name="_obl187">#REF!</definedName>
    <definedName name="_SO16" localSheetId="2" hidden="1">{#N/A,#N/A,TRUE,"Krycí list"}</definedName>
    <definedName name="_SO16" localSheetId="4"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17"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35" hidden="1">{#N/A,#N/A,TRUE,"Krycí list"}</definedName>
    <definedName name="_SO16" localSheetId="18" hidden="1">{#N/A,#N/A,TRUE,"Krycí list"}</definedName>
    <definedName name="_SO16" localSheetId="19" hidden="1">{#N/A,#N/A,TRUE,"Krycí list"}</definedName>
    <definedName name="_SO16" localSheetId="20" hidden="1">{#N/A,#N/A,TRUE,"Krycí list"}</definedName>
    <definedName name="_SO16" localSheetId="22" hidden="1">{#N/A,#N/A,TRUE,"Krycí list"}</definedName>
    <definedName name="_SO16" localSheetId="23" hidden="1">{#N/A,#N/A,TRUE,"Krycí list"}</definedName>
    <definedName name="_SO16" localSheetId="27" hidden="1">{#N/A,#N/A,TRUE,"Krycí list"}</definedName>
    <definedName name="_SO16" localSheetId="28" hidden="1">{#N/A,#N/A,TRUE,"Krycí list"}</definedName>
    <definedName name="_SO16" localSheetId="37" hidden="1">{#N/A,#N/A,TRUE,"Krycí list"}</definedName>
    <definedName name="_SO16" localSheetId="38" hidden="1">{#N/A,#N/A,TRUE,"Krycí list"}</definedName>
    <definedName name="_SO16" localSheetId="36" hidden="1">{#N/A,#N/A,TRUE,"Krycí list"}</definedName>
    <definedName name="_SO16" localSheetId="0" hidden="1">{#N/A,#N/A,TRUE,"Krycí list"}</definedName>
    <definedName name="_SO16" localSheetId="3" hidden="1">{#N/A,#N/A,TRUE,"Krycí list"}</definedName>
    <definedName name="_SO16" localSheetId="1" hidden="1">{#N/A,#N/A,TRUE,"Krycí list"}</definedName>
    <definedName name="_SO16" hidden="1">{#N/A,#N/A,TRUE,"Krycí list"}</definedName>
    <definedName name="_VZT1" localSheetId="2">Scheduled_Payment+Extra_Payment</definedName>
    <definedName name="_VZT1" localSheetId="4">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4">Scheduled_Payment+Extra_Payment</definedName>
    <definedName name="_VZT1" localSheetId="13">Scheduled_Payment+Extra_Payment</definedName>
    <definedName name="_VZT1" localSheetId="15">Scheduled_Payment+Extra_Payment</definedName>
    <definedName name="_VZT1" localSheetId="16">Scheduled_Payment+Extra_Payment</definedName>
    <definedName name="_VZT1" localSheetId="17">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35">Scheduled_Payment+Extra_Payment</definedName>
    <definedName name="_VZT1" localSheetId="18">Scheduled_Payment+Extra_Payment</definedName>
    <definedName name="_VZT1" localSheetId="19">Scheduled_Payment+Extra_Payment</definedName>
    <definedName name="_VZT1" localSheetId="20">Scheduled_Payment+Extra_Payment</definedName>
    <definedName name="_VZT1" localSheetId="22">Scheduled_Payment+Extra_Payment</definedName>
    <definedName name="_VZT1" localSheetId="24">Scheduled_Payment+Extra_Payment</definedName>
    <definedName name="_VZT1" localSheetId="25">Scheduled_Payment+Extra_Payment</definedName>
    <definedName name="_VZT1" localSheetId="26">Scheduled_Payment+Extra_Payment</definedName>
    <definedName name="_VZT1" localSheetId="23">Scheduled_Payment+Extra_Payment</definedName>
    <definedName name="_VZT1" localSheetId="27">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7">Scheduled_Payment+Extra_Payment</definedName>
    <definedName name="_VZT1" localSheetId="38">Scheduled_Payment+Extra_Payment</definedName>
    <definedName name="_VZT1" localSheetId="36">Scheduled_Payment+Extra_Payment</definedName>
    <definedName name="_VZT1" localSheetId="0">Scheduled_Payment+Extra_Payment</definedName>
    <definedName name="_VZT1" localSheetId="3">Scheduled_Payment+Extra_Payment</definedName>
    <definedName name="_VZT1" localSheetId="1">Scheduled_Payment+Extra_Payment</definedName>
    <definedName name="_VZT1">Scheduled_Payment+Extra_Payment</definedName>
    <definedName name="_VZT2" localSheetId="2">DATE(YEAR([1]!Loan_Start),MONTH([1]!Loan_Start)+Payment_Number,DAY([1]!Loan_Start))</definedName>
    <definedName name="_VZT2" localSheetId="4">DATE(YEAR([1]!Loan_Start),MONTH([1]!Loan_Start)+Payment_Number,DAY([1]!Loan_Start))</definedName>
    <definedName name="_VZT2" localSheetId="5">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9">DATE(YEAR([1]!Loan_Start),MONTH([1]!Loan_Start)+Payment_Number,DAY([1]!Loan_Start))</definedName>
    <definedName name="_VZT2" localSheetId="10">DATE(YEAR([1]!Loan_Start),MONTH([1]!Loan_Start)+Payment_Number,DAY([1]!Loan_Start))</definedName>
    <definedName name="_VZT2" localSheetId="11">DATE(YEAR([2]!Loan_Start),MONTH([2]!Loan_Start)+Payment_Number,DAY([2]!Loan_Start))</definedName>
    <definedName name="_VZT2" localSheetId="12">DATE(YEAR([3]!Loan_Start),MONTH([3]!Loan_Start)+Payment_Number,DAY([3]!Loan_Start))</definedName>
    <definedName name="_VZT2" localSheetId="14">DATE(YEAR([4]!Loan_Start),MONTH([4]!Loan_Start)+Payment_Number,DAY([4]!Loan_Start))</definedName>
    <definedName name="_VZT2" localSheetId="13">DATE(YEAR([1]!Loan_Start),MONTH([1]!Loan_Start)+Payment_Number,DAY([1]!Loan_Start))</definedName>
    <definedName name="_VZT2" localSheetId="15">DATE(YEAR([2]!Loan_Start),MONTH([2]!Loan_Start)+Payment_Number,DAY([2]!Loan_Start))</definedName>
    <definedName name="_VZT2" localSheetId="16">DATE(YEAR('D.1.4.1.b.09. AKUMULAČNÍ NÁDRŽ'!Loan_Start),MONTH('D.1.4.1.b.09. AKUMULAČNÍ NÁDRŽ'!Loan_Start)+Payment_Number,DAY('D.1.4.1.b.09. AKUMULAČNÍ NÁDRŽ'!Loan_Start))</definedName>
    <definedName name="_VZT2" localSheetId="17">DATE(YEAR('D.1.4.1.b.10. ODLUČOVAČ TUKU'!Loan_Start),MONTH('D.1.4.1.b.10. ODLUČOVAČ TUKU'!Loan_Start)+Payment_Number,DAY('D.1.4.1.b.10. ODLUČOVAČ TUKU'!Loan_Start))</definedName>
    <definedName name="_VZT2" localSheetId="34">DATE(YEAR([5]!Loan_Start),MONTH([5]!Loan_Start)+Payment_Number,DAY([5]!Loan_Start))</definedName>
    <definedName name="_VZT2" localSheetId="32">DATE(YEAR([6]!Loan_Start),MONTH([6]!Loan_Start)+Payment_Number,DAY([6]!Loan_Start))</definedName>
    <definedName name="_VZT2" localSheetId="33">DATE(YEAR([7]!Loan_Start),MONTH([7]!Loan_Start)+Payment_Number,DAY([7]!Loan_Start))</definedName>
    <definedName name="_VZT2" localSheetId="35">DATE(YEAR([5]!Loan_Start),MONTH([5]!Loan_Start)+Payment_Number,DAY([5]!Loan_Start))</definedName>
    <definedName name="_VZT2" localSheetId="18">DATE(YEAR([2]!Loan_Start),MONTH([2]!Loan_Start)+Payment_Number,DAY([2]!Loan_Start))</definedName>
    <definedName name="_VZT2" localSheetId="19">DATE(YEAR([8]!Loan_Start),MONTH([8]!Loan_Start)+Payment_Number,DAY([8]!Loan_Start))</definedName>
    <definedName name="_VZT2" localSheetId="20">DATE(YEAR([2]!Loan_Start),MONTH([2]!Loan_Start)+Payment_Number,DAY([2]!Loan_Start))</definedName>
    <definedName name="_VZT2" localSheetId="22">DATE(YEAR('D.1.4.7. SILNOPROUD'!Loan_Start),MONTH('D.1.4.7. SILNOPROUD'!Loan_Start)+Payment_Number,DAY('D.1.4.7. SILNOPROUD'!Loan_Start))</definedName>
    <definedName name="_VZT2" localSheetId="24">DATE(YEAR([9]!Loan_Start),MONTH([9]!Loan_Start)+Payment_Number,DAY([9]!Loan_Start))</definedName>
    <definedName name="_VZT2" localSheetId="25">DATE(YEAR([9]!Loan_Start),MONTH([9]!Loan_Start)+Payment_Number,DAY([9]!Loan_Start))</definedName>
    <definedName name="_VZT2" localSheetId="26">DATE(YEAR([9]!Loan_Start),MONTH([9]!Loan_Start)+Payment_Number,DAY([9]!Loan_Start))</definedName>
    <definedName name="_VZT2" localSheetId="23">DATE(YEAR([3]!Loan_Start),MONTH([3]!Loan_Start)+Payment_Number,DAY([3]!Loan_Start))</definedName>
    <definedName name="_VZT2" localSheetId="27">DATE(YEAR([8]!Loan_Start),MONTH([8]!Loan_Start)+Payment_Number,DAY([8]!Loan_Start))</definedName>
    <definedName name="_VZT2" localSheetId="28">DATE(YEAR([3]!Loan_Start),MONTH([3]!Loan_Start)+Payment_Number,DAY([3]!Loan_Start))</definedName>
    <definedName name="_VZT2" localSheetId="29">DATE(YEAR([9]!Loan_Start),MONTH([9]!Loan_Start)+Payment_Number,DAY([9]!Loan_Start))</definedName>
    <definedName name="_VZT2" localSheetId="30">DATE(YEAR([9]!Loan_Start),MONTH([9]!Loan_Start)+Payment_Number,DAY([9]!Loan_Start))</definedName>
    <definedName name="_VZT2" localSheetId="31">DATE(YEAR([9]!Loan_Start),MONTH([9]!Loan_Start)+Payment_Number,DAY([9]!Loan_Start))</definedName>
    <definedName name="_VZT2" localSheetId="37">DATE(YEAR([10]!Loan_Start),MONTH([10]!Loan_Start)+Payment_Number,DAY([10]!Loan_Start))</definedName>
    <definedName name="_VZT2" localSheetId="38">DATE(YEAR([4]!Loan_Start),MONTH([4]!Loan_Start)+Payment_Number,DAY([4]!Loan_Start))</definedName>
    <definedName name="_VZT2" localSheetId="36">DATE(YEAR([6]!Loan_Start),MONTH([6]!Loan_Start)+Payment_Number,DAY([6]!Loan_Start))</definedName>
    <definedName name="_VZT2" localSheetId="0">DATE(YEAR([0]!Loan_Start),MONTH([0]!Loan_Start)+Payment_Number,DAY([0]!Loan_Start))</definedName>
    <definedName name="_VZT2" localSheetId="3">DATE(YEAR([6]!Loan_Start),MONTH([6]!Loan_Start)+Payment_Number,DAY([6]!Loan_Start))</definedName>
    <definedName name="_VZT2" localSheetId="1">DATE(YEAR(VRN!Loan_Start),MONTH(VRN!Loan_Start)+Payment_Number,DAY(VRN!Loan_Start))</definedName>
    <definedName name="_VZT2">DATE(YEAR([0]!Loan_Start),MONTH([0]!Loan_Start)+Payment_Number,DAY([0]!Loan_Start))</definedName>
    <definedName name="_VZT22" localSheetId="2">DATE(YEAR([1]!Loan_Start),MONTH([1]!Loan_Start)+Payment_Number,DAY([1]!Loan_Start))</definedName>
    <definedName name="_VZT22" localSheetId="4">DATE(YEAR([1]!Loan_Start),MONTH([1]!Loan_Start)+Payment_Number,DAY([1]!Loan_Start))</definedName>
    <definedName name="_VZT22" localSheetId="5">DATE(YEAR([1]!Loan_Start),MONTH([1]!Loan_Start)+Payment_Number,DAY([1]!Loan_Start))</definedName>
    <definedName name="_VZT22" localSheetId="7">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35">DATE(YEAR([11]!Loan_Start),MONTH([11]!Loan_Start)+Payment_Number,DAY([11]!Loan_Start))</definedName>
    <definedName name="_VZT22" localSheetId="19">DATE(YEAR([1]!Loan_Start),MONTH([1]!Loan_Start)+Payment_Number,DAY([1]!Loan_Start))</definedName>
    <definedName name="_VZT22" localSheetId="22">DATE(YEAR([1]!Loan_Start),MONTH([1]!Loan_Start)+Payment_Number,DAY([1]!Loan_Start))</definedName>
    <definedName name="_VZT22" localSheetId="27">DATE(YEAR([1]!Loan_Start),MONTH([1]!Loan_Start)+Payment_Number,DAY([1]!Loan_Start))</definedName>
    <definedName name="_VZT22" localSheetId="37">DATE(YEAR([1]!Loan_Start),MONTH([1]!Loan_Start)+Payment_Number,DAY([1]!Loan_Start))</definedName>
    <definedName name="_VZT22" localSheetId="3">DATE(YEAR([1]!Loan_Start),MONTH([1]!Loan_Start)+Payment_Number,DAY([1]!Loan_Start))</definedName>
    <definedName name="_VZT22">DATE(YEAR([1]!Loan_Start),MONTH([1]!Loan_Start)+Payment_Number,DAY([1]!Loan_Start))</definedName>
    <definedName name="_vzt3" localSheetId="2">'[12]Rekapitulace roz.  vč. kapitol'!#REF!</definedName>
    <definedName name="_vzt3" localSheetId="4">'[12]Rekapitulace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4">'[12]Rekapitulace roz.  vč. kapitol'!#REF!</definedName>
    <definedName name="_vzt3" localSheetId="13">'[12]Rekapitulace roz.  vč. kapitol'!#REF!</definedName>
    <definedName name="_vzt3" localSheetId="15">'[12]Rekapitulace roz.  vč. kapitol'!#REF!</definedName>
    <definedName name="_vzt3" localSheetId="16">'[12]Rekapitulace roz.  vč. kapitol'!#REF!</definedName>
    <definedName name="_vzt3" localSheetId="17">'[12]Rekapitulace roz.  vč. kapitol'!#REF!</definedName>
    <definedName name="_vzt3" localSheetId="34">'[12]Rekapitulace roz.  vč. kapitol'!#REF!</definedName>
    <definedName name="_vzt3" localSheetId="32">'[12]Rekapitulace roz.  vč. kapitol'!#REF!</definedName>
    <definedName name="_vzt3" localSheetId="33">'[12]Rekapitulace roz.  vč. kapitol'!#REF!</definedName>
    <definedName name="_vzt3" localSheetId="35">'[12]Rekapitulace roz.  vč. kapitol'!#REF!</definedName>
    <definedName name="_vzt3" localSheetId="18">'[12]Rekapitulace roz.  vč. kapitol'!#REF!</definedName>
    <definedName name="_vzt3" localSheetId="19">'[12]Rekapitulace roz.  vč. kapitol'!#REF!</definedName>
    <definedName name="_vzt3" localSheetId="20">'[12]Rekapitulace roz.  vč. kapitol'!#REF!</definedName>
    <definedName name="_vzt3" localSheetId="22">'[12]Rekapitulace roz.  vč. kapitol'!#REF!</definedName>
    <definedName name="_vzt3" localSheetId="24">'[12]Rekapitulace roz.  vč. kapitol'!#REF!</definedName>
    <definedName name="_vzt3" localSheetId="25">'[12]Rekapitulace roz.  vč. kapitol'!#REF!</definedName>
    <definedName name="_vzt3" localSheetId="26">'[12]Rekapitulace roz.  vč. kapitol'!#REF!</definedName>
    <definedName name="_vzt3" localSheetId="23">'[12]Rekapitulace roz.  vč. kapitol'!#REF!</definedName>
    <definedName name="_vzt3" localSheetId="27">'[12]Rekapitulace roz.  vč. kapitol'!#REF!</definedName>
    <definedName name="_vzt3" localSheetId="28">'[12]Rekapitulace roz.  vč. kapitol'!#REF!</definedName>
    <definedName name="_vzt3" localSheetId="29">'[12]Rekapitulace roz.  vč. kapitol'!#REF!</definedName>
    <definedName name="_vzt3" localSheetId="30">'[12]Rekapitulace roz.  vč. kapitol'!#REF!</definedName>
    <definedName name="_vzt3" localSheetId="31">'[12]Rekapitulace roz.  vč. kapitol'!#REF!</definedName>
    <definedName name="_vzt3" localSheetId="37">'[12]Rekapitulace roz.  vč. kapitol'!#REF!</definedName>
    <definedName name="_vzt3" localSheetId="38">'[12]Rekapitulace roz.  vč. kapitol'!#REF!</definedName>
    <definedName name="_vzt3" localSheetId="36">'[12]Rekapitulace roz.  vč. kapitol'!#REF!</definedName>
    <definedName name="_vzt3" localSheetId="3">'[12]Rekapitulace roz.  vč. kapitol'!#REF!</definedName>
    <definedName name="_vzt3" localSheetId="1">'[12]Rekapitulace roz.  vč. kapitol'!#REF!</definedName>
    <definedName name="_vzt3">'[12]Rekapitulace roz.  vč. kapitol'!#REF!</definedName>
    <definedName name="_VZT5" localSheetId="2">'[12]Rekapitulace roz.  vč. kapitol'!#REF!</definedName>
    <definedName name="_VZT5" localSheetId="4">'[12]Rekapitulace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4">'[12]Rekapitulace roz.  vč. kapitol'!#REF!</definedName>
    <definedName name="_VZT5" localSheetId="13">'[12]Rekapitulace roz.  vč. kapitol'!#REF!</definedName>
    <definedName name="_VZT5" localSheetId="15">'[12]Rekapitulace roz.  vč. kapitol'!#REF!</definedName>
    <definedName name="_VZT5" localSheetId="16">'[12]Rekapitulace roz.  vč. kapitol'!#REF!</definedName>
    <definedName name="_VZT5" localSheetId="17">'[12]Rekapitulace roz.  vč. kapitol'!#REF!</definedName>
    <definedName name="_VZT5" localSheetId="34">'[12]Rekapitulace roz.  vč. kapitol'!#REF!</definedName>
    <definedName name="_VZT5" localSheetId="32">'[12]Rekapitulace roz.  vč. kapitol'!#REF!</definedName>
    <definedName name="_VZT5" localSheetId="33">'[12]Rekapitulace roz.  vč. kapitol'!#REF!</definedName>
    <definedName name="_VZT5" localSheetId="35">'[12]Rekapitulace roz.  vč. kapitol'!#REF!</definedName>
    <definedName name="_VZT5" localSheetId="18">'[12]Rekapitulace roz.  vč. kapitol'!#REF!</definedName>
    <definedName name="_VZT5" localSheetId="19">'[12]Rekapitulace roz.  vč. kapitol'!#REF!</definedName>
    <definedName name="_VZT5" localSheetId="20">'[12]Rekapitulace roz.  vč. kapitol'!#REF!</definedName>
    <definedName name="_VZT5" localSheetId="22">'[12]Rekapitulace roz.  vč. kapitol'!#REF!</definedName>
    <definedName name="_VZT5" localSheetId="24">'[12]Rekapitulace roz.  vč. kapitol'!#REF!</definedName>
    <definedName name="_VZT5" localSheetId="25">'[12]Rekapitulace roz.  vč. kapitol'!#REF!</definedName>
    <definedName name="_VZT5" localSheetId="26">'[12]Rekapitulace roz.  vč. kapitol'!#REF!</definedName>
    <definedName name="_VZT5" localSheetId="23">'[12]Rekapitulace roz.  vč. kapitol'!#REF!</definedName>
    <definedName name="_VZT5" localSheetId="27">'[12]Rekapitulace roz.  vč. kapitol'!#REF!</definedName>
    <definedName name="_VZT5" localSheetId="28">'[12]Rekapitulace roz.  vč. kapitol'!#REF!</definedName>
    <definedName name="_VZT5" localSheetId="29">'[12]Rekapitulace roz.  vč. kapitol'!#REF!</definedName>
    <definedName name="_VZT5" localSheetId="30">'[12]Rekapitulace roz.  vč. kapitol'!#REF!</definedName>
    <definedName name="_VZT5" localSheetId="31">'[12]Rekapitulace roz.  vč. kapitol'!#REF!</definedName>
    <definedName name="_VZT5" localSheetId="37">'[12]Rekapitulace roz.  vč. kapitol'!#REF!</definedName>
    <definedName name="_VZT5" localSheetId="38">'[12]Rekapitulace roz.  vč. kapitol'!#REF!</definedName>
    <definedName name="_VZT5" localSheetId="36">'[12]Rekapitulace roz.  vč. kapitol'!#REF!</definedName>
    <definedName name="_VZT5" localSheetId="3">'[12]Rekapitulace roz.  vč. kapitol'!#REF!</definedName>
    <definedName name="_VZT5" localSheetId="1">'[12]Rekapitulace roz.  vč. kapitol'!#REF!</definedName>
    <definedName name="_VZT5">'[12]Rekapitulace roz.  vč. kapitol'!#REF!</definedName>
    <definedName name="_VZT6" localSheetId="2">'[12]Rekapitulace roz.  vč. kapitol'!#REF!</definedName>
    <definedName name="_VZT6" localSheetId="4">'[12]Rekapitulace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4">'[12]Rekapitulace roz.  vč. kapitol'!#REF!</definedName>
    <definedName name="_VZT6" localSheetId="13">'[12]Rekapitulace roz.  vč. kapitol'!#REF!</definedName>
    <definedName name="_VZT6" localSheetId="15">'[12]Rekapitulace roz.  vč. kapitol'!#REF!</definedName>
    <definedName name="_VZT6" localSheetId="16">'[12]Rekapitulace roz.  vč. kapitol'!#REF!</definedName>
    <definedName name="_VZT6" localSheetId="17">'[12]Rekapitulace roz.  vč. kapitol'!#REF!</definedName>
    <definedName name="_VZT6" localSheetId="34">'[12]Rekapitulace roz.  vč. kapitol'!#REF!</definedName>
    <definedName name="_VZT6" localSheetId="32">'[12]Rekapitulace roz.  vč. kapitol'!#REF!</definedName>
    <definedName name="_VZT6" localSheetId="33">'[12]Rekapitulace roz.  vč. kapitol'!#REF!</definedName>
    <definedName name="_VZT6" localSheetId="35">'[12]Rekapitulace roz.  vč. kapitol'!#REF!</definedName>
    <definedName name="_VZT6" localSheetId="18">'[12]Rekapitulace roz.  vč. kapitol'!#REF!</definedName>
    <definedName name="_VZT6" localSheetId="19">'[12]Rekapitulace roz.  vč. kapitol'!#REF!</definedName>
    <definedName name="_VZT6" localSheetId="20">'[12]Rekapitulace roz.  vč. kapitol'!#REF!</definedName>
    <definedName name="_VZT6" localSheetId="22">'[12]Rekapitulace roz.  vč. kapitol'!#REF!</definedName>
    <definedName name="_VZT6" localSheetId="24">'[12]Rekapitulace roz.  vč. kapitol'!#REF!</definedName>
    <definedName name="_VZT6" localSheetId="25">'[12]Rekapitulace roz.  vč. kapitol'!#REF!</definedName>
    <definedName name="_VZT6" localSheetId="26">'[12]Rekapitulace roz.  vč. kapitol'!#REF!</definedName>
    <definedName name="_VZT6" localSheetId="23">'[12]Rekapitulace roz.  vč. kapitol'!#REF!</definedName>
    <definedName name="_VZT6" localSheetId="27">'[12]Rekapitulace roz.  vč. kapitol'!#REF!</definedName>
    <definedName name="_VZT6" localSheetId="28">'[12]Rekapitulace roz.  vč. kapitol'!#REF!</definedName>
    <definedName name="_VZT6" localSheetId="29">'[12]Rekapitulace roz.  vč. kapitol'!#REF!</definedName>
    <definedName name="_VZT6" localSheetId="30">'[12]Rekapitulace roz.  vč. kapitol'!#REF!</definedName>
    <definedName name="_VZT6" localSheetId="31">'[12]Rekapitulace roz.  vč. kapitol'!#REF!</definedName>
    <definedName name="_VZT6" localSheetId="37">'[12]Rekapitulace roz.  vč. kapitol'!#REF!</definedName>
    <definedName name="_VZT6" localSheetId="38">'[12]Rekapitulace roz.  vč. kapitol'!#REF!</definedName>
    <definedName name="_VZT6" localSheetId="36">'[12]Rekapitulace roz.  vč. kapitol'!#REF!</definedName>
    <definedName name="_VZT6" localSheetId="3">'[12]Rekapitulace roz.  vč. kapitol'!#REF!</definedName>
    <definedName name="_VZT6" localSheetId="1">'[12]Rekapitulace roz.  vč. kapitol'!#REF!</definedName>
    <definedName name="_VZT6">'[12]Rekapitulace roz.  vč. kapitol'!#REF!</definedName>
    <definedName name="_VZT8" localSheetId="2">'[12]Rekapitulace roz.  vč. kapitol'!#REF!</definedName>
    <definedName name="_VZT8" localSheetId="4">'[12]Rekapitulace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4">'[12]Rekapitulace roz.  vč. kapitol'!#REF!</definedName>
    <definedName name="_VZT8" localSheetId="13">'[12]Rekapitulace roz.  vč. kapitol'!#REF!</definedName>
    <definedName name="_VZT8" localSheetId="15">'[12]Rekapitulace roz.  vč. kapitol'!#REF!</definedName>
    <definedName name="_VZT8" localSheetId="16">'[12]Rekapitulace roz.  vč. kapitol'!#REF!</definedName>
    <definedName name="_VZT8" localSheetId="17">'[12]Rekapitulace roz.  vč. kapitol'!#REF!</definedName>
    <definedName name="_VZT8" localSheetId="34">'[12]Rekapitulace roz.  vč. kapitol'!#REF!</definedName>
    <definedName name="_VZT8" localSheetId="32">'[12]Rekapitulace roz.  vč. kapitol'!#REF!</definedName>
    <definedName name="_VZT8" localSheetId="33">'[12]Rekapitulace roz.  vč. kapitol'!#REF!</definedName>
    <definedName name="_VZT8" localSheetId="35">'[12]Rekapitulace roz.  vč. kapitol'!#REF!</definedName>
    <definedName name="_VZT8" localSheetId="18">'[12]Rekapitulace roz.  vč. kapitol'!#REF!</definedName>
    <definedName name="_VZT8" localSheetId="19">'[12]Rekapitulace roz.  vč. kapitol'!#REF!</definedName>
    <definedName name="_VZT8" localSheetId="20">'[12]Rekapitulace roz.  vč. kapitol'!#REF!</definedName>
    <definedName name="_VZT8" localSheetId="22">'[12]Rekapitulace roz.  vč. kapitol'!#REF!</definedName>
    <definedName name="_VZT8" localSheetId="24">'[12]Rekapitulace roz.  vč. kapitol'!#REF!</definedName>
    <definedName name="_VZT8" localSheetId="25">'[12]Rekapitulace roz.  vč. kapitol'!#REF!</definedName>
    <definedName name="_VZT8" localSheetId="26">'[12]Rekapitulace roz.  vč. kapitol'!#REF!</definedName>
    <definedName name="_VZT8" localSheetId="23">'[12]Rekapitulace roz.  vč. kapitol'!#REF!</definedName>
    <definedName name="_VZT8" localSheetId="27">'[12]Rekapitulace roz.  vč. kapitol'!#REF!</definedName>
    <definedName name="_VZT8" localSheetId="28">'[12]Rekapitulace roz.  vč. kapitol'!#REF!</definedName>
    <definedName name="_VZT8" localSheetId="29">'[12]Rekapitulace roz.  vč. kapitol'!#REF!</definedName>
    <definedName name="_VZT8" localSheetId="30">'[12]Rekapitulace roz.  vč. kapitol'!#REF!</definedName>
    <definedName name="_VZT8" localSheetId="31">'[12]Rekapitulace roz.  vč. kapitol'!#REF!</definedName>
    <definedName name="_VZT8" localSheetId="37">'[12]Rekapitulace roz.  vč. kapitol'!#REF!</definedName>
    <definedName name="_VZT8" localSheetId="38">'[12]Rekapitulace roz.  vč. kapitol'!#REF!</definedName>
    <definedName name="_VZT8" localSheetId="36">'[12]Rekapitulace roz.  vč. kapitol'!#REF!</definedName>
    <definedName name="_VZT8" localSheetId="3">'[12]Rekapitulace roz.  vč. kapitol'!#REF!</definedName>
    <definedName name="_VZT8" localSheetId="1">'[12]Rekapitulace roz.  vč. kapitol'!#REF!</definedName>
    <definedName name="_VZT8">'[12]Rekapitulace roz.  vč. kapitol'!#REF!</definedName>
    <definedName name="a" localSheetId="2">'[13]F.1.4.5. ZZTI'!#REF!</definedName>
    <definedName name="a" localSheetId="4">'[13]F.1.4.5.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4">'[13]F.1.4.5. ZZTI'!#REF!</definedName>
    <definedName name="a" localSheetId="13">'[13]F.1.4.5. ZZTI'!#REF!</definedName>
    <definedName name="a" localSheetId="15">'[13]F.1.4.5. ZZTI'!#REF!</definedName>
    <definedName name="a" localSheetId="16">'[13]F.1.4.5. ZZTI'!#REF!</definedName>
    <definedName name="a" localSheetId="17">'[13]F.1.4.5. ZZTI'!#REF!</definedName>
    <definedName name="a" localSheetId="34">'[13]F.1.4.5. ZZTI'!#REF!</definedName>
    <definedName name="a" localSheetId="32">'[13]F.1.4.5. ZZTI'!#REF!</definedName>
    <definedName name="a" localSheetId="33">'[14]F.1.4.5. ZZTI'!#REF!</definedName>
    <definedName name="a" localSheetId="35">'[13]F.1.4.5. ZZTI'!#REF!</definedName>
    <definedName name="a" localSheetId="18">'[13]F.1.4.5. ZZTI'!#REF!</definedName>
    <definedName name="a" localSheetId="19">'[14]F.1.4.5. ZZTI'!#REF!</definedName>
    <definedName name="a" localSheetId="20">'[13]F.1.4.5. ZZTI'!#REF!</definedName>
    <definedName name="a" localSheetId="22">'[13]F.1.4.5. ZZTI'!#REF!</definedName>
    <definedName name="a" localSheetId="24">'[15]F.1.4.5. ZZTI'!#REF!</definedName>
    <definedName name="a" localSheetId="25">'[15]F.1.4.5. ZZTI'!#REF!</definedName>
    <definedName name="a" localSheetId="26">'[15]F.1.4.5. ZZTI'!#REF!</definedName>
    <definedName name="a" localSheetId="23">'[13]F.1.4.5. ZZTI'!#REF!</definedName>
    <definedName name="a" localSheetId="27">'[14]F.1.4.5. ZZTI'!#REF!</definedName>
    <definedName name="a" localSheetId="28">'[13]F.1.4.5. ZZTI'!#REF!</definedName>
    <definedName name="a" localSheetId="29">'[15]F.1.4.5. ZZTI'!#REF!</definedName>
    <definedName name="a" localSheetId="30">'[15]F.1.4.5. ZZTI'!#REF!</definedName>
    <definedName name="a" localSheetId="31">'[15]F.1.4.5. ZZTI'!#REF!</definedName>
    <definedName name="a" localSheetId="37">'[13]F.1.4.5. ZZTI'!#REF!</definedName>
    <definedName name="a" localSheetId="38">'[13]F.1.4.5. ZZTI'!#REF!</definedName>
    <definedName name="a" localSheetId="36">'[13]F.1.4.5. ZZTI'!#REF!</definedName>
    <definedName name="a" localSheetId="3">'[13]F.1.4.5. ZZTI'!#REF!</definedName>
    <definedName name="a" localSheetId="1">'[14]F.1.4.5. ZZTI'!#REF!</definedName>
    <definedName name="a">'[13]F.1.4.5. ZZTI'!#REF!</definedName>
    <definedName name="aaaaaaaa" localSheetId="2" hidden="1">{#N/A,#N/A,TRUE,"Krycí list"}</definedName>
    <definedName name="aaaaaaaa" localSheetId="4"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17"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35" hidden="1">{#N/A,#N/A,TRUE,"Krycí list"}</definedName>
    <definedName name="aaaaaaaa" localSheetId="18" hidden="1">{#N/A,#N/A,TRUE,"Krycí list"}</definedName>
    <definedName name="aaaaaaaa" localSheetId="19" hidden="1">{#N/A,#N/A,TRUE,"Krycí list"}</definedName>
    <definedName name="aaaaaaaa" localSheetId="20" hidden="1">{#N/A,#N/A,TRUE,"Krycí list"}</definedName>
    <definedName name="aaaaaaaa" localSheetId="22" hidden="1">{#N/A,#N/A,TRUE,"Krycí list"}</definedName>
    <definedName name="aaaaaaaa" localSheetId="23" hidden="1">{#N/A,#N/A,TRUE,"Krycí list"}</definedName>
    <definedName name="aaaaaaaa" localSheetId="27" hidden="1">{#N/A,#N/A,TRUE,"Krycí list"}</definedName>
    <definedName name="aaaaaaaa" localSheetId="28" hidden="1">{#N/A,#N/A,TRUE,"Krycí list"}</definedName>
    <definedName name="aaaaaaaa" localSheetId="37" hidden="1">{#N/A,#N/A,TRUE,"Krycí list"}</definedName>
    <definedName name="aaaaaaaa" localSheetId="38" hidden="1">{#N/A,#N/A,TRUE,"Krycí list"}</definedName>
    <definedName name="aaaaaaaa" localSheetId="36" hidden="1">{#N/A,#N/A,TRUE,"Krycí list"}</definedName>
    <definedName name="aaaaaaaa" localSheetId="0" hidden="1">{#N/A,#N/A,TRUE,"Krycí list"}</definedName>
    <definedName name="aaaaaaaa" localSheetId="3" hidden="1">{#N/A,#N/A,TRUE,"Krycí list"}</definedName>
    <definedName name="aaaaaaaa" localSheetId="1" hidden="1">{#N/A,#N/A,TRUE,"Krycí list"}</definedName>
    <definedName name="aaaaaaaa" hidden="1">{#N/A,#N/A,TRUE,"Krycí list"}</definedName>
    <definedName name="adasd">#REF!</definedName>
    <definedName name="baf" localSheetId="2">#REF!</definedName>
    <definedName name="baf" localSheetId="4">#REF!</definedName>
    <definedName name="baf" localSheetId="5">#REF!</definedName>
    <definedName name="baf" localSheetId="11">#REF!</definedName>
    <definedName name="baf" localSheetId="15">#REF!</definedName>
    <definedName name="baf" localSheetId="16">#REF!</definedName>
    <definedName name="baf" localSheetId="17">#REF!</definedName>
    <definedName name="baf" localSheetId="34">#REF!</definedName>
    <definedName name="baf" localSheetId="33">#REF!</definedName>
    <definedName name="baf" localSheetId="35">#REF!</definedName>
    <definedName name="baf" localSheetId="18">#REF!</definedName>
    <definedName name="baf" localSheetId="19">#REF!</definedName>
    <definedName name="baf" localSheetId="20">#REF!</definedName>
    <definedName name="baf" localSheetId="22">#REF!</definedName>
    <definedName name="baf" localSheetId="27">#REF!</definedName>
    <definedName name="baf" localSheetId="37">#REF!</definedName>
    <definedName name="baf" localSheetId="38">#REF!</definedName>
    <definedName name="baf" localSheetId="3">#REF!</definedName>
    <definedName name="baf" localSheetId="1">#REF!</definedName>
    <definedName name="baf">#REF!</definedName>
    <definedName name="Beg_Bal" localSheetId="2">#REF!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4">#REF!</definedName>
    <definedName name="Beg_Bal" localSheetId="13">#REF!</definedName>
    <definedName name="Beg_Bal" localSheetId="15">#REF!</definedName>
    <definedName name="Beg_Bal" localSheetId="16">#REF!</definedName>
    <definedName name="Beg_Bal" localSheetId="17">#REF!</definedName>
    <definedName name="Beg_Bal" localSheetId="34">#REF!</definedName>
    <definedName name="Beg_Bal" localSheetId="32">#REF!</definedName>
    <definedName name="Beg_Bal" localSheetId="33">#REF!</definedName>
    <definedName name="Beg_Bal" localSheetId="35">#REF!</definedName>
    <definedName name="Beg_Bal" localSheetId="18">#REF!</definedName>
    <definedName name="Beg_Bal" localSheetId="19">#REF!</definedName>
    <definedName name="Beg_Bal" localSheetId="20">#REF!</definedName>
    <definedName name="Beg_Bal" localSheetId="22">#REF!</definedName>
    <definedName name="Beg_Bal" localSheetId="24">#REF!</definedName>
    <definedName name="Beg_Bal" localSheetId="25">#REF!</definedName>
    <definedName name="Beg_Bal" localSheetId="26">#REF!</definedName>
    <definedName name="Beg_Bal" localSheetId="23">#REF!</definedName>
    <definedName name="Beg_Bal" localSheetId="27">#REF!</definedName>
    <definedName name="Beg_Bal" localSheetId="28">#REF!</definedName>
    <definedName name="Beg_Bal" localSheetId="29">#REF!</definedName>
    <definedName name="Beg_Bal" localSheetId="30">#REF!</definedName>
    <definedName name="Beg_Bal" localSheetId="31">#REF!</definedName>
    <definedName name="Beg_Bal" localSheetId="37">#REF!</definedName>
    <definedName name="Beg_Bal" localSheetId="38">#REF!</definedName>
    <definedName name="Beg_Bal" localSheetId="36">#REF!</definedName>
    <definedName name="Beg_Bal" localSheetId="3">#REF!</definedName>
    <definedName name="Beg_Bal" localSheetId="1">#REF!</definedName>
    <definedName name="Beg_Bal">#REF!</definedName>
    <definedName name="bghrerr" localSheetId="2">#REF!</definedName>
    <definedName name="bghrerr" localSheetId="4">#REF!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2">#REF!</definedName>
    <definedName name="bghrerr" localSheetId="14">#REF!</definedName>
    <definedName name="bghrerr" localSheetId="13">#REF!</definedName>
    <definedName name="bghrerr" localSheetId="15">#REF!</definedName>
    <definedName name="bghrerr" localSheetId="16">#REF!</definedName>
    <definedName name="bghrerr" localSheetId="17">#REF!</definedName>
    <definedName name="bghrerr" localSheetId="34">#REF!</definedName>
    <definedName name="bghrerr" localSheetId="32">#REF!</definedName>
    <definedName name="bghrerr" localSheetId="35">#REF!</definedName>
    <definedName name="bghrerr" localSheetId="18">#REF!</definedName>
    <definedName name="bghrerr" localSheetId="20">#REF!</definedName>
    <definedName name="bghrerr" localSheetId="24">#REF!</definedName>
    <definedName name="bghrerr" localSheetId="25">#REF!</definedName>
    <definedName name="bghrerr" localSheetId="26">#REF!</definedName>
    <definedName name="bghrerr" localSheetId="23">#REF!</definedName>
    <definedName name="bghrerr" localSheetId="28">#REF!</definedName>
    <definedName name="bghrerr" localSheetId="29">#REF!</definedName>
    <definedName name="bghrerr" localSheetId="30">#REF!</definedName>
    <definedName name="bghrerr" localSheetId="31">#REF!</definedName>
    <definedName name="bghrerr" localSheetId="37">#REF!</definedName>
    <definedName name="bghrerr" localSheetId="38">#REF!</definedName>
    <definedName name="bghrerr" localSheetId="36">#REF!</definedName>
    <definedName name="bghrerr" localSheetId="3">#REF!</definedName>
    <definedName name="bghrerr" localSheetId="1">#REF!</definedName>
    <definedName name="bghrerr">#REF!</definedName>
    <definedName name="bhvfdgvf" localSheetId="2">#REF!</definedName>
    <definedName name="bhvfdgvf" localSheetId="4">#REF!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2">#REF!</definedName>
    <definedName name="bhvfdgvf" localSheetId="14">#REF!</definedName>
    <definedName name="bhvfdgvf" localSheetId="13">#REF!</definedName>
    <definedName name="bhvfdgvf" localSheetId="15">#REF!</definedName>
    <definedName name="bhvfdgvf" localSheetId="16">#REF!</definedName>
    <definedName name="bhvfdgvf" localSheetId="17">#REF!</definedName>
    <definedName name="bhvfdgvf" localSheetId="34">#REF!</definedName>
    <definedName name="bhvfdgvf" localSheetId="32">#REF!</definedName>
    <definedName name="bhvfdgvf" localSheetId="35">#REF!</definedName>
    <definedName name="bhvfdgvf" localSheetId="18">#REF!</definedName>
    <definedName name="bhvfdgvf" localSheetId="20">#REF!</definedName>
    <definedName name="bhvfdgvf" localSheetId="24">#REF!</definedName>
    <definedName name="bhvfdgvf" localSheetId="25">#REF!</definedName>
    <definedName name="bhvfdgvf" localSheetId="26">#REF!</definedName>
    <definedName name="bhvfdgvf" localSheetId="23">#REF!</definedName>
    <definedName name="bhvfdgvf" localSheetId="28">#REF!</definedName>
    <definedName name="bhvfdgvf" localSheetId="29">#REF!</definedName>
    <definedName name="bhvfdgvf" localSheetId="30">#REF!</definedName>
    <definedName name="bhvfdgvf" localSheetId="31">#REF!</definedName>
    <definedName name="bhvfdgvf" localSheetId="37">#REF!</definedName>
    <definedName name="bhvfdgvf" localSheetId="38">#REF!</definedName>
    <definedName name="bhvfdgvf" localSheetId="36">#REF!</definedName>
    <definedName name="bhvfdgvf" localSheetId="3">#REF!</definedName>
    <definedName name="bhvfdgvf" localSheetId="1">#REF!</definedName>
    <definedName name="bhvfdgvf">#REF!</definedName>
    <definedName name="body_celkem" localSheetId="2">'[12]Rekapitulace roz.  vč. kapitol'!#REF!</definedName>
    <definedName name="body_celkem" localSheetId="4">'[12]Rekapitulace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4">'[12]Rekapitulace roz.  vč. kapitol'!#REF!</definedName>
    <definedName name="body_celkem" localSheetId="13">'[12]Rekapitulace roz.  vč. kapitol'!#REF!</definedName>
    <definedName name="body_celkem" localSheetId="15">'[12]Rekapitulace roz.  vč. kapitol'!#REF!</definedName>
    <definedName name="body_celkem" localSheetId="16">'[12]Rekapitulace roz.  vč. kapitol'!#REF!</definedName>
    <definedName name="body_celkem" localSheetId="17">'[12]Rekapitulace roz.  vč. kapitol'!#REF!</definedName>
    <definedName name="body_celkem" localSheetId="34">'[12]Rekapitulace roz.  vč. kapitol'!#REF!</definedName>
    <definedName name="body_celkem" localSheetId="32">'[12]Rekapitulace roz.  vč. kapitol'!#REF!</definedName>
    <definedName name="body_celkem" localSheetId="33">'[12]Rekapitulace roz.  vč. kapitol'!#REF!</definedName>
    <definedName name="body_celkem" localSheetId="35">'[12]Rekapitulace roz.  vč. kapitol'!#REF!</definedName>
    <definedName name="body_celkem" localSheetId="18">'[12]Rekapitulace roz.  vč. kapitol'!#REF!</definedName>
    <definedName name="body_celkem" localSheetId="20">'[12]Rekapitulace roz.  vč. kapitol'!#REF!</definedName>
    <definedName name="body_celkem" localSheetId="24">'[12]Rekapitulace roz.  vč. kapitol'!#REF!</definedName>
    <definedName name="body_celkem" localSheetId="25">'[12]Rekapitulace roz.  vč. kapitol'!#REF!</definedName>
    <definedName name="body_celkem" localSheetId="26">'[12]Rekapitulace roz.  vč. kapitol'!#REF!</definedName>
    <definedName name="body_celkem" localSheetId="23">'[12]Rekapitulace roz.  vč. kapitol'!#REF!</definedName>
    <definedName name="body_celkem" localSheetId="28">'[12]Rekapitulace roz.  vč. kapitol'!#REF!</definedName>
    <definedName name="body_celkem" localSheetId="29">'[12]Rekapitulace roz.  vč. kapitol'!#REF!</definedName>
    <definedName name="body_celkem" localSheetId="30">'[12]Rekapitulace roz.  vč. kapitol'!#REF!</definedName>
    <definedName name="body_celkem" localSheetId="31">'[12]Rekapitulace roz.  vč. kapitol'!#REF!</definedName>
    <definedName name="body_celkem" localSheetId="37">'[12]Rekapitulace roz.  vč. kapitol'!#REF!</definedName>
    <definedName name="body_celkem" localSheetId="38">'[12]Rekapitulace roz.  vč. kapitol'!#REF!</definedName>
    <definedName name="body_celkem" localSheetId="36">'[12]Rekapitulace roz.  vč. kapitol'!#REF!</definedName>
    <definedName name="body_celkem" localSheetId="1">'[12]Rekapitulace roz.  vč. kapitol'!#REF!</definedName>
    <definedName name="body_celkem">'[12]Rekapitulace roz.  vč. kapitol'!#REF!</definedName>
    <definedName name="body_kapitoly" localSheetId="2">'[12]Rekapitulace roz.  vč. kapitol'!#REF!</definedName>
    <definedName name="body_kapitoly" localSheetId="4">'[12]Rekapitulace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4">'[12]Rekapitulace roz.  vč. kapitol'!#REF!</definedName>
    <definedName name="body_kapitoly" localSheetId="13">'[12]Rekapitulace roz.  vč. kapitol'!#REF!</definedName>
    <definedName name="body_kapitoly" localSheetId="15">'[12]Rekapitulace roz.  vč. kapitol'!#REF!</definedName>
    <definedName name="body_kapitoly" localSheetId="16">'[12]Rekapitulace roz.  vč. kapitol'!#REF!</definedName>
    <definedName name="body_kapitoly" localSheetId="17">'[12]Rekapitulace roz.  vč. kapitol'!#REF!</definedName>
    <definedName name="body_kapitoly" localSheetId="34">'[12]Rekapitulace roz.  vč. kapitol'!#REF!</definedName>
    <definedName name="body_kapitoly" localSheetId="32">'[12]Rekapitulace roz.  vč. kapitol'!#REF!</definedName>
    <definedName name="body_kapitoly" localSheetId="33">'[12]Rekapitulace roz.  vč. kapitol'!#REF!</definedName>
    <definedName name="body_kapitoly" localSheetId="35">'[12]Rekapitulace roz.  vč. kapitol'!#REF!</definedName>
    <definedName name="body_kapitoly" localSheetId="18">'[12]Rekapitulace roz.  vč. kapitol'!#REF!</definedName>
    <definedName name="body_kapitoly" localSheetId="20">'[12]Rekapitulace roz.  vč. kapitol'!#REF!</definedName>
    <definedName name="body_kapitoly" localSheetId="24">'[12]Rekapitulace roz.  vč. kapitol'!#REF!</definedName>
    <definedName name="body_kapitoly" localSheetId="25">'[12]Rekapitulace roz.  vč. kapitol'!#REF!</definedName>
    <definedName name="body_kapitoly" localSheetId="26">'[12]Rekapitulace roz.  vč. kapitol'!#REF!</definedName>
    <definedName name="body_kapitoly" localSheetId="23">'[12]Rekapitulace roz.  vč. kapitol'!#REF!</definedName>
    <definedName name="body_kapitoly" localSheetId="28">'[12]Rekapitulace roz.  vč. kapitol'!#REF!</definedName>
    <definedName name="body_kapitoly" localSheetId="29">'[12]Rekapitulace roz.  vč. kapitol'!#REF!</definedName>
    <definedName name="body_kapitoly" localSheetId="30">'[12]Rekapitulace roz.  vč. kapitol'!#REF!</definedName>
    <definedName name="body_kapitoly" localSheetId="31">'[12]Rekapitulace roz.  vč. kapitol'!#REF!</definedName>
    <definedName name="body_kapitoly" localSheetId="37">'[12]Rekapitulace roz.  vč. kapitol'!#REF!</definedName>
    <definedName name="body_kapitoly" localSheetId="38">'[12]Rekapitulace roz.  vč. kapitol'!#REF!</definedName>
    <definedName name="body_kapitoly" localSheetId="36">'[12]Rekapitulace roz.  vč. kapitol'!#REF!</definedName>
    <definedName name="body_kapitoly" localSheetId="1">'[12]Rekapitulace roz.  vč. kapitol'!#REF!</definedName>
    <definedName name="body_kapitoly">'[12]Rekapitulace roz.  vč. kapitol'!#REF!</definedName>
    <definedName name="body_pomocny" localSheetId="2">'[12]Rekapitulace roz.  vč. kapitol'!#REF!</definedName>
    <definedName name="body_pomocny" localSheetId="4">'[12]Rekapitulace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4">'[12]Rekapitulace roz.  vč. kapitol'!#REF!</definedName>
    <definedName name="body_pomocny" localSheetId="13">'[12]Rekapitulace roz.  vč. kapitol'!#REF!</definedName>
    <definedName name="body_pomocny" localSheetId="15">'[12]Rekapitulace roz.  vč. kapitol'!#REF!</definedName>
    <definedName name="body_pomocny" localSheetId="16">'[12]Rekapitulace roz.  vč. kapitol'!#REF!</definedName>
    <definedName name="body_pomocny" localSheetId="17">'[12]Rekapitulace roz.  vč. kapitol'!#REF!</definedName>
    <definedName name="body_pomocny" localSheetId="34">'[12]Rekapitulace roz.  vč. kapitol'!#REF!</definedName>
    <definedName name="body_pomocny" localSheetId="32">'[12]Rekapitulace roz.  vč. kapitol'!#REF!</definedName>
    <definedName name="body_pomocny" localSheetId="33">'[12]Rekapitulace roz.  vč. kapitol'!#REF!</definedName>
    <definedName name="body_pomocny" localSheetId="35">'[12]Rekapitulace roz.  vč. kapitol'!#REF!</definedName>
    <definedName name="body_pomocny" localSheetId="18">'[12]Rekapitulace roz.  vč. kapitol'!#REF!</definedName>
    <definedName name="body_pomocny" localSheetId="20">'[12]Rekapitulace roz.  vč. kapitol'!#REF!</definedName>
    <definedName name="body_pomocny" localSheetId="24">'[12]Rekapitulace roz.  vč. kapitol'!#REF!</definedName>
    <definedName name="body_pomocny" localSheetId="25">'[12]Rekapitulace roz.  vč. kapitol'!#REF!</definedName>
    <definedName name="body_pomocny" localSheetId="26">'[12]Rekapitulace roz.  vč. kapitol'!#REF!</definedName>
    <definedName name="body_pomocny" localSheetId="23">'[12]Rekapitulace roz.  vč. kapitol'!#REF!</definedName>
    <definedName name="body_pomocny" localSheetId="28">'[12]Rekapitulace roz.  vč. kapitol'!#REF!</definedName>
    <definedName name="body_pomocny" localSheetId="29">'[12]Rekapitulace roz.  vč. kapitol'!#REF!</definedName>
    <definedName name="body_pomocny" localSheetId="30">'[12]Rekapitulace roz.  vč. kapitol'!#REF!</definedName>
    <definedName name="body_pomocny" localSheetId="31">'[12]Rekapitulace roz.  vč. kapitol'!#REF!</definedName>
    <definedName name="body_pomocny" localSheetId="37">'[12]Rekapitulace roz.  vč. kapitol'!#REF!</definedName>
    <definedName name="body_pomocny" localSheetId="38">'[12]Rekapitulace roz.  vč. kapitol'!#REF!</definedName>
    <definedName name="body_pomocny" localSheetId="36">'[12]Rekapitulace roz.  vč. kapitol'!#REF!</definedName>
    <definedName name="body_pomocny">'[12]Rekapitulace roz.  vč. kapitol'!#REF!</definedName>
    <definedName name="body_rozpocty" localSheetId="2">'[12]Rekapitulace roz.  vč. kapitol'!#REF!</definedName>
    <definedName name="body_rozpocty" localSheetId="4">'[12]Rekapitulace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4">'[12]Rekapitulace roz.  vč. kapitol'!#REF!</definedName>
    <definedName name="body_rozpocty" localSheetId="13">'[12]Rekapitulace roz.  vč. kapitol'!#REF!</definedName>
    <definedName name="body_rozpocty" localSheetId="15">'[12]Rekapitulace roz.  vč. kapitol'!#REF!</definedName>
    <definedName name="body_rozpocty" localSheetId="16">'[12]Rekapitulace roz.  vč. kapitol'!#REF!</definedName>
    <definedName name="body_rozpocty" localSheetId="17">'[12]Rekapitulace roz.  vč. kapitol'!#REF!</definedName>
    <definedName name="body_rozpocty" localSheetId="34">'[12]Rekapitulace roz.  vč. kapitol'!#REF!</definedName>
    <definedName name="body_rozpocty" localSheetId="32">'[12]Rekapitulace roz.  vč. kapitol'!#REF!</definedName>
    <definedName name="body_rozpocty" localSheetId="33">'[12]Rekapitulace roz.  vč. kapitol'!#REF!</definedName>
    <definedName name="body_rozpocty" localSheetId="35">'[12]Rekapitulace roz.  vč. kapitol'!#REF!</definedName>
    <definedName name="body_rozpocty" localSheetId="18">'[12]Rekapitulace roz.  vč. kapitol'!#REF!</definedName>
    <definedName name="body_rozpocty" localSheetId="20">'[12]Rekapitulace roz.  vč. kapitol'!#REF!</definedName>
    <definedName name="body_rozpocty" localSheetId="24">'[12]Rekapitulace roz.  vč. kapitol'!#REF!</definedName>
    <definedName name="body_rozpocty" localSheetId="25">'[12]Rekapitulace roz.  vč. kapitol'!#REF!</definedName>
    <definedName name="body_rozpocty" localSheetId="26">'[12]Rekapitulace roz.  vč. kapitol'!#REF!</definedName>
    <definedName name="body_rozpocty" localSheetId="23">'[12]Rekapitulace roz.  vč. kapitol'!#REF!</definedName>
    <definedName name="body_rozpocty" localSheetId="28">'[12]Rekapitulace roz.  vč. kapitol'!#REF!</definedName>
    <definedName name="body_rozpocty" localSheetId="29">'[12]Rekapitulace roz.  vč. kapitol'!#REF!</definedName>
    <definedName name="body_rozpocty" localSheetId="30">'[12]Rekapitulace roz.  vč. kapitol'!#REF!</definedName>
    <definedName name="body_rozpocty" localSheetId="31">'[12]Rekapitulace roz.  vč. kapitol'!#REF!</definedName>
    <definedName name="body_rozpocty" localSheetId="37">'[12]Rekapitulace roz.  vč. kapitol'!#REF!</definedName>
    <definedName name="body_rozpocty" localSheetId="38">'[12]Rekapitulace roz.  vč. kapitol'!#REF!</definedName>
    <definedName name="body_rozpocty" localSheetId="36">'[12]Rekapitulace roz.  vč. kapitol'!#REF!</definedName>
    <definedName name="body_rozpocty">'[12]Rekapitulace roz.  vč. kapitol'!#REF!</definedName>
    <definedName name="category1" localSheetId="2">#REF!</definedName>
    <definedName name="category1" localSheetId="4">#REF!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4">#REF!</definedName>
    <definedName name="category1" localSheetId="13">#REF!</definedName>
    <definedName name="category1" localSheetId="15">#REF!</definedName>
    <definedName name="category1" localSheetId="16">#REF!</definedName>
    <definedName name="category1" localSheetId="17">#REF!</definedName>
    <definedName name="category1" localSheetId="34">#REF!</definedName>
    <definedName name="category1" localSheetId="32">#REF!</definedName>
    <definedName name="category1" localSheetId="33">#REF!</definedName>
    <definedName name="category1" localSheetId="35">#REF!</definedName>
    <definedName name="category1" localSheetId="18">#REF!</definedName>
    <definedName name="category1" localSheetId="19">#REF!</definedName>
    <definedName name="category1" localSheetId="20">#REF!</definedName>
    <definedName name="category1" localSheetId="22">#REF!</definedName>
    <definedName name="category1" localSheetId="24">#REF!</definedName>
    <definedName name="category1" localSheetId="25">#REF!</definedName>
    <definedName name="category1" localSheetId="26">#REF!</definedName>
    <definedName name="category1" localSheetId="23">#REF!</definedName>
    <definedName name="category1" localSheetId="27">#REF!</definedName>
    <definedName name="category1" localSheetId="28">#REF!</definedName>
    <definedName name="category1" localSheetId="29">#REF!</definedName>
    <definedName name="category1" localSheetId="30">#REF!</definedName>
    <definedName name="category1" localSheetId="31">#REF!</definedName>
    <definedName name="category1" localSheetId="37">#REF!</definedName>
    <definedName name="category1" localSheetId="38">#REF!</definedName>
    <definedName name="category1" localSheetId="36">#REF!</definedName>
    <definedName name="category1" localSheetId="3">#REF!</definedName>
    <definedName name="category1" localSheetId="1">#REF!</definedName>
    <definedName name="category1">#REF!</definedName>
    <definedName name="CelkemObjekty" localSheetId="0">KL!$F$64</definedName>
    <definedName name="celkrozp" localSheetId="2">#REF!</definedName>
    <definedName name="celkrozp" localSheetId="4">#REF!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2">#REF!</definedName>
    <definedName name="celkrozp" localSheetId="14">#REF!</definedName>
    <definedName name="celkrozp" localSheetId="13">#REF!</definedName>
    <definedName name="celkrozp" localSheetId="15">#REF!</definedName>
    <definedName name="celkrozp" localSheetId="16">#REF!</definedName>
    <definedName name="celkrozp" localSheetId="17">#REF!</definedName>
    <definedName name="celkrozp" localSheetId="34">#REF!</definedName>
    <definedName name="celkrozp" localSheetId="32">#REF!</definedName>
    <definedName name="celkrozp" localSheetId="33">#REF!</definedName>
    <definedName name="celkrozp" localSheetId="35">#REF!</definedName>
    <definedName name="celkrozp" localSheetId="18">#REF!</definedName>
    <definedName name="celkrozp" localSheetId="20">#REF!</definedName>
    <definedName name="celkrozp" localSheetId="22">#REF!</definedName>
    <definedName name="celkrozp" localSheetId="24">#REF!</definedName>
    <definedName name="celkrozp" localSheetId="25">#REF!</definedName>
    <definedName name="celkrozp" localSheetId="26">#REF!</definedName>
    <definedName name="celkrozp" localSheetId="23">#REF!</definedName>
    <definedName name="celkrozp" localSheetId="27">#REF!</definedName>
    <definedName name="celkrozp" localSheetId="28">#REF!</definedName>
    <definedName name="celkrozp" localSheetId="29">#REF!</definedName>
    <definedName name="celkrozp" localSheetId="30">#REF!</definedName>
    <definedName name="celkrozp" localSheetId="31">#REF!</definedName>
    <definedName name="celkrozp" localSheetId="37">#REF!</definedName>
    <definedName name="celkrozp" localSheetId="38">#REF!</definedName>
    <definedName name="celkrozp" localSheetId="36">#REF!</definedName>
    <definedName name="celkrozp" localSheetId="3">#REF!</definedName>
    <definedName name="celkrozp" localSheetId="1">#REF!</definedName>
    <definedName name="celkrozp">#REF!</definedName>
    <definedName name="cisloobjektu" localSheetId="2">#REF!</definedName>
    <definedName name="cisloobjektu" localSheetId="4">#REF!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4">#REF!</definedName>
    <definedName name="cisloobjektu" localSheetId="13">#REF!</definedName>
    <definedName name="cisloobjektu" localSheetId="15">#REF!</definedName>
    <definedName name="cisloobjektu" localSheetId="16">#REF!</definedName>
    <definedName name="cisloobjektu" localSheetId="17">#REF!</definedName>
    <definedName name="cisloobjektu" localSheetId="34">#REF!</definedName>
    <definedName name="cisloobjektu" localSheetId="32">#REF!</definedName>
    <definedName name="cisloobjektu" localSheetId="33">#REF!</definedName>
    <definedName name="cisloobjektu" localSheetId="35">#REF!</definedName>
    <definedName name="cisloobjektu" localSheetId="18">#REF!</definedName>
    <definedName name="cisloobjektu" localSheetId="20">#REF!</definedName>
    <definedName name="cisloobjektu" localSheetId="22">#REF!</definedName>
    <definedName name="cisloobjektu" localSheetId="24">#REF!</definedName>
    <definedName name="cisloobjektu" localSheetId="25">#REF!</definedName>
    <definedName name="cisloobjektu" localSheetId="26">#REF!</definedName>
    <definedName name="cisloobjektu" localSheetId="23">#REF!</definedName>
    <definedName name="cisloobjektu" localSheetId="27">#REF!</definedName>
    <definedName name="cisloobjektu" localSheetId="28">#REF!</definedName>
    <definedName name="cisloobjektu" localSheetId="29">#REF!</definedName>
    <definedName name="cisloobjektu" localSheetId="30">#REF!</definedName>
    <definedName name="cisloobjektu" localSheetId="31">#REF!</definedName>
    <definedName name="cisloobjektu" localSheetId="37">#REF!</definedName>
    <definedName name="cisloobjektu" localSheetId="38">#REF!</definedName>
    <definedName name="cisloobjektu" localSheetId="36">#REF!</definedName>
    <definedName name="cisloobjektu" localSheetId="0">#REF!</definedName>
    <definedName name="cisloobjektu" localSheetId="3">#REF!</definedName>
    <definedName name="cisloobjektu" localSheetId="1">#REF!</definedName>
    <definedName name="cisloobjektu">#REF!</definedName>
    <definedName name="cislostavby" localSheetId="2">#REF!</definedName>
    <definedName name="cislostavby" localSheetId="4">#REF!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4">#REF!</definedName>
    <definedName name="cislostavby" localSheetId="13">#REF!</definedName>
    <definedName name="cislostavby" localSheetId="15">#REF!</definedName>
    <definedName name="cislostavby" localSheetId="16">#REF!</definedName>
    <definedName name="cislostavby" localSheetId="17">#REF!</definedName>
    <definedName name="cislostavby" localSheetId="34">#REF!</definedName>
    <definedName name="cislostavby" localSheetId="32">#REF!</definedName>
    <definedName name="cislostavby" localSheetId="33">#REF!</definedName>
    <definedName name="cislostavby" localSheetId="35">#REF!</definedName>
    <definedName name="cislostavby" localSheetId="18">#REF!</definedName>
    <definedName name="cislostavby" localSheetId="20">#REF!</definedName>
    <definedName name="cislostavby" localSheetId="24">#REF!</definedName>
    <definedName name="cislostavby" localSheetId="25">#REF!</definedName>
    <definedName name="cislostavby" localSheetId="26">#REF!</definedName>
    <definedName name="cislostavby" localSheetId="23">#REF!</definedName>
    <definedName name="cislostavby" localSheetId="28">#REF!</definedName>
    <definedName name="cislostavby" localSheetId="29">#REF!</definedName>
    <definedName name="cislostavby" localSheetId="30">#REF!</definedName>
    <definedName name="cislostavby" localSheetId="31">#REF!</definedName>
    <definedName name="cislostavby" localSheetId="37">#REF!</definedName>
    <definedName name="cislostavby" localSheetId="38">#REF!</definedName>
    <definedName name="cislostavby" localSheetId="36">#REF!</definedName>
    <definedName name="CisloStavby" localSheetId="0">KL!#REF!</definedName>
    <definedName name="cislostavby" localSheetId="3">#REF!</definedName>
    <definedName name="cislostavby" localSheetId="1">#REF!</definedName>
    <definedName name="cislostavby">#REF!</definedName>
    <definedName name="d" localSheetId="2" hidden="1">{#N/A,#N/A,TRUE,"Krycí list"}</definedName>
    <definedName name="d" localSheetId="4"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17"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35" hidden="1">{#N/A,#N/A,TRUE,"Krycí list"}</definedName>
    <definedName name="d" localSheetId="18" hidden="1">{#N/A,#N/A,TRUE,"Krycí list"}</definedName>
    <definedName name="d" localSheetId="19" hidden="1">{#N/A,#N/A,TRUE,"Krycí list"}</definedName>
    <definedName name="d" localSheetId="20" hidden="1">{#N/A,#N/A,TRUE,"Krycí list"}</definedName>
    <definedName name="d" localSheetId="22" hidden="1">{#N/A,#N/A,TRUE,"Krycí list"}</definedName>
    <definedName name="d" localSheetId="23" hidden="1">{#N/A,#N/A,TRUE,"Krycí list"}</definedName>
    <definedName name="d" localSheetId="27" hidden="1">{#N/A,#N/A,TRUE,"Krycí list"}</definedName>
    <definedName name="d" localSheetId="28" hidden="1">{#N/A,#N/A,TRUE,"Krycí list"}</definedName>
    <definedName name="d" localSheetId="37" hidden="1">{#N/A,#N/A,TRUE,"Krycí list"}</definedName>
    <definedName name="d" localSheetId="38" hidden="1">{#N/A,#N/A,TRUE,"Krycí list"}</definedName>
    <definedName name="d" localSheetId="36" hidden="1">{#N/A,#N/A,TRUE,"Krycí list"}</definedName>
    <definedName name="d" localSheetId="0" hidden="1">{#N/A,#N/A,TRUE,"Krycí list"}</definedName>
    <definedName name="d" localSheetId="3" hidden="1">{#N/A,#N/A,TRUE,"Krycí list"}</definedName>
    <definedName name="d" localSheetId="1" hidden="1">{#N/A,#N/A,TRUE,"Krycí list"}</definedName>
    <definedName name="d" hidden="1">{#N/A,#N/A,TRUE,"Krycí list"}</definedName>
    <definedName name="dadresa" localSheetId="0">KL!$D$8</definedName>
    <definedName name="Data" localSheetId="2">#REF!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4">#REF!</definedName>
    <definedName name="Data" localSheetId="13">#REF!</definedName>
    <definedName name="Data" localSheetId="15">#REF!</definedName>
    <definedName name="Data" localSheetId="16">#REF!</definedName>
    <definedName name="Data" localSheetId="17">#REF!</definedName>
    <definedName name="Data" localSheetId="34">#REF!</definedName>
    <definedName name="Data" localSheetId="32">#REF!</definedName>
    <definedName name="Data" localSheetId="33">#REF!</definedName>
    <definedName name="Data" localSheetId="35">#REF!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5">#REF!</definedName>
    <definedName name="Data" localSheetId="26">#REF!</definedName>
    <definedName name="Data" localSheetId="23">#REF!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7">#REF!</definedName>
    <definedName name="Data" localSheetId="38">#REF!</definedName>
    <definedName name="Data" localSheetId="36">#REF!</definedName>
    <definedName name="Data" localSheetId="3">#REF!</definedName>
    <definedName name="Data" localSheetId="1">#REF!</definedName>
    <definedName name="Data">#REF!</definedName>
    <definedName name="Datum" localSheetId="2">#REF!</definedName>
    <definedName name="Datum" localSheetId="4">#REF!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4">#REF!</definedName>
    <definedName name="Datum" localSheetId="13">#REF!</definedName>
    <definedName name="Datum" localSheetId="15">#REF!</definedName>
    <definedName name="Datum" localSheetId="16">#REF!</definedName>
    <definedName name="Datum" localSheetId="17">#REF!</definedName>
    <definedName name="Datum" localSheetId="34">#REF!</definedName>
    <definedName name="Datum" localSheetId="32">#REF!</definedName>
    <definedName name="Datum" localSheetId="33">#REF!</definedName>
    <definedName name="Datum" localSheetId="35">#REF!</definedName>
    <definedName name="Datum" localSheetId="18">#REF!</definedName>
    <definedName name="Datum" localSheetId="19">#REF!</definedName>
    <definedName name="Datum" localSheetId="20">#REF!</definedName>
    <definedName name="Datum" localSheetId="22">#REF!</definedName>
    <definedName name="Datum" localSheetId="24">#REF!</definedName>
    <definedName name="Datum" localSheetId="25">#REF!</definedName>
    <definedName name="Datum" localSheetId="26">#REF!</definedName>
    <definedName name="Datum" localSheetId="23">#REF!</definedName>
    <definedName name="Datum" localSheetId="27">#REF!</definedName>
    <definedName name="Datum" localSheetId="28">#REF!</definedName>
    <definedName name="Datum" localSheetId="29">#REF!</definedName>
    <definedName name="Datum" localSheetId="30">#REF!</definedName>
    <definedName name="Datum" localSheetId="31">#REF!</definedName>
    <definedName name="Datum" localSheetId="37">#REF!</definedName>
    <definedName name="Datum" localSheetId="38">#REF!</definedName>
    <definedName name="Datum" localSheetId="36">#REF!</definedName>
    <definedName name="Datum" localSheetId="0">#REF!</definedName>
    <definedName name="Datum" localSheetId="3">#REF!</definedName>
    <definedName name="Datum" localSheetId="1">#REF!</definedName>
    <definedName name="Datum">#REF!</definedName>
    <definedName name="dfdaf" localSheetId="2">#REF!</definedName>
    <definedName name="dfdaf" localSheetId="4">#REF!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2">#REF!</definedName>
    <definedName name="dfdaf" localSheetId="14">#REF!</definedName>
    <definedName name="dfdaf" localSheetId="13">#REF!</definedName>
    <definedName name="dfdaf" localSheetId="15">#REF!</definedName>
    <definedName name="dfdaf" localSheetId="16">#REF!</definedName>
    <definedName name="dfdaf" localSheetId="17">#REF!</definedName>
    <definedName name="dfdaf" localSheetId="34">#REF!</definedName>
    <definedName name="dfdaf" localSheetId="32">#REF!</definedName>
    <definedName name="dfdaf" localSheetId="35">#REF!</definedName>
    <definedName name="dfdaf" localSheetId="18">#REF!</definedName>
    <definedName name="dfdaf" localSheetId="19">#REF!</definedName>
    <definedName name="dfdaf" localSheetId="20">#REF!</definedName>
    <definedName name="dfdaf" localSheetId="22">#REF!</definedName>
    <definedName name="dfdaf" localSheetId="24">#REF!</definedName>
    <definedName name="dfdaf" localSheetId="25">#REF!</definedName>
    <definedName name="dfdaf" localSheetId="26">#REF!</definedName>
    <definedName name="dfdaf" localSheetId="23">#REF!</definedName>
    <definedName name="dfdaf" localSheetId="27">#REF!</definedName>
    <definedName name="dfdaf" localSheetId="28">#REF!</definedName>
    <definedName name="dfdaf" localSheetId="29">#REF!</definedName>
    <definedName name="dfdaf" localSheetId="30">#REF!</definedName>
    <definedName name="dfdaf" localSheetId="31">#REF!</definedName>
    <definedName name="dfdaf" localSheetId="37">#REF!</definedName>
    <definedName name="dfdaf" localSheetId="38">#REF!</definedName>
    <definedName name="dfdaf" localSheetId="36">#REF!</definedName>
    <definedName name="dfdaf" localSheetId="3">#REF!</definedName>
    <definedName name="dfdaf" localSheetId="1">#REF!</definedName>
    <definedName name="dfdaf">#REF!</definedName>
    <definedName name="DIČ" localSheetId="0">KL!$J$8</definedName>
    <definedName name="Dil" localSheetId="2">#REF!</definedName>
    <definedName name="Dil" localSheetId="4">#REF!</definedName>
    <definedName name="Dil" localSheetId="5">#REF!</definedName>
    <definedName name="Dil" localSheetId="6">#REF!</definedName>
    <definedName name="Dil" localSheetId="7">#REF!</definedName>
    <definedName name="Dil" localSheetId="8">#REF!</definedName>
    <definedName name="Dil" localSheetId="10">#REF!</definedName>
    <definedName name="Dil" localSheetId="11">#REF!</definedName>
    <definedName name="Dil" localSheetId="12">#REF!</definedName>
    <definedName name="Dil" localSheetId="14">#REF!</definedName>
    <definedName name="Dil" localSheetId="13">#REF!</definedName>
    <definedName name="Dil" localSheetId="15">#REF!</definedName>
    <definedName name="Dil" localSheetId="16">#REF!</definedName>
    <definedName name="Dil" localSheetId="17">#REF!</definedName>
    <definedName name="Dil" localSheetId="34">#REF!</definedName>
    <definedName name="Dil" localSheetId="32">#REF!</definedName>
    <definedName name="Dil" localSheetId="33">#REF!</definedName>
    <definedName name="Dil" localSheetId="35">#REF!</definedName>
    <definedName name="Dil" localSheetId="18">#REF!</definedName>
    <definedName name="Dil" localSheetId="20">#REF!</definedName>
    <definedName name="Dil" localSheetId="24">#REF!</definedName>
    <definedName name="Dil" localSheetId="25">#REF!</definedName>
    <definedName name="Dil" localSheetId="26">#REF!</definedName>
    <definedName name="Dil" localSheetId="23">#REF!</definedName>
    <definedName name="Dil" localSheetId="28">#REF!</definedName>
    <definedName name="Dil" localSheetId="29">#REF!</definedName>
    <definedName name="Dil" localSheetId="30">#REF!</definedName>
    <definedName name="Dil" localSheetId="31">#REF!</definedName>
    <definedName name="Dil" localSheetId="37">#REF!</definedName>
    <definedName name="Dil" localSheetId="38">#REF!</definedName>
    <definedName name="Dil" localSheetId="36">#REF!</definedName>
    <definedName name="Dil" localSheetId="0">#REF!</definedName>
    <definedName name="Dil" localSheetId="3">#REF!</definedName>
    <definedName name="Dil" localSheetId="1">#REF!</definedName>
    <definedName name="Dil">#REF!</definedName>
    <definedName name="DKGJSDGS" localSheetId="2">#REF!</definedName>
    <definedName name="DKGJSDGS" localSheetId="4">#REF!</definedName>
    <definedName name="DKGJSDGS" localSheetId="5">#REF!</definedName>
    <definedName name="DKGJSDGS" localSheetId="6">#REF!</definedName>
    <definedName name="DKGJSDGS" localSheetId="7">#REF!</definedName>
    <definedName name="DKGJSDGS" localSheetId="8">#REF!</definedName>
    <definedName name="DKGJSDGS" localSheetId="10">#REF!</definedName>
    <definedName name="DKGJSDGS" localSheetId="11">#REF!</definedName>
    <definedName name="DKGJSDGS" localSheetId="12">#REF!</definedName>
    <definedName name="DKGJSDGS" localSheetId="14">#REF!</definedName>
    <definedName name="DKGJSDGS" localSheetId="13">#REF!</definedName>
    <definedName name="DKGJSDGS" localSheetId="15">#REF!</definedName>
    <definedName name="DKGJSDGS" localSheetId="16">#REF!</definedName>
    <definedName name="DKGJSDGS" localSheetId="17">#REF!</definedName>
    <definedName name="DKGJSDGS" localSheetId="34">#REF!</definedName>
    <definedName name="DKGJSDGS" localSheetId="32">#REF!</definedName>
    <definedName name="DKGJSDGS" localSheetId="35">#REF!</definedName>
    <definedName name="DKGJSDGS" localSheetId="18">#REF!</definedName>
    <definedName name="DKGJSDGS" localSheetId="20">#REF!</definedName>
    <definedName name="DKGJSDGS" localSheetId="24">#REF!</definedName>
    <definedName name="DKGJSDGS" localSheetId="25">#REF!</definedName>
    <definedName name="DKGJSDGS" localSheetId="26">#REF!</definedName>
    <definedName name="DKGJSDGS" localSheetId="23">#REF!</definedName>
    <definedName name="DKGJSDGS" localSheetId="28">#REF!</definedName>
    <definedName name="DKGJSDGS" localSheetId="29">#REF!</definedName>
    <definedName name="DKGJSDGS" localSheetId="30">#REF!</definedName>
    <definedName name="DKGJSDGS" localSheetId="31">#REF!</definedName>
    <definedName name="DKGJSDGS" localSheetId="37">#REF!</definedName>
    <definedName name="DKGJSDGS" localSheetId="38">#REF!</definedName>
    <definedName name="DKGJSDGS" localSheetId="36">#REF!</definedName>
    <definedName name="DKGJSDGS" localSheetId="3">#REF!</definedName>
    <definedName name="DKGJSDGS" localSheetId="1">#REF!</definedName>
    <definedName name="DKGJSDGS">#REF!</definedName>
    <definedName name="dmisto" localSheetId="0">KL!#REF!</definedName>
    <definedName name="dod" localSheetId="2">'[13]F.1.4.5. ZZTI'!#REF!</definedName>
    <definedName name="dod" localSheetId="4">'[13]F.1.4.5.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0">'[13]F.1.4.5. ZZTI'!#REF!</definedName>
    <definedName name="dod" localSheetId="11">'[13]F.1.4.5. ZZTI'!#REF!</definedName>
    <definedName name="dod" localSheetId="12">'[13]F.1.4.5. ZZTI'!#REF!</definedName>
    <definedName name="dod" localSheetId="14">'[13]F.1.4.5. ZZTI'!#REF!</definedName>
    <definedName name="dod" localSheetId="13">'[13]F.1.4.5. ZZTI'!#REF!</definedName>
    <definedName name="dod" localSheetId="15">'[13]F.1.4.5. ZZTI'!#REF!</definedName>
    <definedName name="dod" localSheetId="16">'[13]F.1.4.5. ZZTI'!#REF!</definedName>
    <definedName name="dod" localSheetId="17">'[13]F.1.4.5. ZZTI'!#REF!</definedName>
    <definedName name="dod" localSheetId="34">'[13]F.1.4.5. ZZTI'!#REF!</definedName>
    <definedName name="dod" localSheetId="32">'[13]F.1.4.5. ZZTI'!#REF!</definedName>
    <definedName name="dod" localSheetId="33">'[14]F.1.4.5. ZZTI'!#REF!</definedName>
    <definedName name="dod" localSheetId="35">'[13]F.1.4.5. ZZTI'!#REF!</definedName>
    <definedName name="dod" localSheetId="18">'[13]F.1.4.5. ZZTI'!#REF!</definedName>
    <definedName name="dod" localSheetId="19">'[14]F.1.4.5. ZZTI'!#REF!</definedName>
    <definedName name="dod" localSheetId="20">'[13]F.1.4.5. ZZTI'!#REF!</definedName>
    <definedName name="dod" localSheetId="24">'[15]F.1.4.5. ZZTI'!#REF!</definedName>
    <definedName name="dod" localSheetId="25">'[15]F.1.4.5. ZZTI'!#REF!</definedName>
    <definedName name="dod" localSheetId="26">'[15]F.1.4.5. ZZTI'!#REF!</definedName>
    <definedName name="dod" localSheetId="23">'[13]F.1.4.5. ZZTI'!#REF!</definedName>
    <definedName name="dod" localSheetId="27">'[14]F.1.4.5. ZZTI'!#REF!</definedName>
    <definedName name="dod" localSheetId="28">'[13]F.1.4.5. ZZTI'!#REF!</definedName>
    <definedName name="dod" localSheetId="29">'[15]F.1.4.5. ZZTI'!#REF!</definedName>
    <definedName name="dod" localSheetId="30">'[15]F.1.4.5. ZZTI'!#REF!</definedName>
    <definedName name="dod" localSheetId="31">'[15]F.1.4.5. ZZTI'!#REF!</definedName>
    <definedName name="dod" localSheetId="37">'[13]F.1.4.5. ZZTI'!#REF!</definedName>
    <definedName name="dod" localSheetId="38">'[13]F.1.4.5. ZZTI'!#REF!</definedName>
    <definedName name="dod" localSheetId="36">'[13]F.1.4.5. ZZTI'!#REF!</definedName>
    <definedName name="dod" localSheetId="3">'[13]F.1.4.5. ZZTI'!#REF!</definedName>
    <definedName name="dod" localSheetId="1">'[14]F.1.4.5. ZZTI'!#REF!</definedName>
    <definedName name="dod">'[13]F.1.4.5. ZZTI'!#REF!</definedName>
    <definedName name="Dodavka" localSheetId="2">#REF!</definedName>
    <definedName name="Dodavka" localSheetId="4">#REF!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4">#REF!</definedName>
    <definedName name="Dodavka" localSheetId="13">#REF!</definedName>
    <definedName name="Dodavka" localSheetId="15">#REF!</definedName>
    <definedName name="Dodavka" localSheetId="16">#REF!</definedName>
    <definedName name="Dodavka" localSheetId="17">#REF!</definedName>
    <definedName name="Dodavka" localSheetId="34">#REF!</definedName>
    <definedName name="Dodavka" localSheetId="32">#REF!</definedName>
    <definedName name="Dodavka" localSheetId="33">#REF!</definedName>
    <definedName name="Dodavka" localSheetId="35">#REF!</definedName>
    <definedName name="Dodavka" localSheetId="18">#REF!</definedName>
    <definedName name="Dodavka" localSheetId="19">#REF!</definedName>
    <definedName name="Dodavka" localSheetId="20">#REF!</definedName>
    <definedName name="Dodavka" localSheetId="22">#REF!</definedName>
    <definedName name="Dodavka" localSheetId="24">#REF!</definedName>
    <definedName name="Dodavka" localSheetId="25">#REF!</definedName>
    <definedName name="Dodavka" localSheetId="26">#REF!</definedName>
    <definedName name="Dodavka" localSheetId="23">#REF!</definedName>
    <definedName name="Dodavka" localSheetId="27">#REF!</definedName>
    <definedName name="Dodavka" localSheetId="28">#REF!</definedName>
    <definedName name="Dodavka" localSheetId="29">#REF!</definedName>
    <definedName name="Dodavka" localSheetId="30">#REF!</definedName>
    <definedName name="Dodavka" localSheetId="31">#REF!</definedName>
    <definedName name="Dodavka" localSheetId="37">#REF!</definedName>
    <definedName name="Dodavka" localSheetId="38">#REF!</definedName>
    <definedName name="Dodavka" localSheetId="36">#REF!</definedName>
    <definedName name="Dodavka" localSheetId="0">#REF!</definedName>
    <definedName name="Dodavka" localSheetId="3">#REF!</definedName>
    <definedName name="Dodavka" localSheetId="1">#REF!</definedName>
    <definedName name="Dodavka">#REF!</definedName>
    <definedName name="Dodavka0" localSheetId="2">#REF!</definedName>
    <definedName name="Dodavka0" localSheetId="4">#REF!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4">#REF!</definedName>
    <definedName name="Dodavka0" localSheetId="13">#REF!</definedName>
    <definedName name="Dodavka0" localSheetId="15">#REF!</definedName>
    <definedName name="Dodavka0" localSheetId="16">#REF!</definedName>
    <definedName name="Dodavka0" localSheetId="17">#REF!</definedName>
    <definedName name="Dodavka0" localSheetId="34">#REF!</definedName>
    <definedName name="Dodavka0" localSheetId="32">#REF!</definedName>
    <definedName name="Dodavka0" localSheetId="33">#REF!</definedName>
    <definedName name="Dodavka0" localSheetId="35">#REF!</definedName>
    <definedName name="Dodavka0" localSheetId="18">#REF!</definedName>
    <definedName name="Dodavka0" localSheetId="20">#REF!</definedName>
    <definedName name="Dodavka0" localSheetId="22">#REF!</definedName>
    <definedName name="Dodavka0" localSheetId="24">#REF!</definedName>
    <definedName name="Dodavka0" localSheetId="25">#REF!</definedName>
    <definedName name="Dodavka0" localSheetId="26">#REF!</definedName>
    <definedName name="Dodavka0" localSheetId="23">#REF!</definedName>
    <definedName name="Dodavka0" localSheetId="27">#REF!</definedName>
    <definedName name="Dodavka0" localSheetId="28">#REF!</definedName>
    <definedName name="Dodavka0" localSheetId="29">#REF!</definedName>
    <definedName name="Dodavka0" localSheetId="30">#REF!</definedName>
    <definedName name="Dodavka0" localSheetId="31">#REF!</definedName>
    <definedName name="Dodavka0" localSheetId="37">#REF!</definedName>
    <definedName name="Dodavka0" localSheetId="38">#REF!</definedName>
    <definedName name="Dodavka0" localSheetId="36">#REF!</definedName>
    <definedName name="Dodavka0" localSheetId="0">'[16]002-A.1. Archstav  reseni'!#REF!</definedName>
    <definedName name="Dodavka0" localSheetId="3">#REF!</definedName>
    <definedName name="Dodavka0" localSheetId="1">#REF!</definedName>
    <definedName name="Dodavka0">#REF!</definedName>
    <definedName name="dpsc" localSheetId="0">KL!#REF!</definedName>
    <definedName name="dsfbhbg" localSheetId="2">#REF!</definedName>
    <definedName name="dsfbhbg" localSheetId="4">#REF!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2">#REF!</definedName>
    <definedName name="dsfbhbg" localSheetId="14">#REF!</definedName>
    <definedName name="dsfbhbg" localSheetId="13">#REF!</definedName>
    <definedName name="dsfbhbg" localSheetId="15">#REF!</definedName>
    <definedName name="dsfbhbg" localSheetId="16">#REF!</definedName>
    <definedName name="dsfbhbg" localSheetId="17">#REF!</definedName>
    <definedName name="dsfbhbg" localSheetId="34">#REF!</definedName>
    <definedName name="dsfbhbg" localSheetId="32">#REF!</definedName>
    <definedName name="dsfbhbg" localSheetId="33">#REF!</definedName>
    <definedName name="dsfbhbg" localSheetId="35">#REF!</definedName>
    <definedName name="dsfbhbg" localSheetId="18">#REF!</definedName>
    <definedName name="dsfbhbg" localSheetId="20">#REF!</definedName>
    <definedName name="dsfbhbg" localSheetId="22">#REF!</definedName>
    <definedName name="dsfbhbg" localSheetId="24">#REF!</definedName>
    <definedName name="dsfbhbg" localSheetId="25">#REF!</definedName>
    <definedName name="dsfbhbg" localSheetId="26">#REF!</definedName>
    <definedName name="dsfbhbg" localSheetId="23">#REF!</definedName>
    <definedName name="dsfbhbg" localSheetId="27">#REF!</definedName>
    <definedName name="dsfbhbg" localSheetId="28">#REF!</definedName>
    <definedName name="dsfbhbg" localSheetId="29">#REF!</definedName>
    <definedName name="dsfbhbg" localSheetId="30">#REF!</definedName>
    <definedName name="dsfbhbg" localSheetId="31">#REF!</definedName>
    <definedName name="dsfbhbg" localSheetId="37">#REF!</definedName>
    <definedName name="dsfbhbg" localSheetId="38">#REF!</definedName>
    <definedName name="dsfbhbg" localSheetId="36">#REF!</definedName>
    <definedName name="dsfbhbg" localSheetId="3">#REF!</definedName>
    <definedName name="dsfbhbg" localSheetId="1">#REF!</definedName>
    <definedName name="dsfbhbg">#REF!</definedName>
    <definedName name="End_Bal" localSheetId="2">#REF!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10">#REF!</definedName>
    <definedName name="End_Bal" localSheetId="11">#REF!</definedName>
    <definedName name="End_Bal" localSheetId="12">#REF!</definedName>
    <definedName name="End_Bal" localSheetId="14">#REF!</definedName>
    <definedName name="End_Bal" localSheetId="13">#REF!</definedName>
    <definedName name="End_Bal" localSheetId="15">#REF!</definedName>
    <definedName name="End_Bal" localSheetId="16">#REF!</definedName>
    <definedName name="End_Bal" localSheetId="17">#REF!</definedName>
    <definedName name="End_Bal" localSheetId="34">#REF!</definedName>
    <definedName name="End_Bal" localSheetId="32">#REF!</definedName>
    <definedName name="End_Bal" localSheetId="33">#REF!</definedName>
    <definedName name="End_Bal" localSheetId="35">#REF!</definedName>
    <definedName name="End_Bal" localSheetId="18">#REF!</definedName>
    <definedName name="End_Bal" localSheetId="20">#REF!</definedName>
    <definedName name="End_Bal" localSheetId="24">#REF!</definedName>
    <definedName name="End_Bal" localSheetId="25">#REF!</definedName>
    <definedName name="End_Bal" localSheetId="26">#REF!</definedName>
    <definedName name="End_Bal" localSheetId="23">#REF!</definedName>
    <definedName name="End_Bal" localSheetId="28">#REF!</definedName>
    <definedName name="End_Bal" localSheetId="29">#REF!</definedName>
    <definedName name="End_Bal" localSheetId="30">#REF!</definedName>
    <definedName name="End_Bal" localSheetId="31">#REF!</definedName>
    <definedName name="End_Bal" localSheetId="37">#REF!</definedName>
    <definedName name="End_Bal" localSheetId="38">#REF!</definedName>
    <definedName name="End_Bal" localSheetId="36">#REF!</definedName>
    <definedName name="End_Bal" localSheetId="3">#REF!</definedName>
    <definedName name="End_Bal" localSheetId="1">#REF!</definedName>
    <definedName name="End_Bal">#REF!</definedName>
    <definedName name="exter1" localSheetId="2">#REF!</definedName>
    <definedName name="exter1" localSheetId="4">#REF!</definedName>
    <definedName name="exter1" localSheetId="5">#REF!</definedName>
    <definedName name="exter1" localSheetId="6">#REF!</definedName>
    <definedName name="exter1" localSheetId="7">#REF!</definedName>
    <definedName name="exter1" localSheetId="8">#REF!</definedName>
    <definedName name="exter1" localSheetId="10">#REF!</definedName>
    <definedName name="exter1" localSheetId="11">#REF!</definedName>
    <definedName name="exter1" localSheetId="12">#REF!</definedName>
    <definedName name="exter1" localSheetId="14">#REF!</definedName>
    <definedName name="exter1" localSheetId="13">#REF!</definedName>
    <definedName name="exter1" localSheetId="15">#REF!</definedName>
    <definedName name="exter1" localSheetId="16">#REF!</definedName>
    <definedName name="exter1" localSheetId="17">#REF!</definedName>
    <definedName name="exter1" localSheetId="34">#REF!</definedName>
    <definedName name="exter1" localSheetId="32">#REF!</definedName>
    <definedName name="exter1" localSheetId="33">#REF!</definedName>
    <definedName name="exter1" localSheetId="35">#REF!</definedName>
    <definedName name="exter1" localSheetId="18">#REF!</definedName>
    <definedName name="exter1" localSheetId="20">#REF!</definedName>
    <definedName name="exter1" localSheetId="24">#REF!</definedName>
    <definedName name="exter1" localSheetId="25">#REF!</definedName>
    <definedName name="exter1" localSheetId="26">#REF!</definedName>
    <definedName name="exter1" localSheetId="23">#REF!</definedName>
    <definedName name="exter1" localSheetId="28">#REF!</definedName>
    <definedName name="exter1" localSheetId="29">#REF!</definedName>
    <definedName name="exter1" localSheetId="30">#REF!</definedName>
    <definedName name="exter1" localSheetId="31">#REF!</definedName>
    <definedName name="exter1" localSheetId="37">#REF!</definedName>
    <definedName name="exter1" localSheetId="38">#REF!</definedName>
    <definedName name="exter1" localSheetId="36">#REF!</definedName>
    <definedName name="exter1" localSheetId="3">#REF!</definedName>
    <definedName name="exter1" localSheetId="1">#REF!</definedName>
    <definedName name="exter1">#REF!</definedName>
    <definedName name="Extra_Pay" localSheetId="2">#REF!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10">#REF!</definedName>
    <definedName name="Extra_Pay" localSheetId="11">#REF!</definedName>
    <definedName name="Extra_Pay" localSheetId="12">#REF!</definedName>
    <definedName name="Extra_Pay" localSheetId="14">#REF!</definedName>
    <definedName name="Extra_Pay" localSheetId="13">#REF!</definedName>
    <definedName name="Extra_Pay" localSheetId="15">#REF!</definedName>
    <definedName name="Extra_Pay" localSheetId="16">#REF!</definedName>
    <definedName name="Extra_Pay" localSheetId="17">#REF!</definedName>
    <definedName name="Extra_Pay" localSheetId="34">#REF!</definedName>
    <definedName name="Extra_Pay" localSheetId="32">#REF!</definedName>
    <definedName name="Extra_Pay" localSheetId="33">#REF!</definedName>
    <definedName name="Extra_Pay" localSheetId="35">#REF!</definedName>
    <definedName name="Extra_Pay" localSheetId="18">#REF!</definedName>
    <definedName name="Extra_Pay" localSheetId="20">#REF!</definedName>
    <definedName name="Extra_Pay" localSheetId="24">#REF!</definedName>
    <definedName name="Extra_Pay" localSheetId="25">#REF!</definedName>
    <definedName name="Extra_Pay" localSheetId="26">#REF!</definedName>
    <definedName name="Extra_Pay" localSheetId="23">#REF!</definedName>
    <definedName name="Extra_Pay" localSheetId="28">#REF!</definedName>
    <definedName name="Extra_Pay" localSheetId="29">#REF!</definedName>
    <definedName name="Extra_Pay" localSheetId="30">#REF!</definedName>
    <definedName name="Extra_Pay" localSheetId="31">#REF!</definedName>
    <definedName name="Extra_Pay" localSheetId="37">#REF!</definedName>
    <definedName name="Extra_Pay" localSheetId="38">#REF!</definedName>
    <definedName name="Extra_Pay" localSheetId="36">#REF!</definedName>
    <definedName name="Extra_Pay" localSheetId="3">#REF!</definedName>
    <definedName name="Extra_Pay" localSheetId="1">#REF!</definedName>
    <definedName name="Extra_Pay">#REF!</definedName>
    <definedName name="f" localSheetId="2">#REF!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3">#REF!</definedName>
    <definedName name="f" localSheetId="15">#REF!</definedName>
    <definedName name="f" localSheetId="16">#REF!</definedName>
    <definedName name="f" localSheetId="17">#REF!</definedName>
    <definedName name="f" localSheetId="34">#REF!</definedName>
    <definedName name="f" localSheetId="32">#REF!</definedName>
    <definedName name="f" localSheetId="35">#REF!</definedName>
    <definedName name="f" localSheetId="18">#REF!</definedName>
    <definedName name="f" localSheetId="20">#REF!</definedName>
    <definedName name="f" localSheetId="24">#REF!</definedName>
    <definedName name="f" localSheetId="25">#REF!</definedName>
    <definedName name="f" localSheetId="26">#REF!</definedName>
    <definedName name="f" localSheetId="23">#REF!</definedName>
    <definedName name="f" localSheetId="28">#REF!</definedName>
    <definedName name="f" localSheetId="29">#REF!</definedName>
    <definedName name="f" localSheetId="30">#REF!</definedName>
    <definedName name="f" localSheetId="31">#REF!</definedName>
    <definedName name="f" localSheetId="37">#REF!</definedName>
    <definedName name="f" localSheetId="38">#REF!</definedName>
    <definedName name="f" localSheetId="36">#REF!</definedName>
    <definedName name="f" localSheetId="3">#REF!</definedName>
    <definedName name="f" localSheetId="1">#REF!</definedName>
    <definedName name="f">#REF!</definedName>
    <definedName name="Full_Print" localSheetId="2">#REF!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10">#REF!</definedName>
    <definedName name="Full_Print" localSheetId="11">#REF!</definedName>
    <definedName name="Full_Print" localSheetId="12">#REF!</definedName>
    <definedName name="Full_Print" localSheetId="14">#REF!</definedName>
    <definedName name="Full_Print" localSheetId="13">#REF!</definedName>
    <definedName name="Full_Print" localSheetId="15">#REF!</definedName>
    <definedName name="Full_Print" localSheetId="16">#REF!</definedName>
    <definedName name="Full_Print" localSheetId="17">#REF!</definedName>
    <definedName name="Full_Print" localSheetId="34">#REF!</definedName>
    <definedName name="Full_Print" localSheetId="32">#REF!</definedName>
    <definedName name="Full_Print" localSheetId="33">#REF!</definedName>
    <definedName name="Full_Print" localSheetId="35">#REF!</definedName>
    <definedName name="Full_Print" localSheetId="18">#REF!</definedName>
    <definedName name="Full_Print" localSheetId="20">#REF!</definedName>
    <definedName name="Full_Print" localSheetId="24">#REF!</definedName>
    <definedName name="Full_Print" localSheetId="25">#REF!</definedName>
    <definedName name="Full_Print" localSheetId="26">#REF!</definedName>
    <definedName name="Full_Print" localSheetId="23">#REF!</definedName>
    <definedName name="Full_Print" localSheetId="28">#REF!</definedName>
    <definedName name="Full_Print" localSheetId="29">#REF!</definedName>
    <definedName name="Full_Print" localSheetId="30">#REF!</definedName>
    <definedName name="Full_Print" localSheetId="31">#REF!</definedName>
    <definedName name="Full_Print" localSheetId="37">#REF!</definedName>
    <definedName name="Full_Print" localSheetId="38">#REF!</definedName>
    <definedName name="Full_Print" localSheetId="36">#REF!</definedName>
    <definedName name="Full_Print" localSheetId="3">#REF!</definedName>
    <definedName name="Full_Print" localSheetId="1">#REF!</definedName>
    <definedName name="Full_Print">#REF!</definedName>
    <definedName name="H" localSheetId="16">'[12]Rekapitulace roz.  vč. kapitol'!#REF!</definedName>
    <definedName name="H" localSheetId="17">'[12]Rekapitulace roz.  vč. kapitol'!#REF!</definedName>
    <definedName name="H" localSheetId="34">'[12]Rekapitulace roz.  vč. kapitol'!#REF!</definedName>
    <definedName name="H" localSheetId="35">'[12]Rekapitulace roz.  vč. kapitol'!#REF!</definedName>
    <definedName name="H">'[12]Rekapitulace roz.  vč. kapitol'!#REF!</definedName>
    <definedName name="ha" localSheetId="2">'[13]F.1.4.5. ZZTI'!#REF!</definedName>
    <definedName name="ha" localSheetId="4">'[13]F.1.4.5.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0">'[13]F.1.4.5. ZZTI'!#REF!</definedName>
    <definedName name="ha" localSheetId="11">'[13]F.1.4.5. ZZTI'!#REF!</definedName>
    <definedName name="ha" localSheetId="12">'[13]F.1.4.5. ZZTI'!#REF!</definedName>
    <definedName name="ha" localSheetId="14">'[13]F.1.4.5. ZZTI'!#REF!</definedName>
    <definedName name="ha" localSheetId="13">'[13]F.1.4.5. ZZTI'!#REF!</definedName>
    <definedName name="ha" localSheetId="15">'[13]F.1.4.5. ZZTI'!#REF!</definedName>
    <definedName name="ha" localSheetId="16">'[13]F.1.4.5. ZZTI'!#REF!</definedName>
    <definedName name="ha" localSheetId="17">'[13]F.1.4.5. ZZTI'!#REF!</definedName>
    <definedName name="ha" localSheetId="34">'[13]F.1.4.5. ZZTI'!#REF!</definedName>
    <definedName name="ha" localSheetId="32">'[13]F.1.4.5. ZZTI'!#REF!</definedName>
    <definedName name="ha" localSheetId="33">'[14]F.1.4.5. ZZTI'!#REF!</definedName>
    <definedName name="ha" localSheetId="35">'[13]F.1.4.5. ZZTI'!#REF!</definedName>
    <definedName name="ha" localSheetId="18">'[13]F.1.4.5. ZZTI'!#REF!</definedName>
    <definedName name="ha" localSheetId="19">'[14]F.1.4.5. ZZTI'!#REF!</definedName>
    <definedName name="ha" localSheetId="20">'[13]F.1.4.5. ZZTI'!#REF!</definedName>
    <definedName name="ha" localSheetId="24">'[15]F.1.4.5. ZZTI'!#REF!</definedName>
    <definedName name="ha" localSheetId="25">'[15]F.1.4.5. ZZTI'!#REF!</definedName>
    <definedName name="ha" localSheetId="26">'[15]F.1.4.5. ZZTI'!#REF!</definedName>
    <definedName name="ha" localSheetId="23">'[13]F.1.4.5. ZZTI'!#REF!</definedName>
    <definedName name="ha" localSheetId="27">'[14]F.1.4.5. ZZTI'!#REF!</definedName>
    <definedName name="ha" localSheetId="28">'[13]F.1.4.5. ZZTI'!#REF!</definedName>
    <definedName name="ha" localSheetId="29">'[15]F.1.4.5. ZZTI'!#REF!</definedName>
    <definedName name="ha" localSheetId="30">'[15]F.1.4.5. ZZTI'!#REF!</definedName>
    <definedName name="ha" localSheetId="31">'[15]F.1.4.5. ZZTI'!#REF!</definedName>
    <definedName name="ha" localSheetId="37">'[13]F.1.4.5. ZZTI'!#REF!</definedName>
    <definedName name="ha" localSheetId="38">'[13]F.1.4.5. ZZTI'!#REF!</definedName>
    <definedName name="ha" localSheetId="36">'[13]F.1.4.5. ZZTI'!#REF!</definedName>
    <definedName name="ha" localSheetId="3">'[13]F.1.4.5. ZZTI'!#REF!</definedName>
    <definedName name="ha" localSheetId="1">'[14]F.1.4.5. ZZTI'!#REF!</definedName>
    <definedName name="ha">'[13]F.1.4.5. ZZTI'!#REF!</definedName>
    <definedName name="Header_Row" localSheetId="2">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0">ROW(#REF!)</definedName>
    <definedName name="Header_Row" localSheetId="11">ROW(#REF!)</definedName>
    <definedName name="Header_Row" localSheetId="12">ROW(#REF!)</definedName>
    <definedName name="Header_Row" localSheetId="14">ROW(#REF!)</definedName>
    <definedName name="Header_Row" localSheetId="13">ROW(#REF!)</definedName>
    <definedName name="Header_Row" localSheetId="15">ROW(#REF!)</definedName>
    <definedName name="Header_Row" localSheetId="16">ROW(#REF!)</definedName>
    <definedName name="Header_Row" localSheetId="17">ROW(#REF!)</definedName>
    <definedName name="Header_Row" localSheetId="34">ROW(#REF!)</definedName>
    <definedName name="Header_Row" localSheetId="32">ROW(#REF!)</definedName>
    <definedName name="Header_Row" localSheetId="33">ROW(#REF!)</definedName>
    <definedName name="Header_Row" localSheetId="35">ROW(#REF!)</definedName>
    <definedName name="Header_Row" localSheetId="18">ROW(#REF!)</definedName>
    <definedName name="Header_Row" localSheetId="20">ROW(#REF!)</definedName>
    <definedName name="Header_Row" localSheetId="24">ROW(#REF!)</definedName>
    <definedName name="Header_Row" localSheetId="25">ROW(#REF!)</definedName>
    <definedName name="Header_Row" localSheetId="26">ROW(#REF!)</definedName>
    <definedName name="Header_Row" localSheetId="23">ROW(#REF!)</definedName>
    <definedName name="Header_Row" localSheetId="28">ROW(#REF!)</definedName>
    <definedName name="Header_Row" localSheetId="29">ROW(#REF!)</definedName>
    <definedName name="Header_Row" localSheetId="30">ROW(#REF!)</definedName>
    <definedName name="Header_Row" localSheetId="31">ROW(#REF!)</definedName>
    <definedName name="Header_Row" localSheetId="37">ROW(#REF!)</definedName>
    <definedName name="Header_Row" localSheetId="38">ROW(#REF!)</definedName>
    <definedName name="Header_Row" localSheetId="36">ROW(#REF!)</definedName>
    <definedName name="Header_Row" localSheetId="3">ROW(#REF!)</definedName>
    <definedName name="Header_Row">ROW(#REF!)</definedName>
    <definedName name="hovno" localSheetId="2">#REF!</definedName>
    <definedName name="hovno" localSheetId="4">#REF!</definedName>
    <definedName name="hovno" localSheetId="5">#REF!</definedName>
    <definedName name="hovno" localSheetId="6">#REF!</definedName>
    <definedName name="hovno" localSheetId="7">#REF!</definedName>
    <definedName name="hovno" localSheetId="8">#REF!</definedName>
    <definedName name="hovno" localSheetId="10">#REF!</definedName>
    <definedName name="hovno" localSheetId="11">#REF!</definedName>
    <definedName name="hovno" localSheetId="12">#REF!</definedName>
    <definedName name="hovno" localSheetId="14">#REF!</definedName>
    <definedName name="hovno" localSheetId="13">#REF!</definedName>
    <definedName name="hovno" localSheetId="15">#REF!</definedName>
    <definedName name="hovno" localSheetId="16">#REF!</definedName>
    <definedName name="hovno" localSheetId="17">#REF!</definedName>
    <definedName name="hovno" localSheetId="34">#REF!</definedName>
    <definedName name="hovno" localSheetId="32">#REF!</definedName>
    <definedName name="hovno" localSheetId="33">#REF!</definedName>
    <definedName name="hovno" localSheetId="35">#REF!</definedName>
    <definedName name="hovno" localSheetId="18">#REF!</definedName>
    <definedName name="hovno" localSheetId="20">#REF!</definedName>
    <definedName name="hovno" localSheetId="24">#REF!</definedName>
    <definedName name="hovno" localSheetId="25">#REF!</definedName>
    <definedName name="hovno" localSheetId="26">#REF!</definedName>
    <definedName name="hovno" localSheetId="23">#REF!</definedName>
    <definedName name="hovno" localSheetId="28">#REF!</definedName>
    <definedName name="hovno" localSheetId="29">#REF!</definedName>
    <definedName name="hovno" localSheetId="30">#REF!</definedName>
    <definedName name="hovno" localSheetId="31">#REF!</definedName>
    <definedName name="hovno" localSheetId="37">#REF!</definedName>
    <definedName name="hovno" localSheetId="38">#REF!</definedName>
    <definedName name="hovno" localSheetId="36">#REF!</definedName>
    <definedName name="hovno" localSheetId="3">#REF!</definedName>
    <definedName name="hovno" localSheetId="1">#REF!</definedName>
    <definedName name="hovno">#REF!</definedName>
    <definedName name="hs" localSheetId="2">#REF!</definedName>
    <definedName name="hs" localSheetId="4">#REF!</definedName>
    <definedName name="hs" localSheetId="5">#REF!</definedName>
    <definedName name="hs" localSheetId="6">#REF!</definedName>
    <definedName name="hs" localSheetId="7">#REF!</definedName>
    <definedName name="hs" localSheetId="8">#REF!</definedName>
    <definedName name="hs" localSheetId="10">#REF!</definedName>
    <definedName name="hs" localSheetId="11">#REF!</definedName>
    <definedName name="hs" localSheetId="12">#REF!</definedName>
    <definedName name="hs" localSheetId="14">#REF!</definedName>
    <definedName name="hs" localSheetId="13">#REF!</definedName>
    <definedName name="hs" localSheetId="15">#REF!</definedName>
    <definedName name="hs" localSheetId="16">#REF!</definedName>
    <definedName name="hs" localSheetId="17">#REF!</definedName>
    <definedName name="hs" localSheetId="34">#REF!</definedName>
    <definedName name="hs" localSheetId="32">#REF!</definedName>
    <definedName name="hs" localSheetId="35">#REF!</definedName>
    <definedName name="hs" localSheetId="18">#REF!</definedName>
    <definedName name="hs" localSheetId="20">#REF!</definedName>
    <definedName name="hs" localSheetId="24">#REF!</definedName>
    <definedName name="hs" localSheetId="25">#REF!</definedName>
    <definedName name="hs" localSheetId="26">#REF!</definedName>
    <definedName name="hs" localSheetId="23">#REF!</definedName>
    <definedName name="hs" localSheetId="28">#REF!</definedName>
    <definedName name="hs" localSheetId="29">#REF!</definedName>
    <definedName name="hs" localSheetId="30">#REF!</definedName>
    <definedName name="hs" localSheetId="31">#REF!</definedName>
    <definedName name="hs" localSheetId="37">#REF!</definedName>
    <definedName name="hs" localSheetId="38">#REF!</definedName>
    <definedName name="hs" localSheetId="36">#REF!</definedName>
    <definedName name="hs" localSheetId="3">#REF!</definedName>
    <definedName name="hs" localSheetId="1">#REF!</definedName>
    <definedName name="hs">#REF!</definedName>
    <definedName name="HSV" localSheetId="2">#REF!</definedName>
    <definedName name="HSV" localSheetId="4">#REF!</definedName>
    <definedName name="HSV" localSheetId="5">#REF!</definedName>
    <definedName name="HSV" localSheetId="6">#REF!</definedName>
    <definedName name="HSV" localSheetId="7">#REF!</definedName>
    <definedName name="HSV" localSheetId="8">#REF!</definedName>
    <definedName name="HSV" localSheetId="10">#REF!</definedName>
    <definedName name="HSV" localSheetId="11">#REF!</definedName>
    <definedName name="HSV" localSheetId="12">#REF!</definedName>
    <definedName name="HSV" localSheetId="14">#REF!</definedName>
    <definedName name="HSV" localSheetId="13">#REF!</definedName>
    <definedName name="HSV" localSheetId="15">#REF!</definedName>
    <definedName name="HSV" localSheetId="16">#REF!</definedName>
    <definedName name="HSV" localSheetId="17">#REF!</definedName>
    <definedName name="HSV" localSheetId="34">#REF!</definedName>
    <definedName name="HSV" localSheetId="32">#REF!</definedName>
    <definedName name="HSV" localSheetId="33">#REF!</definedName>
    <definedName name="HSV" localSheetId="35">#REF!</definedName>
    <definedName name="HSV" localSheetId="18">#REF!</definedName>
    <definedName name="HSV" localSheetId="20">#REF!</definedName>
    <definedName name="HSV" localSheetId="24">#REF!</definedName>
    <definedName name="HSV" localSheetId="25">#REF!</definedName>
    <definedName name="HSV" localSheetId="26">#REF!</definedName>
    <definedName name="HSV" localSheetId="23">#REF!</definedName>
    <definedName name="HSV" localSheetId="28">#REF!</definedName>
    <definedName name="HSV" localSheetId="29">#REF!</definedName>
    <definedName name="HSV" localSheetId="30">#REF!</definedName>
    <definedName name="HSV" localSheetId="31">#REF!</definedName>
    <definedName name="HSV" localSheetId="37">#REF!</definedName>
    <definedName name="HSV" localSheetId="38">#REF!</definedName>
    <definedName name="HSV" localSheetId="36">#REF!</definedName>
    <definedName name="HSV" localSheetId="0">#REF!</definedName>
    <definedName name="HSV" localSheetId="3">#REF!</definedName>
    <definedName name="HSV" localSheetId="1">#REF!</definedName>
    <definedName name="HSV">#REF!</definedName>
    <definedName name="HSV0" localSheetId="2">#REF!</definedName>
    <definedName name="HSV0" localSheetId="4">#REF!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4">#REF!</definedName>
    <definedName name="HSV0" localSheetId="13">#REF!</definedName>
    <definedName name="HSV0" localSheetId="15">#REF!</definedName>
    <definedName name="HSV0" localSheetId="16">#REF!</definedName>
    <definedName name="HSV0" localSheetId="17">#REF!</definedName>
    <definedName name="HSV0" localSheetId="34">#REF!</definedName>
    <definedName name="HSV0" localSheetId="32">#REF!</definedName>
    <definedName name="HSV0" localSheetId="33">#REF!</definedName>
    <definedName name="HSV0" localSheetId="35">#REF!</definedName>
    <definedName name="HSV0" localSheetId="18">#REF!</definedName>
    <definedName name="HSV0" localSheetId="20">#REF!</definedName>
    <definedName name="HSV0" localSheetId="24">#REF!</definedName>
    <definedName name="HSV0" localSheetId="25">#REF!</definedName>
    <definedName name="HSV0" localSheetId="26">#REF!</definedName>
    <definedName name="HSV0" localSheetId="23">#REF!</definedName>
    <definedName name="HSV0" localSheetId="28">#REF!</definedName>
    <definedName name="HSV0" localSheetId="29">#REF!</definedName>
    <definedName name="HSV0" localSheetId="30">#REF!</definedName>
    <definedName name="HSV0" localSheetId="31">#REF!</definedName>
    <definedName name="HSV0" localSheetId="37">#REF!</definedName>
    <definedName name="HSV0" localSheetId="38">#REF!</definedName>
    <definedName name="HSV0" localSheetId="36">#REF!</definedName>
    <definedName name="HSV0" localSheetId="0">'[16]002-A.1. Archstav  reseni'!#REF!</definedName>
    <definedName name="HSV0" localSheetId="3">#REF!</definedName>
    <definedName name="HSV0" localSheetId="1">#REF!</definedName>
    <definedName name="HSV0">#REF!</definedName>
    <definedName name="HZS" localSheetId="2">#REF!</definedName>
    <definedName name="HZS" localSheetId="4">#REF!</definedName>
    <definedName name="HZS" localSheetId="5">#REF!</definedName>
    <definedName name="HZS" localSheetId="6">#REF!</definedName>
    <definedName name="HZS" localSheetId="7">#REF!</definedName>
    <definedName name="HZS" localSheetId="8">#REF!</definedName>
    <definedName name="HZS" localSheetId="10">#REF!</definedName>
    <definedName name="HZS" localSheetId="11">#REF!</definedName>
    <definedName name="HZS" localSheetId="12">#REF!</definedName>
    <definedName name="HZS" localSheetId="14">#REF!</definedName>
    <definedName name="HZS" localSheetId="13">#REF!</definedName>
    <definedName name="HZS" localSheetId="15">#REF!</definedName>
    <definedName name="HZS" localSheetId="16">#REF!</definedName>
    <definedName name="HZS" localSheetId="17">#REF!</definedName>
    <definedName name="HZS" localSheetId="34">#REF!</definedName>
    <definedName name="HZS" localSheetId="32">#REF!</definedName>
    <definedName name="HZS" localSheetId="33">#REF!</definedName>
    <definedName name="HZS" localSheetId="35">#REF!</definedName>
    <definedName name="HZS" localSheetId="18">#REF!</definedName>
    <definedName name="HZS" localSheetId="20">#REF!</definedName>
    <definedName name="HZS" localSheetId="24">#REF!</definedName>
    <definedName name="HZS" localSheetId="25">#REF!</definedName>
    <definedName name="HZS" localSheetId="26">#REF!</definedName>
    <definedName name="HZS" localSheetId="23">#REF!</definedName>
    <definedName name="HZS" localSheetId="28">#REF!</definedName>
    <definedName name="HZS" localSheetId="29">#REF!</definedName>
    <definedName name="HZS" localSheetId="30">#REF!</definedName>
    <definedName name="HZS" localSheetId="31">#REF!</definedName>
    <definedName name="HZS" localSheetId="37">#REF!</definedName>
    <definedName name="HZS" localSheetId="38">#REF!</definedName>
    <definedName name="HZS" localSheetId="36">#REF!</definedName>
    <definedName name="HZS" localSheetId="0">#REF!</definedName>
    <definedName name="HZS" localSheetId="3">#REF!</definedName>
    <definedName name="HZS" localSheetId="1">#REF!</definedName>
    <definedName name="HZS">#REF!</definedName>
    <definedName name="HZS0" localSheetId="2">#REF!</definedName>
    <definedName name="HZS0" localSheetId="4">#REF!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4">#REF!</definedName>
    <definedName name="HZS0" localSheetId="13">#REF!</definedName>
    <definedName name="HZS0" localSheetId="15">#REF!</definedName>
    <definedName name="HZS0" localSheetId="16">#REF!</definedName>
    <definedName name="HZS0" localSheetId="17">#REF!</definedName>
    <definedName name="HZS0" localSheetId="34">#REF!</definedName>
    <definedName name="HZS0" localSheetId="32">#REF!</definedName>
    <definedName name="HZS0" localSheetId="33">#REF!</definedName>
    <definedName name="HZS0" localSheetId="35">#REF!</definedName>
    <definedName name="HZS0" localSheetId="18">#REF!</definedName>
    <definedName name="HZS0" localSheetId="20">#REF!</definedName>
    <definedName name="HZS0" localSheetId="24">#REF!</definedName>
    <definedName name="HZS0" localSheetId="25">#REF!</definedName>
    <definedName name="HZS0" localSheetId="26">#REF!</definedName>
    <definedName name="HZS0" localSheetId="23">#REF!</definedName>
    <definedName name="HZS0" localSheetId="28">#REF!</definedName>
    <definedName name="HZS0" localSheetId="29">#REF!</definedName>
    <definedName name="HZS0" localSheetId="30">#REF!</definedName>
    <definedName name="HZS0" localSheetId="31">#REF!</definedName>
    <definedName name="HZS0" localSheetId="37">#REF!</definedName>
    <definedName name="HZS0" localSheetId="38">#REF!</definedName>
    <definedName name="HZS0" localSheetId="36">#REF!</definedName>
    <definedName name="HZS0" localSheetId="0">'[16]002-A.1. Archstav  reseni'!#REF!</definedName>
    <definedName name="HZS0" localSheetId="3">#REF!</definedName>
    <definedName name="HZS0" localSheetId="1">#REF!</definedName>
    <definedName name="HZS0">#REF!</definedName>
    <definedName name="IČO" localSheetId="0">KL!$J$7</definedName>
    <definedName name="Int" localSheetId="2">#REF!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10">#REF!</definedName>
    <definedName name="Int" localSheetId="11">#REF!</definedName>
    <definedName name="Int" localSheetId="12">#REF!</definedName>
    <definedName name="Int" localSheetId="14">#REF!</definedName>
    <definedName name="Int" localSheetId="13">#REF!</definedName>
    <definedName name="Int" localSheetId="15">#REF!</definedName>
    <definedName name="Int" localSheetId="16">#REF!</definedName>
    <definedName name="Int" localSheetId="17">#REF!</definedName>
    <definedName name="Int" localSheetId="34">#REF!</definedName>
    <definedName name="Int" localSheetId="32">#REF!</definedName>
    <definedName name="Int" localSheetId="33">#REF!</definedName>
    <definedName name="Int" localSheetId="35">#REF!</definedName>
    <definedName name="Int" localSheetId="18">#REF!</definedName>
    <definedName name="Int" localSheetId="20">#REF!</definedName>
    <definedName name="Int" localSheetId="24">#REF!</definedName>
    <definedName name="Int" localSheetId="25">#REF!</definedName>
    <definedName name="Int" localSheetId="26">#REF!</definedName>
    <definedName name="Int" localSheetId="23">#REF!</definedName>
    <definedName name="Int" localSheetId="28">#REF!</definedName>
    <definedName name="Int" localSheetId="29">#REF!</definedName>
    <definedName name="Int" localSheetId="30">#REF!</definedName>
    <definedName name="Int" localSheetId="31">#REF!</definedName>
    <definedName name="Int" localSheetId="37">#REF!</definedName>
    <definedName name="Int" localSheetId="38">#REF!</definedName>
    <definedName name="Int" localSheetId="36">#REF!</definedName>
    <definedName name="Int" localSheetId="3">#REF!</definedName>
    <definedName name="Int" localSheetId="1">#REF!</definedName>
    <definedName name="Int">#REF!</definedName>
    <definedName name="inter1" localSheetId="2">#REF!</definedName>
    <definedName name="inter1" localSheetId="4">#REF!</definedName>
    <definedName name="inter1" localSheetId="5">#REF!</definedName>
    <definedName name="inter1" localSheetId="6">#REF!</definedName>
    <definedName name="inter1" localSheetId="7">#REF!</definedName>
    <definedName name="inter1" localSheetId="8">#REF!</definedName>
    <definedName name="inter1" localSheetId="10">#REF!</definedName>
    <definedName name="inter1" localSheetId="11">#REF!</definedName>
    <definedName name="inter1" localSheetId="12">#REF!</definedName>
    <definedName name="inter1" localSheetId="14">#REF!</definedName>
    <definedName name="inter1" localSheetId="13">#REF!</definedName>
    <definedName name="inter1" localSheetId="15">#REF!</definedName>
    <definedName name="inter1" localSheetId="16">#REF!</definedName>
    <definedName name="inter1" localSheetId="17">#REF!</definedName>
    <definedName name="inter1" localSheetId="34">#REF!</definedName>
    <definedName name="inter1" localSheetId="32">#REF!</definedName>
    <definedName name="inter1" localSheetId="33">#REF!</definedName>
    <definedName name="inter1" localSheetId="35">#REF!</definedName>
    <definedName name="inter1" localSheetId="18">#REF!</definedName>
    <definedName name="inter1" localSheetId="20">#REF!</definedName>
    <definedName name="inter1" localSheetId="24">#REF!</definedName>
    <definedName name="inter1" localSheetId="25">#REF!</definedName>
    <definedName name="inter1" localSheetId="26">#REF!</definedName>
    <definedName name="inter1" localSheetId="23">#REF!</definedName>
    <definedName name="inter1" localSheetId="28">#REF!</definedName>
    <definedName name="inter1" localSheetId="29">#REF!</definedName>
    <definedName name="inter1" localSheetId="30">#REF!</definedName>
    <definedName name="inter1" localSheetId="31">#REF!</definedName>
    <definedName name="inter1" localSheetId="37">#REF!</definedName>
    <definedName name="inter1" localSheetId="38">#REF!</definedName>
    <definedName name="inter1" localSheetId="36">#REF!</definedName>
    <definedName name="inter1" localSheetId="3">#REF!</definedName>
    <definedName name="inter1" localSheetId="1">#REF!</definedName>
    <definedName name="inter1">#REF!</definedName>
    <definedName name="Interest_Rate" localSheetId="2">#REF!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0">#REF!</definedName>
    <definedName name="Interest_Rate" localSheetId="11">#REF!</definedName>
    <definedName name="Interest_Rate" localSheetId="12">#REF!</definedName>
    <definedName name="Interest_Rate" localSheetId="14">#REF!</definedName>
    <definedName name="Interest_Rate" localSheetId="13">#REF!</definedName>
    <definedName name="Interest_Rate" localSheetId="15">#REF!</definedName>
    <definedName name="Interest_Rate" localSheetId="16">#REF!</definedName>
    <definedName name="Interest_Rate" localSheetId="17">#REF!</definedName>
    <definedName name="Interest_Rate" localSheetId="34">#REF!</definedName>
    <definedName name="Interest_Rate" localSheetId="32">#REF!</definedName>
    <definedName name="Interest_Rate" localSheetId="33">#REF!</definedName>
    <definedName name="Interest_Rate" localSheetId="35">#REF!</definedName>
    <definedName name="Interest_Rate" localSheetId="18">#REF!</definedName>
    <definedName name="Interest_Rate" localSheetId="20">#REF!</definedName>
    <definedName name="Interest_Rate" localSheetId="24">#REF!</definedName>
    <definedName name="Interest_Rate" localSheetId="25">#REF!</definedName>
    <definedName name="Interest_Rate" localSheetId="26">#REF!</definedName>
    <definedName name="Interest_Rate" localSheetId="23">#REF!</definedName>
    <definedName name="Interest_Rate" localSheetId="28">#REF!</definedName>
    <definedName name="Interest_Rate" localSheetId="29">#REF!</definedName>
    <definedName name="Interest_Rate" localSheetId="30">#REF!</definedName>
    <definedName name="Interest_Rate" localSheetId="31">#REF!</definedName>
    <definedName name="Interest_Rate" localSheetId="37">#REF!</definedName>
    <definedName name="Interest_Rate" localSheetId="38">#REF!</definedName>
    <definedName name="Interest_Rate" localSheetId="36">#REF!</definedName>
    <definedName name="Interest_Rate" localSheetId="3">#REF!</definedName>
    <definedName name="Interest_Rate" localSheetId="1">#REF!</definedName>
    <definedName name="Interest_Rate">#REF!</definedName>
    <definedName name="JKSO" localSheetId="2">#REF!</definedName>
    <definedName name="JKSO" localSheetId="4">#REF!</definedName>
    <definedName name="JKSO" localSheetId="5">#REF!</definedName>
    <definedName name="JKSO" localSheetId="6">#REF!</definedName>
    <definedName name="JKSO" localSheetId="7">#REF!</definedName>
    <definedName name="JKSO" localSheetId="8">#REF!</definedName>
    <definedName name="JKSO" localSheetId="10">#REF!</definedName>
    <definedName name="JKSO" localSheetId="11">#REF!</definedName>
    <definedName name="JKSO" localSheetId="12">#REF!</definedName>
    <definedName name="JKSO" localSheetId="14">#REF!</definedName>
    <definedName name="JKSO" localSheetId="13">#REF!</definedName>
    <definedName name="JKSO" localSheetId="15">#REF!</definedName>
    <definedName name="JKSO" localSheetId="16">#REF!</definedName>
    <definedName name="JKSO" localSheetId="17">#REF!</definedName>
    <definedName name="JKSO" localSheetId="34">#REF!</definedName>
    <definedName name="JKSO" localSheetId="32">#REF!</definedName>
    <definedName name="JKSO" localSheetId="33">#REF!</definedName>
    <definedName name="JKSO" localSheetId="35">#REF!</definedName>
    <definedName name="JKSO" localSheetId="18">#REF!</definedName>
    <definedName name="JKSO" localSheetId="20">#REF!</definedName>
    <definedName name="JKSO" localSheetId="24">#REF!</definedName>
    <definedName name="JKSO" localSheetId="25">#REF!</definedName>
    <definedName name="JKSO" localSheetId="26">#REF!</definedName>
    <definedName name="JKSO" localSheetId="23">#REF!</definedName>
    <definedName name="JKSO" localSheetId="28">#REF!</definedName>
    <definedName name="JKSO" localSheetId="29">#REF!</definedName>
    <definedName name="JKSO" localSheetId="30">#REF!</definedName>
    <definedName name="JKSO" localSheetId="31">#REF!</definedName>
    <definedName name="JKSO" localSheetId="37">#REF!</definedName>
    <definedName name="JKSO" localSheetId="38">#REF!</definedName>
    <definedName name="JKSO" localSheetId="36">#REF!</definedName>
    <definedName name="JKSO" localSheetId="0">#REF!</definedName>
    <definedName name="JKSO" localSheetId="3">#REF!</definedName>
    <definedName name="JKSO" localSheetId="1">#REF!</definedName>
    <definedName name="JKSO">#REF!</definedName>
    <definedName name="jzzuggt" localSheetId="2">#REF!</definedName>
    <definedName name="jzzuggt" localSheetId="4">#REF!</definedName>
    <definedName name="jzzuggt" localSheetId="5">#REF!</definedName>
    <definedName name="jzzuggt" localSheetId="6">#REF!</definedName>
    <definedName name="jzzuggt" localSheetId="7">#REF!</definedName>
    <definedName name="jzzuggt" localSheetId="8">#REF!</definedName>
    <definedName name="jzzuggt" localSheetId="10">#REF!</definedName>
    <definedName name="jzzuggt" localSheetId="11">#REF!</definedName>
    <definedName name="jzzuggt" localSheetId="12">#REF!</definedName>
    <definedName name="jzzuggt" localSheetId="14">#REF!</definedName>
    <definedName name="jzzuggt" localSheetId="13">#REF!</definedName>
    <definedName name="jzzuggt" localSheetId="15">#REF!</definedName>
    <definedName name="jzzuggt" localSheetId="16">#REF!</definedName>
    <definedName name="jzzuggt" localSheetId="17">#REF!</definedName>
    <definedName name="jzzuggt" localSheetId="34">#REF!</definedName>
    <definedName name="jzzuggt" localSheetId="32">#REF!</definedName>
    <definedName name="jzzuggt" localSheetId="35">#REF!</definedName>
    <definedName name="jzzuggt" localSheetId="18">#REF!</definedName>
    <definedName name="jzzuggt" localSheetId="20">#REF!</definedName>
    <definedName name="jzzuggt" localSheetId="24">#REF!</definedName>
    <definedName name="jzzuggt" localSheetId="25">#REF!</definedName>
    <definedName name="jzzuggt" localSheetId="26">#REF!</definedName>
    <definedName name="jzzuggt" localSheetId="23">#REF!</definedName>
    <definedName name="jzzuggt" localSheetId="28">#REF!</definedName>
    <definedName name="jzzuggt" localSheetId="29">#REF!</definedName>
    <definedName name="jzzuggt" localSheetId="30">#REF!</definedName>
    <definedName name="jzzuggt" localSheetId="31">#REF!</definedName>
    <definedName name="jzzuggt" localSheetId="37">#REF!</definedName>
    <definedName name="jzzuggt" localSheetId="38">#REF!</definedName>
    <definedName name="jzzuggt" localSheetId="36">#REF!</definedName>
    <definedName name="jzzuggt" localSheetId="3">#REF!</definedName>
    <definedName name="jzzuggt" localSheetId="1">#REF!</definedName>
    <definedName name="jzzuggt">#REF!</definedName>
    <definedName name="Last_Row" localSheetId="2">IF('D.1.1. ASŘ - BOURACÍ PRÁCE'!Values_Entered,'D.1.1. ASŘ - BOURACÍ PRÁCE'!Header_Row+'D.1.1. ASŘ - BOURACÍ PRÁCE'!Number_of_Payments,'D.1.1. ASŘ - BOURACÍ PRÁCE'!Header_Row)</definedName>
    <definedName name="Last_Row" localSheetId="4">IF('D.1.1. ASŘ - NOVÝ STAV'!Values_Entered,'D.1.1. ASŘ - NOVÝ STAV'!Header_Row+'D.1.1. ASŘ - NOVÝ STAV'!Number_of_Payments,'D.1.1. ASŘ - NOVÝ STAV'!Header_Row)</definedName>
    <definedName name="Last_Row" localSheetId="5">IF('D.1.1. VÝPIS DVEŘÍ'!Values_Entered,'D.1.1. VÝPIS DVEŘÍ'!Header_Row+'D.1.1. VÝPIS DVEŘÍ'!Number_of_Payments,'D.1.1. VÝPIS DVEŘÍ'!Header_Row)</definedName>
    <definedName name="Last_Row" localSheetId="6">IF('D.1.1.c.02 - VÝPIS OKEN'!Values_Entered,'D.1.1.c.02 - VÝPIS OKEN'!Header_Row+'D.1.1.c.02 - VÝPIS OKEN'!Number_of_Payments,'D.1.1.c.02 - VÝPIS OKEN'!Header_Row)</definedName>
    <definedName name="Last_Row" localSheetId="7">IF('D.1.1.c.04. VÝPIS TRUHLÁŘ.'!Values_Entered,'D.1.1.c.04. VÝPIS TRUHLÁŘ.'!Header_Row+'D.1.1.c.04. VÝPIS TRUHLÁŘ.'!Number_of_Payments,'D.1.1.c.04. VÝPIS TRUHLÁŘ.'!Header_Row)</definedName>
    <definedName name="Last_Row" localSheetId="8">IF('D.1.1.c.05. VÝPIS ZÁMEČN. VÝR.'!Values_Entered,'D.1.1.c.05. VÝPIS ZÁMEČN. VÝR.'!Header_Row+'D.1.1.c.05. VÝPIS ZÁMEČN. VÝR.'!Number_of_Payments,'D.1.1.c.05. VÝPIS ZÁMEČN. VÝR.'!Header_Row)</definedName>
    <definedName name="Last_Row" localSheetId="9">IF('D.1.1.c.06. VÝPIS KLEMP.'!Values_Entered,Header_Row+'D.1.1.c.06. VÝPIS KLEMP.'!Number_of_Payments,Header_Row)</definedName>
    <definedName name="Last_Row" localSheetId="10">IF('D.1.1.c.07 VÝPIS OSTAT.'!Values_Entered,'D.1.1.c.07 VÝPIS OSTAT.'!Header_Row+'D.1.1.c.07 VÝPIS OSTAT.'!Number_of_Payments,'D.1.1.c.07 VÝPIS OSTAT.'!Header_Row)</definedName>
    <definedName name="Last_Row" localSheetId="11">IF('D.1.4.1. ZTI'!Values_Entered,'D.1.4.1. ZTI'!Header_Row+'D.1.4.1. ZTI'!Number_of_Payments,'D.1.4.1. ZTI'!Header_Row)</definedName>
    <definedName name="Last_Row" localSheetId="12">IF('D.1.4.1.b.08. - REKAPITULACE'!Values_Entered,'D.1.4.1.b.08. - REKAPITULACE'!Header_Row+'D.1.4.1.b.08. - REKAPITULACE'!Number_of_Payments,'D.1.4.1.b.08. - REKAPITULACE'!Header_Row)</definedName>
    <definedName name="Last_Row" localSheetId="14">IF('D.1.4.1.b.08. AREÁL. KANAL - BP'!Values_Entered,'D.1.4.1.b.08. AREÁL. KANAL - BP'!Header_Row+'D.1.4.1.b.08. AREÁL. KANAL - BP'!Number_of_Payments,'D.1.4.1.b.08. AREÁL. KANAL - BP'!Header_Row)</definedName>
    <definedName name="Last_Row" localSheetId="13">IF('D.1.4.1.b.08. AREÁL. KANALIZACE'!Values_Entered,'D.1.4.1.b.08. AREÁL. KANALIZACE'!Header_Row+'D.1.4.1.b.08. AREÁL. KANALIZACE'!Number_of_Payments,'D.1.4.1.b.08. AREÁL. KANALIZACE'!Header_Row)</definedName>
    <definedName name="Last_Row" localSheetId="15">IF('D.1.4.1.b.08. AREÁLOVÝ VODOVOD'!Values_Entered,'D.1.4.1.b.08. AREÁLOVÝ VODOVOD'!Header_Row+'D.1.4.1.b.08. AREÁLOVÝ VODOVOD'!Number_of_Payments,'D.1.4.1.b.08. AREÁLOVÝ VODOVOD'!Header_Row)</definedName>
    <definedName name="Last_Row" localSheetId="16">IF('D.1.4.1.b.09. AKUMULAČNÍ NÁDRŽ'!Values_Entered,'D.1.4.1.b.09. AKUMULAČNÍ NÁDRŽ'!Header_Row+'D.1.4.1.b.09. AKUMULAČNÍ NÁDRŽ'!Number_of_Payments,'D.1.4.1.b.09. AKUMULAČNÍ NÁDRŽ'!Header_Row)</definedName>
    <definedName name="Last_Row" localSheetId="17">IF('D.1.4.1.b.10. ODLUČOVAČ TUKU'!Values_Entered,'D.1.4.1.b.10. ODLUČOVAČ TUKU'!Header_Row+'D.1.4.1.b.10. ODLUČOVAČ TUKU'!Number_of_Payments,'D.1.4.1.b.10. ODLUČOVAČ TUKU'!Header_Row)</definedName>
    <definedName name="Last_Row" localSheetId="34">IF('D.1.4.10. OPLOCENÍ'!Values_Entered,'D.1.4.10. OPLOCENÍ'!Header_Row+'D.1.4.10. OPLOCENÍ'!Number_of_Payments,'D.1.4.10. OPLOCENÍ'!Header_Row)</definedName>
    <definedName name="Last_Row" localSheetId="32">IF('D.1.4.10.1. REKAPITULACE'!Values_Entered,'D.1.4.10.1. REKAPITULACE'!Header_Row+'D.1.4.10.1. REKAPITULACE'!Number_of_Payments,'D.1.4.10.1. REKAPITULACE'!Header_Row)</definedName>
    <definedName name="Last_Row" localSheetId="33">IF('D.1.4.10.1. SADOVÉ ÚPRAVY'!Values_Entered,'D.1.4.10.1. SADOVÉ ÚPRAVY'!Header_Row+'D.1.4.10.1. SADOVÉ ÚPRAVY'!Number_of_Payments,'D.1.4.10.1. SADOVÉ ÚPRAVY'!Header_Row)</definedName>
    <definedName name="Last_Row" localSheetId="35">IF('D.1.4.10.2. POZEMNÍ KOMUNIKACE'!Values_Entered,'D.1.4.10.2. POZEMNÍ KOMUNIKACE'!Header_Row+'D.1.4.10.2. POZEMNÍ KOMUNIKACE'!Number_of_Payments,'D.1.4.10.2. POZEMNÍ KOMUNIKACE'!Header_Row)</definedName>
    <definedName name="Last_Row" localSheetId="18">IF('D.1.4.2. ODBĚR. PLYN. ZAŘÍZ.'!Values_Entered,'D.1.4.2. ODBĚR. PLYN. ZAŘÍZ.'!Header_Row+'D.1.4.2. ODBĚR. PLYN. ZAŘÍZ.'!Number_of_Payments,'D.1.4.2. ODBĚR. PLYN. ZAŘÍZ.'!Header_Row)</definedName>
    <definedName name="Last_Row" localSheetId="19">IF('D.1.4.3. VZDUCHOTECHNIKA'!Values_Entered,Header_Row+'D.1.4.3. VZDUCHOTECHNIKA'!Number_of_Payments,Header_Row)</definedName>
    <definedName name="Last_Row" localSheetId="20">IF('D.1.4.4. VYTÁPENÍ'!Values_Entered,'D.1.4.4. VYTÁPENÍ'!Header_Row+'D.1.4.4. VYTÁPENÍ'!Number_of_Payments,'D.1.4.4. VYTÁPENÍ'!Header_Row)</definedName>
    <definedName name="Last_Row" localSheetId="22">IF('D.1.4.7. SILNOPROUD'!Values_Entered,Header_Row+'D.1.4.7. SILNOPROUD'!Number_of_Payments,Header_Row)</definedName>
    <definedName name="Last_Row" localSheetId="24">IF('D.1.4.7.b.08 AREÁL ELE-TRA. A1'!Values_Entered,'D.1.4.7.b.08 AREÁL ELE-TRA. A1'!Header_Row+'D.1.4.7.b.08 AREÁL ELE-TRA. A1'!Number_of_Payments,'D.1.4.7.b.08 AREÁL ELE-TRA. A1'!Header_Row)</definedName>
    <definedName name="Last_Row" localSheetId="25">IF('D.1.4.7.b.08 AREÁL ELE-TRA. A2'!Values_Entered,'D.1.4.7.b.08 AREÁL ELE-TRA. A2'!Header_Row+'D.1.4.7.b.08 AREÁL ELE-TRA. A2'!Number_of_Payments,'D.1.4.7.b.08 AREÁL ELE-TRA. A2'!Header_Row)</definedName>
    <definedName name="Last_Row" localSheetId="26">IF('D.1.4.7.b.08 AREÁL ELE-TRA. A3'!Values_Entered,'D.1.4.7.b.08 AREÁL ELE-TRA. A3'!Header_Row+'D.1.4.7.b.08 AREÁL ELE-TRA. A3'!Number_of_Payments,'D.1.4.7.b.08 AREÁL ELE-TRA. A3'!Header_Row)</definedName>
    <definedName name="Last_Row" localSheetId="23">IF('D.1.4.7.b.08. - REKAPITULACE'!Values_Entered,'D.1.4.7.b.08. - REKAPITULACE'!Header_Row+'D.1.4.7.b.08. - REKAPITULACE'!Number_of_Payments,'D.1.4.7.b.08. - REKAPITULACE'!Header_Row)</definedName>
    <definedName name="Last_Row" localSheetId="27">IF('D.1.4.8. EL. KOMUNIKACE'!Values_Entered,Header_Row+'D.1.4.8. EL. KOMUNIKACE'!Number_of_Payments,Header_Row)</definedName>
    <definedName name="Last_Row" localSheetId="28">IF('D.1.4.8.b.04 - REKAPITULACE'!Values_Entered,'D.1.4.8.b.04 - REKAPITULACE'!Header_Row+'D.1.4.8.b.04 - REKAPITULACE'!Number_of_Payments,'D.1.4.8.b.04 - REKAPITULACE'!Header_Row)</definedName>
    <definedName name="Last_Row" localSheetId="29">IF('D.1.4.8.b.04 AREÁL ELE-TRA. A1'!Values_Entered,'D.1.4.8.b.04 AREÁL ELE-TRA. A1'!Header_Row+'D.1.4.8.b.04 AREÁL ELE-TRA. A1'!Number_of_Payments,'D.1.4.8.b.04 AREÁL ELE-TRA. A1'!Header_Row)</definedName>
    <definedName name="Last_Row" localSheetId="30">IF('D.1.4.8.b.04 AREÁL ELE-TRA. A2'!Values_Entered,'D.1.4.8.b.04 AREÁL ELE-TRA. A2'!Header_Row+'D.1.4.8.b.04 AREÁL ELE-TRA. A2'!Number_of_Payments,'D.1.4.8.b.04 AREÁL ELE-TRA. A2'!Header_Row)</definedName>
    <definedName name="Last_Row" localSheetId="31">IF('D.1.4.8.b.04 AREÁL ELE-TRA. A3'!Values_Entered,'D.1.4.8.b.04 AREÁL ELE-TRA. A3'!Header_Row+'D.1.4.8.b.04 AREÁL ELE-TRA. A3'!Number_of_Payments,'D.1.4.8.b.04 AREÁL ELE-TRA. A3'!Header_Row)</definedName>
    <definedName name="Last_Row" localSheetId="37">IF('D.2.2. AREÁL. TEPLOVOD'!Values_Entered,'D.2.2. AREÁL. TEPLOVOD'!Header_Row+'D.2.2. AREÁL. TEPLOVOD'!Number_of_Payments,'D.2.2. AREÁL. TEPLOVOD'!Header_Row)</definedName>
    <definedName name="Last_Row" localSheetId="38">IF('D.2.2. AREÁL. TEPLOVOD-BP'!Values_Entered,'D.2.2. AREÁL. TEPLOVOD-BP'!Header_Row+'D.2.2. AREÁL. TEPLOVOD-BP'!Number_of_Payments,'D.2.2. AREÁL. TEPLOVOD-BP'!Header_Row)</definedName>
    <definedName name="Last_Row" localSheetId="36">IF('D.2.2. REKAPITULACE'!Values_Entered,'D.2.2. REKAPITULACE'!Header_Row+'D.2.2. REKAPITULACE'!Number_of_Payments,'D.2.2. REKAPITULACE'!Header_Row)</definedName>
    <definedName name="Last_Row" localSheetId="0">IF(KL!Values_Entered,Header_Row+KL!Number_of_Payments,Header_Row)</definedName>
    <definedName name="Last_Row" localSheetId="3">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2" hidden="1">{#N/A,#N/A,TRUE,"Krycí list"}</definedName>
    <definedName name="Light" localSheetId="4"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17"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35" hidden="1">{#N/A,#N/A,TRUE,"Krycí list"}</definedName>
    <definedName name="Light" localSheetId="18" hidden="1">{#N/A,#N/A,TRUE,"Krycí list"}</definedName>
    <definedName name="Light" localSheetId="19" hidden="1">{#N/A,#N/A,TRUE,"Krycí list"}</definedName>
    <definedName name="Light" localSheetId="20" hidden="1">{#N/A,#N/A,TRUE,"Krycí list"}</definedName>
    <definedName name="Light" localSheetId="22" hidden="1">{#N/A,#N/A,TRUE,"Krycí list"}</definedName>
    <definedName name="Light" localSheetId="23" hidden="1">{#N/A,#N/A,TRUE,"Krycí list"}</definedName>
    <definedName name="Light" localSheetId="27" hidden="1">{#N/A,#N/A,TRUE,"Krycí list"}</definedName>
    <definedName name="Light" localSheetId="28" hidden="1">{#N/A,#N/A,TRUE,"Krycí list"}</definedName>
    <definedName name="Light" localSheetId="37" hidden="1">{#N/A,#N/A,TRUE,"Krycí list"}</definedName>
    <definedName name="Light" localSheetId="38" hidden="1">{#N/A,#N/A,TRUE,"Krycí list"}</definedName>
    <definedName name="Light" localSheetId="36" hidden="1">{#N/A,#N/A,TRUE,"Krycí list"}</definedName>
    <definedName name="Light" localSheetId="0" hidden="1">{#N/A,#N/A,TRUE,"Krycí list"}</definedName>
    <definedName name="Light" localSheetId="3" hidden="1">{#N/A,#N/A,TRUE,"Krycí list"}</definedName>
    <definedName name="Light" localSheetId="1" hidden="1">{#N/A,#N/A,TRUE,"Krycí list"}</definedName>
    <definedName name="Light" hidden="1">{#N/A,#N/A,TRUE,"Krycí list"}</definedName>
    <definedName name="Lighting" localSheetId="2" hidden="1">{#N/A,#N/A,TRUE,"Krycí list"}</definedName>
    <definedName name="Lighting" localSheetId="4"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17"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35" hidden="1">{#N/A,#N/A,TRUE,"Krycí list"}</definedName>
    <definedName name="Lighting" localSheetId="18" hidden="1">{#N/A,#N/A,TRUE,"Krycí list"}</definedName>
    <definedName name="Lighting" localSheetId="19" hidden="1">{#N/A,#N/A,TRUE,"Krycí list"}</definedName>
    <definedName name="Lighting" localSheetId="20" hidden="1">{#N/A,#N/A,TRUE,"Krycí list"}</definedName>
    <definedName name="Lighting" localSheetId="22" hidden="1">{#N/A,#N/A,TRUE,"Krycí list"}</definedName>
    <definedName name="Lighting" localSheetId="23" hidden="1">{#N/A,#N/A,TRUE,"Krycí list"}</definedName>
    <definedName name="Lighting" localSheetId="27" hidden="1">{#N/A,#N/A,TRUE,"Krycí list"}</definedName>
    <definedName name="Lighting" localSheetId="28" hidden="1">{#N/A,#N/A,TRUE,"Krycí list"}</definedName>
    <definedName name="Lighting" localSheetId="37" hidden="1">{#N/A,#N/A,TRUE,"Krycí list"}</definedName>
    <definedName name="Lighting" localSheetId="38" hidden="1">{#N/A,#N/A,TRUE,"Krycí list"}</definedName>
    <definedName name="Lighting" localSheetId="36" hidden="1">{#N/A,#N/A,TRUE,"Krycí list"}</definedName>
    <definedName name="Lighting" localSheetId="0" hidden="1">{#N/A,#N/A,TRUE,"Krycí list"}</definedName>
    <definedName name="Lighting" localSheetId="3" hidden="1">{#N/A,#N/A,TRUE,"Krycí list"}</definedName>
    <definedName name="Lighting" localSheetId="1" hidden="1">{#N/A,#N/A,TRUE,"Krycí list"}</definedName>
    <definedName name="Lighting" hidden="1">{#N/A,#N/A,TRUE,"Krycí list"}</definedName>
    <definedName name="Loan_Amount" localSheetId="2">#REF!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4">#REF!</definedName>
    <definedName name="Loan_Amount" localSheetId="13">#REF!</definedName>
    <definedName name="Loan_Amount" localSheetId="15">#REF!</definedName>
    <definedName name="Loan_Amount" localSheetId="16">#REF!</definedName>
    <definedName name="Loan_Amount" localSheetId="17">#REF!</definedName>
    <definedName name="Loan_Amount" localSheetId="34">#REF!</definedName>
    <definedName name="Loan_Amount" localSheetId="32">#REF!</definedName>
    <definedName name="Loan_Amount" localSheetId="33">#REF!</definedName>
    <definedName name="Loan_Amount" localSheetId="35">#REF!</definedName>
    <definedName name="Loan_Amount" localSheetId="18">#REF!</definedName>
    <definedName name="Loan_Amount" localSheetId="19">#REF!</definedName>
    <definedName name="Loan_Amount" localSheetId="20">#REF!</definedName>
    <definedName name="Loan_Amount" localSheetId="22">#REF!</definedName>
    <definedName name="Loan_Amount" localSheetId="24">#REF!</definedName>
    <definedName name="Loan_Amount" localSheetId="25">#REF!</definedName>
    <definedName name="Loan_Amount" localSheetId="26">#REF!</definedName>
    <definedName name="Loan_Amount" localSheetId="23">#REF!</definedName>
    <definedName name="Loan_Amount" localSheetId="27">#REF!</definedName>
    <definedName name="Loan_Amount" localSheetId="28">#REF!</definedName>
    <definedName name="Loan_Amount" localSheetId="29">#REF!</definedName>
    <definedName name="Loan_Amount" localSheetId="30">#REF!</definedName>
    <definedName name="Loan_Amount" localSheetId="31">#REF!</definedName>
    <definedName name="Loan_Amount" localSheetId="37">#REF!</definedName>
    <definedName name="Loan_Amount" localSheetId="38">#REF!</definedName>
    <definedName name="Loan_Amount" localSheetId="36">#REF!</definedName>
    <definedName name="Loan_Amount" localSheetId="3">#REF!</definedName>
    <definedName name="Loan_Amount" localSheetId="1">#REF!</definedName>
    <definedName name="Loan_Amount">#REF!</definedName>
    <definedName name="Loan_Start" localSheetId="2">#REF!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4">#REF!</definedName>
    <definedName name="Loan_Start" localSheetId="13">#REF!</definedName>
    <definedName name="Loan_Start" localSheetId="15">#REF!</definedName>
    <definedName name="Loan_Start" localSheetId="16">#REF!</definedName>
    <definedName name="Loan_Start" localSheetId="17">#REF!</definedName>
    <definedName name="Loan_Start" localSheetId="34">#REF!</definedName>
    <definedName name="Loan_Start" localSheetId="32">#REF!</definedName>
    <definedName name="Loan_Start" localSheetId="33">#REF!</definedName>
    <definedName name="Loan_Start" localSheetId="35">#REF!</definedName>
    <definedName name="Loan_Start" localSheetId="18">#REF!</definedName>
    <definedName name="Loan_Start" localSheetId="19">#REF!</definedName>
    <definedName name="Loan_Start" localSheetId="20">#REF!</definedName>
    <definedName name="Loan_Start" localSheetId="22">#REF!</definedName>
    <definedName name="Loan_Start" localSheetId="24">#REF!</definedName>
    <definedName name="Loan_Start" localSheetId="25">#REF!</definedName>
    <definedName name="Loan_Start" localSheetId="26">#REF!</definedName>
    <definedName name="Loan_Start" localSheetId="23">#REF!</definedName>
    <definedName name="Loan_Start" localSheetId="27">#REF!</definedName>
    <definedName name="Loan_Start" localSheetId="28">#REF!</definedName>
    <definedName name="Loan_Start" localSheetId="29">#REF!</definedName>
    <definedName name="Loan_Start" localSheetId="30">#REF!</definedName>
    <definedName name="Loan_Start" localSheetId="31">#REF!</definedName>
    <definedName name="Loan_Start" localSheetId="37">#REF!</definedName>
    <definedName name="Loan_Start" localSheetId="38">#REF!</definedName>
    <definedName name="Loan_Start" localSheetId="36">#REF!</definedName>
    <definedName name="Loan_Start" localSheetId="3">#REF!</definedName>
    <definedName name="Loan_Start" localSheetId="1">#REF!</definedName>
    <definedName name="Loan_Start">#REF!</definedName>
    <definedName name="Loan_Years" localSheetId="2">#REF!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4">#REF!</definedName>
    <definedName name="Loan_Years" localSheetId="13">#REF!</definedName>
    <definedName name="Loan_Years" localSheetId="15">#REF!</definedName>
    <definedName name="Loan_Years" localSheetId="16">#REF!</definedName>
    <definedName name="Loan_Years" localSheetId="17">#REF!</definedName>
    <definedName name="Loan_Years" localSheetId="34">#REF!</definedName>
    <definedName name="Loan_Years" localSheetId="32">#REF!</definedName>
    <definedName name="Loan_Years" localSheetId="33">#REF!</definedName>
    <definedName name="Loan_Years" localSheetId="35">#REF!</definedName>
    <definedName name="Loan_Years" localSheetId="18">#REF!</definedName>
    <definedName name="Loan_Years" localSheetId="19">#REF!</definedName>
    <definedName name="Loan_Years" localSheetId="20">#REF!</definedName>
    <definedName name="Loan_Years" localSheetId="22">#REF!</definedName>
    <definedName name="Loan_Years" localSheetId="24">#REF!</definedName>
    <definedName name="Loan_Years" localSheetId="25">#REF!</definedName>
    <definedName name="Loan_Years" localSheetId="26">#REF!</definedName>
    <definedName name="Loan_Years" localSheetId="23">#REF!</definedName>
    <definedName name="Loan_Years" localSheetId="27">#REF!</definedName>
    <definedName name="Loan_Years" localSheetId="28">#REF!</definedName>
    <definedName name="Loan_Years" localSheetId="29">#REF!</definedName>
    <definedName name="Loan_Years" localSheetId="30">#REF!</definedName>
    <definedName name="Loan_Years" localSheetId="31">#REF!</definedName>
    <definedName name="Loan_Years" localSheetId="37">#REF!</definedName>
    <definedName name="Loan_Years" localSheetId="38">#REF!</definedName>
    <definedName name="Loan_Years" localSheetId="36">#REF!</definedName>
    <definedName name="Loan_Years" localSheetId="3">#REF!</definedName>
    <definedName name="Loan_Years" localSheetId="1">#REF!</definedName>
    <definedName name="Loan_Years">#REF!</definedName>
    <definedName name="MaR" localSheetId="2" hidden="1">{#N/A,#N/A,TRUE,"Krycí list"}</definedName>
    <definedName name="MaR" localSheetId="4"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17"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35" hidden="1">{#N/A,#N/A,TRUE,"Krycí list"}</definedName>
    <definedName name="MaR" localSheetId="18" hidden="1">{#N/A,#N/A,TRUE,"Krycí list"}</definedName>
    <definedName name="MaR" localSheetId="19" hidden="1">{#N/A,#N/A,TRUE,"Krycí list"}</definedName>
    <definedName name="MaR" localSheetId="20" hidden="1">{#N/A,#N/A,TRUE,"Krycí list"}</definedName>
    <definedName name="MaR" localSheetId="22" hidden="1">{#N/A,#N/A,TRUE,"Krycí list"}</definedName>
    <definedName name="MaR" localSheetId="23" hidden="1">{#N/A,#N/A,TRUE,"Krycí list"}</definedName>
    <definedName name="MaR" localSheetId="27" hidden="1">{#N/A,#N/A,TRUE,"Krycí list"}</definedName>
    <definedName name="MaR" localSheetId="28" hidden="1">{#N/A,#N/A,TRUE,"Krycí list"}</definedName>
    <definedName name="MaR" localSheetId="37" hidden="1">{#N/A,#N/A,TRUE,"Krycí list"}</definedName>
    <definedName name="MaR" localSheetId="38" hidden="1">{#N/A,#N/A,TRUE,"Krycí list"}</definedName>
    <definedName name="MaR" localSheetId="36" hidden="1">{#N/A,#N/A,TRUE,"Krycí list"}</definedName>
    <definedName name="MaR" localSheetId="0" hidden="1">{#N/A,#N/A,TRUE,"Krycí list"}</definedName>
    <definedName name="MaR" localSheetId="3" hidden="1">{#N/A,#N/A,TRUE,"Krycí list"}</definedName>
    <definedName name="MaR" localSheetId="1" hidden="1">{#N/A,#N/A,TRUE,"Krycí list"}</definedName>
    <definedName name="MaR" hidden="1">{#N/A,#N/A,TRUE,"Krycí list"}</definedName>
    <definedName name="meraregulace" localSheetId="2" hidden="1">{#N/A,#N/A,TRUE,"Krycí list"}</definedName>
    <definedName name="meraregulace" localSheetId="4"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17"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35" hidden="1">{#N/A,#N/A,TRUE,"Krycí list"}</definedName>
    <definedName name="meraregulace" localSheetId="18" hidden="1">{#N/A,#N/A,TRUE,"Krycí list"}</definedName>
    <definedName name="meraregulace" localSheetId="19" hidden="1">{#N/A,#N/A,TRUE,"Krycí list"}</definedName>
    <definedName name="meraregulace" localSheetId="20" hidden="1">{#N/A,#N/A,TRUE,"Krycí list"}</definedName>
    <definedName name="meraregulace" localSheetId="22" hidden="1">{#N/A,#N/A,TRUE,"Krycí list"}</definedName>
    <definedName name="meraregulace" localSheetId="23" hidden="1">{#N/A,#N/A,TRUE,"Krycí list"}</definedName>
    <definedName name="meraregulace" localSheetId="27" hidden="1">{#N/A,#N/A,TRUE,"Krycí list"}</definedName>
    <definedName name="meraregulace" localSheetId="28" hidden="1">{#N/A,#N/A,TRUE,"Krycí list"}</definedName>
    <definedName name="meraregulace" localSheetId="37" hidden="1">{#N/A,#N/A,TRUE,"Krycí list"}</definedName>
    <definedName name="meraregulace" localSheetId="38" hidden="1">{#N/A,#N/A,TRUE,"Krycí list"}</definedName>
    <definedName name="meraregulace" localSheetId="36" hidden="1">{#N/A,#N/A,TRUE,"Krycí list"}</definedName>
    <definedName name="meraregulace" localSheetId="0" hidden="1">{#N/A,#N/A,TRUE,"Krycí list"}</definedName>
    <definedName name="meraregulace" localSheetId="3" hidden="1">{#N/A,#N/A,TRUE,"Krycí list"}</definedName>
    <definedName name="meraregulace" localSheetId="1" hidden="1">{#N/A,#N/A,TRUE,"Krycí list"}</definedName>
    <definedName name="meraregulace" hidden="1">{#N/A,#N/A,TRUE,"Krycí list"}</definedName>
    <definedName name="mereni" localSheetId="2">Scheduled_Payment+Extra_Payment</definedName>
    <definedName name="mereni" localSheetId="4">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4">Scheduled_Payment+Extra_Payment</definedName>
    <definedName name="mereni" localSheetId="13">Scheduled_Payment+Extra_Payment</definedName>
    <definedName name="mereni" localSheetId="15">Scheduled_Payment+Extra_Payment</definedName>
    <definedName name="mereni" localSheetId="16">Scheduled_Payment+Extra_Payment</definedName>
    <definedName name="mereni" localSheetId="17">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35">Scheduled_Payment+Extra_Payment</definedName>
    <definedName name="mereni" localSheetId="18">Scheduled_Payment+Extra_Payment</definedName>
    <definedName name="mereni" localSheetId="19">Scheduled_Payment+Extra_Payment</definedName>
    <definedName name="mereni" localSheetId="20">Scheduled_Payment+Extra_Payment</definedName>
    <definedName name="mereni" localSheetId="22">Scheduled_Payment+Extra_Payment</definedName>
    <definedName name="mereni" localSheetId="24">Scheduled_Payment+Extra_Payment</definedName>
    <definedName name="mereni" localSheetId="25">Scheduled_Payment+Extra_Payment</definedName>
    <definedName name="mereni" localSheetId="26">Scheduled_Payment+Extra_Payment</definedName>
    <definedName name="mereni" localSheetId="23">Scheduled_Payment+Extra_Payment</definedName>
    <definedName name="mereni" localSheetId="27">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7">Scheduled_Payment+Extra_Payment</definedName>
    <definedName name="mereni" localSheetId="38">Scheduled_Payment+Extra_Payment</definedName>
    <definedName name="mereni" localSheetId="36">Scheduled_Payment+Extra_Payment</definedName>
    <definedName name="mereni" localSheetId="0">Scheduled_Payment+Extra_Payment</definedName>
    <definedName name="mereni" localSheetId="3">Scheduled_Payment+Extra_Payment</definedName>
    <definedName name="mereni" localSheetId="1">Scheduled_Payment+Extra_Payment</definedName>
    <definedName name="mereni">Scheduled_Payment+Extra_Payment</definedName>
    <definedName name="MJ" localSheetId="2">#REF!</definedName>
    <definedName name="MJ" localSheetId="4">#REF!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4">#REF!</definedName>
    <definedName name="MJ" localSheetId="13">#REF!</definedName>
    <definedName name="MJ" localSheetId="15">#REF!</definedName>
    <definedName name="MJ" localSheetId="16">#REF!</definedName>
    <definedName name="MJ" localSheetId="17">#REF!</definedName>
    <definedName name="MJ" localSheetId="34">#REF!</definedName>
    <definedName name="MJ" localSheetId="32">#REF!</definedName>
    <definedName name="MJ" localSheetId="33">#REF!</definedName>
    <definedName name="MJ" localSheetId="35">#REF!</definedName>
    <definedName name="MJ" localSheetId="18">#REF!</definedName>
    <definedName name="MJ" localSheetId="19">#REF!</definedName>
    <definedName name="MJ" localSheetId="20">#REF!</definedName>
    <definedName name="MJ" localSheetId="22">#REF!</definedName>
    <definedName name="MJ" localSheetId="24">#REF!</definedName>
    <definedName name="MJ" localSheetId="25">#REF!</definedName>
    <definedName name="MJ" localSheetId="26">#REF!</definedName>
    <definedName name="MJ" localSheetId="23">#REF!</definedName>
    <definedName name="MJ" localSheetId="27">#REF!</definedName>
    <definedName name="MJ" localSheetId="28">#REF!</definedName>
    <definedName name="MJ" localSheetId="29">#REF!</definedName>
    <definedName name="MJ" localSheetId="30">#REF!</definedName>
    <definedName name="MJ" localSheetId="31">#REF!</definedName>
    <definedName name="MJ" localSheetId="37">#REF!</definedName>
    <definedName name="MJ" localSheetId="38">#REF!</definedName>
    <definedName name="MJ" localSheetId="36">#REF!</definedName>
    <definedName name="MJ" localSheetId="0">#REF!</definedName>
    <definedName name="MJ" localSheetId="3">#REF!</definedName>
    <definedName name="MJ" localSheetId="1">#REF!</definedName>
    <definedName name="MJ">#REF!</definedName>
    <definedName name="Mont" localSheetId="2">#REF!</definedName>
    <definedName name="Mont" localSheetId="4">#REF!</definedName>
    <definedName name="Mont" localSheetId="5">#REF!</definedName>
    <definedName name="Mont" localSheetId="6">#REF!</definedName>
    <definedName name="Mont" localSheetId="7">#REF!</definedName>
    <definedName name="Mont" localSheetId="8">#REF!</definedName>
    <definedName name="Mont" localSheetId="9">#REF!</definedName>
    <definedName name="Mont" localSheetId="10">#REF!</definedName>
    <definedName name="Mont" localSheetId="11">#REF!</definedName>
    <definedName name="Mont" localSheetId="12">#REF!</definedName>
    <definedName name="Mont" localSheetId="14">#REF!</definedName>
    <definedName name="Mont" localSheetId="13">#REF!</definedName>
    <definedName name="Mont" localSheetId="15">#REF!</definedName>
    <definedName name="Mont" localSheetId="16">#REF!</definedName>
    <definedName name="Mont" localSheetId="17">#REF!</definedName>
    <definedName name="Mont" localSheetId="34">#REF!</definedName>
    <definedName name="Mont" localSheetId="32">#REF!</definedName>
    <definedName name="Mont" localSheetId="33">#REF!</definedName>
    <definedName name="Mont" localSheetId="35">#REF!</definedName>
    <definedName name="Mont" localSheetId="18">#REF!</definedName>
    <definedName name="Mont" localSheetId="20">#REF!</definedName>
    <definedName name="Mont" localSheetId="22">#REF!</definedName>
    <definedName name="Mont" localSheetId="24">#REF!</definedName>
    <definedName name="Mont" localSheetId="25">#REF!</definedName>
    <definedName name="Mont" localSheetId="26">#REF!</definedName>
    <definedName name="Mont" localSheetId="23">#REF!</definedName>
    <definedName name="Mont" localSheetId="27">#REF!</definedName>
    <definedName name="Mont" localSheetId="28">#REF!</definedName>
    <definedName name="Mont" localSheetId="29">#REF!</definedName>
    <definedName name="Mont" localSheetId="30">#REF!</definedName>
    <definedName name="Mont" localSheetId="31">#REF!</definedName>
    <definedName name="Mont" localSheetId="37">#REF!</definedName>
    <definedName name="Mont" localSheetId="38">#REF!</definedName>
    <definedName name="Mont" localSheetId="36">#REF!</definedName>
    <definedName name="Mont" localSheetId="0">#REF!</definedName>
    <definedName name="Mont" localSheetId="3">#REF!</definedName>
    <definedName name="Mont" localSheetId="1">#REF!</definedName>
    <definedName name="Mont">#REF!</definedName>
    <definedName name="Montaz0" localSheetId="2">#REF!</definedName>
    <definedName name="Montaz0" localSheetId="4">#REF!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4">#REF!</definedName>
    <definedName name="Montaz0" localSheetId="13">#REF!</definedName>
    <definedName name="Montaz0" localSheetId="15">#REF!</definedName>
    <definedName name="Montaz0" localSheetId="16">#REF!</definedName>
    <definedName name="Montaz0" localSheetId="17">#REF!</definedName>
    <definedName name="Montaz0" localSheetId="34">#REF!</definedName>
    <definedName name="Montaz0" localSheetId="32">#REF!</definedName>
    <definedName name="Montaz0" localSheetId="33">#REF!</definedName>
    <definedName name="Montaz0" localSheetId="35">#REF!</definedName>
    <definedName name="Montaz0" localSheetId="18">#REF!</definedName>
    <definedName name="Montaz0" localSheetId="20">#REF!</definedName>
    <definedName name="Montaz0" localSheetId="22">#REF!</definedName>
    <definedName name="Montaz0" localSheetId="24">#REF!</definedName>
    <definedName name="Montaz0" localSheetId="25">#REF!</definedName>
    <definedName name="Montaz0" localSheetId="26">#REF!</definedName>
    <definedName name="Montaz0" localSheetId="23">#REF!</definedName>
    <definedName name="Montaz0" localSheetId="27">#REF!</definedName>
    <definedName name="Montaz0" localSheetId="28">#REF!</definedName>
    <definedName name="Montaz0" localSheetId="29">#REF!</definedName>
    <definedName name="Montaz0" localSheetId="30">#REF!</definedName>
    <definedName name="Montaz0" localSheetId="31">#REF!</definedName>
    <definedName name="Montaz0" localSheetId="37">#REF!</definedName>
    <definedName name="Montaz0" localSheetId="38">#REF!</definedName>
    <definedName name="Montaz0" localSheetId="36">#REF!</definedName>
    <definedName name="Montaz0" localSheetId="0">'[16]002-A.1. Archstav  reseni'!#REF!</definedName>
    <definedName name="Montaz0" localSheetId="3">#REF!</definedName>
    <definedName name="Montaz0" localSheetId="1">#REF!</definedName>
    <definedName name="Montaz0">#REF!</definedName>
    <definedName name="mts" localSheetId="2">#REF!</definedName>
    <definedName name="mts" localSheetId="4">#REF!</definedName>
    <definedName name="mts" localSheetId="5">#REF!</definedName>
    <definedName name="mts" localSheetId="6">#REF!</definedName>
    <definedName name="mts" localSheetId="7">#REF!</definedName>
    <definedName name="mts" localSheetId="8">#REF!</definedName>
    <definedName name="mts" localSheetId="10">#REF!</definedName>
    <definedName name="mts" localSheetId="11">#REF!</definedName>
    <definedName name="mts" localSheetId="12">#REF!</definedName>
    <definedName name="mts" localSheetId="14">#REF!</definedName>
    <definedName name="mts" localSheetId="13">#REF!</definedName>
    <definedName name="mts" localSheetId="15">#REF!</definedName>
    <definedName name="mts" localSheetId="16">#REF!</definedName>
    <definedName name="mts" localSheetId="17">#REF!</definedName>
    <definedName name="mts" localSheetId="34">#REF!</definedName>
    <definedName name="mts" localSheetId="32">#REF!</definedName>
    <definedName name="mts" localSheetId="33">#REF!</definedName>
    <definedName name="mts" localSheetId="35">#REF!</definedName>
    <definedName name="mts" localSheetId="18">#REF!</definedName>
    <definedName name="mts" localSheetId="20">#REF!</definedName>
    <definedName name="mts" localSheetId="24">#REF!</definedName>
    <definedName name="mts" localSheetId="25">#REF!</definedName>
    <definedName name="mts" localSheetId="26">#REF!</definedName>
    <definedName name="mts" localSheetId="23">#REF!</definedName>
    <definedName name="mts" localSheetId="28">#REF!</definedName>
    <definedName name="mts" localSheetId="29">#REF!</definedName>
    <definedName name="mts" localSheetId="30">#REF!</definedName>
    <definedName name="mts" localSheetId="31">#REF!</definedName>
    <definedName name="mts" localSheetId="37">#REF!</definedName>
    <definedName name="mts" localSheetId="38">#REF!</definedName>
    <definedName name="mts" localSheetId="36">#REF!</definedName>
    <definedName name="mts" localSheetId="3">#REF!</definedName>
    <definedName name="mts" localSheetId="1">#REF!</definedName>
    <definedName name="mts">#REF!</definedName>
    <definedName name="n" localSheetId="2">Scheduled_Payment+Extra_Payment</definedName>
    <definedName name="n" localSheetId="4">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4">Scheduled_Payment+Extra_Payment</definedName>
    <definedName name="n" localSheetId="13">Scheduled_Payment+Extra_Payment</definedName>
    <definedName name="n" localSheetId="15">Scheduled_Payment+Extra_Payment</definedName>
    <definedName name="n" localSheetId="16">Scheduled_Payment+Extra_Payment</definedName>
    <definedName name="n" localSheetId="17">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35">Scheduled_Payment+Extra_Payment</definedName>
    <definedName name="n" localSheetId="18">Scheduled_Payment+Extra_Payment</definedName>
    <definedName name="n" localSheetId="19">Scheduled_Payment+Extra_Payment</definedName>
    <definedName name="n" localSheetId="20">Scheduled_Payment+Extra_Payment</definedName>
    <definedName name="n" localSheetId="22">Scheduled_Payment+Extra_Payment</definedName>
    <definedName name="n" localSheetId="24">Scheduled_Payment+Extra_Payment</definedName>
    <definedName name="n" localSheetId="25">Scheduled_Payment+Extra_Payment</definedName>
    <definedName name="n" localSheetId="26">Scheduled_Payment+Extra_Payment</definedName>
    <definedName name="n" localSheetId="23">Scheduled_Payment+Extra_Payment</definedName>
    <definedName name="n" localSheetId="27">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7">Scheduled_Payment+Extra_Payment</definedName>
    <definedName name="n" localSheetId="38">Scheduled_Payment+Extra_Payment</definedName>
    <definedName name="n" localSheetId="36">Scheduled_Payment+Extra_Payment</definedName>
    <definedName name="n" localSheetId="0">Scheduled_Payment+Extra_Payment</definedName>
    <definedName name="n" localSheetId="3">Scheduled_Payment+Extra_Payment</definedName>
    <definedName name="n" localSheetId="1">Scheduled_Payment+Extra_Payment</definedName>
    <definedName name="n">Scheduled_Payment+Extra_Payment</definedName>
    <definedName name="NazevDilu" localSheetId="2">#REF!</definedName>
    <definedName name="NazevDilu" localSheetId="4">#REF!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4">#REF!</definedName>
    <definedName name="NazevDilu" localSheetId="13">#REF!</definedName>
    <definedName name="NazevDilu" localSheetId="15">#REF!</definedName>
    <definedName name="NazevDilu" localSheetId="16">#REF!</definedName>
    <definedName name="NazevDilu" localSheetId="17">#REF!</definedName>
    <definedName name="NazevDilu" localSheetId="34">#REF!</definedName>
    <definedName name="NazevDilu" localSheetId="32">#REF!</definedName>
    <definedName name="NazevDilu" localSheetId="33">#REF!</definedName>
    <definedName name="NazevDilu" localSheetId="35">#REF!</definedName>
    <definedName name="NazevDilu" localSheetId="18">#REF!</definedName>
    <definedName name="NazevDilu" localSheetId="19">#REF!</definedName>
    <definedName name="NazevDilu" localSheetId="20">#REF!</definedName>
    <definedName name="NazevDilu" localSheetId="22">#REF!</definedName>
    <definedName name="NazevDilu" localSheetId="24">#REF!</definedName>
    <definedName name="NazevDilu" localSheetId="25">#REF!</definedName>
    <definedName name="NazevDilu" localSheetId="26">#REF!</definedName>
    <definedName name="NazevDilu" localSheetId="23">#REF!</definedName>
    <definedName name="NazevDilu" localSheetId="27">#REF!</definedName>
    <definedName name="NazevDilu" localSheetId="28">#REF!</definedName>
    <definedName name="NazevDilu" localSheetId="29">#REF!</definedName>
    <definedName name="NazevDilu" localSheetId="30">#REF!</definedName>
    <definedName name="NazevDilu" localSheetId="31">#REF!</definedName>
    <definedName name="NazevDilu" localSheetId="37">#REF!</definedName>
    <definedName name="NazevDilu" localSheetId="38">#REF!</definedName>
    <definedName name="NazevDilu" localSheetId="36">#REF!</definedName>
    <definedName name="NazevDilu" localSheetId="0">#REF!</definedName>
    <definedName name="NazevDilu" localSheetId="3">#REF!</definedName>
    <definedName name="NazevDilu" localSheetId="1">#REF!</definedName>
    <definedName name="NazevDilu">#REF!</definedName>
    <definedName name="nazevobjektu" localSheetId="2">#REF!</definedName>
    <definedName name="nazevobjektu" localSheetId="4">#REF!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4">#REF!</definedName>
    <definedName name="nazevobjektu" localSheetId="13">#REF!</definedName>
    <definedName name="nazevobjektu" localSheetId="15">#REF!</definedName>
    <definedName name="nazevobjektu" localSheetId="16">#REF!</definedName>
    <definedName name="nazevobjektu" localSheetId="17">#REF!</definedName>
    <definedName name="nazevobjektu" localSheetId="34">#REF!</definedName>
    <definedName name="nazevobjektu" localSheetId="32">#REF!</definedName>
    <definedName name="nazevobjektu" localSheetId="33">#REF!</definedName>
    <definedName name="nazevobjektu" localSheetId="35">#REF!</definedName>
    <definedName name="nazevobjektu" localSheetId="18">#REF!</definedName>
    <definedName name="nazevobjektu" localSheetId="20">#REF!</definedName>
    <definedName name="nazevobjektu" localSheetId="22">#REF!</definedName>
    <definedName name="nazevobjektu" localSheetId="24">#REF!</definedName>
    <definedName name="nazevobjektu" localSheetId="25">#REF!</definedName>
    <definedName name="nazevobjektu" localSheetId="26">#REF!</definedName>
    <definedName name="nazevobjektu" localSheetId="23">#REF!</definedName>
    <definedName name="nazevobjektu" localSheetId="27">#REF!</definedName>
    <definedName name="nazevobjektu" localSheetId="28">#REF!</definedName>
    <definedName name="nazevobjektu" localSheetId="29">#REF!</definedName>
    <definedName name="nazevobjektu" localSheetId="30">#REF!</definedName>
    <definedName name="nazevobjektu" localSheetId="31">#REF!</definedName>
    <definedName name="nazevobjektu" localSheetId="37">#REF!</definedName>
    <definedName name="nazevobjektu" localSheetId="38">#REF!</definedName>
    <definedName name="nazevobjektu" localSheetId="36">#REF!</definedName>
    <definedName name="NazevObjektu" localSheetId="0">KL!$C$35</definedName>
    <definedName name="nazevobjektu" localSheetId="3">#REF!</definedName>
    <definedName name="nazevobjektu" localSheetId="1">#REF!</definedName>
    <definedName name="nazevobjektu">#REF!</definedName>
    <definedName name="nazevstavby" localSheetId="2">#REF!</definedName>
    <definedName name="nazevstavby" localSheetId="4">#REF!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4">#REF!</definedName>
    <definedName name="nazevstavby" localSheetId="13">#REF!</definedName>
    <definedName name="nazevstavby" localSheetId="15">#REF!</definedName>
    <definedName name="nazevstavby" localSheetId="16">#REF!</definedName>
    <definedName name="nazevstavby" localSheetId="17">#REF!</definedName>
    <definedName name="nazevstavby" localSheetId="34">#REF!</definedName>
    <definedName name="nazevstavby" localSheetId="32">#REF!</definedName>
    <definedName name="nazevstavby" localSheetId="33">#REF!</definedName>
    <definedName name="nazevstavby" localSheetId="35">#REF!</definedName>
    <definedName name="nazevstavby" localSheetId="18">#REF!</definedName>
    <definedName name="nazevstavby" localSheetId="20">#REF!</definedName>
    <definedName name="nazevstavby" localSheetId="22">#REF!</definedName>
    <definedName name="nazevstavby" localSheetId="24">#REF!</definedName>
    <definedName name="nazevstavby" localSheetId="25">#REF!</definedName>
    <definedName name="nazevstavby" localSheetId="26">#REF!</definedName>
    <definedName name="nazevstavby" localSheetId="23">#REF!</definedName>
    <definedName name="nazevstavby" localSheetId="27">#REF!</definedName>
    <definedName name="nazevstavby" localSheetId="28">#REF!</definedName>
    <definedName name="nazevstavby" localSheetId="29">#REF!</definedName>
    <definedName name="nazevstavby" localSheetId="30">#REF!</definedName>
    <definedName name="nazevstavby" localSheetId="31">#REF!</definedName>
    <definedName name="nazevstavby" localSheetId="37">#REF!</definedName>
    <definedName name="nazevstavby" localSheetId="38">#REF!</definedName>
    <definedName name="nazevstavby" localSheetId="36">#REF!</definedName>
    <definedName name="NazevStavby" localSheetId="0">KL!$D$5</definedName>
    <definedName name="nazevstavby" localSheetId="3">#REF!</definedName>
    <definedName name="nazevstavby" localSheetId="1">#REF!</definedName>
    <definedName name="nazevstavby">#REF!</definedName>
    <definedName name="_xlnm.Print_Titles" localSheetId="21">'D.1.4.6. MĚŘENÍ A REGULACE'!$1:$7</definedName>
    <definedName name="Num_Pmt_Per_Year" localSheetId="2">#REF!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0">#REF!</definedName>
    <definedName name="Num_Pmt_Per_Year" localSheetId="11">#REF!</definedName>
    <definedName name="Num_Pmt_Per_Year" localSheetId="12">#REF!</definedName>
    <definedName name="Num_Pmt_Per_Year" localSheetId="14">#REF!</definedName>
    <definedName name="Num_Pmt_Per_Year" localSheetId="13">#REF!</definedName>
    <definedName name="Num_Pmt_Per_Year" localSheetId="15">#REF!</definedName>
    <definedName name="Num_Pmt_Per_Year" localSheetId="16">#REF!</definedName>
    <definedName name="Num_Pmt_Per_Year" localSheetId="17">#REF!</definedName>
    <definedName name="Num_Pmt_Per_Year" localSheetId="34">#REF!</definedName>
    <definedName name="Num_Pmt_Per_Year" localSheetId="32">#REF!</definedName>
    <definedName name="Num_Pmt_Per_Year" localSheetId="33">#REF!</definedName>
    <definedName name="Num_Pmt_Per_Year" localSheetId="35">#REF!</definedName>
    <definedName name="Num_Pmt_Per_Year" localSheetId="18">#REF!</definedName>
    <definedName name="Num_Pmt_Per_Year" localSheetId="19">#REF!</definedName>
    <definedName name="Num_Pmt_Per_Year" localSheetId="20">#REF!</definedName>
    <definedName name="Num_Pmt_Per_Year" localSheetId="24">#REF!</definedName>
    <definedName name="Num_Pmt_Per_Year" localSheetId="25">#REF!</definedName>
    <definedName name="Num_Pmt_Per_Year" localSheetId="26">#REF!</definedName>
    <definedName name="Num_Pmt_Per_Year" localSheetId="23">#REF!</definedName>
    <definedName name="Num_Pmt_Per_Year" localSheetId="28">#REF!</definedName>
    <definedName name="Num_Pmt_Per_Year" localSheetId="29">#REF!</definedName>
    <definedName name="Num_Pmt_Per_Year" localSheetId="30">#REF!</definedName>
    <definedName name="Num_Pmt_Per_Year" localSheetId="31">#REF!</definedName>
    <definedName name="Num_Pmt_Per_Year" localSheetId="37">#REF!</definedName>
    <definedName name="Num_Pmt_Per_Year" localSheetId="38">#REF!</definedName>
    <definedName name="Num_Pmt_Per_Year" localSheetId="36">#REF!</definedName>
    <definedName name="Num_Pmt_Per_Year" localSheetId="3">#REF!</definedName>
    <definedName name="Num_Pmt_Per_Year" localSheetId="1">#REF!</definedName>
    <definedName name="Num_Pmt_Per_Year">#REF!</definedName>
    <definedName name="Number_of_Payments" localSheetId="2">MATCH(0.01,'D.1.1. ASŘ - BOURACÍ PRÁCE'!End_Bal,-1)+1</definedName>
    <definedName name="Number_of_Payments" localSheetId="4">MATCH(0.01,'D.1.1. ASŘ - NOVÝ STAV'!End_Bal,-1)+1</definedName>
    <definedName name="Number_of_Payments" localSheetId="5">MATCH(0.01,'D.1.1. VÝPIS DVEŘÍ'!End_Bal,-1)+1</definedName>
    <definedName name="Number_of_Payments" localSheetId="6">MATCH(0.01,'D.1.1.c.02 - VÝPIS OKEN'!End_Bal,-1)+1</definedName>
    <definedName name="Number_of_Payments" localSheetId="7">MATCH(0.01,'D.1.1.c.04. VÝPIS TRUHLÁŘ.'!End_Bal,-1)+1</definedName>
    <definedName name="Number_of_Payments" localSheetId="8">MATCH(0.01,'D.1.1.c.05. VÝPIS ZÁMEČN. VÝR.'!End_Bal,-1)+1</definedName>
    <definedName name="Number_of_Payments" localSheetId="9">MATCH(0.01,End_Bal,-1)+1</definedName>
    <definedName name="Number_of_Payments" localSheetId="10">MATCH(0.01,'D.1.1.c.07 VÝPIS OSTAT.'!End_Bal,-1)+1</definedName>
    <definedName name="Number_of_Payments" localSheetId="11">MATCH(0.01,'D.1.4.1. ZTI'!End_Bal,-1)+1</definedName>
    <definedName name="Number_of_Payments" localSheetId="12">MATCH(0.01,'D.1.4.1.b.08. - REKAPITULACE'!End_Bal,-1)+1</definedName>
    <definedName name="Number_of_Payments" localSheetId="14">MATCH(0.01,'D.1.4.1.b.08. AREÁL. KANAL - BP'!End_Bal,-1)+1</definedName>
    <definedName name="Number_of_Payments" localSheetId="13">MATCH(0.01,'D.1.4.1.b.08. AREÁL. KANALIZACE'!End_Bal,-1)+1</definedName>
    <definedName name="Number_of_Payments" localSheetId="15">MATCH(0.01,'D.1.4.1.b.08. AREÁLOVÝ VODOVOD'!End_Bal,-1)+1</definedName>
    <definedName name="Number_of_Payments" localSheetId="16">MATCH(0.01,'D.1.4.1.b.09. AKUMULAČNÍ NÁDRŽ'!End_Bal,-1)+1</definedName>
    <definedName name="Number_of_Payments" localSheetId="17">MATCH(0.01,'D.1.4.1.b.10. ODLUČOVAČ TUKU'!End_Bal,-1)+1</definedName>
    <definedName name="Number_of_Payments" localSheetId="34">MATCH(0.01,'D.1.4.10. OPLOCENÍ'!End_Bal,-1)+1</definedName>
    <definedName name="Number_of_Payments" localSheetId="32">MATCH(0.01,'D.1.4.10.1. REKAPITULACE'!End_Bal,-1)+1</definedName>
    <definedName name="Number_of_Payments" localSheetId="33">MATCH(0.01,'D.1.4.10.1. SADOVÉ ÚPRAVY'!End_Bal,-1)+1</definedName>
    <definedName name="Number_of_Payments" localSheetId="35">MATCH(0.01,'D.1.4.10.2. POZEMNÍ KOMUNIKACE'!End_Bal,-1)+1</definedName>
    <definedName name="Number_of_Payments" localSheetId="18">MATCH(0.01,'D.1.4.2. ODBĚR. PLYN. ZAŘÍZ.'!End_Bal,-1)+1</definedName>
    <definedName name="Number_of_Payments" localSheetId="19">MATCH(0.01,End_Bal,-1)+1</definedName>
    <definedName name="Number_of_Payments" localSheetId="20">MATCH(0.01,'D.1.4.4. VYTÁPENÍ'!End_Bal,-1)+1</definedName>
    <definedName name="Number_of_Payments" localSheetId="22">MATCH(0.01,End_Bal,-1)+1</definedName>
    <definedName name="Number_of_Payments" localSheetId="24">MATCH(0.01,'D.1.4.7.b.08 AREÁL ELE-TRA. A1'!End_Bal,-1)+1</definedName>
    <definedName name="Number_of_Payments" localSheetId="25">MATCH(0.01,'D.1.4.7.b.08 AREÁL ELE-TRA. A2'!End_Bal,-1)+1</definedName>
    <definedName name="Number_of_Payments" localSheetId="26">MATCH(0.01,'D.1.4.7.b.08 AREÁL ELE-TRA. A3'!End_Bal,-1)+1</definedName>
    <definedName name="Number_of_Payments" localSheetId="23">MATCH(0.01,'D.1.4.7.b.08. - REKAPITULACE'!End_Bal,-1)+1</definedName>
    <definedName name="Number_of_Payments" localSheetId="27">MATCH(0.01,End_Bal,-1)+1</definedName>
    <definedName name="Number_of_Payments" localSheetId="28">MATCH(0.01,'D.1.4.8.b.04 - REKAPITULACE'!End_Bal,-1)+1</definedName>
    <definedName name="Number_of_Payments" localSheetId="29">MATCH(0.01,'D.1.4.8.b.04 AREÁL ELE-TRA. A1'!End_Bal,-1)+1</definedName>
    <definedName name="Number_of_Payments" localSheetId="30">MATCH(0.01,'D.1.4.8.b.04 AREÁL ELE-TRA. A2'!End_Bal,-1)+1</definedName>
    <definedName name="Number_of_Payments" localSheetId="31">MATCH(0.01,'D.1.4.8.b.04 AREÁL ELE-TRA. A3'!End_Bal,-1)+1</definedName>
    <definedName name="Number_of_Payments" localSheetId="37">MATCH(0.01,'D.2.2. AREÁL. TEPLOVOD'!End_Bal,-1)+1</definedName>
    <definedName name="Number_of_Payments" localSheetId="38">MATCH(0.01,'D.2.2. AREÁL. TEPLOVOD-BP'!End_Bal,-1)+1</definedName>
    <definedName name="Number_of_Payments" localSheetId="36">MATCH(0.01,'D.2.2. REKAPITULACE'!End_Bal,-1)+1</definedName>
    <definedName name="Number_of_Payments" localSheetId="0">MATCH(0.01,End_Bal,-1)+1</definedName>
    <definedName name="Number_of_Payments" localSheetId="3">MATCH(0.01,'REKAPITULACE - NS'!End_Bal,-1)+1</definedName>
    <definedName name="Number_of_Payments" localSheetId="1">MATCH(0.01,VRN!End_Bal,-1)+1</definedName>
    <definedName name="Number_of_Payments">MATCH(0.01,End_Bal,-1)+1</definedName>
    <definedName name="obch_sleva" localSheetId="2">#REF!</definedName>
    <definedName name="obch_sleva" localSheetId="4">#REF!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2">#REF!</definedName>
    <definedName name="obch_sleva" localSheetId="14">#REF!</definedName>
    <definedName name="obch_sleva" localSheetId="13">#REF!</definedName>
    <definedName name="obch_sleva" localSheetId="15">#REF!</definedName>
    <definedName name="obch_sleva" localSheetId="16">#REF!</definedName>
    <definedName name="obch_sleva" localSheetId="17">#REF!</definedName>
    <definedName name="obch_sleva" localSheetId="34">#REF!</definedName>
    <definedName name="obch_sleva" localSheetId="32">#REF!</definedName>
    <definedName name="obch_sleva" localSheetId="33">#REF!</definedName>
    <definedName name="obch_sleva" localSheetId="35">#REF!</definedName>
    <definedName name="obch_sleva" localSheetId="18">#REF!</definedName>
    <definedName name="obch_sleva" localSheetId="19">#REF!</definedName>
    <definedName name="obch_sleva" localSheetId="20">#REF!</definedName>
    <definedName name="obch_sleva" localSheetId="22">#REF!</definedName>
    <definedName name="obch_sleva" localSheetId="24">#REF!</definedName>
    <definedName name="obch_sleva" localSheetId="25">#REF!</definedName>
    <definedName name="obch_sleva" localSheetId="26">#REF!</definedName>
    <definedName name="obch_sleva" localSheetId="23">#REF!</definedName>
    <definedName name="obch_sleva" localSheetId="27">#REF!</definedName>
    <definedName name="obch_sleva" localSheetId="28">#REF!</definedName>
    <definedName name="obch_sleva" localSheetId="29">#REF!</definedName>
    <definedName name="obch_sleva" localSheetId="30">#REF!</definedName>
    <definedName name="obch_sleva" localSheetId="31">#REF!</definedName>
    <definedName name="obch_sleva" localSheetId="37">#REF!</definedName>
    <definedName name="obch_sleva" localSheetId="38">#REF!</definedName>
    <definedName name="obch_sleva" localSheetId="36">#REF!</definedName>
    <definedName name="obch_sleva" localSheetId="3">#REF!</definedName>
    <definedName name="obch_sleva" localSheetId="1">#REF!</definedName>
    <definedName name="obch_sleva">#REF!</definedName>
    <definedName name="Objednatel" localSheetId="2">#REF!</definedName>
    <definedName name="Objednatel" localSheetId="4">#REF!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4">#REF!</definedName>
    <definedName name="Objednatel" localSheetId="13">#REF!</definedName>
    <definedName name="Objednatel" localSheetId="15">#REF!</definedName>
    <definedName name="Objednatel" localSheetId="16">#REF!</definedName>
    <definedName name="Objednatel" localSheetId="17">#REF!</definedName>
    <definedName name="Objednatel" localSheetId="34">#REF!</definedName>
    <definedName name="Objednatel" localSheetId="32">#REF!</definedName>
    <definedName name="Objednatel" localSheetId="33">#REF!</definedName>
    <definedName name="Objednatel" localSheetId="35">#REF!</definedName>
    <definedName name="Objednatel" localSheetId="18">#REF!</definedName>
    <definedName name="Objednatel" localSheetId="19">#REF!</definedName>
    <definedName name="Objednatel" localSheetId="20">#REF!</definedName>
    <definedName name="Objednatel" localSheetId="22">#REF!</definedName>
    <definedName name="Objednatel" localSheetId="24">#REF!</definedName>
    <definedName name="Objednatel" localSheetId="25">#REF!</definedName>
    <definedName name="Objednatel" localSheetId="26">#REF!</definedName>
    <definedName name="Objednatel" localSheetId="23">#REF!</definedName>
    <definedName name="Objednatel" localSheetId="27">#REF!</definedName>
    <definedName name="Objednatel" localSheetId="28">#REF!</definedName>
    <definedName name="Objednatel" localSheetId="29">#REF!</definedName>
    <definedName name="Objednatel" localSheetId="30">#REF!</definedName>
    <definedName name="Objednatel" localSheetId="31">#REF!</definedName>
    <definedName name="Objednatel" localSheetId="37">#REF!</definedName>
    <definedName name="Objednatel" localSheetId="38">#REF!</definedName>
    <definedName name="Objednatel" localSheetId="36">#REF!</definedName>
    <definedName name="Objednatel" localSheetId="0">KL!$D$9</definedName>
    <definedName name="Objednatel" localSheetId="3">#REF!</definedName>
    <definedName name="Objednatel" localSheetId="1">#REF!</definedName>
    <definedName name="Objednatel">#REF!</definedName>
    <definedName name="Objekt" localSheetId="0">KL!$B$35</definedName>
    <definedName name="_xlnm.Print_Area" localSheetId="2">'D.1.1. ASŘ - BOURACÍ PRÁCE'!$A$1:$I$735</definedName>
    <definedName name="_xlnm.Print_Area" localSheetId="4">'D.1.1. ASŘ - NOVÝ STAV'!$A$1:$I$912</definedName>
    <definedName name="_xlnm.Print_Area" localSheetId="5">'D.1.1. VÝPIS DVEŘÍ'!$A$1:$I$214</definedName>
    <definedName name="_xlnm.Print_Area" localSheetId="6">'D.1.1.c.02 - VÝPIS OKEN'!$A$1:$I$166</definedName>
    <definedName name="_xlnm.Print_Area" localSheetId="7">'D.1.1.c.04. VÝPIS TRUHLÁŘ.'!$A$1:$I$105</definedName>
    <definedName name="_xlnm.Print_Area" localSheetId="8">'D.1.1.c.05. VÝPIS ZÁMEČN. VÝR.'!$A$1:$I$114</definedName>
    <definedName name="_xlnm.Print_Area" localSheetId="9">'D.1.1.c.06. VÝPIS KLEMP.'!$A$1:$I$86</definedName>
    <definedName name="_xlnm.Print_Area" localSheetId="10">'D.1.1.c.07 VÝPIS OSTAT.'!$A$1:$I$239</definedName>
    <definedName name="_xlnm.Print_Area" localSheetId="11">'D.1.4.1. ZTI'!$A$1:$I$579</definedName>
    <definedName name="_xlnm.Print_Area" localSheetId="12">'D.1.4.1.b.08. - REKAPITULACE'!$A$1:$C$12</definedName>
    <definedName name="_xlnm.Print_Area" localSheetId="14">'D.1.4.1.b.08. AREÁL. KANAL - BP'!$A$1:$I$176</definedName>
    <definedName name="_xlnm.Print_Area" localSheetId="13">'D.1.4.1.b.08. AREÁL. KANALIZACE'!$A$1:$I$955</definedName>
    <definedName name="_xlnm.Print_Area" localSheetId="15">'D.1.4.1.b.08. AREÁLOVÝ VODOVOD'!$A$1:$I$136</definedName>
    <definedName name="_xlnm.Print_Area" localSheetId="16">'D.1.4.1.b.09. AKUMULAČNÍ NÁDRŽ'!$A$1:$I$138</definedName>
    <definedName name="_xlnm.Print_Area" localSheetId="17">'D.1.4.1.b.10. ODLUČOVAČ TUKU'!$A$1:$I$147</definedName>
    <definedName name="_xlnm.Print_Area" localSheetId="34">'D.1.4.10. OPLOCENÍ'!$A$1:$I$98</definedName>
    <definedName name="_xlnm.Print_Area" localSheetId="32">'D.1.4.10.1. REKAPITULACE'!$A$1:$C$10</definedName>
    <definedName name="_xlnm.Print_Area" localSheetId="33">'D.1.4.10.1. SADOVÉ ÚPRAVY'!$A$1:$I$124</definedName>
    <definedName name="_xlnm.Print_Area" localSheetId="35">'D.1.4.10.2. POZEMNÍ KOMUNIKACE'!$A$1:$I$213</definedName>
    <definedName name="_xlnm.Print_Area" localSheetId="18">'D.1.4.2. ODBĚR. PLYN. ZAŘÍZ.'!$A$1:$I$95</definedName>
    <definedName name="_xlnm.Print_Area" localSheetId="19">'D.1.4.3. VZDUCHOTECHNIKA'!$A$1:$I$824</definedName>
    <definedName name="_xlnm.Print_Area" localSheetId="20">'D.1.4.4. VYTÁPENÍ'!$A$1:$I$398</definedName>
    <definedName name="_xlnm.Print_Area" localSheetId="21">'D.1.4.6. MĚŘENÍ A REGULACE'!$A$1:$F$133</definedName>
    <definedName name="_xlnm.Print_Area" localSheetId="22">'D.1.4.7. SILNOPROUD'!$A$1:$I$351</definedName>
    <definedName name="_xlnm.Print_Area" localSheetId="24">'D.1.4.7.b.08 AREÁL ELE-TRA. A1'!$A$1:$I$196</definedName>
    <definedName name="_xlnm.Print_Area" localSheetId="25">'D.1.4.7.b.08 AREÁL ELE-TRA. A2'!$A$1:$I$197</definedName>
    <definedName name="_xlnm.Print_Area" localSheetId="26">'D.1.4.7.b.08 AREÁL ELE-TRA. A3'!$A$1:$I$165</definedName>
    <definedName name="_xlnm.Print_Area" localSheetId="23">'D.1.4.7.b.08. - REKAPITULACE'!$A$1:$C$13</definedName>
    <definedName name="_xlnm.Print_Area" localSheetId="27">'D.1.4.8. EL. KOMUNIKACE'!$A$1:$I$298</definedName>
    <definedName name="_xlnm.Print_Area" localSheetId="28">'D.1.4.8.b.04 - REKAPITULACE'!$A$1:$C$13</definedName>
    <definedName name="_xlnm.Print_Area" localSheetId="29">'D.1.4.8.b.04 AREÁL ELE-TRA. A1'!$A$1:$I$198</definedName>
    <definedName name="_xlnm.Print_Area" localSheetId="30">'D.1.4.8.b.04 AREÁL ELE-TRA. A2'!$A$1:$I$198</definedName>
    <definedName name="_xlnm.Print_Area" localSheetId="31">'D.1.4.8.b.04 AREÁL ELE-TRA. A3'!$A$1:$I$167</definedName>
    <definedName name="_xlnm.Print_Area" localSheetId="37">'D.2.2. AREÁL. TEPLOVOD'!$A$1:$I$177</definedName>
    <definedName name="_xlnm.Print_Area" localSheetId="38">'D.2.2. AREÁL. TEPLOVOD-BP'!$A$1:$I$83</definedName>
    <definedName name="_xlnm.Print_Area" localSheetId="36">'D.2.2. REKAPITULACE'!$A$1:$C$10</definedName>
    <definedName name="_xlnm.Print_Area" localSheetId="39">Foto!$A$1:$P$76</definedName>
    <definedName name="_xlnm.Print_Area" localSheetId="0">KL!$A$1:$I$77</definedName>
    <definedName name="_xlnm.Print_Area" localSheetId="3">'REKAPITULACE - NS'!$A$1:$C$32</definedName>
    <definedName name="_xlnm.Print_Area" localSheetId="1">VRN!$A$1:$H$57</definedName>
    <definedName name="odic" localSheetId="0">KL!#REF!</definedName>
    <definedName name="oico" localSheetId="0">KL!$J$9</definedName>
    <definedName name="omisto" localSheetId="0">KL!#REF!</definedName>
    <definedName name="onazev" localSheetId="0">KL!#REF!</definedName>
    <definedName name="op" localSheetId="2">#REF!</definedName>
    <definedName name="op" localSheetId="4">#REF!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4">#REF!</definedName>
    <definedName name="op" localSheetId="13">#REF!</definedName>
    <definedName name="op" localSheetId="15">#REF!</definedName>
    <definedName name="op" localSheetId="16">#REF!</definedName>
    <definedName name="op" localSheetId="17">#REF!</definedName>
    <definedName name="op" localSheetId="34">#REF!</definedName>
    <definedName name="op" localSheetId="32">#REF!</definedName>
    <definedName name="op" localSheetId="33">#REF!</definedName>
    <definedName name="op" localSheetId="35">#REF!</definedName>
    <definedName name="op" localSheetId="18">#REF!</definedName>
    <definedName name="op" localSheetId="19">#REF!</definedName>
    <definedName name="op" localSheetId="20">#REF!</definedName>
    <definedName name="op" localSheetId="22">#REF!</definedName>
    <definedName name="op" localSheetId="24">#REF!</definedName>
    <definedName name="op" localSheetId="25">#REF!</definedName>
    <definedName name="op" localSheetId="26">#REF!</definedName>
    <definedName name="op" localSheetId="23">#REF!</definedName>
    <definedName name="op" localSheetId="27">#REF!</definedName>
    <definedName name="op" localSheetId="28">#REF!</definedName>
    <definedName name="op" localSheetId="29">#REF!</definedName>
    <definedName name="op" localSheetId="30">#REF!</definedName>
    <definedName name="op" localSheetId="31">#REF!</definedName>
    <definedName name="op" localSheetId="37">#REF!</definedName>
    <definedName name="op" localSheetId="38">#REF!</definedName>
    <definedName name="op" localSheetId="36">#REF!</definedName>
    <definedName name="op" localSheetId="3">#REF!</definedName>
    <definedName name="op" localSheetId="1">#REF!</definedName>
    <definedName name="op">#REF!</definedName>
    <definedName name="opsc" localSheetId="0">KL!#REF!</definedName>
    <definedName name="Outside" localSheetId="2" hidden="1">{#N/A,#N/A,TRUE,"Krycí list"}</definedName>
    <definedName name="Outside" localSheetId="4"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17"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35" hidden="1">{#N/A,#N/A,TRUE,"Krycí list"}</definedName>
    <definedName name="Outside" localSheetId="18" hidden="1">{#N/A,#N/A,TRUE,"Krycí list"}</definedName>
    <definedName name="Outside" localSheetId="19" hidden="1">{#N/A,#N/A,TRUE,"Krycí list"}</definedName>
    <definedName name="Outside" localSheetId="20" hidden="1">{#N/A,#N/A,TRUE,"Krycí list"}</definedName>
    <definedName name="Outside" localSheetId="22" hidden="1">{#N/A,#N/A,TRUE,"Krycí list"}</definedName>
    <definedName name="Outside" localSheetId="23" hidden="1">{#N/A,#N/A,TRUE,"Krycí list"}</definedName>
    <definedName name="Outside" localSheetId="27" hidden="1">{#N/A,#N/A,TRUE,"Krycí list"}</definedName>
    <definedName name="Outside" localSheetId="28" hidden="1">{#N/A,#N/A,TRUE,"Krycí list"}</definedName>
    <definedName name="Outside" localSheetId="37" hidden="1">{#N/A,#N/A,TRUE,"Krycí list"}</definedName>
    <definedName name="Outside" localSheetId="38" hidden="1">{#N/A,#N/A,TRUE,"Krycí list"}</definedName>
    <definedName name="Outside" localSheetId="36" hidden="1">{#N/A,#N/A,TRUE,"Krycí list"}</definedName>
    <definedName name="Outside" localSheetId="0" hidden="1">{#N/A,#N/A,TRUE,"Krycí list"}</definedName>
    <definedName name="Outside" localSheetId="3" hidden="1">{#N/A,#N/A,TRUE,"Krycí list"}</definedName>
    <definedName name="Outside" localSheetId="1" hidden="1">{#N/A,#N/A,TRUE,"Krycí list"}</definedName>
    <definedName name="Outside" hidden="1">{#N/A,#N/A,TRUE,"Krycí list"}</definedName>
    <definedName name="Pay_Date" localSheetId="2">#REF!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4">#REF!</definedName>
    <definedName name="Pay_Date" localSheetId="13">#REF!</definedName>
    <definedName name="Pay_Date" localSheetId="15">#REF!</definedName>
    <definedName name="Pay_Date" localSheetId="16">#REF!</definedName>
    <definedName name="Pay_Date" localSheetId="17">#REF!</definedName>
    <definedName name="Pay_Date" localSheetId="34">#REF!</definedName>
    <definedName name="Pay_Date" localSheetId="32">#REF!</definedName>
    <definedName name="Pay_Date" localSheetId="33">#REF!</definedName>
    <definedName name="Pay_Date" localSheetId="35">#REF!</definedName>
    <definedName name="Pay_Date" localSheetId="18">#REF!</definedName>
    <definedName name="Pay_Date" localSheetId="19">#REF!</definedName>
    <definedName name="Pay_Date" localSheetId="20">#REF!</definedName>
    <definedName name="Pay_Date" localSheetId="22">#REF!</definedName>
    <definedName name="Pay_Date" localSheetId="24">#REF!</definedName>
    <definedName name="Pay_Date" localSheetId="25">#REF!</definedName>
    <definedName name="Pay_Date" localSheetId="26">#REF!</definedName>
    <definedName name="Pay_Date" localSheetId="23">#REF!</definedName>
    <definedName name="Pay_Date" localSheetId="27">#REF!</definedName>
    <definedName name="Pay_Date" localSheetId="28">#REF!</definedName>
    <definedName name="Pay_Date" localSheetId="29">#REF!</definedName>
    <definedName name="Pay_Date" localSheetId="30">#REF!</definedName>
    <definedName name="Pay_Date" localSheetId="31">#REF!</definedName>
    <definedName name="Pay_Date" localSheetId="37">#REF!</definedName>
    <definedName name="Pay_Date" localSheetId="38">#REF!</definedName>
    <definedName name="Pay_Date" localSheetId="36">#REF!</definedName>
    <definedName name="Pay_Date" localSheetId="3">#REF!</definedName>
    <definedName name="Pay_Date" localSheetId="1">#REF!</definedName>
    <definedName name="Pay_Date">#REF!</definedName>
    <definedName name="Pay_Num" localSheetId="2">#REF!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4">#REF!</definedName>
    <definedName name="Pay_Num" localSheetId="13">#REF!</definedName>
    <definedName name="Pay_Num" localSheetId="15">#REF!</definedName>
    <definedName name="Pay_Num" localSheetId="16">#REF!</definedName>
    <definedName name="Pay_Num" localSheetId="17">#REF!</definedName>
    <definedName name="Pay_Num" localSheetId="34">#REF!</definedName>
    <definedName name="Pay_Num" localSheetId="32">#REF!</definedName>
    <definedName name="Pay_Num" localSheetId="33">#REF!</definedName>
    <definedName name="Pay_Num" localSheetId="35">#REF!</definedName>
    <definedName name="Pay_Num" localSheetId="18">#REF!</definedName>
    <definedName name="Pay_Num" localSheetId="19">#REF!</definedName>
    <definedName name="Pay_Num" localSheetId="20">#REF!</definedName>
    <definedName name="Pay_Num" localSheetId="22">#REF!</definedName>
    <definedName name="Pay_Num" localSheetId="24">#REF!</definedName>
    <definedName name="Pay_Num" localSheetId="25">#REF!</definedName>
    <definedName name="Pay_Num" localSheetId="26">#REF!</definedName>
    <definedName name="Pay_Num" localSheetId="23">#REF!</definedName>
    <definedName name="Pay_Num" localSheetId="27">#REF!</definedName>
    <definedName name="Pay_Num" localSheetId="28">#REF!</definedName>
    <definedName name="Pay_Num" localSheetId="29">#REF!</definedName>
    <definedName name="Pay_Num" localSheetId="30">#REF!</definedName>
    <definedName name="Pay_Num" localSheetId="31">#REF!</definedName>
    <definedName name="Pay_Num" localSheetId="37">#REF!</definedName>
    <definedName name="Pay_Num" localSheetId="38">#REF!</definedName>
    <definedName name="Pay_Num" localSheetId="36">#REF!</definedName>
    <definedName name="Pay_Num" localSheetId="3">#REF!</definedName>
    <definedName name="Pay_Num" localSheetId="1">#REF!</definedName>
    <definedName name="Pay_Num">#REF!</definedName>
    <definedName name="Payment_Date" localSheetId="2">DATE(YEAR('D.1.1. ASŘ - BOURACÍ PRÁCE'!Loan_Start),MONTH('D.1.1. ASŘ - BOURACÍ PRÁCE'!Loan_Start)+Payment_Number,DAY('D.1.1. ASŘ - BOURACÍ PRÁCE'!Loan_Start))</definedName>
    <definedName name="Payment_Date" localSheetId="4">DATE(YEAR('D.1.1. ASŘ - NOVÝ STAV'!Loan_Start),MONTH('D.1.1. ASŘ - NOVÝ STAV'!Loan_Start)+Payment_Number,DAY('D.1.1. ASŘ - NOVÝ STAV'!Loan_Start))</definedName>
    <definedName name="Payment_Date" localSheetId="5">DATE(YEAR('D.1.1. VÝPIS DVEŘÍ'!Loan_Start),MONTH('D.1.1. VÝPIS DVEŘÍ'!Loan_Start)+Payment_Number,DAY('D.1.1. VÝPIS DVEŘÍ'!Loan_Start))</definedName>
    <definedName name="Payment_Date" localSheetId="6">DATE(YEAR('D.1.1.c.02 - VÝPIS OKEN'!Loan_Start),MONTH('D.1.1.c.02 - VÝPIS OKEN'!Loan_Start)+Payment_Number,DAY('D.1.1.c.02 - VÝPIS OKEN'!Loan_Start))</definedName>
    <definedName name="Payment_Date" localSheetId="7">DATE(YEAR('D.1.1.c.04. VÝPIS TRUHLÁŘ.'!Loan_Start),MONTH('D.1.1.c.04. VÝPIS TRUHLÁŘ.'!Loan_Start)+Payment_Number,DAY('D.1.1.c.04. VÝPIS TRUHLÁŘ.'!Loan_Start))</definedName>
    <definedName name="Payment_Date" localSheetId="8">DATE(YEAR('D.1.1.c.05. VÝPIS ZÁMEČN. VÝR.'!Loan_Start),MONTH('D.1.1.c.05. VÝPIS ZÁMEČN. VÝR.'!Loan_Start)+Payment_Number,DAY('D.1.1.c.05. VÝPIS ZÁMEČN. VÝR.'!Loan_Start))</definedName>
    <definedName name="Payment_Date" localSheetId="9">DATE(YEAR('D.1.1.c.06. VÝPIS KLEMP.'!Loan_Start),MONTH('D.1.1.c.06. VÝPIS KLEMP.'!Loan_Start)+Payment_Number,DAY('D.1.1.c.06. VÝPIS KLEMP.'!Loan_Start))</definedName>
    <definedName name="Payment_Date" localSheetId="10">DATE(YEAR('D.1.1.c.07 VÝPIS OSTAT.'!Loan_Start),MONTH('D.1.1.c.07 VÝPIS OSTAT.'!Loan_Start)+Payment_Number,DAY('D.1.1.c.07 VÝPIS OSTAT.'!Loan_Start))</definedName>
    <definedName name="Payment_Date" localSheetId="11">DATE(YEAR('D.1.4.1. ZTI'!Loan_Start),MONTH('D.1.4.1. ZTI'!Loan_Start)+Payment_Number,DAY('D.1.4.1. ZTI'!Loan_Start))</definedName>
    <definedName name="Payment_Date" localSheetId="12">DATE(YEAR('D.1.4.1.b.08. - REKAPITULACE'!Loan_Start),MONTH('D.1.4.1.b.08. - REKAPITULACE'!Loan_Start)+Payment_Number,DAY('D.1.4.1.b.08. - REKAPITULACE'!Loan_Start))</definedName>
    <definedName name="Payment_Date" localSheetId="14">DATE(YEAR('D.1.4.1.b.08. AREÁL. KANAL - BP'!Loan_Start),MONTH('D.1.4.1.b.08. AREÁL. KANAL - BP'!Loan_Start)+Payment_Number,DAY('D.1.4.1.b.08. AREÁL. KANAL - BP'!Loan_Start))</definedName>
    <definedName name="Payment_Date" localSheetId="13">DATE(YEAR('D.1.4.1.b.08. AREÁL. KANALIZACE'!Loan_Start),MONTH('D.1.4.1.b.08. AREÁL. KANALIZACE'!Loan_Start)+Payment_Number,DAY('D.1.4.1.b.08. AREÁL. KANALIZACE'!Loan_Start))</definedName>
    <definedName name="Payment_Date" localSheetId="15">DATE(YEAR('D.1.4.1.b.08. AREÁLOVÝ VODOVOD'!Loan_Start),MONTH('D.1.4.1.b.08. AREÁLOVÝ VODOVOD'!Loan_Start)+Payment_Number,DAY('D.1.4.1.b.08. AREÁLOVÝ VODOVOD'!Loan_Start))</definedName>
    <definedName name="Payment_Date" localSheetId="16">DATE(YEAR('D.1.4.1.b.09. AKUMULAČNÍ NÁDRŽ'!Loan_Start),MONTH('D.1.4.1.b.09. AKUMULAČNÍ NÁDRŽ'!Loan_Start)+Payment_Number,DAY('D.1.4.1.b.09. AKUMULAČNÍ NÁDRŽ'!Loan_Start))</definedName>
    <definedName name="Payment_Date" localSheetId="17">DATE(YEAR('D.1.4.1.b.10. ODLUČOVAČ TUKU'!Loan_Start),MONTH('D.1.4.1.b.10. ODLUČOVAČ TUKU'!Loan_Start)+Payment_Number,DAY('D.1.4.1.b.10. ODLUČOVAČ TUKU'!Loan_Start))</definedName>
    <definedName name="Payment_Date" localSheetId="34">DATE(YEAR('D.1.4.10. OPLOCENÍ'!Loan_Start),MONTH('D.1.4.10. OPLOCENÍ'!Loan_Start)+Payment_Number,DAY('D.1.4.10. OPLOCENÍ'!Loan_Start))</definedName>
    <definedName name="Payment_Date" localSheetId="32">DATE(YEAR('D.1.4.10.1. REKAPITULACE'!Loan_Start),MONTH('D.1.4.10.1. REKAPITULACE'!Loan_Start)+Payment_Number,DAY('D.1.4.10.1. REKAPITULACE'!Loan_Start))</definedName>
    <definedName name="Payment_Date" localSheetId="33">DATE(YEAR('D.1.4.10.1. SADOVÉ ÚPRAVY'!Loan_Start),MONTH('D.1.4.10.1. SADOVÉ ÚPRAVY'!Loan_Start)+Payment_Number,DAY('D.1.4.10.1. SADOVÉ ÚPRAVY'!Loan_Start))</definedName>
    <definedName name="Payment_Date" localSheetId="35">DATE(YEAR('D.1.4.10.2. POZEMNÍ KOMUNIKACE'!Loan_Start),MONTH('D.1.4.10.2. POZEMNÍ KOMUNIKACE'!Loan_Start)+Payment_Number,DAY('D.1.4.10.2. POZEMNÍ KOMUNIKACE'!Loan_Start))</definedName>
    <definedName name="Payment_Date" localSheetId="18">DATE(YEAR('D.1.4.2. ODBĚR. PLYN. ZAŘÍZ.'!Loan_Start),MONTH('D.1.4.2. ODBĚR. PLYN. ZAŘÍZ.'!Loan_Start)+Payment_Number,DAY('D.1.4.2. ODBĚR. PLYN. ZAŘÍZ.'!Loan_Start))</definedName>
    <definedName name="Payment_Date" localSheetId="19">DATE(YEAR('D.1.4.3. VZDUCHOTECHNIKA'!Loan_Start),MONTH('D.1.4.3. VZDUCHOTECHNIKA'!Loan_Start)+Payment_Number,DAY('D.1.4.3. VZDUCHOTECHNIKA'!Loan_Start))</definedName>
    <definedName name="Payment_Date" localSheetId="20">DATE(YEAR('D.1.4.4. VYTÁPENÍ'!Loan_Start),MONTH('D.1.4.4. VYTÁPENÍ'!Loan_Start)+Payment_Number,DAY('D.1.4.4. VYTÁPENÍ'!Loan_Start))</definedName>
    <definedName name="Payment_Date" localSheetId="22">DATE(YEAR('D.1.4.7. SILNOPROUD'!Loan_Start),MONTH('D.1.4.7. SILNOPROUD'!Loan_Start)+Payment_Number,DAY('D.1.4.7. SILNOPROUD'!Loan_Start))</definedName>
    <definedName name="Payment_Date" localSheetId="24">DATE(YEAR('D.1.4.7.b.08 AREÁL ELE-TRA. A1'!Loan_Start),MONTH('D.1.4.7.b.08 AREÁL ELE-TRA. A1'!Loan_Start)+Payment_Number,DAY('D.1.4.7.b.08 AREÁL ELE-TRA. A1'!Loan_Start))</definedName>
    <definedName name="Payment_Date" localSheetId="25">DATE(YEAR('D.1.4.7.b.08 AREÁL ELE-TRA. A2'!Loan_Start),MONTH('D.1.4.7.b.08 AREÁL ELE-TRA. A2'!Loan_Start)+Payment_Number,DAY('D.1.4.7.b.08 AREÁL ELE-TRA. A2'!Loan_Start))</definedName>
    <definedName name="Payment_Date" localSheetId="26">DATE(YEAR('D.1.4.7.b.08 AREÁL ELE-TRA. A3'!Loan_Start),MONTH('D.1.4.7.b.08 AREÁL ELE-TRA. A3'!Loan_Start)+Payment_Number,DAY('D.1.4.7.b.08 AREÁL ELE-TRA. A3'!Loan_Start))</definedName>
    <definedName name="Payment_Date" localSheetId="23">DATE(YEAR('D.1.4.7.b.08. - REKAPITULACE'!Loan_Start),MONTH('D.1.4.7.b.08. - REKAPITULACE'!Loan_Start)+Payment_Number,DAY('D.1.4.7.b.08. - REKAPITULACE'!Loan_Start))</definedName>
    <definedName name="Payment_Date" localSheetId="27">DATE(YEAR('D.1.4.8. EL. KOMUNIKACE'!Loan_Start),MONTH('D.1.4.8. EL. KOMUNIKACE'!Loan_Start)+Payment_Number,DAY('D.1.4.8. EL. KOMUNIKACE'!Loan_Start))</definedName>
    <definedName name="Payment_Date" localSheetId="28">DATE(YEAR('D.1.4.8.b.04 - REKAPITULACE'!Loan_Start),MONTH('D.1.4.8.b.04 - REKAPITULACE'!Loan_Start)+Payment_Number,DAY('D.1.4.8.b.04 - REKAPITULACE'!Loan_Start))</definedName>
    <definedName name="Payment_Date" localSheetId="29">DATE(YEAR('D.1.4.8.b.04 AREÁL ELE-TRA. A1'!Loan_Start),MONTH('D.1.4.8.b.04 AREÁL ELE-TRA. A1'!Loan_Start)+Payment_Number,DAY('D.1.4.8.b.04 AREÁL ELE-TRA. A1'!Loan_Start))</definedName>
    <definedName name="Payment_Date" localSheetId="30">DATE(YEAR('D.1.4.8.b.04 AREÁL ELE-TRA. A2'!Loan_Start),MONTH('D.1.4.8.b.04 AREÁL ELE-TRA. A2'!Loan_Start)+Payment_Number,DAY('D.1.4.8.b.04 AREÁL ELE-TRA. A2'!Loan_Start))</definedName>
    <definedName name="Payment_Date" localSheetId="31">DATE(YEAR('D.1.4.8.b.04 AREÁL ELE-TRA. A3'!Loan_Start),MONTH('D.1.4.8.b.04 AREÁL ELE-TRA. A3'!Loan_Start)+Payment_Number,DAY('D.1.4.8.b.04 AREÁL ELE-TRA. A3'!Loan_Start))</definedName>
    <definedName name="Payment_Date" localSheetId="37">DATE(YEAR('D.2.2. AREÁL. TEPLOVOD'!Loan_Start),MONTH('D.2.2. AREÁL. TEPLOVOD'!Loan_Start)+Payment_Number,DAY('D.2.2. AREÁL. TEPLOVOD'!Loan_Start))</definedName>
    <definedName name="Payment_Date" localSheetId="38">DATE(YEAR('D.2.2. AREÁL. TEPLOVOD-BP'!Loan_Start),MONTH('D.2.2. AREÁL. TEPLOVOD-BP'!Loan_Start)+Payment_Number,DAY('D.2.2. AREÁL. TEPLOVOD-BP'!Loan_Start))</definedName>
    <definedName name="Payment_Date" localSheetId="36">DATE(YEAR('D.2.2. REKAPITULACE'!Loan_Start),MONTH('D.2.2. REKAPITULACE'!Loan_Start)+Payment_Number,DAY('D.2.2. REKAPITULACE'!Loan_Start))</definedName>
    <definedName name="Payment_Date" localSheetId="0">DATE(YEAR(Loan_Start),MONTH(Loan_Start)+Payment_Number,DAY(Loan_Start))</definedName>
    <definedName name="Payment_Date" localSheetId="3">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2">#REF!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4">#REF!</definedName>
    <definedName name="PocetMJ" localSheetId="13">#REF!</definedName>
    <definedName name="PocetMJ" localSheetId="15">#REF!</definedName>
    <definedName name="PocetMJ" localSheetId="16">#REF!</definedName>
    <definedName name="PocetMJ" localSheetId="17">#REF!</definedName>
    <definedName name="PocetMJ" localSheetId="34">#REF!</definedName>
    <definedName name="PocetMJ" localSheetId="32">#REF!</definedName>
    <definedName name="PocetMJ" localSheetId="33">#REF!</definedName>
    <definedName name="PocetMJ" localSheetId="35">#REF!</definedName>
    <definedName name="PocetMJ" localSheetId="18">#REF!</definedName>
    <definedName name="PocetMJ" localSheetId="19">#REF!</definedName>
    <definedName name="PocetMJ" localSheetId="20">#REF!</definedName>
    <definedName name="PocetMJ" localSheetId="22">#REF!</definedName>
    <definedName name="PocetMJ" localSheetId="24">#REF!</definedName>
    <definedName name="PocetMJ" localSheetId="25">#REF!</definedName>
    <definedName name="PocetMJ" localSheetId="26">#REF!</definedName>
    <definedName name="PocetMJ" localSheetId="23">#REF!</definedName>
    <definedName name="PocetMJ" localSheetId="27">#REF!</definedName>
    <definedName name="PocetMJ" localSheetId="28">#REF!</definedName>
    <definedName name="PocetMJ" localSheetId="29">#REF!</definedName>
    <definedName name="PocetMJ" localSheetId="30">#REF!</definedName>
    <definedName name="PocetMJ" localSheetId="31">#REF!</definedName>
    <definedName name="PocetMJ" localSheetId="37">#REF!</definedName>
    <definedName name="PocetMJ" localSheetId="38">#REF!</definedName>
    <definedName name="PocetMJ" localSheetId="36">#REF!</definedName>
    <definedName name="PocetMJ" localSheetId="0">#REF!</definedName>
    <definedName name="PocetMJ" localSheetId="3">#REF!</definedName>
    <definedName name="PocetMJ" localSheetId="1">#REF!</definedName>
    <definedName name="PocetMJ">#REF!</definedName>
    <definedName name="pokusAAAA" localSheetId="2">#REF!</definedName>
    <definedName name="pokusAAAA" localSheetId="4">#REF!</definedName>
    <definedName name="pokusAAAA" localSheetId="5">#REF!</definedName>
    <definedName name="pokusAAAA" localSheetId="6">#REF!</definedName>
    <definedName name="pokusAAAA" localSheetId="7">#REF!</definedName>
    <definedName name="pokusAAAA" localSheetId="8">#REF!</definedName>
    <definedName name="pokusAAAA" localSheetId="9">#REF!</definedName>
    <definedName name="pokusAAAA" localSheetId="10">#REF!</definedName>
    <definedName name="pokusAAAA" localSheetId="11">#REF!</definedName>
    <definedName name="pokusAAAA" localSheetId="12">#REF!</definedName>
    <definedName name="pokusAAAA" localSheetId="14">#REF!</definedName>
    <definedName name="pokusAAAA" localSheetId="13">#REF!</definedName>
    <definedName name="pokusAAAA" localSheetId="15">#REF!</definedName>
    <definedName name="pokusAAAA" localSheetId="16">#REF!</definedName>
    <definedName name="pokusAAAA" localSheetId="17">#REF!</definedName>
    <definedName name="pokusAAAA" localSheetId="34">#REF!</definedName>
    <definedName name="pokusAAAA" localSheetId="32">#REF!</definedName>
    <definedName name="pokusAAAA" localSheetId="35">#REF!</definedName>
    <definedName name="pokusAAAA" localSheetId="18">#REF!</definedName>
    <definedName name="pokusAAAA" localSheetId="20">#REF!</definedName>
    <definedName name="pokusAAAA" localSheetId="22">#REF!</definedName>
    <definedName name="pokusAAAA" localSheetId="24">#REF!</definedName>
    <definedName name="pokusAAAA" localSheetId="25">#REF!</definedName>
    <definedName name="pokusAAAA" localSheetId="26">#REF!</definedName>
    <definedName name="pokusAAAA" localSheetId="23">#REF!</definedName>
    <definedName name="pokusAAAA" localSheetId="27">#REF!</definedName>
    <definedName name="pokusAAAA" localSheetId="28">#REF!</definedName>
    <definedName name="pokusAAAA" localSheetId="29">#REF!</definedName>
    <definedName name="pokusAAAA" localSheetId="30">#REF!</definedName>
    <definedName name="pokusAAAA" localSheetId="31">#REF!</definedName>
    <definedName name="pokusAAAA" localSheetId="37">#REF!</definedName>
    <definedName name="pokusAAAA" localSheetId="38">#REF!</definedName>
    <definedName name="pokusAAAA" localSheetId="36">#REF!</definedName>
    <definedName name="pokusAAAA" localSheetId="3">#REF!</definedName>
    <definedName name="pokusAAAA" localSheetId="1">#REF!</definedName>
    <definedName name="pokusAAAA">#REF!</definedName>
    <definedName name="pokusadres" localSheetId="2">#REF!</definedName>
    <definedName name="pokusadres" localSheetId="4">#REF!</definedName>
    <definedName name="pokusadres" localSheetId="5">#REF!</definedName>
    <definedName name="pokusadres" localSheetId="6">#REF!</definedName>
    <definedName name="pokusadres" localSheetId="7">#REF!</definedName>
    <definedName name="pokusadres" localSheetId="8">#REF!</definedName>
    <definedName name="pokusadres" localSheetId="9">#REF!</definedName>
    <definedName name="pokusadres" localSheetId="10">#REF!</definedName>
    <definedName name="pokusadres" localSheetId="11">#REF!</definedName>
    <definedName name="pokusadres" localSheetId="12">#REF!</definedName>
    <definedName name="pokusadres" localSheetId="14">#REF!</definedName>
    <definedName name="pokusadres" localSheetId="13">#REF!</definedName>
    <definedName name="pokusadres" localSheetId="15">#REF!</definedName>
    <definedName name="pokusadres" localSheetId="16">#REF!</definedName>
    <definedName name="pokusadres" localSheetId="17">#REF!</definedName>
    <definedName name="pokusadres" localSheetId="34">#REF!</definedName>
    <definedName name="pokusadres" localSheetId="32">#REF!</definedName>
    <definedName name="pokusadres" localSheetId="35">#REF!</definedName>
    <definedName name="pokusadres" localSheetId="18">#REF!</definedName>
    <definedName name="pokusadres" localSheetId="20">#REF!</definedName>
    <definedName name="pokusadres" localSheetId="22">#REF!</definedName>
    <definedName name="pokusadres" localSheetId="24">#REF!</definedName>
    <definedName name="pokusadres" localSheetId="25">#REF!</definedName>
    <definedName name="pokusadres" localSheetId="26">#REF!</definedName>
    <definedName name="pokusadres" localSheetId="23">#REF!</definedName>
    <definedName name="pokusadres" localSheetId="27">#REF!</definedName>
    <definedName name="pokusadres" localSheetId="28">#REF!</definedName>
    <definedName name="pokusadres" localSheetId="29">#REF!</definedName>
    <definedName name="pokusadres" localSheetId="30">#REF!</definedName>
    <definedName name="pokusadres" localSheetId="31">#REF!</definedName>
    <definedName name="pokusadres" localSheetId="37">#REF!</definedName>
    <definedName name="pokusadres" localSheetId="38">#REF!</definedName>
    <definedName name="pokusadres" localSheetId="36">#REF!</definedName>
    <definedName name="pokusadres" localSheetId="3">#REF!</definedName>
    <definedName name="pokusadres" localSheetId="1">#REF!</definedName>
    <definedName name="pokusadres">#REF!</definedName>
    <definedName name="položka_A1" localSheetId="2">#REF!</definedName>
    <definedName name="položka_A1" localSheetId="4">#REF!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0">#REF!</definedName>
    <definedName name="položka_A1" localSheetId="11">#REF!</definedName>
    <definedName name="položka_A1" localSheetId="12">#REF!</definedName>
    <definedName name="položka_A1" localSheetId="14">#REF!</definedName>
    <definedName name="položka_A1" localSheetId="13">#REF!</definedName>
    <definedName name="položka_A1" localSheetId="15">#REF!</definedName>
    <definedName name="položka_A1" localSheetId="16">#REF!</definedName>
    <definedName name="položka_A1" localSheetId="17">#REF!</definedName>
    <definedName name="položka_A1" localSheetId="34">#REF!</definedName>
    <definedName name="položka_A1" localSheetId="32">#REF!</definedName>
    <definedName name="položka_A1" localSheetId="33">#REF!</definedName>
    <definedName name="položka_A1" localSheetId="35">#REF!</definedName>
    <definedName name="položka_A1" localSheetId="18">#REF!</definedName>
    <definedName name="položka_A1" localSheetId="20">#REF!</definedName>
    <definedName name="položka_A1" localSheetId="24">#REF!</definedName>
    <definedName name="položka_A1" localSheetId="25">#REF!</definedName>
    <definedName name="položka_A1" localSheetId="26">#REF!</definedName>
    <definedName name="položka_A1" localSheetId="23">#REF!</definedName>
    <definedName name="položka_A1" localSheetId="28">#REF!</definedName>
    <definedName name="položka_A1" localSheetId="29">#REF!</definedName>
    <definedName name="položka_A1" localSheetId="30">#REF!</definedName>
    <definedName name="položka_A1" localSheetId="31">#REF!</definedName>
    <definedName name="položka_A1" localSheetId="37">#REF!</definedName>
    <definedName name="položka_A1" localSheetId="38">#REF!</definedName>
    <definedName name="položka_A1" localSheetId="36">#REF!</definedName>
    <definedName name="položka_A1" localSheetId="3">#REF!</definedName>
    <definedName name="položka_A1" localSheetId="1">#REF!</definedName>
    <definedName name="položka_A1">#REF!</definedName>
    <definedName name="položky" localSheetId="2">#REF!</definedName>
    <definedName name="položky" localSheetId="4">#REF!</definedName>
    <definedName name="položky" localSheetId="5">#REF!</definedName>
    <definedName name="položky" localSheetId="6">#REF!</definedName>
    <definedName name="položky" localSheetId="7">#REF!</definedName>
    <definedName name="položky" localSheetId="8">#REF!</definedName>
    <definedName name="položky" localSheetId="10">#REF!</definedName>
    <definedName name="položky" localSheetId="11">#REF!</definedName>
    <definedName name="položky" localSheetId="12">#REF!</definedName>
    <definedName name="položky" localSheetId="14">#REF!</definedName>
    <definedName name="položky" localSheetId="13">#REF!</definedName>
    <definedName name="položky" localSheetId="15">#REF!</definedName>
    <definedName name="položky" localSheetId="16">#REF!</definedName>
    <definedName name="položky" localSheetId="17">#REF!</definedName>
    <definedName name="položky" localSheetId="34">#REF!</definedName>
    <definedName name="položky" localSheetId="32">#REF!</definedName>
    <definedName name="položky" localSheetId="35">#REF!</definedName>
    <definedName name="položky" localSheetId="18">#REF!</definedName>
    <definedName name="položky" localSheetId="20">#REF!</definedName>
    <definedName name="položky" localSheetId="24">#REF!</definedName>
    <definedName name="položky" localSheetId="25">#REF!</definedName>
    <definedName name="položky" localSheetId="26">#REF!</definedName>
    <definedName name="položky" localSheetId="23">#REF!</definedName>
    <definedName name="položky" localSheetId="28">#REF!</definedName>
    <definedName name="položky" localSheetId="29">#REF!</definedName>
    <definedName name="položky" localSheetId="30">#REF!</definedName>
    <definedName name="položky" localSheetId="31">#REF!</definedName>
    <definedName name="položky" localSheetId="37">#REF!</definedName>
    <definedName name="položky" localSheetId="38">#REF!</definedName>
    <definedName name="položky" localSheetId="36">#REF!</definedName>
    <definedName name="položky" localSheetId="3">#REF!</definedName>
    <definedName name="položky" localSheetId="1">#REF!</definedName>
    <definedName name="položky">#REF!</definedName>
    <definedName name="pom_výp_zač" localSheetId="2">#REF!</definedName>
    <definedName name="pom_výp_zač" localSheetId="4">#REF!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0">#REF!</definedName>
    <definedName name="pom_výp_zač" localSheetId="11">#REF!</definedName>
    <definedName name="pom_výp_zač" localSheetId="12">#REF!</definedName>
    <definedName name="pom_výp_zač" localSheetId="14">#REF!</definedName>
    <definedName name="pom_výp_zač" localSheetId="13">#REF!</definedName>
    <definedName name="pom_výp_zač" localSheetId="15">#REF!</definedName>
    <definedName name="pom_výp_zač" localSheetId="16">#REF!</definedName>
    <definedName name="pom_výp_zač" localSheetId="17">#REF!</definedName>
    <definedName name="pom_výp_zač" localSheetId="34">#REF!</definedName>
    <definedName name="pom_výp_zač" localSheetId="32">#REF!</definedName>
    <definedName name="pom_výp_zač" localSheetId="33">#REF!</definedName>
    <definedName name="pom_výp_zač" localSheetId="35">#REF!</definedName>
    <definedName name="pom_výp_zač" localSheetId="18">#REF!</definedName>
    <definedName name="pom_výp_zač" localSheetId="20">#REF!</definedName>
    <definedName name="pom_výp_zač" localSheetId="24">#REF!</definedName>
    <definedName name="pom_výp_zač" localSheetId="25">#REF!</definedName>
    <definedName name="pom_výp_zač" localSheetId="26">#REF!</definedName>
    <definedName name="pom_výp_zač" localSheetId="23">#REF!</definedName>
    <definedName name="pom_výp_zač" localSheetId="28">#REF!</definedName>
    <definedName name="pom_výp_zač" localSheetId="29">#REF!</definedName>
    <definedName name="pom_výp_zač" localSheetId="30">#REF!</definedName>
    <definedName name="pom_výp_zač" localSheetId="31">#REF!</definedName>
    <definedName name="pom_výp_zač" localSheetId="37">#REF!</definedName>
    <definedName name="pom_výp_zač" localSheetId="38">#REF!</definedName>
    <definedName name="pom_výp_zač" localSheetId="36">#REF!</definedName>
    <definedName name="pom_výp_zač" localSheetId="3">#REF!</definedName>
    <definedName name="pom_výp_zač" localSheetId="1">#REF!</definedName>
    <definedName name="pom_výp_zač">#REF!</definedName>
    <definedName name="pom_výpočty" localSheetId="2">#REF!</definedName>
    <definedName name="pom_výpočty" localSheetId="4">#REF!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0">#REF!</definedName>
    <definedName name="pom_výpočty" localSheetId="11">#REF!</definedName>
    <definedName name="pom_výpočty" localSheetId="12">#REF!</definedName>
    <definedName name="pom_výpočty" localSheetId="14">#REF!</definedName>
    <definedName name="pom_výpočty" localSheetId="13">#REF!</definedName>
    <definedName name="pom_výpočty" localSheetId="15">#REF!</definedName>
    <definedName name="pom_výpočty" localSheetId="16">#REF!</definedName>
    <definedName name="pom_výpočty" localSheetId="17">#REF!</definedName>
    <definedName name="pom_výpočty" localSheetId="34">#REF!</definedName>
    <definedName name="pom_výpočty" localSheetId="32">#REF!</definedName>
    <definedName name="pom_výpočty" localSheetId="33">#REF!</definedName>
    <definedName name="pom_výpočty" localSheetId="35">#REF!</definedName>
    <definedName name="pom_výpočty" localSheetId="18">#REF!</definedName>
    <definedName name="pom_výpočty" localSheetId="20">#REF!</definedName>
    <definedName name="pom_výpočty" localSheetId="24">#REF!</definedName>
    <definedName name="pom_výpočty" localSheetId="25">#REF!</definedName>
    <definedName name="pom_výpočty" localSheetId="26">#REF!</definedName>
    <definedName name="pom_výpočty" localSheetId="23">#REF!</definedName>
    <definedName name="pom_výpočty" localSheetId="28">#REF!</definedName>
    <definedName name="pom_výpočty" localSheetId="29">#REF!</definedName>
    <definedName name="pom_výpočty" localSheetId="30">#REF!</definedName>
    <definedName name="pom_výpočty" localSheetId="31">#REF!</definedName>
    <definedName name="pom_výpočty" localSheetId="37">#REF!</definedName>
    <definedName name="pom_výpočty" localSheetId="38">#REF!</definedName>
    <definedName name="pom_výpočty" localSheetId="36">#REF!</definedName>
    <definedName name="pom_výpočty" localSheetId="3">#REF!</definedName>
    <definedName name="pom_výpočty" localSheetId="1">#REF!</definedName>
    <definedName name="pom_výpočty">#REF!</definedName>
    <definedName name="powersock" localSheetId="2" hidden="1">{#N/A,#N/A,TRUE,"Krycí list"}</definedName>
    <definedName name="powersock" localSheetId="4"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17"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35" hidden="1">{#N/A,#N/A,TRUE,"Krycí list"}</definedName>
    <definedName name="powersock" localSheetId="18" hidden="1">{#N/A,#N/A,TRUE,"Krycí list"}</definedName>
    <definedName name="powersock" localSheetId="19" hidden="1">{#N/A,#N/A,TRUE,"Krycí list"}</definedName>
    <definedName name="powersock" localSheetId="20" hidden="1">{#N/A,#N/A,TRUE,"Krycí list"}</definedName>
    <definedName name="powersock" localSheetId="22" hidden="1">{#N/A,#N/A,TRUE,"Krycí list"}</definedName>
    <definedName name="powersock" localSheetId="23" hidden="1">{#N/A,#N/A,TRUE,"Krycí list"}</definedName>
    <definedName name="powersock" localSheetId="27" hidden="1">{#N/A,#N/A,TRUE,"Krycí list"}</definedName>
    <definedName name="powersock" localSheetId="28" hidden="1">{#N/A,#N/A,TRUE,"Krycí list"}</definedName>
    <definedName name="powersock" localSheetId="37" hidden="1">{#N/A,#N/A,TRUE,"Krycí list"}</definedName>
    <definedName name="powersock" localSheetId="38" hidden="1">{#N/A,#N/A,TRUE,"Krycí list"}</definedName>
    <definedName name="powersock" localSheetId="36" hidden="1">{#N/A,#N/A,TRUE,"Krycí list"}</definedName>
    <definedName name="powersock" localSheetId="0" hidden="1">{#N/A,#N/A,TRUE,"Krycí list"}</definedName>
    <definedName name="powersock" localSheetId="3" hidden="1">{#N/A,#N/A,TRUE,"Krycí list"}</definedName>
    <definedName name="powersock" localSheetId="1" hidden="1">{#N/A,#N/A,TRUE,"Krycí list"}</definedName>
    <definedName name="powersock" hidden="1">{#N/A,#N/A,TRUE,"Krycí list"}</definedName>
    <definedName name="PowerSocket" localSheetId="2" hidden="1">{#N/A,#N/A,TRUE,"Krycí list"}</definedName>
    <definedName name="PowerSocket" localSheetId="4"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17"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35" hidden="1">{#N/A,#N/A,TRUE,"Krycí list"}</definedName>
    <definedName name="PowerSocket" localSheetId="18" hidden="1">{#N/A,#N/A,TRUE,"Krycí list"}</definedName>
    <definedName name="PowerSocket" localSheetId="19" hidden="1">{#N/A,#N/A,TRUE,"Krycí list"}</definedName>
    <definedName name="PowerSocket" localSheetId="20" hidden="1">{#N/A,#N/A,TRUE,"Krycí list"}</definedName>
    <definedName name="PowerSocket" localSheetId="22" hidden="1">{#N/A,#N/A,TRUE,"Krycí list"}</definedName>
    <definedName name="PowerSocket" localSheetId="23" hidden="1">{#N/A,#N/A,TRUE,"Krycí list"}</definedName>
    <definedName name="PowerSocket" localSheetId="27" hidden="1">{#N/A,#N/A,TRUE,"Krycí list"}</definedName>
    <definedName name="PowerSocket" localSheetId="28" hidden="1">{#N/A,#N/A,TRUE,"Krycí list"}</definedName>
    <definedName name="PowerSocket" localSheetId="37" hidden="1">{#N/A,#N/A,TRUE,"Krycí list"}</definedName>
    <definedName name="PowerSocket" localSheetId="38" hidden="1">{#N/A,#N/A,TRUE,"Krycí list"}</definedName>
    <definedName name="PowerSocket" localSheetId="36" hidden="1">{#N/A,#N/A,TRUE,"Krycí list"}</definedName>
    <definedName name="PowerSocket" localSheetId="0" hidden="1">{#N/A,#N/A,TRUE,"Krycí list"}</definedName>
    <definedName name="PowerSocket" localSheetId="3" hidden="1">{#N/A,#N/A,TRUE,"Krycí list"}</definedName>
    <definedName name="PowerSocket" localSheetId="1" hidden="1">{#N/A,#N/A,TRUE,"Krycí list"}</definedName>
    <definedName name="PowerSocket" hidden="1">{#N/A,#N/A,TRUE,"Krycí list"}</definedName>
    <definedName name="Poznamka" localSheetId="2">#REF!</definedName>
    <definedName name="Poznamka" localSheetId="4">#REF!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4">#REF!</definedName>
    <definedName name="Poznamka" localSheetId="13">#REF!</definedName>
    <definedName name="Poznamka" localSheetId="15">#REF!</definedName>
    <definedName name="Poznamka" localSheetId="16">#REF!</definedName>
    <definedName name="Poznamka" localSheetId="17">#REF!</definedName>
    <definedName name="Poznamka" localSheetId="34">#REF!</definedName>
    <definedName name="Poznamka" localSheetId="32">#REF!</definedName>
    <definedName name="Poznamka" localSheetId="33">#REF!</definedName>
    <definedName name="Poznamka" localSheetId="35">#REF!</definedName>
    <definedName name="Poznamka" localSheetId="18">#REF!</definedName>
    <definedName name="Poznamka" localSheetId="19">#REF!</definedName>
    <definedName name="Poznamka" localSheetId="20">#REF!</definedName>
    <definedName name="Poznamka" localSheetId="22">#REF!</definedName>
    <definedName name="Poznamka" localSheetId="24">#REF!</definedName>
    <definedName name="Poznamka" localSheetId="25">#REF!</definedName>
    <definedName name="Poznamka" localSheetId="26">#REF!</definedName>
    <definedName name="Poznamka" localSheetId="23">#REF!</definedName>
    <definedName name="Poznamka" localSheetId="27">#REF!</definedName>
    <definedName name="Poznamka" localSheetId="28">#REF!</definedName>
    <definedName name="Poznamka" localSheetId="29">#REF!</definedName>
    <definedName name="Poznamka" localSheetId="30">#REF!</definedName>
    <definedName name="Poznamka" localSheetId="31">#REF!</definedName>
    <definedName name="Poznamka" localSheetId="37">#REF!</definedName>
    <definedName name="Poznamka" localSheetId="38">#REF!</definedName>
    <definedName name="Poznamka" localSheetId="36">#REF!</definedName>
    <definedName name="Poznamka" localSheetId="0">#REF!</definedName>
    <definedName name="Poznamka" localSheetId="3">#REF!</definedName>
    <definedName name="Poznamka" localSheetId="1">#REF!</definedName>
    <definedName name="Poznamka">#REF!</definedName>
    <definedName name="poznámka" localSheetId="2">#REF!</definedName>
    <definedName name="poznámka" localSheetId="4">#REF!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4">#REF!</definedName>
    <definedName name="poznámka" localSheetId="13">#REF!</definedName>
    <definedName name="poznámka" localSheetId="15">#REF!</definedName>
    <definedName name="poznámka" localSheetId="16">#REF!</definedName>
    <definedName name="poznámka" localSheetId="17">#REF!</definedName>
    <definedName name="poznámka" localSheetId="34">#REF!</definedName>
    <definedName name="poznámka" localSheetId="32">#REF!</definedName>
    <definedName name="poznámka" localSheetId="35">#REF!</definedName>
    <definedName name="poznámka" localSheetId="18">#REF!</definedName>
    <definedName name="poznámka" localSheetId="19">#REF!</definedName>
    <definedName name="poznámka" localSheetId="20">#REF!</definedName>
    <definedName name="poznámka" localSheetId="22">#REF!</definedName>
    <definedName name="poznámka" localSheetId="24">#REF!</definedName>
    <definedName name="poznámka" localSheetId="25">#REF!</definedName>
    <definedName name="poznámka" localSheetId="26">#REF!</definedName>
    <definedName name="poznámka" localSheetId="23">#REF!</definedName>
    <definedName name="poznámka" localSheetId="27">#REF!</definedName>
    <definedName name="poznámka" localSheetId="28">#REF!</definedName>
    <definedName name="poznámka" localSheetId="29">#REF!</definedName>
    <definedName name="poznámka" localSheetId="30">#REF!</definedName>
    <definedName name="poznámka" localSheetId="31">#REF!</definedName>
    <definedName name="poznámka" localSheetId="37">#REF!</definedName>
    <definedName name="poznámka" localSheetId="38">#REF!</definedName>
    <definedName name="poznámka" localSheetId="36">#REF!</definedName>
    <definedName name="poznámka" localSheetId="3">#REF!</definedName>
    <definedName name="poznámka" localSheetId="1">#REF!</definedName>
    <definedName name="poznámka">#REF!</definedName>
    <definedName name="prep_schem" localSheetId="2">#REF!</definedName>
    <definedName name="prep_schem" localSheetId="4">#REF!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2">#REF!</definedName>
    <definedName name="prep_schem" localSheetId="14">#REF!</definedName>
    <definedName name="prep_schem" localSheetId="13">#REF!</definedName>
    <definedName name="prep_schem" localSheetId="15">#REF!</definedName>
    <definedName name="prep_schem" localSheetId="16">#REF!</definedName>
    <definedName name="prep_schem" localSheetId="17">#REF!</definedName>
    <definedName name="prep_schem" localSheetId="34">#REF!</definedName>
    <definedName name="prep_schem" localSheetId="32">#REF!</definedName>
    <definedName name="prep_schem" localSheetId="35">#REF!</definedName>
    <definedName name="prep_schem" localSheetId="18">#REF!</definedName>
    <definedName name="prep_schem" localSheetId="19">#REF!</definedName>
    <definedName name="prep_schem" localSheetId="20">#REF!</definedName>
    <definedName name="prep_schem" localSheetId="22">#REF!</definedName>
    <definedName name="prep_schem" localSheetId="24">#REF!</definedName>
    <definedName name="prep_schem" localSheetId="25">#REF!</definedName>
    <definedName name="prep_schem" localSheetId="26">#REF!</definedName>
    <definedName name="prep_schem" localSheetId="23">#REF!</definedName>
    <definedName name="prep_schem" localSheetId="27">#REF!</definedName>
    <definedName name="prep_schem" localSheetId="28">#REF!</definedName>
    <definedName name="prep_schem" localSheetId="29">#REF!</definedName>
    <definedName name="prep_schem" localSheetId="30">#REF!</definedName>
    <definedName name="prep_schem" localSheetId="31">#REF!</definedName>
    <definedName name="prep_schem" localSheetId="37">#REF!</definedName>
    <definedName name="prep_schem" localSheetId="38">#REF!</definedName>
    <definedName name="prep_schem" localSheetId="36">#REF!</definedName>
    <definedName name="prep_schem" localSheetId="3">#REF!</definedName>
    <definedName name="prep_schem" localSheetId="1">#REF!</definedName>
    <definedName name="prep_schem">#REF!</definedName>
    <definedName name="Princ" localSheetId="2">#REF!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10">#REF!</definedName>
    <definedName name="Princ" localSheetId="11">#REF!</definedName>
    <definedName name="Princ" localSheetId="12">#REF!</definedName>
    <definedName name="Princ" localSheetId="14">#REF!</definedName>
    <definedName name="Princ" localSheetId="13">#REF!</definedName>
    <definedName name="Princ" localSheetId="15">#REF!</definedName>
    <definedName name="Princ" localSheetId="16">#REF!</definedName>
    <definedName name="Princ" localSheetId="17">#REF!</definedName>
    <definedName name="Princ" localSheetId="34">#REF!</definedName>
    <definedName name="Princ" localSheetId="32">#REF!</definedName>
    <definedName name="Princ" localSheetId="33">#REF!</definedName>
    <definedName name="Princ" localSheetId="35">#REF!</definedName>
    <definedName name="Princ" localSheetId="18">#REF!</definedName>
    <definedName name="Princ" localSheetId="20">#REF!</definedName>
    <definedName name="Princ" localSheetId="24">#REF!</definedName>
    <definedName name="Princ" localSheetId="25">#REF!</definedName>
    <definedName name="Princ" localSheetId="26">#REF!</definedName>
    <definedName name="Princ" localSheetId="23">#REF!</definedName>
    <definedName name="Princ" localSheetId="28">#REF!</definedName>
    <definedName name="Princ" localSheetId="29">#REF!</definedName>
    <definedName name="Princ" localSheetId="30">#REF!</definedName>
    <definedName name="Princ" localSheetId="31">#REF!</definedName>
    <definedName name="Princ" localSheetId="37">#REF!</definedName>
    <definedName name="Princ" localSheetId="38">#REF!</definedName>
    <definedName name="Princ" localSheetId="36">#REF!</definedName>
    <definedName name="Princ" localSheetId="3">#REF!</definedName>
    <definedName name="Princ" localSheetId="1">#REF!</definedName>
    <definedName name="Princ">#REF!</definedName>
    <definedName name="Print_Area" localSheetId="6">'D.1.1.c.02 - VÝPIS OKEN'!$A$1:$I$164</definedName>
    <definedName name="Print_Area" localSheetId="7">'D.1.1.c.04. VÝPIS TRUHLÁŘ.'!$A$1:$I$106</definedName>
    <definedName name="Print_Area" localSheetId="9">'D.1.1.c.06. VÝPIS KLEMP.'!$A$1:$I$84</definedName>
    <definedName name="Print_Area" localSheetId="13">'D.1.4.1.b.08. AREÁL. KANALIZACE'!$A$1:$I$953</definedName>
    <definedName name="Print_Area" localSheetId="0">KL!$A$1:$I$76</definedName>
    <definedName name="Print_Area_Reset" localSheetId="2">OFFSET('D.1.1. ASŘ - BOURACÍ PRÁCE'!Full_Print,0,0,'D.1.1. ASŘ - BOURACÍ PRÁCE'!Last_Row)</definedName>
    <definedName name="Print_Area_Reset" localSheetId="4">OFFSET('D.1.1. ASŘ - NOVÝ STAV'!Full_Print,0,0,'D.1.1. ASŘ - NOVÝ STAV'!Last_Row)</definedName>
    <definedName name="Print_Area_Reset" localSheetId="5">OFFSET('D.1.1. VÝPIS DVEŘÍ'!Full_Print,0,0,'D.1.1. VÝPIS DVEŘÍ'!Last_Row)</definedName>
    <definedName name="Print_Area_Reset" localSheetId="6">OFFSET('D.1.1.c.02 - VÝPIS OKEN'!Full_Print,0,0,'D.1.1.c.02 - VÝPIS OKEN'!Last_Row)</definedName>
    <definedName name="Print_Area_Reset" localSheetId="7">OFFSET('D.1.1.c.04. VÝPIS TRUHLÁŘ.'!Full_Print,0,0,'D.1.1.c.04. VÝPIS TRUHLÁŘ.'!Last_Row)</definedName>
    <definedName name="Print_Area_Reset" localSheetId="8">OFFSET('D.1.1.c.05. VÝPIS ZÁMEČN. VÝR.'!Full_Print,0,0,'D.1.1.c.05. VÝPIS ZÁMEČN. VÝR.'!Last_Row)</definedName>
    <definedName name="Print_Area_Reset" localSheetId="9">OFFSET(Full_Print,0,0,'D.1.1.c.06. VÝPIS KLEMP.'!Last_Row)</definedName>
    <definedName name="Print_Area_Reset" localSheetId="10">OFFSET('D.1.1.c.07 VÝPIS OSTAT.'!Full_Print,0,0,'D.1.1.c.07 VÝPIS OSTAT.'!Last_Row)</definedName>
    <definedName name="Print_Area_Reset" localSheetId="11">OFFSET('D.1.4.1. ZTI'!Full_Print,0,0,'D.1.4.1. ZTI'!Last_Row)</definedName>
    <definedName name="Print_Area_Reset" localSheetId="12">OFFSET('D.1.4.1.b.08. - REKAPITULACE'!Full_Print,0,0,'D.1.4.1.b.08. - REKAPITULACE'!Last_Row)</definedName>
    <definedName name="Print_Area_Reset" localSheetId="14">OFFSET('D.1.4.1.b.08. AREÁL. KANAL - BP'!Full_Print,0,0,'D.1.4.1.b.08. AREÁL. KANAL - BP'!Last_Row)</definedName>
    <definedName name="Print_Area_Reset" localSheetId="13">OFFSET('D.1.4.1.b.08. AREÁL. KANALIZACE'!Full_Print,0,0,'D.1.4.1.b.08. AREÁL. KANALIZACE'!Last_Row)</definedName>
    <definedName name="Print_Area_Reset" localSheetId="15">OFFSET('D.1.4.1.b.08. AREÁLOVÝ VODOVOD'!Full_Print,0,0,'D.1.4.1.b.08. AREÁLOVÝ VODOVOD'!Last_Row)</definedName>
    <definedName name="Print_Area_Reset" localSheetId="16">OFFSET('D.1.4.1.b.09. AKUMULAČNÍ NÁDRŽ'!Full_Print,0,0,'D.1.4.1.b.09. AKUMULAČNÍ NÁDRŽ'!Last_Row)</definedName>
    <definedName name="Print_Area_Reset" localSheetId="17">OFFSET('D.1.4.1.b.10. ODLUČOVAČ TUKU'!Full_Print,0,0,'D.1.4.1.b.10. ODLUČOVAČ TUKU'!Last_Row)</definedName>
    <definedName name="Print_Area_Reset" localSheetId="34">OFFSET('D.1.4.10. OPLOCENÍ'!Full_Print,0,0,'D.1.4.10. OPLOCENÍ'!Last_Row)</definedName>
    <definedName name="Print_Area_Reset" localSheetId="32">OFFSET('D.1.4.10.1. REKAPITULACE'!Full_Print,0,0,'D.1.4.10.1. REKAPITULACE'!Last_Row)</definedName>
    <definedName name="Print_Area_Reset" localSheetId="33">OFFSET('D.1.4.10.1. SADOVÉ ÚPRAVY'!Full_Print,0,0,'D.1.4.10.1. SADOVÉ ÚPRAVY'!Last_Row)</definedName>
    <definedName name="Print_Area_Reset" localSheetId="35">OFFSET('D.1.4.10.2. POZEMNÍ KOMUNIKACE'!Full_Print,0,0,'D.1.4.10.2. POZEMNÍ KOMUNIKACE'!Last_Row)</definedName>
    <definedName name="Print_Area_Reset" localSheetId="18">OFFSET('D.1.4.2. ODBĚR. PLYN. ZAŘÍZ.'!Full_Print,0,0,'D.1.4.2. ODBĚR. PLYN. ZAŘÍZ.'!Last_Row)</definedName>
    <definedName name="Print_Area_Reset" localSheetId="19">OFFSET(Full_Print,0,0,'D.1.4.3. VZDUCHOTECHNIKA'!Last_Row)</definedName>
    <definedName name="Print_Area_Reset" localSheetId="20">OFFSET('D.1.4.4. VYTÁPENÍ'!Full_Print,0,0,'D.1.4.4. VYTÁPENÍ'!Last_Row)</definedName>
    <definedName name="Print_Area_Reset" localSheetId="22">OFFSET(Full_Print,0,0,'D.1.4.7. SILNOPROUD'!Last_Row)</definedName>
    <definedName name="Print_Area_Reset" localSheetId="24">OFFSET('D.1.4.7.b.08 AREÁL ELE-TRA. A1'!Full_Print,0,0,'D.1.4.7.b.08 AREÁL ELE-TRA. A1'!Last_Row)</definedName>
    <definedName name="Print_Area_Reset" localSheetId="25">OFFSET('D.1.4.7.b.08 AREÁL ELE-TRA. A2'!Full_Print,0,0,'D.1.4.7.b.08 AREÁL ELE-TRA. A2'!Last_Row)</definedName>
    <definedName name="Print_Area_Reset" localSheetId="26">OFFSET('D.1.4.7.b.08 AREÁL ELE-TRA. A3'!Full_Print,0,0,'D.1.4.7.b.08 AREÁL ELE-TRA. A3'!Last_Row)</definedName>
    <definedName name="Print_Area_Reset" localSheetId="23">OFFSET('D.1.4.7.b.08. - REKAPITULACE'!Full_Print,0,0,'D.1.4.7.b.08. - REKAPITULACE'!Last_Row)</definedName>
    <definedName name="Print_Area_Reset" localSheetId="27">OFFSET(Full_Print,0,0,'D.1.4.8. EL. KOMUNIKACE'!Last_Row)</definedName>
    <definedName name="Print_Area_Reset" localSheetId="28">OFFSET('D.1.4.8.b.04 - REKAPITULACE'!Full_Print,0,0,'D.1.4.8.b.04 - REKAPITULACE'!Last_Row)</definedName>
    <definedName name="Print_Area_Reset" localSheetId="29">OFFSET('D.1.4.8.b.04 AREÁL ELE-TRA. A1'!Full_Print,0,0,'D.1.4.8.b.04 AREÁL ELE-TRA. A1'!Last_Row)</definedName>
    <definedName name="Print_Area_Reset" localSheetId="30">OFFSET('D.1.4.8.b.04 AREÁL ELE-TRA. A2'!Full_Print,0,0,'D.1.4.8.b.04 AREÁL ELE-TRA. A2'!Last_Row)</definedName>
    <definedName name="Print_Area_Reset" localSheetId="31">OFFSET('D.1.4.8.b.04 AREÁL ELE-TRA. A3'!Full_Print,0,0,'D.1.4.8.b.04 AREÁL ELE-TRA. A3'!Last_Row)</definedName>
    <definedName name="Print_Area_Reset" localSheetId="37">OFFSET('D.2.2. AREÁL. TEPLOVOD'!Full_Print,0,0,'D.2.2. AREÁL. TEPLOVOD'!Last_Row)</definedName>
    <definedName name="Print_Area_Reset" localSheetId="38">OFFSET('D.2.2. AREÁL. TEPLOVOD-BP'!Full_Print,0,0,'D.2.2. AREÁL. TEPLOVOD-BP'!Last_Row)</definedName>
    <definedName name="Print_Area_Reset" localSheetId="36">OFFSET('D.2.2. REKAPITULACE'!Full_Print,0,0,'D.2.2. REKAPITULACE'!Last_Row)</definedName>
    <definedName name="Print_Area_Reset" localSheetId="0">OFFSET(Full_Print,0,0,KL!Last_Row)</definedName>
    <definedName name="Print_Area_Reset" localSheetId="3">OFFSET('REKAPITULACE - NS'!Full_Print,0,0,'REKAPITULACE - NS'!Last_Row)</definedName>
    <definedName name="Print_Area_Reset" localSheetId="1">OFFSET(VRN!Full_Print,0,0,VRN!Last_Row)</definedName>
    <definedName name="Print_Area_Reset">OFFSET(Full_Print,0,0,Last_Row)</definedName>
    <definedName name="Projektant" localSheetId="2">#REF!</definedName>
    <definedName name="Projektant" localSheetId="4">#REF!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4">#REF!</definedName>
    <definedName name="Projektant" localSheetId="13">#REF!</definedName>
    <definedName name="Projektant" localSheetId="15">#REF!</definedName>
    <definedName name="Projektant" localSheetId="16">#REF!</definedName>
    <definedName name="Projektant" localSheetId="17">#REF!</definedName>
    <definedName name="Projektant" localSheetId="34">#REF!</definedName>
    <definedName name="Projektant" localSheetId="32">#REF!</definedName>
    <definedName name="Projektant" localSheetId="33">#REF!</definedName>
    <definedName name="Projektant" localSheetId="35">#REF!</definedName>
    <definedName name="Projektant" localSheetId="18">#REF!</definedName>
    <definedName name="Projektant" localSheetId="19">#REF!</definedName>
    <definedName name="Projektant" localSheetId="20">#REF!</definedName>
    <definedName name="Projektant" localSheetId="22">#REF!</definedName>
    <definedName name="Projektant" localSheetId="24">#REF!</definedName>
    <definedName name="Projektant" localSheetId="25">#REF!</definedName>
    <definedName name="Projektant" localSheetId="26">#REF!</definedName>
    <definedName name="Projektant" localSheetId="23">#REF!</definedName>
    <definedName name="Projektant" localSheetId="27">#REF!</definedName>
    <definedName name="Projektant" localSheetId="28">#REF!</definedName>
    <definedName name="Projektant" localSheetId="29">#REF!</definedName>
    <definedName name="Projektant" localSheetId="30">#REF!</definedName>
    <definedName name="Projektant" localSheetId="31">#REF!</definedName>
    <definedName name="Projektant" localSheetId="37">#REF!</definedName>
    <definedName name="Projektant" localSheetId="38">#REF!</definedName>
    <definedName name="Projektant" localSheetId="36">#REF!</definedName>
    <definedName name="Projektant" localSheetId="0">#REF!</definedName>
    <definedName name="Projektant" localSheetId="3">#REF!</definedName>
    <definedName name="Projektant" localSheetId="1">#REF!</definedName>
    <definedName name="Projektant">#REF!</definedName>
    <definedName name="PSV" localSheetId="2">#REF!</definedName>
    <definedName name="PSV" localSheetId="4">#REF!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4">#REF!</definedName>
    <definedName name="PSV" localSheetId="13">#REF!</definedName>
    <definedName name="PSV" localSheetId="15">#REF!</definedName>
    <definedName name="PSV" localSheetId="16">#REF!</definedName>
    <definedName name="PSV" localSheetId="17">#REF!</definedName>
    <definedName name="PSV" localSheetId="34">#REF!</definedName>
    <definedName name="PSV" localSheetId="32">#REF!</definedName>
    <definedName name="PSV" localSheetId="33">#REF!</definedName>
    <definedName name="PSV" localSheetId="35">#REF!</definedName>
    <definedName name="PSV" localSheetId="18">#REF!</definedName>
    <definedName name="PSV" localSheetId="19">#REF!</definedName>
    <definedName name="PSV" localSheetId="20">#REF!</definedName>
    <definedName name="PSV" localSheetId="22">#REF!</definedName>
    <definedName name="PSV" localSheetId="24">#REF!</definedName>
    <definedName name="PSV" localSheetId="25">#REF!</definedName>
    <definedName name="PSV" localSheetId="26">#REF!</definedName>
    <definedName name="PSV" localSheetId="23">#REF!</definedName>
    <definedName name="PSV" localSheetId="27">#REF!</definedName>
    <definedName name="PSV" localSheetId="28">#REF!</definedName>
    <definedName name="PSV" localSheetId="29">#REF!</definedName>
    <definedName name="PSV" localSheetId="30">#REF!</definedName>
    <definedName name="PSV" localSheetId="31">#REF!</definedName>
    <definedName name="PSV" localSheetId="37">#REF!</definedName>
    <definedName name="PSV" localSheetId="38">#REF!</definedName>
    <definedName name="PSV" localSheetId="36">#REF!</definedName>
    <definedName name="PSV" localSheetId="0">#REF!</definedName>
    <definedName name="PSV" localSheetId="3">#REF!</definedName>
    <definedName name="PSV" localSheetId="1">#REF!</definedName>
    <definedName name="PSV">#REF!</definedName>
    <definedName name="PSV0" localSheetId="2">#REF!</definedName>
    <definedName name="PSV0" localSheetId="4">#REF!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4">#REF!</definedName>
    <definedName name="PSV0" localSheetId="13">#REF!</definedName>
    <definedName name="PSV0" localSheetId="15">#REF!</definedName>
    <definedName name="PSV0" localSheetId="16">#REF!</definedName>
    <definedName name="PSV0" localSheetId="17">#REF!</definedName>
    <definedName name="PSV0" localSheetId="34">#REF!</definedName>
    <definedName name="PSV0" localSheetId="32">#REF!</definedName>
    <definedName name="PSV0" localSheetId="33">#REF!</definedName>
    <definedName name="PSV0" localSheetId="35">#REF!</definedName>
    <definedName name="PSV0" localSheetId="18">#REF!</definedName>
    <definedName name="PSV0" localSheetId="20">#REF!</definedName>
    <definedName name="PSV0" localSheetId="22">#REF!</definedName>
    <definedName name="PSV0" localSheetId="24">#REF!</definedName>
    <definedName name="PSV0" localSheetId="25">#REF!</definedName>
    <definedName name="PSV0" localSheetId="26">#REF!</definedName>
    <definedName name="PSV0" localSheetId="23">#REF!</definedName>
    <definedName name="PSV0" localSheetId="27">#REF!</definedName>
    <definedName name="PSV0" localSheetId="28">#REF!</definedName>
    <definedName name="PSV0" localSheetId="29">#REF!</definedName>
    <definedName name="PSV0" localSheetId="30">#REF!</definedName>
    <definedName name="PSV0" localSheetId="31">#REF!</definedName>
    <definedName name="PSV0" localSheetId="37">#REF!</definedName>
    <definedName name="PSV0" localSheetId="38">#REF!</definedName>
    <definedName name="PSV0" localSheetId="36">#REF!</definedName>
    <definedName name="PSV0" localSheetId="0">'[16]002-A.1. Archstav  reseni'!#REF!</definedName>
    <definedName name="PSV0" localSheetId="3">#REF!</definedName>
    <definedName name="PSV0" localSheetId="1">#REF!</definedName>
    <definedName name="PSV0">#REF!</definedName>
    <definedName name="QQ" localSheetId="2" hidden="1">{#N/A,#N/A,TRUE,"Krycí list"}</definedName>
    <definedName name="QQ" localSheetId="4"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17"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35" hidden="1">{#N/A,#N/A,TRUE,"Krycí list"}</definedName>
    <definedName name="QQ" localSheetId="18" hidden="1">{#N/A,#N/A,TRUE,"Krycí list"}</definedName>
    <definedName name="QQ" localSheetId="19" hidden="1">{#N/A,#N/A,TRUE,"Krycí list"}</definedName>
    <definedName name="QQ" localSheetId="20" hidden="1">{#N/A,#N/A,TRUE,"Krycí list"}</definedName>
    <definedName name="QQ" localSheetId="22" hidden="1">{#N/A,#N/A,TRUE,"Krycí list"}</definedName>
    <definedName name="QQ" localSheetId="23" hidden="1">{#N/A,#N/A,TRUE,"Krycí list"}</definedName>
    <definedName name="QQ" localSheetId="27" hidden="1">{#N/A,#N/A,TRUE,"Krycí list"}</definedName>
    <definedName name="QQ" localSheetId="28" hidden="1">{#N/A,#N/A,TRUE,"Krycí list"}</definedName>
    <definedName name="QQ" localSheetId="37" hidden="1">{#N/A,#N/A,TRUE,"Krycí list"}</definedName>
    <definedName name="QQ" localSheetId="38" hidden="1">{#N/A,#N/A,TRUE,"Krycí list"}</definedName>
    <definedName name="QQ" localSheetId="36" hidden="1">{#N/A,#N/A,TRUE,"Krycí list"}</definedName>
    <definedName name="QQ" localSheetId="0" hidden="1">{#N/A,#N/A,TRUE,"Krycí list"}</definedName>
    <definedName name="QQ" localSheetId="3" hidden="1">{#N/A,#N/A,TRUE,"Krycí list"}</definedName>
    <definedName name="QQ" localSheetId="1" hidden="1">{#N/A,#N/A,TRUE,"Krycí list"}</definedName>
    <definedName name="QQ" hidden="1">{#N/A,#N/A,TRUE,"Krycí list"}</definedName>
    <definedName name="QQQ" localSheetId="2" hidden="1">{#N/A,#N/A,TRUE,"Krycí list"}</definedName>
    <definedName name="QQQ" localSheetId="4"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17"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35" hidden="1">{#N/A,#N/A,TRUE,"Krycí list"}</definedName>
    <definedName name="QQQ" localSheetId="18" hidden="1">{#N/A,#N/A,TRUE,"Krycí list"}</definedName>
    <definedName name="QQQ" localSheetId="19" hidden="1">{#N/A,#N/A,TRUE,"Krycí list"}</definedName>
    <definedName name="QQQ" localSheetId="20" hidden="1">{#N/A,#N/A,TRUE,"Krycí list"}</definedName>
    <definedName name="QQQ" localSheetId="22" hidden="1">{#N/A,#N/A,TRUE,"Krycí list"}</definedName>
    <definedName name="QQQ" localSheetId="23" hidden="1">{#N/A,#N/A,TRUE,"Krycí list"}</definedName>
    <definedName name="QQQ" localSheetId="27" hidden="1">{#N/A,#N/A,TRUE,"Krycí list"}</definedName>
    <definedName name="QQQ" localSheetId="28" hidden="1">{#N/A,#N/A,TRUE,"Krycí list"}</definedName>
    <definedName name="QQQ" localSheetId="37" hidden="1">{#N/A,#N/A,TRUE,"Krycí list"}</definedName>
    <definedName name="QQQ" localSheetId="38" hidden="1">{#N/A,#N/A,TRUE,"Krycí list"}</definedName>
    <definedName name="QQQ" localSheetId="36" hidden="1">{#N/A,#N/A,TRUE,"Krycí list"}</definedName>
    <definedName name="QQQ" localSheetId="0" hidden="1">{#N/A,#N/A,TRUE,"Krycí list"}</definedName>
    <definedName name="QQQ" localSheetId="3" hidden="1">{#N/A,#N/A,TRUE,"Krycí list"}</definedName>
    <definedName name="QQQ" localSheetId="1" hidden="1">{#N/A,#N/A,TRUE,"Krycí list"}</definedName>
    <definedName name="QQQ" hidden="1">{#N/A,#N/A,TRUE,"Krycí list"}</definedName>
    <definedName name="rekapitulace" localSheetId="2">#REF!</definedName>
    <definedName name="rekapitulace" localSheetId="4">#REF!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4">#REF!</definedName>
    <definedName name="rekapitulace" localSheetId="13">#REF!</definedName>
    <definedName name="rekapitulace" localSheetId="15">#REF!</definedName>
    <definedName name="rekapitulace" localSheetId="16">#REF!</definedName>
    <definedName name="rekapitulace" localSheetId="17">#REF!</definedName>
    <definedName name="rekapitulace" localSheetId="34">#REF!</definedName>
    <definedName name="rekapitulace" localSheetId="32">#REF!</definedName>
    <definedName name="rekapitulace" localSheetId="33">#REF!</definedName>
    <definedName name="rekapitulace" localSheetId="35">#REF!</definedName>
    <definedName name="rekapitulace" localSheetId="18">#REF!</definedName>
    <definedName name="rekapitulace" localSheetId="19">#REF!</definedName>
    <definedName name="rekapitulace" localSheetId="20">#REF!</definedName>
    <definedName name="rekapitulace" localSheetId="22">#REF!</definedName>
    <definedName name="rekapitulace" localSheetId="24">#REF!</definedName>
    <definedName name="rekapitulace" localSheetId="25">#REF!</definedName>
    <definedName name="rekapitulace" localSheetId="26">#REF!</definedName>
    <definedName name="rekapitulace" localSheetId="23">#REF!</definedName>
    <definedName name="rekapitulace" localSheetId="27">#REF!</definedName>
    <definedName name="rekapitulace" localSheetId="28">#REF!</definedName>
    <definedName name="rekapitulace" localSheetId="29">#REF!</definedName>
    <definedName name="rekapitulace" localSheetId="30">#REF!</definedName>
    <definedName name="rekapitulace" localSheetId="31">#REF!</definedName>
    <definedName name="rekapitulace" localSheetId="37">#REF!</definedName>
    <definedName name="rekapitulace" localSheetId="38">#REF!</definedName>
    <definedName name="rekapitulace" localSheetId="36">#REF!</definedName>
    <definedName name="rekapitulace" localSheetId="3">#REF!</definedName>
    <definedName name="rekapitulace" localSheetId="1">#REF!</definedName>
    <definedName name="rekapitulace">#REF!</definedName>
    <definedName name="rozp" localSheetId="2" hidden="1">{#N/A,#N/A,TRUE,"Krycí list"}</definedName>
    <definedName name="rozp" localSheetId="4"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17"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35" hidden="1">{#N/A,#N/A,TRUE,"Krycí list"}</definedName>
    <definedName name="rozp" localSheetId="18" hidden="1">{#N/A,#N/A,TRUE,"Krycí list"}</definedName>
    <definedName name="rozp" localSheetId="19" hidden="1">{#N/A,#N/A,TRUE,"Krycí list"}</definedName>
    <definedName name="rozp" localSheetId="20" hidden="1">{#N/A,#N/A,TRUE,"Krycí list"}</definedName>
    <definedName name="rozp" localSheetId="22" hidden="1">{#N/A,#N/A,TRUE,"Krycí list"}</definedName>
    <definedName name="rozp" localSheetId="23" hidden="1">{#N/A,#N/A,TRUE,"Krycí list"}</definedName>
    <definedName name="rozp" localSheetId="27" hidden="1">{#N/A,#N/A,TRUE,"Krycí list"}</definedName>
    <definedName name="rozp" localSheetId="28" hidden="1">{#N/A,#N/A,TRUE,"Krycí list"}</definedName>
    <definedName name="rozp" localSheetId="37" hidden="1">{#N/A,#N/A,TRUE,"Krycí list"}</definedName>
    <definedName name="rozp" localSheetId="38" hidden="1">{#N/A,#N/A,TRUE,"Krycí list"}</definedName>
    <definedName name="rozp" localSheetId="36" hidden="1">{#N/A,#N/A,TRUE,"Krycí list"}</definedName>
    <definedName name="rozp" localSheetId="0" hidden="1">{#N/A,#N/A,TRUE,"Krycí list"}</definedName>
    <definedName name="rozp" localSheetId="3" hidden="1">{#N/A,#N/A,TRUE,"Krycí list"}</definedName>
    <definedName name="rozp" localSheetId="1" hidden="1">{#N/A,#N/A,TRUE,"Krycí list"}</definedName>
    <definedName name="rozp" hidden="1">{#N/A,#N/A,TRUE,"Krycí list"}</definedName>
    <definedName name="rozvržení_rozp" localSheetId="2">#REF!</definedName>
    <definedName name="rozvržení_rozp" localSheetId="4">#REF!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2">#REF!</definedName>
    <definedName name="rozvržení_rozp" localSheetId="14">#REF!</definedName>
    <definedName name="rozvržení_rozp" localSheetId="13">#REF!</definedName>
    <definedName name="rozvržení_rozp" localSheetId="15">#REF!</definedName>
    <definedName name="rozvržení_rozp" localSheetId="16">#REF!</definedName>
    <definedName name="rozvržení_rozp" localSheetId="17">#REF!</definedName>
    <definedName name="rozvržení_rozp" localSheetId="34">#REF!</definedName>
    <definedName name="rozvržení_rozp" localSheetId="32">#REF!</definedName>
    <definedName name="rozvržení_rozp" localSheetId="33">#REF!</definedName>
    <definedName name="rozvržení_rozp" localSheetId="35">#REF!</definedName>
    <definedName name="rozvržení_rozp" localSheetId="18">#REF!</definedName>
    <definedName name="rozvržení_rozp" localSheetId="19">#REF!</definedName>
    <definedName name="rozvržení_rozp" localSheetId="20">#REF!</definedName>
    <definedName name="rozvržení_rozp" localSheetId="22">#REF!</definedName>
    <definedName name="rozvržení_rozp" localSheetId="24">#REF!</definedName>
    <definedName name="rozvržení_rozp" localSheetId="25">#REF!</definedName>
    <definedName name="rozvržení_rozp" localSheetId="26">#REF!</definedName>
    <definedName name="rozvržení_rozp" localSheetId="23">#REF!</definedName>
    <definedName name="rozvržení_rozp" localSheetId="27">#REF!</definedName>
    <definedName name="rozvržení_rozp" localSheetId="28">#REF!</definedName>
    <definedName name="rozvržení_rozp" localSheetId="29">#REF!</definedName>
    <definedName name="rozvržení_rozp" localSheetId="30">#REF!</definedName>
    <definedName name="rozvržení_rozp" localSheetId="31">#REF!</definedName>
    <definedName name="rozvržení_rozp" localSheetId="37">#REF!</definedName>
    <definedName name="rozvržení_rozp" localSheetId="38">#REF!</definedName>
    <definedName name="rozvržení_rozp" localSheetId="36">#REF!</definedName>
    <definedName name="rozvržení_rozp" localSheetId="3">#REF!</definedName>
    <definedName name="rozvržení_rozp" localSheetId="1">#REF!</definedName>
    <definedName name="rozvržení_rozp">#REF!</definedName>
    <definedName name="saboproud" localSheetId="2" hidden="1">{#N/A,#N/A,TRUE,"Krycí list"}</definedName>
    <definedName name="saboproud" localSheetId="4"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17"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35" hidden="1">{#N/A,#N/A,TRUE,"Krycí list"}</definedName>
    <definedName name="saboproud" localSheetId="18" hidden="1">{#N/A,#N/A,TRUE,"Krycí list"}</definedName>
    <definedName name="saboproud" localSheetId="19" hidden="1">{#N/A,#N/A,TRUE,"Krycí list"}</definedName>
    <definedName name="saboproud" localSheetId="20" hidden="1">{#N/A,#N/A,TRUE,"Krycí list"}</definedName>
    <definedName name="saboproud" localSheetId="22" hidden="1">{#N/A,#N/A,TRUE,"Krycí list"}</definedName>
    <definedName name="saboproud" localSheetId="23" hidden="1">{#N/A,#N/A,TRUE,"Krycí list"}</definedName>
    <definedName name="saboproud" localSheetId="27" hidden="1">{#N/A,#N/A,TRUE,"Krycí list"}</definedName>
    <definedName name="saboproud" localSheetId="28" hidden="1">{#N/A,#N/A,TRUE,"Krycí list"}</definedName>
    <definedName name="saboproud" localSheetId="37" hidden="1">{#N/A,#N/A,TRUE,"Krycí list"}</definedName>
    <definedName name="saboproud" localSheetId="38" hidden="1">{#N/A,#N/A,TRUE,"Krycí list"}</definedName>
    <definedName name="saboproud" localSheetId="36" hidden="1">{#N/A,#N/A,TRUE,"Krycí list"}</definedName>
    <definedName name="saboproud" localSheetId="0" hidden="1">{#N/A,#N/A,TRUE,"Krycí list"}</definedName>
    <definedName name="saboproud" localSheetId="3" hidden="1">{#N/A,#N/A,TRUE,"Krycí list"}</definedName>
    <definedName name="saboproud" localSheetId="1" hidden="1">{#N/A,#N/A,TRUE,"Krycí list"}</definedName>
    <definedName name="saboproud" hidden="1">{#N/A,#N/A,TRUE,"Krycí list"}</definedName>
    <definedName name="SazbaDPH1" localSheetId="2">#REF!</definedName>
    <definedName name="SazbaDPH1" localSheetId="4">#REF!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4">#REF!</definedName>
    <definedName name="SazbaDPH1" localSheetId="13">#REF!</definedName>
    <definedName name="SazbaDPH1" localSheetId="15">#REF!</definedName>
    <definedName name="SazbaDPH1" localSheetId="16">#REF!</definedName>
    <definedName name="SazbaDPH1" localSheetId="17">#REF!</definedName>
    <definedName name="SazbaDPH1" localSheetId="34">#REF!</definedName>
    <definedName name="SazbaDPH1" localSheetId="32">#REF!</definedName>
    <definedName name="SazbaDPH1" localSheetId="33">#REF!</definedName>
    <definedName name="SazbaDPH1" localSheetId="35">#REF!</definedName>
    <definedName name="SazbaDPH1" localSheetId="18">#REF!</definedName>
    <definedName name="SazbaDPH1" localSheetId="19">#REF!</definedName>
    <definedName name="SazbaDPH1" localSheetId="20">#REF!</definedName>
    <definedName name="SazbaDPH1" localSheetId="22">#REF!</definedName>
    <definedName name="SazbaDPH1" localSheetId="24">#REF!</definedName>
    <definedName name="SazbaDPH1" localSheetId="25">#REF!</definedName>
    <definedName name="SazbaDPH1" localSheetId="26">#REF!</definedName>
    <definedName name="SazbaDPH1" localSheetId="23">#REF!</definedName>
    <definedName name="SazbaDPH1" localSheetId="27">#REF!</definedName>
    <definedName name="SazbaDPH1" localSheetId="28">#REF!</definedName>
    <definedName name="SazbaDPH1" localSheetId="29">#REF!</definedName>
    <definedName name="SazbaDPH1" localSheetId="30">#REF!</definedName>
    <definedName name="SazbaDPH1" localSheetId="31">#REF!</definedName>
    <definedName name="SazbaDPH1" localSheetId="37">#REF!</definedName>
    <definedName name="SazbaDPH1" localSheetId="38">#REF!</definedName>
    <definedName name="SazbaDPH1" localSheetId="36">#REF!</definedName>
    <definedName name="SazbaDPH1" localSheetId="0">KL!$D$25</definedName>
    <definedName name="SazbaDPH1" localSheetId="3">#REF!</definedName>
    <definedName name="SazbaDPH1" localSheetId="1">#REF!</definedName>
    <definedName name="SazbaDPH1">#REF!</definedName>
    <definedName name="SazbaDPH2" localSheetId="2">#REF!</definedName>
    <definedName name="SazbaDPH2" localSheetId="4">#REF!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4">#REF!</definedName>
    <definedName name="SazbaDPH2" localSheetId="13">#REF!</definedName>
    <definedName name="SazbaDPH2" localSheetId="15">#REF!</definedName>
    <definedName name="SazbaDPH2" localSheetId="16">#REF!</definedName>
    <definedName name="SazbaDPH2" localSheetId="17">#REF!</definedName>
    <definedName name="SazbaDPH2" localSheetId="34">#REF!</definedName>
    <definedName name="SazbaDPH2" localSheetId="32">#REF!</definedName>
    <definedName name="SazbaDPH2" localSheetId="33">#REF!</definedName>
    <definedName name="SazbaDPH2" localSheetId="35">#REF!</definedName>
    <definedName name="SazbaDPH2" localSheetId="18">#REF!</definedName>
    <definedName name="SazbaDPH2" localSheetId="19">#REF!</definedName>
    <definedName name="SazbaDPH2" localSheetId="20">#REF!</definedName>
    <definedName name="SazbaDPH2" localSheetId="22">#REF!</definedName>
    <definedName name="SazbaDPH2" localSheetId="24">#REF!</definedName>
    <definedName name="SazbaDPH2" localSheetId="25">#REF!</definedName>
    <definedName name="SazbaDPH2" localSheetId="26">#REF!</definedName>
    <definedName name="SazbaDPH2" localSheetId="23">#REF!</definedName>
    <definedName name="SazbaDPH2" localSheetId="27">#REF!</definedName>
    <definedName name="SazbaDPH2" localSheetId="28">#REF!</definedName>
    <definedName name="SazbaDPH2" localSheetId="29">#REF!</definedName>
    <definedName name="SazbaDPH2" localSheetId="30">#REF!</definedName>
    <definedName name="SazbaDPH2" localSheetId="31">#REF!</definedName>
    <definedName name="SazbaDPH2" localSheetId="37">#REF!</definedName>
    <definedName name="SazbaDPH2" localSheetId="38">#REF!</definedName>
    <definedName name="SazbaDPH2" localSheetId="36">#REF!</definedName>
    <definedName name="SazbaDPH2" localSheetId="0">KL!$D$27</definedName>
    <definedName name="SazbaDPH2" localSheetId="3">#REF!</definedName>
    <definedName name="SazbaDPH2" localSheetId="1">#REF!</definedName>
    <definedName name="SazbaDPH2">#REF!</definedName>
    <definedName name="Sched_Pay" localSheetId="2">#REF!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4">#REF!</definedName>
    <definedName name="Sched_Pay" localSheetId="13">#REF!</definedName>
    <definedName name="Sched_Pay" localSheetId="15">#REF!</definedName>
    <definedName name="Sched_Pay" localSheetId="16">#REF!</definedName>
    <definedName name="Sched_Pay" localSheetId="17">#REF!</definedName>
    <definedName name="Sched_Pay" localSheetId="34">#REF!</definedName>
    <definedName name="Sched_Pay" localSheetId="32">#REF!</definedName>
    <definedName name="Sched_Pay" localSheetId="33">#REF!</definedName>
    <definedName name="Sched_Pay" localSheetId="35">#REF!</definedName>
    <definedName name="Sched_Pay" localSheetId="18">#REF!</definedName>
    <definedName name="Sched_Pay" localSheetId="19">#REF!</definedName>
    <definedName name="Sched_Pay" localSheetId="20">#REF!</definedName>
    <definedName name="Sched_Pay" localSheetId="22">#REF!</definedName>
    <definedName name="Sched_Pay" localSheetId="24">#REF!</definedName>
    <definedName name="Sched_Pay" localSheetId="25">#REF!</definedName>
    <definedName name="Sched_Pay" localSheetId="26">#REF!</definedName>
    <definedName name="Sched_Pay" localSheetId="23">#REF!</definedName>
    <definedName name="Sched_Pay" localSheetId="27">#REF!</definedName>
    <definedName name="Sched_Pay" localSheetId="28">#REF!</definedName>
    <definedName name="Sched_Pay" localSheetId="29">#REF!</definedName>
    <definedName name="Sched_Pay" localSheetId="30">#REF!</definedName>
    <definedName name="Sched_Pay" localSheetId="31">#REF!</definedName>
    <definedName name="Sched_Pay" localSheetId="37">#REF!</definedName>
    <definedName name="Sched_Pay" localSheetId="38">#REF!</definedName>
    <definedName name="Sched_Pay" localSheetId="36">#REF!</definedName>
    <definedName name="Sched_Pay" localSheetId="3">#REF!</definedName>
    <definedName name="Sched_Pay" localSheetId="1">#REF!</definedName>
    <definedName name="Sched_Pay">#REF!</definedName>
    <definedName name="Scheduled_Extra_Payments" localSheetId="2">#REF!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0">#REF!</definedName>
    <definedName name="Scheduled_Extra_Payments" localSheetId="11">#REF!</definedName>
    <definedName name="Scheduled_Extra_Payments" localSheetId="12">#REF!</definedName>
    <definedName name="Scheduled_Extra_Payments" localSheetId="14">#REF!</definedName>
    <definedName name="Scheduled_Extra_Payments" localSheetId="13">#REF!</definedName>
    <definedName name="Scheduled_Extra_Payments" localSheetId="15">#REF!</definedName>
    <definedName name="Scheduled_Extra_Payments" localSheetId="16">#REF!</definedName>
    <definedName name="Scheduled_Extra_Payments" localSheetId="17">#REF!</definedName>
    <definedName name="Scheduled_Extra_Payments" localSheetId="34">#REF!</definedName>
    <definedName name="Scheduled_Extra_Payments" localSheetId="32">#REF!</definedName>
    <definedName name="Scheduled_Extra_Payments" localSheetId="33">#REF!</definedName>
    <definedName name="Scheduled_Extra_Payments" localSheetId="35">#REF!</definedName>
    <definedName name="Scheduled_Extra_Payments" localSheetId="18">#REF!</definedName>
    <definedName name="Scheduled_Extra_Payments" localSheetId="20">#REF!</definedName>
    <definedName name="Scheduled_Extra_Payments" localSheetId="24">#REF!</definedName>
    <definedName name="Scheduled_Extra_Payments" localSheetId="25">#REF!</definedName>
    <definedName name="Scheduled_Extra_Payments" localSheetId="26">#REF!</definedName>
    <definedName name="Scheduled_Extra_Payments" localSheetId="23">#REF!</definedName>
    <definedName name="Scheduled_Extra_Payments" localSheetId="2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7">#REF!</definedName>
    <definedName name="Scheduled_Extra_Payments" localSheetId="38">#REF!</definedName>
    <definedName name="Scheduled_Extra_Payments" localSheetId="36">#REF!</definedName>
    <definedName name="Scheduled_Extra_Payments" localSheetId="3">#REF!</definedName>
    <definedName name="Scheduled_Extra_Payments" localSheetId="1">#REF!</definedName>
    <definedName name="Scheduled_Extra_Payments">#REF!</definedName>
    <definedName name="Scheduled_Interest_Rate" localSheetId="2">#REF!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0">#REF!</definedName>
    <definedName name="Scheduled_Interest_Rate" localSheetId="11">#REF!</definedName>
    <definedName name="Scheduled_Interest_Rate" localSheetId="12">#REF!</definedName>
    <definedName name="Scheduled_Interest_Rate" localSheetId="14">#REF!</definedName>
    <definedName name="Scheduled_Interest_Rate" localSheetId="13">#REF!</definedName>
    <definedName name="Scheduled_Interest_Rate" localSheetId="15">#REF!</definedName>
    <definedName name="Scheduled_Interest_Rate" localSheetId="16">#REF!</definedName>
    <definedName name="Scheduled_Interest_Rate" localSheetId="17">#REF!</definedName>
    <definedName name="Scheduled_Interest_Rate" localSheetId="34">#REF!</definedName>
    <definedName name="Scheduled_Interest_Rate" localSheetId="32">#REF!</definedName>
    <definedName name="Scheduled_Interest_Rate" localSheetId="33">#REF!</definedName>
    <definedName name="Scheduled_Interest_Rate" localSheetId="35">#REF!</definedName>
    <definedName name="Scheduled_Interest_Rate" localSheetId="18">#REF!</definedName>
    <definedName name="Scheduled_Interest_Rate" localSheetId="20">#REF!</definedName>
    <definedName name="Scheduled_Interest_Rate" localSheetId="24">#REF!</definedName>
    <definedName name="Scheduled_Interest_Rate" localSheetId="25">#REF!</definedName>
    <definedName name="Scheduled_Interest_Rate" localSheetId="26">#REF!</definedName>
    <definedName name="Scheduled_Interest_Rate" localSheetId="23">#REF!</definedName>
    <definedName name="Scheduled_Interest_Rate" localSheetId="28">#REF!</definedName>
    <definedName name="Scheduled_Interest_Rate" localSheetId="29">#REF!</definedName>
    <definedName name="Scheduled_Interest_Rate" localSheetId="30">#REF!</definedName>
    <definedName name="Scheduled_Interest_Rate" localSheetId="31">#REF!</definedName>
    <definedName name="Scheduled_Interest_Rate" localSheetId="37">#REF!</definedName>
    <definedName name="Scheduled_Interest_Rate" localSheetId="38">#REF!</definedName>
    <definedName name="Scheduled_Interest_Rate" localSheetId="36">#REF!</definedName>
    <definedName name="Scheduled_Interest_Rate" localSheetId="3">#REF!</definedName>
    <definedName name="Scheduled_Interest_Rate" localSheetId="1">#REF!</definedName>
    <definedName name="Scheduled_Interest_Rate">#REF!</definedName>
    <definedName name="Scheduled_Monthly_Payment" localSheetId="2">#REF!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4">#REF!</definedName>
    <definedName name="Scheduled_Monthly_Payment" localSheetId="13">#REF!</definedName>
    <definedName name="Scheduled_Monthly_Payment" localSheetId="15">#REF!</definedName>
    <definedName name="Scheduled_Monthly_Payment" localSheetId="16">#REF!</definedName>
    <definedName name="Scheduled_Monthly_Payment" localSheetId="17">#REF!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35">#REF!</definedName>
    <definedName name="Scheduled_Monthly_Payment" localSheetId="18">#REF!</definedName>
    <definedName name="Scheduled_Monthly_Payment" localSheetId="20">#REF!</definedName>
    <definedName name="Scheduled_Monthly_Payment" localSheetId="24">#REF!</definedName>
    <definedName name="Scheduled_Monthly_Payment" localSheetId="25">#REF!</definedName>
    <definedName name="Scheduled_Monthly_Payment" localSheetId="26">#REF!</definedName>
    <definedName name="Scheduled_Monthly_Payment" localSheetId="23">#REF!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7">#REF!</definedName>
    <definedName name="Scheduled_Monthly_Payment" localSheetId="38">#REF!</definedName>
    <definedName name="Scheduled_Monthly_Payment" localSheetId="36">#REF!</definedName>
    <definedName name="Scheduled_Monthly_Payment" localSheetId="3">#REF!</definedName>
    <definedName name="Scheduled_Monthly_Payment" localSheetId="1">#REF!</definedName>
    <definedName name="Scheduled_Monthly_Payment">#REF!</definedName>
    <definedName name="SloupecCC" localSheetId="2">#REF!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0">#REF!</definedName>
    <definedName name="SloupecCC" localSheetId="11">#REF!</definedName>
    <definedName name="SloupecCC" localSheetId="12">#REF!</definedName>
    <definedName name="SloupecCC" localSheetId="14">#REF!</definedName>
    <definedName name="SloupecCC" localSheetId="13">#REF!</definedName>
    <definedName name="SloupecCC" localSheetId="15">#REF!</definedName>
    <definedName name="SloupecCC" localSheetId="16">#REF!</definedName>
    <definedName name="SloupecCC" localSheetId="17">#REF!</definedName>
    <definedName name="SloupecCC" localSheetId="34">#REF!</definedName>
    <definedName name="SloupecCC" localSheetId="32">#REF!</definedName>
    <definedName name="SloupecCC" localSheetId="33">#REF!</definedName>
    <definedName name="SloupecCC" localSheetId="35">#REF!</definedName>
    <definedName name="SloupecCC" localSheetId="18">#REF!</definedName>
    <definedName name="SloupecCC" localSheetId="20">#REF!</definedName>
    <definedName name="SloupecCC" localSheetId="24">#REF!</definedName>
    <definedName name="SloupecCC" localSheetId="25">#REF!</definedName>
    <definedName name="SloupecCC" localSheetId="26">#REF!</definedName>
    <definedName name="SloupecCC" localSheetId="23">#REF!</definedName>
    <definedName name="SloupecCC" localSheetId="28">#REF!</definedName>
    <definedName name="SloupecCC" localSheetId="29">#REF!</definedName>
    <definedName name="SloupecCC" localSheetId="30">#REF!</definedName>
    <definedName name="SloupecCC" localSheetId="31">#REF!</definedName>
    <definedName name="SloupecCC" localSheetId="37">#REF!</definedName>
    <definedName name="SloupecCC" localSheetId="38">#REF!</definedName>
    <definedName name="SloupecCC" localSheetId="36">#REF!</definedName>
    <definedName name="SloupecCC" localSheetId="0">#REF!</definedName>
    <definedName name="SloupecCC" localSheetId="3">#REF!</definedName>
    <definedName name="SloupecCC" localSheetId="1">#REF!</definedName>
    <definedName name="SloupecCC">#REF!</definedName>
    <definedName name="SloupecCisloPol" localSheetId="2">#REF!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0">#REF!</definedName>
    <definedName name="SloupecCisloPol" localSheetId="11">#REF!</definedName>
    <definedName name="SloupecCisloPol" localSheetId="12">#REF!</definedName>
    <definedName name="SloupecCisloPol" localSheetId="14">#REF!</definedName>
    <definedName name="SloupecCisloPol" localSheetId="13">#REF!</definedName>
    <definedName name="SloupecCisloPol" localSheetId="15">#REF!</definedName>
    <definedName name="SloupecCisloPol" localSheetId="16">#REF!</definedName>
    <definedName name="SloupecCisloPol" localSheetId="17">#REF!</definedName>
    <definedName name="SloupecCisloPol" localSheetId="34">#REF!</definedName>
    <definedName name="SloupecCisloPol" localSheetId="32">#REF!</definedName>
    <definedName name="SloupecCisloPol" localSheetId="33">#REF!</definedName>
    <definedName name="SloupecCisloPol" localSheetId="35">#REF!</definedName>
    <definedName name="SloupecCisloPol" localSheetId="18">#REF!</definedName>
    <definedName name="SloupecCisloPol" localSheetId="20">#REF!</definedName>
    <definedName name="SloupecCisloPol" localSheetId="24">#REF!</definedName>
    <definedName name="SloupecCisloPol" localSheetId="25">#REF!</definedName>
    <definedName name="SloupecCisloPol" localSheetId="26">#REF!</definedName>
    <definedName name="SloupecCisloPol" localSheetId="23">#REF!</definedName>
    <definedName name="SloupecCisloPol" localSheetId="28">#REF!</definedName>
    <definedName name="SloupecCisloPol" localSheetId="29">#REF!</definedName>
    <definedName name="SloupecCisloPol" localSheetId="30">#REF!</definedName>
    <definedName name="SloupecCisloPol" localSheetId="31">#REF!</definedName>
    <definedName name="SloupecCisloPol" localSheetId="37">#REF!</definedName>
    <definedName name="SloupecCisloPol" localSheetId="38">#REF!</definedName>
    <definedName name="SloupecCisloPol" localSheetId="36">#REF!</definedName>
    <definedName name="SloupecCisloPol" localSheetId="0">#REF!</definedName>
    <definedName name="SloupecCisloPol" localSheetId="3">#REF!</definedName>
    <definedName name="SloupecCisloPol" localSheetId="1">#REF!</definedName>
    <definedName name="SloupecCisloPol">#REF!</definedName>
    <definedName name="SloupecJC" localSheetId="2">#REF!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0">#REF!</definedName>
    <definedName name="SloupecJC" localSheetId="11">#REF!</definedName>
    <definedName name="SloupecJC" localSheetId="12">#REF!</definedName>
    <definedName name="SloupecJC" localSheetId="14">#REF!</definedName>
    <definedName name="SloupecJC" localSheetId="13">#REF!</definedName>
    <definedName name="SloupecJC" localSheetId="15">#REF!</definedName>
    <definedName name="SloupecJC" localSheetId="16">#REF!</definedName>
    <definedName name="SloupecJC" localSheetId="17">#REF!</definedName>
    <definedName name="SloupecJC" localSheetId="34">#REF!</definedName>
    <definedName name="SloupecJC" localSheetId="32">#REF!</definedName>
    <definedName name="SloupecJC" localSheetId="33">#REF!</definedName>
    <definedName name="SloupecJC" localSheetId="35">#REF!</definedName>
    <definedName name="SloupecJC" localSheetId="18">#REF!</definedName>
    <definedName name="SloupecJC" localSheetId="20">#REF!</definedName>
    <definedName name="SloupecJC" localSheetId="24">#REF!</definedName>
    <definedName name="SloupecJC" localSheetId="25">#REF!</definedName>
    <definedName name="SloupecJC" localSheetId="26">#REF!</definedName>
    <definedName name="SloupecJC" localSheetId="23">#REF!</definedName>
    <definedName name="SloupecJC" localSheetId="28">#REF!</definedName>
    <definedName name="SloupecJC" localSheetId="29">#REF!</definedName>
    <definedName name="SloupecJC" localSheetId="30">#REF!</definedName>
    <definedName name="SloupecJC" localSheetId="31">#REF!</definedName>
    <definedName name="SloupecJC" localSheetId="37">#REF!</definedName>
    <definedName name="SloupecJC" localSheetId="38">#REF!</definedName>
    <definedName name="SloupecJC" localSheetId="36">#REF!</definedName>
    <definedName name="SloupecJC" localSheetId="0">#REF!</definedName>
    <definedName name="SloupecJC" localSheetId="3">#REF!</definedName>
    <definedName name="SloupecJC" localSheetId="1">#REF!</definedName>
    <definedName name="SloupecJC">#REF!</definedName>
    <definedName name="SloupecMJ" localSheetId="2">#REF!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0">#REF!</definedName>
    <definedName name="SloupecMJ" localSheetId="11">#REF!</definedName>
    <definedName name="SloupecMJ" localSheetId="12">#REF!</definedName>
    <definedName name="SloupecMJ" localSheetId="14">#REF!</definedName>
    <definedName name="SloupecMJ" localSheetId="13">#REF!</definedName>
    <definedName name="SloupecMJ" localSheetId="15">#REF!</definedName>
    <definedName name="SloupecMJ" localSheetId="16">#REF!</definedName>
    <definedName name="SloupecMJ" localSheetId="17">#REF!</definedName>
    <definedName name="SloupecMJ" localSheetId="34">#REF!</definedName>
    <definedName name="SloupecMJ" localSheetId="32">#REF!</definedName>
    <definedName name="SloupecMJ" localSheetId="33">#REF!</definedName>
    <definedName name="SloupecMJ" localSheetId="35">#REF!</definedName>
    <definedName name="SloupecMJ" localSheetId="18">#REF!</definedName>
    <definedName name="SloupecMJ" localSheetId="20">#REF!</definedName>
    <definedName name="SloupecMJ" localSheetId="24">#REF!</definedName>
    <definedName name="SloupecMJ" localSheetId="25">#REF!</definedName>
    <definedName name="SloupecMJ" localSheetId="26">#REF!</definedName>
    <definedName name="SloupecMJ" localSheetId="23">#REF!</definedName>
    <definedName name="SloupecMJ" localSheetId="28">#REF!</definedName>
    <definedName name="SloupecMJ" localSheetId="29">#REF!</definedName>
    <definedName name="SloupecMJ" localSheetId="30">#REF!</definedName>
    <definedName name="SloupecMJ" localSheetId="31">#REF!</definedName>
    <definedName name="SloupecMJ" localSheetId="37">#REF!</definedName>
    <definedName name="SloupecMJ" localSheetId="38">#REF!</definedName>
    <definedName name="SloupecMJ" localSheetId="36">#REF!</definedName>
    <definedName name="SloupecMJ" localSheetId="0">#REF!</definedName>
    <definedName name="SloupecMJ" localSheetId="3">#REF!</definedName>
    <definedName name="SloupecMJ" localSheetId="1">#REF!</definedName>
    <definedName name="SloupecMJ">#REF!</definedName>
    <definedName name="SloupecMnozstvi" localSheetId="2">#REF!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0">#REF!</definedName>
    <definedName name="SloupecMnozstvi" localSheetId="11">#REF!</definedName>
    <definedName name="SloupecMnozstvi" localSheetId="12">#REF!</definedName>
    <definedName name="SloupecMnozstvi" localSheetId="14">#REF!</definedName>
    <definedName name="SloupecMnozstvi" localSheetId="13">#REF!</definedName>
    <definedName name="SloupecMnozstvi" localSheetId="15">#REF!</definedName>
    <definedName name="SloupecMnozstvi" localSheetId="16">#REF!</definedName>
    <definedName name="SloupecMnozstvi" localSheetId="17">#REF!</definedName>
    <definedName name="SloupecMnozstvi" localSheetId="34">#REF!</definedName>
    <definedName name="SloupecMnozstvi" localSheetId="32">#REF!</definedName>
    <definedName name="SloupecMnozstvi" localSheetId="33">#REF!</definedName>
    <definedName name="SloupecMnozstvi" localSheetId="35">#REF!</definedName>
    <definedName name="SloupecMnozstvi" localSheetId="18">#REF!</definedName>
    <definedName name="SloupecMnozstvi" localSheetId="20">#REF!</definedName>
    <definedName name="SloupecMnozstvi" localSheetId="24">#REF!</definedName>
    <definedName name="SloupecMnozstvi" localSheetId="25">#REF!</definedName>
    <definedName name="SloupecMnozstvi" localSheetId="26">#REF!</definedName>
    <definedName name="SloupecMnozstvi" localSheetId="23">#REF!</definedName>
    <definedName name="SloupecMnozstvi" localSheetId="28">#REF!</definedName>
    <definedName name="SloupecMnozstvi" localSheetId="29">#REF!</definedName>
    <definedName name="SloupecMnozstvi" localSheetId="30">#REF!</definedName>
    <definedName name="SloupecMnozstvi" localSheetId="31">#REF!</definedName>
    <definedName name="SloupecMnozstvi" localSheetId="37">#REF!</definedName>
    <definedName name="SloupecMnozstvi" localSheetId="38">#REF!</definedName>
    <definedName name="SloupecMnozstvi" localSheetId="36">#REF!</definedName>
    <definedName name="SloupecMnozstvi" localSheetId="0">#REF!</definedName>
    <definedName name="SloupecMnozstvi" localSheetId="3">#REF!</definedName>
    <definedName name="SloupecMnozstvi" localSheetId="1">#REF!</definedName>
    <definedName name="SloupecMnozstvi">#REF!</definedName>
    <definedName name="SloupecNazPol" localSheetId="2">#REF!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0">#REF!</definedName>
    <definedName name="SloupecNazPol" localSheetId="11">#REF!</definedName>
    <definedName name="SloupecNazPol" localSheetId="12">#REF!</definedName>
    <definedName name="SloupecNazPol" localSheetId="14">#REF!</definedName>
    <definedName name="SloupecNazPol" localSheetId="13">#REF!</definedName>
    <definedName name="SloupecNazPol" localSheetId="15">#REF!</definedName>
    <definedName name="SloupecNazPol" localSheetId="16">#REF!</definedName>
    <definedName name="SloupecNazPol" localSheetId="17">#REF!</definedName>
    <definedName name="SloupecNazPol" localSheetId="34">#REF!</definedName>
    <definedName name="SloupecNazPol" localSheetId="32">#REF!</definedName>
    <definedName name="SloupecNazPol" localSheetId="33">#REF!</definedName>
    <definedName name="SloupecNazPol" localSheetId="35">#REF!</definedName>
    <definedName name="SloupecNazPol" localSheetId="18">#REF!</definedName>
    <definedName name="SloupecNazPol" localSheetId="20">#REF!</definedName>
    <definedName name="SloupecNazPol" localSheetId="24">#REF!</definedName>
    <definedName name="SloupecNazPol" localSheetId="25">#REF!</definedName>
    <definedName name="SloupecNazPol" localSheetId="26">#REF!</definedName>
    <definedName name="SloupecNazPol" localSheetId="23">#REF!</definedName>
    <definedName name="SloupecNazPol" localSheetId="28">#REF!</definedName>
    <definedName name="SloupecNazPol" localSheetId="29">#REF!</definedName>
    <definedName name="SloupecNazPol" localSheetId="30">#REF!</definedName>
    <definedName name="SloupecNazPol" localSheetId="31">#REF!</definedName>
    <definedName name="SloupecNazPol" localSheetId="37">#REF!</definedName>
    <definedName name="SloupecNazPol" localSheetId="38">#REF!</definedName>
    <definedName name="SloupecNazPol" localSheetId="36">#REF!</definedName>
    <definedName name="SloupecNazPol" localSheetId="0">#REF!</definedName>
    <definedName name="SloupecNazPol" localSheetId="3">#REF!</definedName>
    <definedName name="SloupecNazPol" localSheetId="1">#REF!</definedName>
    <definedName name="SloupecNazPol">#REF!</definedName>
    <definedName name="SloupecPC" localSheetId="2">#REF!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0">#REF!</definedName>
    <definedName name="SloupecPC" localSheetId="11">#REF!</definedName>
    <definedName name="SloupecPC" localSheetId="12">#REF!</definedName>
    <definedName name="SloupecPC" localSheetId="14">#REF!</definedName>
    <definedName name="SloupecPC" localSheetId="13">#REF!</definedName>
    <definedName name="SloupecPC" localSheetId="15">#REF!</definedName>
    <definedName name="SloupecPC" localSheetId="16">#REF!</definedName>
    <definedName name="SloupecPC" localSheetId="17">#REF!</definedName>
    <definedName name="SloupecPC" localSheetId="34">#REF!</definedName>
    <definedName name="SloupecPC" localSheetId="32">#REF!</definedName>
    <definedName name="SloupecPC" localSheetId="33">#REF!</definedName>
    <definedName name="SloupecPC" localSheetId="35">#REF!</definedName>
    <definedName name="SloupecPC" localSheetId="18">#REF!</definedName>
    <definedName name="SloupecPC" localSheetId="20">#REF!</definedName>
    <definedName name="SloupecPC" localSheetId="24">#REF!</definedName>
    <definedName name="SloupecPC" localSheetId="25">#REF!</definedName>
    <definedName name="SloupecPC" localSheetId="26">#REF!</definedName>
    <definedName name="SloupecPC" localSheetId="23">#REF!</definedName>
    <definedName name="SloupecPC" localSheetId="28">#REF!</definedName>
    <definedName name="SloupecPC" localSheetId="29">#REF!</definedName>
    <definedName name="SloupecPC" localSheetId="30">#REF!</definedName>
    <definedName name="SloupecPC" localSheetId="31">#REF!</definedName>
    <definedName name="SloupecPC" localSheetId="37">#REF!</definedName>
    <definedName name="SloupecPC" localSheetId="38">#REF!</definedName>
    <definedName name="SloupecPC" localSheetId="36">#REF!</definedName>
    <definedName name="SloupecPC" localSheetId="0">#REF!</definedName>
    <definedName name="SloupecPC" localSheetId="3">#REF!</definedName>
    <definedName name="SloupecPC" localSheetId="1">#REF!</definedName>
    <definedName name="SloupecPC">#REF!</definedName>
    <definedName name="SoucetDilu" localSheetId="0">KL!#REF!</definedName>
    <definedName name="soupis" localSheetId="2" hidden="1">{#N/A,#N/A,TRUE,"Krycí list"}</definedName>
    <definedName name="soupis" localSheetId="4"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17"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35" hidden="1">{#N/A,#N/A,TRUE,"Krycí list"}</definedName>
    <definedName name="soupis" localSheetId="18" hidden="1">{#N/A,#N/A,TRUE,"Krycí list"}</definedName>
    <definedName name="soupis" localSheetId="19" hidden="1">{#N/A,#N/A,TRUE,"Krycí list"}</definedName>
    <definedName name="soupis" localSheetId="20" hidden="1">{#N/A,#N/A,TRUE,"Krycí list"}</definedName>
    <definedName name="soupis" localSheetId="22" hidden="1">{#N/A,#N/A,TRUE,"Krycí list"}</definedName>
    <definedName name="soupis" localSheetId="23" hidden="1">{#N/A,#N/A,TRUE,"Krycí list"}</definedName>
    <definedName name="soupis" localSheetId="27" hidden="1">{#N/A,#N/A,TRUE,"Krycí list"}</definedName>
    <definedName name="soupis" localSheetId="28" hidden="1">{#N/A,#N/A,TRUE,"Krycí list"}</definedName>
    <definedName name="soupis" localSheetId="37" hidden="1">{#N/A,#N/A,TRUE,"Krycí list"}</definedName>
    <definedName name="soupis" localSheetId="38" hidden="1">{#N/A,#N/A,TRUE,"Krycí list"}</definedName>
    <definedName name="soupis" localSheetId="36" hidden="1">{#N/A,#N/A,TRUE,"Krycí list"}</definedName>
    <definedName name="soupis" localSheetId="0" hidden="1">{#N/A,#N/A,TRUE,"Krycí list"}</definedName>
    <definedName name="soupis" localSheetId="3" hidden="1">{#N/A,#N/A,TRUE,"Krycí list"}</definedName>
    <definedName name="soupis" localSheetId="1" hidden="1">{#N/A,#N/A,TRUE,"Krycí list"}</definedName>
    <definedName name="soupis" hidden="1">{#N/A,#N/A,TRUE,"Krycí list"}</definedName>
    <definedName name="ssss" localSheetId="2">#REF!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4">#REF!</definedName>
    <definedName name="ssss" localSheetId="13">#REF!</definedName>
    <definedName name="ssss" localSheetId="15">#REF!</definedName>
    <definedName name="ssss" localSheetId="16">#REF!</definedName>
    <definedName name="ssss" localSheetId="17">#REF!</definedName>
    <definedName name="ssss" localSheetId="34">#REF!</definedName>
    <definedName name="ssss" localSheetId="32">#REF!</definedName>
    <definedName name="ssss" localSheetId="33">#REF!</definedName>
    <definedName name="ssss" localSheetId="35">#REF!</definedName>
    <definedName name="ssss" localSheetId="18">#REF!</definedName>
    <definedName name="ssss" localSheetId="19">#REF!</definedName>
    <definedName name="ssss" localSheetId="20">#REF!</definedName>
    <definedName name="ssss" localSheetId="22">#REF!</definedName>
    <definedName name="ssss" localSheetId="24">#REF!</definedName>
    <definedName name="ssss" localSheetId="25">#REF!</definedName>
    <definedName name="ssss" localSheetId="26">#REF!</definedName>
    <definedName name="ssss" localSheetId="23">#REF!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37">#REF!</definedName>
    <definedName name="ssss" localSheetId="38">#REF!</definedName>
    <definedName name="ssss" localSheetId="36">#REF!</definedName>
    <definedName name="ssss" localSheetId="3">#REF!</definedName>
    <definedName name="ssss" localSheetId="1">#REF!</definedName>
    <definedName name="ssss">#REF!</definedName>
    <definedName name="StavbaCelkem" localSheetId="0">KL!$H$64</definedName>
    <definedName name="subslevy" localSheetId="2">#REF!</definedName>
    <definedName name="subslevy" localSheetId="4">#REF!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2">#REF!</definedName>
    <definedName name="subslevy" localSheetId="14">#REF!</definedName>
    <definedName name="subslevy" localSheetId="13">#REF!</definedName>
    <definedName name="subslevy" localSheetId="15">#REF!</definedName>
    <definedName name="subslevy" localSheetId="16">#REF!</definedName>
    <definedName name="subslevy" localSheetId="17">#REF!</definedName>
    <definedName name="subslevy" localSheetId="34">#REF!</definedName>
    <definedName name="subslevy" localSheetId="32">#REF!</definedName>
    <definedName name="subslevy" localSheetId="33">#REF!</definedName>
    <definedName name="subslevy" localSheetId="35">#REF!</definedName>
    <definedName name="subslevy" localSheetId="18">#REF!</definedName>
    <definedName name="subslevy" localSheetId="19">#REF!</definedName>
    <definedName name="subslevy" localSheetId="20">#REF!</definedName>
    <definedName name="subslevy" localSheetId="22">#REF!</definedName>
    <definedName name="subslevy" localSheetId="24">#REF!</definedName>
    <definedName name="subslevy" localSheetId="25">#REF!</definedName>
    <definedName name="subslevy" localSheetId="26">#REF!</definedName>
    <definedName name="subslevy" localSheetId="23">#REF!</definedName>
    <definedName name="subslevy" localSheetId="27">#REF!</definedName>
    <definedName name="subslevy" localSheetId="28">#REF!</definedName>
    <definedName name="subslevy" localSheetId="29">#REF!</definedName>
    <definedName name="subslevy" localSheetId="30">#REF!</definedName>
    <definedName name="subslevy" localSheetId="31">#REF!</definedName>
    <definedName name="subslevy" localSheetId="37">#REF!</definedName>
    <definedName name="subslevy" localSheetId="38">#REF!</definedName>
    <definedName name="subslevy" localSheetId="36">#REF!</definedName>
    <definedName name="subslevy" localSheetId="3">#REF!</definedName>
    <definedName name="subslevy" localSheetId="1">#REF!</definedName>
    <definedName name="subslevy">#REF!</definedName>
    <definedName name="sum_kapitoly" localSheetId="2">'[12]Rekapitulace roz.  vč. kapitol'!#REF!</definedName>
    <definedName name="sum_kapitoly" localSheetId="4">'[12]Rekapitulace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4">'[12]Rekapitulace roz.  vč. kapitol'!#REF!</definedName>
    <definedName name="sum_kapitoly" localSheetId="13">'[12]Rekapitulace roz.  vč. kapitol'!#REF!</definedName>
    <definedName name="sum_kapitoly" localSheetId="15">'[12]Rekapitulace roz.  vč. kapitol'!#REF!</definedName>
    <definedName name="sum_kapitoly" localSheetId="16">'[12]Rekapitulace roz.  vč. kapitol'!#REF!</definedName>
    <definedName name="sum_kapitoly" localSheetId="17">'[12]Rekapitulace roz.  vč. kapitol'!#REF!</definedName>
    <definedName name="sum_kapitoly" localSheetId="34">'[12]Rekapitulace roz.  vč. kapitol'!#REF!</definedName>
    <definedName name="sum_kapitoly" localSheetId="32">'[12]Rekapitulace roz.  vč. kapitol'!#REF!</definedName>
    <definedName name="sum_kapitoly" localSheetId="33">'[12]Rekapitulace roz.  vč. kapitol'!#REF!</definedName>
    <definedName name="sum_kapitoly" localSheetId="35">'[12]Rekapitulace roz.  vč. kapitol'!#REF!</definedName>
    <definedName name="sum_kapitoly" localSheetId="18">'[12]Rekapitulace roz.  vč. kapitol'!#REF!</definedName>
    <definedName name="sum_kapitoly" localSheetId="19">'[12]Rekapitulace roz.  vč. kapitol'!#REF!</definedName>
    <definedName name="sum_kapitoly" localSheetId="20">'[12]Rekapitulace roz.  vč. kapitol'!#REF!</definedName>
    <definedName name="sum_kapitoly" localSheetId="22">'[12]Rekapitulace roz.  vč. kapitol'!#REF!</definedName>
    <definedName name="sum_kapitoly" localSheetId="24">'[12]Rekapitulace roz.  vč. kapitol'!#REF!</definedName>
    <definedName name="sum_kapitoly" localSheetId="25">'[12]Rekapitulace roz.  vč. kapitol'!#REF!</definedName>
    <definedName name="sum_kapitoly" localSheetId="26">'[12]Rekapitulace roz.  vč. kapitol'!#REF!</definedName>
    <definedName name="sum_kapitoly" localSheetId="23">'[12]Rekapitulace roz.  vč. kapitol'!#REF!</definedName>
    <definedName name="sum_kapitoly" localSheetId="27">'[12]Rekapitulace roz.  vč. kapitol'!#REF!</definedName>
    <definedName name="sum_kapitoly" localSheetId="28">'[12]Rekapitulace roz.  vč. kapitol'!#REF!</definedName>
    <definedName name="sum_kapitoly" localSheetId="29">'[12]Rekapitulace roz.  vč. kapitol'!#REF!</definedName>
    <definedName name="sum_kapitoly" localSheetId="30">'[12]Rekapitulace roz.  vč. kapitol'!#REF!</definedName>
    <definedName name="sum_kapitoly" localSheetId="31">'[12]Rekapitulace roz.  vč. kapitol'!#REF!</definedName>
    <definedName name="sum_kapitoly" localSheetId="37">'[12]Rekapitulace roz.  vč. kapitol'!#REF!</definedName>
    <definedName name="sum_kapitoly" localSheetId="38">'[12]Rekapitulace roz.  vč. kapitol'!#REF!</definedName>
    <definedName name="sum_kapitoly" localSheetId="36">'[12]Rekapitulace roz.  vč. kapitol'!#REF!</definedName>
    <definedName name="sum_kapitoly" localSheetId="3">'[12]Rekapitulace roz.  vč. kapitol'!#REF!</definedName>
    <definedName name="sum_kapitoly" localSheetId="1">'[12]Rekapitulace roz.  vč. kapitol'!#REF!</definedName>
    <definedName name="sum_kapitoly">'[12]Rekapitulace roz.  vč. kapitol'!#REF!</definedName>
    <definedName name="summary" localSheetId="2" hidden="1">{#N/A,#N/A,TRUE,"Krycí list"}</definedName>
    <definedName name="summary" localSheetId="4"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17"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35" hidden="1">{#N/A,#N/A,TRUE,"Krycí list"}</definedName>
    <definedName name="summary" localSheetId="18" hidden="1">{#N/A,#N/A,TRUE,"Krycí list"}</definedName>
    <definedName name="summary" localSheetId="19" hidden="1">{#N/A,#N/A,TRUE,"Krycí list"}</definedName>
    <definedName name="summary" localSheetId="20" hidden="1">{#N/A,#N/A,TRUE,"Krycí list"}</definedName>
    <definedName name="summary" localSheetId="22" hidden="1">{#N/A,#N/A,TRUE,"Krycí list"}</definedName>
    <definedName name="summary" localSheetId="23" hidden="1">{#N/A,#N/A,TRUE,"Krycí list"}</definedName>
    <definedName name="summary" localSheetId="27" hidden="1">{#N/A,#N/A,TRUE,"Krycí list"}</definedName>
    <definedName name="summary" localSheetId="28" hidden="1">{#N/A,#N/A,TRUE,"Krycí list"}</definedName>
    <definedName name="summary" localSheetId="37" hidden="1">{#N/A,#N/A,TRUE,"Krycí list"}</definedName>
    <definedName name="summary" localSheetId="38" hidden="1">{#N/A,#N/A,TRUE,"Krycí list"}</definedName>
    <definedName name="summary" localSheetId="36" hidden="1">{#N/A,#N/A,TRUE,"Krycí list"}</definedName>
    <definedName name="summary" localSheetId="0" hidden="1">{#N/A,#N/A,TRUE,"Krycí list"}</definedName>
    <definedName name="summary" localSheetId="3" hidden="1">{#N/A,#N/A,TRUE,"Krycí list"}</definedName>
    <definedName name="summary" localSheetId="1" hidden="1">{#N/A,#N/A,TRUE,"Krycí list"}</definedName>
    <definedName name="summary" hidden="1">{#N/A,#N/A,TRUE,"Krycí list"}</definedName>
    <definedName name="sumpok" localSheetId="2">#REF!</definedName>
    <definedName name="sumpok" localSheetId="4">#REF!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2">#REF!</definedName>
    <definedName name="sumpok" localSheetId="14">#REF!</definedName>
    <definedName name="sumpok" localSheetId="13">#REF!</definedName>
    <definedName name="sumpok" localSheetId="15">#REF!</definedName>
    <definedName name="sumpok" localSheetId="16">#REF!</definedName>
    <definedName name="sumpok" localSheetId="17">#REF!</definedName>
    <definedName name="sumpok" localSheetId="34">#REF!</definedName>
    <definedName name="sumpok" localSheetId="32">#REF!</definedName>
    <definedName name="sumpok" localSheetId="33">#REF!</definedName>
    <definedName name="sumpok" localSheetId="35">#REF!</definedName>
    <definedName name="sumpok" localSheetId="18">#REF!</definedName>
    <definedName name="sumpok" localSheetId="19">#REF!</definedName>
    <definedName name="sumpok" localSheetId="20">#REF!</definedName>
    <definedName name="sumpok" localSheetId="22">#REF!</definedName>
    <definedName name="sumpok" localSheetId="24">#REF!</definedName>
    <definedName name="sumpok" localSheetId="25">#REF!</definedName>
    <definedName name="sumpok" localSheetId="26">#REF!</definedName>
    <definedName name="sumpok" localSheetId="23">#REF!</definedName>
    <definedName name="sumpok" localSheetId="27">#REF!</definedName>
    <definedName name="sumpok" localSheetId="28">#REF!</definedName>
    <definedName name="sumpok" localSheetId="29">#REF!</definedName>
    <definedName name="sumpok" localSheetId="30">#REF!</definedName>
    <definedName name="sumpok" localSheetId="31">#REF!</definedName>
    <definedName name="sumpok" localSheetId="37">#REF!</definedName>
    <definedName name="sumpok" localSheetId="38">#REF!</definedName>
    <definedName name="sumpok" localSheetId="36">#REF!</definedName>
    <definedName name="sumpok" localSheetId="3">#REF!</definedName>
    <definedName name="sumpok" localSheetId="1">#REF!</definedName>
    <definedName name="sumpok">#REF!</definedName>
    <definedName name="Switchboard" localSheetId="2" hidden="1">{#N/A,#N/A,TRUE,"Krycí list"}</definedName>
    <definedName name="Switchboard" localSheetId="4"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17"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35" hidden="1">{#N/A,#N/A,TRUE,"Krycí list"}</definedName>
    <definedName name="Switchboard" localSheetId="18" hidden="1">{#N/A,#N/A,TRUE,"Krycí list"}</definedName>
    <definedName name="Switchboard" localSheetId="19" hidden="1">{#N/A,#N/A,TRUE,"Krycí list"}</definedName>
    <definedName name="Switchboard" localSheetId="20" hidden="1">{#N/A,#N/A,TRUE,"Krycí list"}</definedName>
    <definedName name="Switchboard" localSheetId="22" hidden="1">{#N/A,#N/A,TRUE,"Krycí list"}</definedName>
    <definedName name="Switchboard" localSheetId="23" hidden="1">{#N/A,#N/A,TRUE,"Krycí list"}</definedName>
    <definedName name="Switchboard" localSheetId="27" hidden="1">{#N/A,#N/A,TRUE,"Krycí list"}</definedName>
    <definedName name="Switchboard" localSheetId="28" hidden="1">{#N/A,#N/A,TRUE,"Krycí list"}</definedName>
    <definedName name="Switchboard" localSheetId="37" hidden="1">{#N/A,#N/A,TRUE,"Krycí list"}</definedName>
    <definedName name="Switchboard" localSheetId="38" hidden="1">{#N/A,#N/A,TRUE,"Krycí list"}</definedName>
    <definedName name="Switchboard" localSheetId="36" hidden="1">{#N/A,#N/A,TRUE,"Krycí list"}</definedName>
    <definedName name="Switchboard" localSheetId="0" hidden="1">{#N/A,#N/A,TRUE,"Krycí list"}</definedName>
    <definedName name="Switchboard" localSheetId="3" hidden="1">{#N/A,#N/A,TRUE,"Krycí list"}</definedName>
    <definedName name="Switchboard" localSheetId="1" hidden="1">{#N/A,#N/A,TRUE,"Krycí list"}</definedName>
    <definedName name="Switchboard" hidden="1">{#N/A,#N/A,TRUE,"Krycí list"}</definedName>
    <definedName name="tab" localSheetId="2">#REF!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4">#REF!</definedName>
    <definedName name="tab" localSheetId="13">#REF!</definedName>
    <definedName name="tab" localSheetId="15">#REF!</definedName>
    <definedName name="tab" localSheetId="16">#REF!</definedName>
    <definedName name="tab" localSheetId="17">#REF!</definedName>
    <definedName name="tab" localSheetId="34">#REF!</definedName>
    <definedName name="tab" localSheetId="32">#REF!</definedName>
    <definedName name="tab" localSheetId="33">#REF!</definedName>
    <definedName name="tab" localSheetId="35">#REF!</definedName>
    <definedName name="tab" localSheetId="18">#REF!</definedName>
    <definedName name="tab" localSheetId="19">#REF!</definedName>
    <definedName name="tab" localSheetId="20">#REF!</definedName>
    <definedName name="tab" localSheetId="22">#REF!</definedName>
    <definedName name="tab" localSheetId="24">#REF!</definedName>
    <definedName name="tab" localSheetId="25">#REF!</definedName>
    <definedName name="tab" localSheetId="26">#REF!</definedName>
    <definedName name="tab" localSheetId="23">#REF!</definedName>
    <definedName name="tab" localSheetId="27">#REF!</definedName>
    <definedName name="tab" localSheetId="28">#REF!</definedName>
    <definedName name="tab" localSheetId="29">#REF!</definedName>
    <definedName name="tab" localSheetId="30">#REF!</definedName>
    <definedName name="tab" localSheetId="31">#REF!</definedName>
    <definedName name="tab" localSheetId="37">#REF!</definedName>
    <definedName name="tab" localSheetId="38">#REF!</definedName>
    <definedName name="tab" localSheetId="36">#REF!</definedName>
    <definedName name="tab" localSheetId="3">#REF!</definedName>
    <definedName name="tab" localSheetId="1">#REF!</definedName>
    <definedName name="tab">#REF!</definedName>
    <definedName name="Total_Interest" localSheetId="2">#REF!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4">#REF!</definedName>
    <definedName name="Total_Interest" localSheetId="13">#REF!</definedName>
    <definedName name="Total_Interest" localSheetId="15">#REF!</definedName>
    <definedName name="Total_Interest" localSheetId="16">#REF!</definedName>
    <definedName name="Total_Interest" localSheetId="17">#REF!</definedName>
    <definedName name="Total_Interest" localSheetId="34">#REF!</definedName>
    <definedName name="Total_Interest" localSheetId="32">#REF!</definedName>
    <definedName name="Total_Interest" localSheetId="33">#REF!</definedName>
    <definedName name="Total_Interest" localSheetId="35">#REF!</definedName>
    <definedName name="Total_Interest" localSheetId="18">#REF!</definedName>
    <definedName name="Total_Interest" localSheetId="19">#REF!</definedName>
    <definedName name="Total_Interest" localSheetId="20">#REF!</definedName>
    <definedName name="Total_Interest" localSheetId="22">#REF!</definedName>
    <definedName name="Total_Interest" localSheetId="24">#REF!</definedName>
    <definedName name="Total_Interest" localSheetId="25">#REF!</definedName>
    <definedName name="Total_Interest" localSheetId="26">#REF!</definedName>
    <definedName name="Total_Interest" localSheetId="23">#REF!</definedName>
    <definedName name="Total_Interest" localSheetId="27">#REF!</definedName>
    <definedName name="Total_Interest" localSheetId="28">#REF!</definedName>
    <definedName name="Total_Interest" localSheetId="29">#REF!</definedName>
    <definedName name="Total_Interest" localSheetId="30">#REF!</definedName>
    <definedName name="Total_Interest" localSheetId="31">#REF!</definedName>
    <definedName name="Total_Interest" localSheetId="37">#REF!</definedName>
    <definedName name="Total_Interest" localSheetId="38">#REF!</definedName>
    <definedName name="Total_Interest" localSheetId="36">#REF!</definedName>
    <definedName name="Total_Interest" localSheetId="3">#REF!</definedName>
    <definedName name="Total_Interest" localSheetId="1">#REF!</definedName>
    <definedName name="Total_Interest">#REF!</definedName>
    <definedName name="Total_Pay" localSheetId="2">#REF!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4">#REF!</definedName>
    <definedName name="Total_Pay" localSheetId="13">#REF!</definedName>
    <definedName name="Total_Pay" localSheetId="15">#REF!</definedName>
    <definedName name="Total_Pay" localSheetId="16">#REF!</definedName>
    <definedName name="Total_Pay" localSheetId="17">#REF!</definedName>
    <definedName name="Total_Pay" localSheetId="34">#REF!</definedName>
    <definedName name="Total_Pay" localSheetId="32">#REF!</definedName>
    <definedName name="Total_Pay" localSheetId="33">#REF!</definedName>
    <definedName name="Total_Pay" localSheetId="35">#REF!</definedName>
    <definedName name="Total_Pay" localSheetId="18">#REF!</definedName>
    <definedName name="Total_Pay" localSheetId="19">#REF!</definedName>
    <definedName name="Total_Pay" localSheetId="20">#REF!</definedName>
    <definedName name="Total_Pay" localSheetId="22">#REF!</definedName>
    <definedName name="Total_Pay" localSheetId="24">#REF!</definedName>
    <definedName name="Total_Pay" localSheetId="25">#REF!</definedName>
    <definedName name="Total_Pay" localSheetId="26">#REF!</definedName>
    <definedName name="Total_Pay" localSheetId="23">#REF!</definedName>
    <definedName name="Total_Pay" localSheetId="27">#REF!</definedName>
    <definedName name="Total_Pay" localSheetId="28">#REF!</definedName>
    <definedName name="Total_Pay" localSheetId="29">#REF!</definedName>
    <definedName name="Total_Pay" localSheetId="30">#REF!</definedName>
    <definedName name="Total_Pay" localSheetId="31">#REF!</definedName>
    <definedName name="Total_Pay" localSheetId="37">#REF!</definedName>
    <definedName name="Total_Pay" localSheetId="38">#REF!</definedName>
    <definedName name="Total_Pay" localSheetId="36">#REF!</definedName>
    <definedName name="Total_Pay" localSheetId="3">#REF!</definedName>
    <definedName name="Total_Pay" localSheetId="1">#REF!</definedName>
    <definedName name="Total_Pay">#REF!</definedName>
    <definedName name="Total_Payment" localSheetId="2">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4">Scheduled_Payment+Extra_Payment</definedName>
    <definedName name="Total_Payment" localSheetId="13">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2">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3">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7">Scheduled_Payment+Extra_Payment</definedName>
    <definedName name="Total_Payment" localSheetId="38">Scheduled_Payment+Extra_Payment</definedName>
    <definedName name="Total_Payment" localSheetId="36">Scheduled_Payment+Extra_Payment</definedName>
    <definedName name="Total_Payment" localSheetId="0">Scheduled_Payment+Extra_Payment</definedName>
    <definedName name="Total_Payment" localSheetId="3">Scheduled_Payment+Extra_Payment</definedName>
    <definedName name="Total_Payment" localSheetId="1">Scheduled_Payment+Extra_Payment</definedName>
    <definedName name="Total_Payment">Scheduled_Payment+Extra_Payment</definedName>
    <definedName name="Typ" localSheetId="2">#REF!</definedName>
    <definedName name="Typ" localSheetId="4">#REF!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4">#REF!</definedName>
    <definedName name="Typ" localSheetId="13">#REF!</definedName>
    <definedName name="Typ" localSheetId="15">#REF!</definedName>
    <definedName name="Typ" localSheetId="16">#REF!</definedName>
    <definedName name="Typ" localSheetId="17">#REF!</definedName>
    <definedName name="Typ" localSheetId="34">#REF!</definedName>
    <definedName name="Typ" localSheetId="32">#REF!</definedName>
    <definedName name="Typ" localSheetId="33">#REF!</definedName>
    <definedName name="Typ" localSheetId="35">#REF!</definedName>
    <definedName name="Typ" localSheetId="18">#REF!</definedName>
    <definedName name="Typ" localSheetId="19">#REF!</definedName>
    <definedName name="Typ" localSheetId="20">#REF!</definedName>
    <definedName name="Typ" localSheetId="22">#REF!</definedName>
    <definedName name="Typ" localSheetId="24">#REF!</definedName>
    <definedName name="Typ" localSheetId="25">#REF!</definedName>
    <definedName name="Typ" localSheetId="26">#REF!</definedName>
    <definedName name="Typ" localSheetId="23">#REF!</definedName>
    <definedName name="Typ" localSheetId="27">#REF!</definedName>
    <definedName name="Typ" localSheetId="28">#REF!</definedName>
    <definedName name="Typ" localSheetId="29">#REF!</definedName>
    <definedName name="Typ" localSheetId="30">#REF!</definedName>
    <definedName name="Typ" localSheetId="31">#REF!</definedName>
    <definedName name="Typ" localSheetId="37">#REF!</definedName>
    <definedName name="Typ" localSheetId="38">#REF!</definedName>
    <definedName name="Typ" localSheetId="36">#REF!</definedName>
    <definedName name="Typ" localSheetId="0">'[16]002-A.1. Archstav  reseni'!#REF!</definedName>
    <definedName name="Typ" localSheetId="3">#REF!</definedName>
    <definedName name="Typ" localSheetId="1">#REF!</definedName>
    <definedName name="Typ">#REF!</definedName>
    <definedName name="v" localSheetId="2">'[12]Rekapitulace roz.  vč. kapitol'!#REF!</definedName>
    <definedName name="v" localSheetId="4">'[12]Rekapitulace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2">'[12]Rekapitulace roz.  vč. kapitol'!#REF!</definedName>
    <definedName name="v" localSheetId="14">'[12]Rekapitulace roz.  vč. kapitol'!#REF!</definedName>
    <definedName name="v" localSheetId="13">'[12]Rekapitulace roz.  vč. kapitol'!#REF!</definedName>
    <definedName name="v" localSheetId="15">'[12]Rekapitulace roz.  vč. kapitol'!#REF!</definedName>
    <definedName name="v" localSheetId="16">'[12]Rekapitulace roz.  vč. kapitol'!#REF!</definedName>
    <definedName name="v" localSheetId="17">'[12]Rekapitulace roz.  vč. kapitol'!#REF!</definedName>
    <definedName name="v" localSheetId="34">'[12]Rekapitulace roz.  vč. kapitol'!#REF!</definedName>
    <definedName name="v" localSheetId="32">'[12]Rekapitulace roz.  vč. kapitol'!#REF!</definedName>
    <definedName name="v" localSheetId="33">'[12]Rekapitulace roz.  vč. kapitol'!#REF!</definedName>
    <definedName name="v" localSheetId="35">'[12]Rekapitulace roz.  vč. kapitol'!#REF!</definedName>
    <definedName name="v" localSheetId="18">'[12]Rekapitulace roz.  vč. kapitol'!#REF!</definedName>
    <definedName name="v" localSheetId="19">'[12]Rekapitulace roz.  vč. kapitol'!#REF!</definedName>
    <definedName name="v" localSheetId="20">'[12]Rekapitulace roz.  vč. kapitol'!#REF!</definedName>
    <definedName name="v" localSheetId="22">'[12]Rekapitulace roz.  vč. kapitol'!#REF!</definedName>
    <definedName name="v" localSheetId="24">'[12]Rekapitulace roz.  vč. kapitol'!#REF!</definedName>
    <definedName name="v" localSheetId="25">'[12]Rekapitulace roz.  vč. kapitol'!#REF!</definedName>
    <definedName name="v" localSheetId="26">'[12]Rekapitulace roz.  vč. kapitol'!#REF!</definedName>
    <definedName name="v" localSheetId="23">'[12]Rekapitulace roz.  vč. kapitol'!#REF!</definedName>
    <definedName name="v" localSheetId="27">'[12]Rekapitulace roz.  vč. kapitol'!#REF!</definedName>
    <definedName name="v" localSheetId="28">'[12]Rekapitulace roz.  vč. kapitol'!#REF!</definedName>
    <definedName name="v" localSheetId="29">'[12]Rekapitulace roz.  vč. kapitol'!#REF!</definedName>
    <definedName name="v" localSheetId="30">'[12]Rekapitulace roz.  vč. kapitol'!#REF!</definedName>
    <definedName name="v" localSheetId="31">'[12]Rekapitulace roz.  vč. kapitol'!#REF!</definedName>
    <definedName name="v" localSheetId="37">'[12]Rekapitulace roz.  vč. kapitol'!#REF!</definedName>
    <definedName name="v" localSheetId="38">'[12]Rekapitulace roz.  vč. kapitol'!#REF!</definedName>
    <definedName name="v" localSheetId="36">'[12]Rekapitulace roz.  vč. kapitol'!#REF!</definedName>
    <definedName name="v" localSheetId="3">'[12]Rekapitulace roz.  vč. kapitol'!#REF!</definedName>
    <definedName name="v" localSheetId="1">'[12]Rekapitulace roz.  vč. kapitol'!#REF!</definedName>
    <definedName name="v">'[12]Rekapitulace roz.  vč. kapitol'!#REF!</definedName>
    <definedName name="Values_Entered" localSheetId="2">IF('D.1.1. ASŘ - BOURACÍ PRÁCE'!Loan_Amount*'D.1.1. ASŘ - BOURACÍ PRÁCE'!Interest_Rate*'D.1.1. ASŘ - BOURACÍ PRÁCE'!Loan_Years*'D.1.1. ASŘ - BOURACÍ PRÁCE'!Loan_Start&gt;0,1,0)</definedName>
    <definedName name="Values_Entered" localSheetId="4">IF('D.1.1. ASŘ - NOVÝ STAV'!Loan_Amount*'D.1.1. ASŘ - NOVÝ STAV'!Interest_Rate*'D.1.1. ASŘ - NOVÝ STAV'!Loan_Years*'D.1.1. ASŘ - NOVÝ STAV'!Loan_Start&gt;0,1,0)</definedName>
    <definedName name="Values_Entered" localSheetId="5">IF('D.1.1. VÝPIS DVEŘÍ'!Loan_Amount*'D.1.1. VÝPIS DVEŘÍ'!Interest_Rate*'D.1.1. VÝPIS DVEŘÍ'!Loan_Years*'D.1.1. VÝPIS DVEŘÍ'!Loan_Start&gt;0,1,0)</definedName>
    <definedName name="Values_Entered" localSheetId="6">IF('D.1.1.c.02 - VÝPIS OKEN'!Loan_Amount*'D.1.1.c.02 - VÝPIS OKEN'!Interest_Rate*'D.1.1.c.02 - VÝPIS OKEN'!Loan_Years*'D.1.1.c.02 - VÝPIS OKEN'!Loan_Start&gt;0,1,0)</definedName>
    <definedName name="Values_Entered" localSheetId="7">IF('D.1.1.c.04. VÝPIS TRUHLÁŘ.'!Loan_Amount*'D.1.1.c.04. VÝPIS TRUHLÁŘ.'!Interest_Rate*'D.1.1.c.04. VÝPIS TRUHLÁŘ.'!Loan_Years*'D.1.1.c.04. VÝPIS TRUHLÁŘ.'!Loan_Start&gt;0,1,0)</definedName>
    <definedName name="Values_Entered" localSheetId="8">IF('D.1.1.c.05. VÝPIS ZÁMEČN. VÝR.'!Loan_Amount*'D.1.1.c.05. VÝPIS ZÁMEČN. VÝR.'!Interest_Rate*'D.1.1.c.05. VÝPIS ZÁMEČN. VÝR.'!Loan_Years*'D.1.1.c.05. VÝPIS ZÁMEČN. VÝR.'!Loan_Start&gt;0,1,0)</definedName>
    <definedName name="Values_Entered" localSheetId="9">IF('D.1.1.c.06. VÝPIS KLEMP.'!Loan_Amount*Interest_Rate*'D.1.1.c.06. VÝPIS KLEMP.'!Loan_Years*'D.1.1.c.06. VÝPIS KLEMP.'!Loan_Start&gt;0,1,0)</definedName>
    <definedName name="Values_Entered" localSheetId="10">IF('D.1.1.c.07 VÝPIS OSTAT.'!Loan_Amount*'D.1.1.c.07 VÝPIS OSTAT.'!Interest_Rate*'D.1.1.c.07 VÝPIS OSTAT.'!Loan_Years*'D.1.1.c.07 VÝPIS OSTAT.'!Loan_Start&gt;0,1,0)</definedName>
    <definedName name="Values_Entered" localSheetId="11">IF('D.1.4.1. ZTI'!Loan_Amount*'D.1.4.1. ZTI'!Interest_Rate*'D.1.4.1. ZTI'!Loan_Years*'D.1.4.1. ZTI'!Loan_Start&gt;0,1,0)</definedName>
    <definedName name="Values_Entered" localSheetId="12">IF('D.1.4.1.b.08. - REKAPITULACE'!Loan_Amount*'D.1.4.1.b.08. - REKAPITULACE'!Interest_Rate*'D.1.4.1.b.08. - REKAPITULACE'!Loan_Years*'D.1.4.1.b.08. - REKAPITULACE'!Loan_Start&gt;0,1,0)</definedName>
    <definedName name="Values_Entered" localSheetId="14">IF('D.1.4.1.b.08. AREÁL. KANAL - BP'!Loan_Amount*'D.1.4.1.b.08. AREÁL. KANAL - BP'!Interest_Rate*'D.1.4.1.b.08. AREÁL. KANAL - BP'!Loan_Years*'D.1.4.1.b.08. AREÁL. KANAL - BP'!Loan_Start&gt;0,1,0)</definedName>
    <definedName name="Values_Entered" localSheetId="13">IF('D.1.4.1.b.08. AREÁL. KANALIZACE'!Loan_Amount*'D.1.4.1.b.08. AREÁL. KANALIZACE'!Interest_Rate*'D.1.4.1.b.08. AREÁL. KANALIZACE'!Loan_Years*'D.1.4.1.b.08. AREÁL. KANALIZACE'!Loan_Start&gt;0,1,0)</definedName>
    <definedName name="Values_Entered" localSheetId="15">IF('D.1.4.1.b.08. AREÁLOVÝ VODOVOD'!Loan_Amount*'D.1.4.1.b.08. AREÁLOVÝ VODOVOD'!Interest_Rate*'D.1.4.1.b.08. AREÁLOVÝ VODOVOD'!Loan_Years*'D.1.4.1.b.08. AREÁLOVÝ VODOVOD'!Loan_Start&gt;0,1,0)</definedName>
    <definedName name="Values_Entered" localSheetId="16">IF('D.1.4.1.b.09. AKUMULAČNÍ NÁDRŽ'!Loan_Amount*'D.1.4.1.b.09. AKUMULAČNÍ NÁDRŽ'!Interest_Rate*'D.1.4.1.b.09. AKUMULAČNÍ NÁDRŽ'!Loan_Years*'D.1.4.1.b.09. AKUMULAČNÍ NÁDRŽ'!Loan_Start&gt;0,1,0)</definedName>
    <definedName name="Values_Entered" localSheetId="17">IF('D.1.4.1.b.10. ODLUČOVAČ TUKU'!Loan_Amount*'D.1.4.1.b.10. ODLUČOVAČ TUKU'!Interest_Rate*'D.1.4.1.b.10. ODLUČOVAČ TUKU'!Loan_Years*'D.1.4.1.b.10. ODLUČOVAČ TUKU'!Loan_Start&gt;0,1,0)</definedName>
    <definedName name="Values_Entered" localSheetId="34">IF('D.1.4.10. OPLOCENÍ'!Loan_Amount*'D.1.4.10. OPLOCENÍ'!Interest_Rate*'D.1.4.10. OPLOCENÍ'!Loan_Years*'D.1.4.10. OPLOCENÍ'!Loan_Start&gt;0,1,0)</definedName>
    <definedName name="Values_Entered" localSheetId="32">IF('D.1.4.10.1. REKAPITULACE'!Loan_Amount*'D.1.4.10.1. REKAPITULACE'!Interest_Rate*'D.1.4.10.1. REKAPITULACE'!Loan_Years*'D.1.4.10.1. REKAPITULACE'!Loan_Start&gt;0,1,0)</definedName>
    <definedName name="Values_Entered" localSheetId="33">IF('D.1.4.10.1. SADOVÉ ÚPRAVY'!Loan_Amount*'D.1.4.10.1. SADOVÉ ÚPRAVY'!Interest_Rate*'D.1.4.10.1. SADOVÉ ÚPRAVY'!Loan_Years*'D.1.4.10.1. SADOVÉ ÚPRAVY'!Loan_Start&gt;0,1,0)</definedName>
    <definedName name="Values_Entered" localSheetId="35">IF('D.1.4.10.2. POZEMNÍ KOMUNIKACE'!Loan_Amount*'D.1.4.10.2. POZEMNÍ KOMUNIKACE'!Interest_Rate*'D.1.4.10.2. POZEMNÍ KOMUNIKACE'!Loan_Years*'D.1.4.10.2. POZEMNÍ KOMUNIKACE'!Loan_Start&gt;0,1,0)</definedName>
    <definedName name="Values_Entered" localSheetId="18">IF('D.1.4.2. ODBĚR. PLYN. ZAŘÍZ.'!Loan_Amount*'D.1.4.2. ODBĚR. PLYN. ZAŘÍZ.'!Interest_Rate*'D.1.4.2. ODBĚR. PLYN. ZAŘÍZ.'!Loan_Years*'D.1.4.2. ODBĚR. PLYN. ZAŘÍZ.'!Loan_Start&gt;0,1,0)</definedName>
    <definedName name="Values_Entered" localSheetId="19">IF('D.1.4.3. VZDUCHOTECHNIKA'!Loan_Amount*Interest_Rate*'D.1.4.3. VZDUCHOTECHNIKA'!Loan_Years*'D.1.4.3. VZDUCHOTECHNIKA'!Loan_Start&gt;0,1,0)</definedName>
    <definedName name="Values_Entered" localSheetId="20">IF('D.1.4.4. VYTÁPENÍ'!Loan_Amount*'D.1.4.4. VYTÁPENÍ'!Interest_Rate*'D.1.4.4. VYTÁPENÍ'!Loan_Years*'D.1.4.4. VYTÁPENÍ'!Loan_Start&gt;0,1,0)</definedName>
    <definedName name="Values_Entered" localSheetId="22">IF('D.1.4.7. SILNOPROUD'!Loan_Amount*Interest_Rate*'D.1.4.7. SILNOPROUD'!Loan_Years*'D.1.4.7. SILNOPROUD'!Loan_Start&gt;0,1,0)</definedName>
    <definedName name="Values_Entered" localSheetId="24">IF('D.1.4.7.b.08 AREÁL ELE-TRA. A1'!Loan_Amount*'D.1.4.7.b.08 AREÁL ELE-TRA. A1'!Interest_Rate*'D.1.4.7.b.08 AREÁL ELE-TRA. A1'!Loan_Years*'D.1.4.7.b.08 AREÁL ELE-TRA. A1'!Loan_Start&gt;0,1,0)</definedName>
    <definedName name="Values_Entered" localSheetId="25">IF('D.1.4.7.b.08 AREÁL ELE-TRA. A2'!Loan_Amount*'D.1.4.7.b.08 AREÁL ELE-TRA. A2'!Interest_Rate*'D.1.4.7.b.08 AREÁL ELE-TRA. A2'!Loan_Years*'D.1.4.7.b.08 AREÁL ELE-TRA. A2'!Loan_Start&gt;0,1,0)</definedName>
    <definedName name="Values_Entered" localSheetId="26">IF('D.1.4.7.b.08 AREÁL ELE-TRA. A3'!Loan_Amount*'D.1.4.7.b.08 AREÁL ELE-TRA. A3'!Interest_Rate*'D.1.4.7.b.08 AREÁL ELE-TRA. A3'!Loan_Years*'D.1.4.7.b.08 AREÁL ELE-TRA. A3'!Loan_Start&gt;0,1,0)</definedName>
    <definedName name="Values_Entered" localSheetId="23">IF('D.1.4.7.b.08. - REKAPITULACE'!Loan_Amount*'D.1.4.7.b.08. - REKAPITULACE'!Interest_Rate*'D.1.4.7.b.08. - REKAPITULACE'!Loan_Years*'D.1.4.7.b.08. - REKAPITULACE'!Loan_Start&gt;0,1,0)</definedName>
    <definedName name="Values_Entered" localSheetId="27">IF('D.1.4.8. EL. KOMUNIKACE'!Loan_Amount*Interest_Rate*'D.1.4.8. EL. KOMUNIKACE'!Loan_Years*'D.1.4.8. EL. KOMUNIKACE'!Loan_Start&gt;0,1,0)</definedName>
    <definedName name="Values_Entered" localSheetId="28">IF('D.1.4.8.b.04 - REKAPITULACE'!Loan_Amount*'D.1.4.8.b.04 - REKAPITULACE'!Interest_Rate*'D.1.4.8.b.04 - REKAPITULACE'!Loan_Years*'D.1.4.8.b.04 - REKAPITULACE'!Loan_Start&gt;0,1,0)</definedName>
    <definedName name="Values_Entered" localSheetId="29">IF('D.1.4.8.b.04 AREÁL ELE-TRA. A1'!Loan_Amount*'D.1.4.8.b.04 AREÁL ELE-TRA. A1'!Interest_Rate*'D.1.4.8.b.04 AREÁL ELE-TRA. A1'!Loan_Years*'D.1.4.8.b.04 AREÁL ELE-TRA. A1'!Loan_Start&gt;0,1,0)</definedName>
    <definedName name="Values_Entered" localSheetId="30">IF('D.1.4.8.b.04 AREÁL ELE-TRA. A2'!Loan_Amount*'D.1.4.8.b.04 AREÁL ELE-TRA. A2'!Interest_Rate*'D.1.4.8.b.04 AREÁL ELE-TRA. A2'!Loan_Years*'D.1.4.8.b.04 AREÁL ELE-TRA. A2'!Loan_Start&gt;0,1,0)</definedName>
    <definedName name="Values_Entered" localSheetId="31">IF('D.1.4.8.b.04 AREÁL ELE-TRA. A3'!Loan_Amount*'D.1.4.8.b.04 AREÁL ELE-TRA. A3'!Interest_Rate*'D.1.4.8.b.04 AREÁL ELE-TRA. A3'!Loan_Years*'D.1.4.8.b.04 AREÁL ELE-TRA. A3'!Loan_Start&gt;0,1,0)</definedName>
    <definedName name="Values_Entered" localSheetId="37">IF('D.2.2. AREÁL. TEPLOVOD'!Loan_Amount*'D.2.2. AREÁL. TEPLOVOD'!Interest_Rate*'D.2.2. AREÁL. TEPLOVOD'!Loan_Years*'D.2.2. AREÁL. TEPLOVOD'!Loan_Start&gt;0,1,0)</definedName>
    <definedName name="Values_Entered" localSheetId="38">IF('D.2.2. AREÁL. TEPLOVOD-BP'!Loan_Amount*'D.2.2. AREÁL. TEPLOVOD-BP'!Interest_Rate*'D.2.2. AREÁL. TEPLOVOD-BP'!Loan_Years*'D.2.2. AREÁL. TEPLOVOD-BP'!Loan_Start&gt;0,1,0)</definedName>
    <definedName name="Values_Entered" localSheetId="36">IF('D.2.2. REKAPITULACE'!Loan_Amount*'D.2.2. REKAPITULACE'!Interest_Rate*'D.2.2. REKAPITULACE'!Loan_Years*'D.2.2. REKAPITULACE'!Loan_Start&gt;0,1,0)</definedName>
    <definedName name="Values_Entered" localSheetId="0">IF(Loan_Amount*Interest_Rate*Loan_Years*Loan_Start&gt;0,1,0)</definedName>
    <definedName name="Values_Entered" localSheetId="3">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2" hidden="1">{#N/A,#N/A,TRUE,"Krycí list"}</definedName>
    <definedName name="VIZA" localSheetId="4"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17"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35" hidden="1">{#N/A,#N/A,TRUE,"Krycí list"}</definedName>
    <definedName name="VIZA" localSheetId="18" hidden="1">{#N/A,#N/A,TRUE,"Krycí list"}</definedName>
    <definedName name="VIZA" localSheetId="19" hidden="1">{#N/A,#N/A,TRUE,"Krycí list"}</definedName>
    <definedName name="VIZA" localSheetId="20" hidden="1">{#N/A,#N/A,TRUE,"Krycí list"}</definedName>
    <definedName name="VIZA" localSheetId="22" hidden="1">{#N/A,#N/A,TRUE,"Krycí list"}</definedName>
    <definedName name="VIZA" localSheetId="23" hidden="1">{#N/A,#N/A,TRUE,"Krycí list"}</definedName>
    <definedName name="VIZA" localSheetId="27" hidden="1">{#N/A,#N/A,TRUE,"Krycí list"}</definedName>
    <definedName name="VIZA" localSheetId="28" hidden="1">{#N/A,#N/A,TRUE,"Krycí list"}</definedName>
    <definedName name="VIZA" localSheetId="37" hidden="1">{#N/A,#N/A,TRUE,"Krycí list"}</definedName>
    <definedName name="VIZA" localSheetId="38" hidden="1">{#N/A,#N/A,TRUE,"Krycí list"}</definedName>
    <definedName name="VIZA" localSheetId="36" hidden="1">{#N/A,#N/A,TRUE,"Krycí list"}</definedName>
    <definedName name="VIZA" localSheetId="0" hidden="1">{#N/A,#N/A,TRUE,"Krycí list"}</definedName>
    <definedName name="VIZA" localSheetId="3" hidden="1">{#N/A,#N/A,TRUE,"Krycí list"}</definedName>
    <definedName name="VIZA" localSheetId="1" hidden="1">{#N/A,#N/A,TRUE,"Krycí list"}</definedName>
    <definedName name="VIZA" hidden="1">{#N/A,#N/A,TRUE,"Krycí list"}</definedName>
    <definedName name="VIZA12" localSheetId="2" hidden="1">{#N/A,#N/A,TRUE,"Krycí list"}</definedName>
    <definedName name="VIZA12" localSheetId="4"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17"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35" hidden="1">{#N/A,#N/A,TRUE,"Krycí list"}</definedName>
    <definedName name="VIZA12" localSheetId="18" hidden="1">{#N/A,#N/A,TRUE,"Krycí list"}</definedName>
    <definedName name="VIZA12" localSheetId="19" hidden="1">{#N/A,#N/A,TRUE,"Krycí list"}</definedName>
    <definedName name="VIZA12" localSheetId="20" hidden="1">{#N/A,#N/A,TRUE,"Krycí list"}</definedName>
    <definedName name="VIZA12" localSheetId="22" hidden="1">{#N/A,#N/A,TRUE,"Krycí list"}</definedName>
    <definedName name="VIZA12" localSheetId="23" hidden="1">{#N/A,#N/A,TRUE,"Krycí list"}</definedName>
    <definedName name="VIZA12" localSheetId="27" hidden="1">{#N/A,#N/A,TRUE,"Krycí list"}</definedName>
    <definedName name="VIZA12" localSheetId="28" hidden="1">{#N/A,#N/A,TRUE,"Krycí list"}</definedName>
    <definedName name="VIZA12" localSheetId="37" hidden="1">{#N/A,#N/A,TRUE,"Krycí list"}</definedName>
    <definedName name="VIZA12" localSheetId="38" hidden="1">{#N/A,#N/A,TRUE,"Krycí list"}</definedName>
    <definedName name="VIZA12" localSheetId="36" hidden="1">{#N/A,#N/A,TRUE,"Krycí list"}</definedName>
    <definedName name="VIZA12" localSheetId="0" hidden="1">{#N/A,#N/A,TRUE,"Krycí list"}</definedName>
    <definedName name="VIZA12" localSheetId="3" hidden="1">{#N/A,#N/A,TRUE,"Krycí list"}</definedName>
    <definedName name="VIZA12" localSheetId="1" hidden="1">{#N/A,#N/A,TRUE,"Krycí list"}</definedName>
    <definedName name="VIZA12" hidden="1">{#N/A,#N/A,TRUE,"Krycí list"}</definedName>
    <definedName name="VRN" localSheetId="2">#REF!</definedName>
    <definedName name="VRN" localSheetId="4">#REF!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4">#REF!</definedName>
    <definedName name="VRN" localSheetId="13">#REF!</definedName>
    <definedName name="VRN" localSheetId="15">#REF!</definedName>
    <definedName name="VRN" localSheetId="16">#REF!</definedName>
    <definedName name="VRN" localSheetId="17">#REF!</definedName>
    <definedName name="VRN" localSheetId="34">#REF!</definedName>
    <definedName name="VRN" localSheetId="32">#REF!</definedName>
    <definedName name="VRN" localSheetId="33">#REF!</definedName>
    <definedName name="VRN" localSheetId="35">#REF!</definedName>
    <definedName name="VRN" localSheetId="18">#REF!</definedName>
    <definedName name="VRN" localSheetId="19">#REF!</definedName>
    <definedName name="VRN" localSheetId="20">#REF!</definedName>
    <definedName name="VRN" localSheetId="22">#REF!</definedName>
    <definedName name="VRN" localSheetId="24">#REF!</definedName>
    <definedName name="VRN" localSheetId="25">#REF!</definedName>
    <definedName name="VRN" localSheetId="26">#REF!</definedName>
    <definedName name="VRN" localSheetId="23">#REF!</definedName>
    <definedName name="VRN" localSheetId="27">#REF!</definedName>
    <definedName name="VRN" localSheetId="28">#REF!</definedName>
    <definedName name="VRN" localSheetId="29">#REF!</definedName>
    <definedName name="VRN" localSheetId="30">#REF!</definedName>
    <definedName name="VRN" localSheetId="31">#REF!</definedName>
    <definedName name="VRN" localSheetId="37">#REF!</definedName>
    <definedName name="VRN" localSheetId="38">#REF!</definedName>
    <definedName name="VRN" localSheetId="36">#REF!</definedName>
    <definedName name="VRN" localSheetId="0">#REF!</definedName>
    <definedName name="VRN" localSheetId="3">#REF!</definedName>
    <definedName name="VRN" localSheetId="1">#REF!</definedName>
    <definedName name="VRN">#REF!</definedName>
    <definedName name="VRNKc" localSheetId="2">#REF!</definedName>
    <definedName name="VRNKc" localSheetId="4">#REF!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4">#REF!</definedName>
    <definedName name="VRNKc" localSheetId="13">#REF!</definedName>
    <definedName name="VRNKc" localSheetId="15">#REF!</definedName>
    <definedName name="VRNKc" localSheetId="16">#REF!</definedName>
    <definedName name="VRNKc" localSheetId="17">#REF!</definedName>
    <definedName name="VRNKc" localSheetId="34">#REF!</definedName>
    <definedName name="VRNKc" localSheetId="32">#REF!</definedName>
    <definedName name="VRNKc" localSheetId="33">#REF!</definedName>
    <definedName name="VRNKc" localSheetId="35">#REF!</definedName>
    <definedName name="VRNKc" localSheetId="18">#REF!</definedName>
    <definedName name="VRNKc" localSheetId="19">#REF!</definedName>
    <definedName name="VRNKc" localSheetId="20">#REF!</definedName>
    <definedName name="VRNKc" localSheetId="22">#REF!</definedName>
    <definedName name="VRNKc" localSheetId="24">#REF!</definedName>
    <definedName name="VRNKc" localSheetId="25">#REF!</definedName>
    <definedName name="VRNKc" localSheetId="26">#REF!</definedName>
    <definedName name="VRNKc" localSheetId="23">#REF!</definedName>
    <definedName name="VRNKc" localSheetId="27">#REF!</definedName>
    <definedName name="VRNKc" localSheetId="28">#REF!</definedName>
    <definedName name="VRNKc" localSheetId="29">#REF!</definedName>
    <definedName name="VRNKc" localSheetId="30">#REF!</definedName>
    <definedName name="VRNKc" localSheetId="31">#REF!</definedName>
    <definedName name="VRNKc" localSheetId="37">#REF!</definedName>
    <definedName name="VRNKc" localSheetId="38">#REF!</definedName>
    <definedName name="VRNKc" localSheetId="36">#REF!</definedName>
    <definedName name="VRNKc" localSheetId="0">#REF!</definedName>
    <definedName name="VRNKc" localSheetId="3">#REF!</definedName>
    <definedName name="VRNKc" localSheetId="1">#REF!</definedName>
    <definedName name="VRNKc">#REF!</definedName>
    <definedName name="VRNnazev" localSheetId="2">#REF!</definedName>
    <definedName name="VRNnazev" localSheetId="4">#REF!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4">#REF!</definedName>
    <definedName name="VRNnazev" localSheetId="13">#REF!</definedName>
    <definedName name="VRNnazev" localSheetId="15">#REF!</definedName>
    <definedName name="VRNnazev" localSheetId="16">#REF!</definedName>
    <definedName name="VRNnazev" localSheetId="17">#REF!</definedName>
    <definedName name="VRNnazev" localSheetId="34">#REF!</definedName>
    <definedName name="VRNnazev" localSheetId="32">#REF!</definedName>
    <definedName name="VRNnazev" localSheetId="33">#REF!</definedName>
    <definedName name="VRNnazev" localSheetId="35">#REF!</definedName>
    <definedName name="VRNnazev" localSheetId="18">#REF!</definedName>
    <definedName name="VRNnazev" localSheetId="19">#REF!</definedName>
    <definedName name="VRNnazev" localSheetId="20">#REF!</definedName>
    <definedName name="VRNnazev" localSheetId="22">#REF!</definedName>
    <definedName name="VRNnazev" localSheetId="24">#REF!</definedName>
    <definedName name="VRNnazev" localSheetId="25">#REF!</definedName>
    <definedName name="VRNnazev" localSheetId="26">#REF!</definedName>
    <definedName name="VRNnazev" localSheetId="23">#REF!</definedName>
    <definedName name="VRNnazev" localSheetId="27">#REF!</definedName>
    <definedName name="VRNnazev" localSheetId="28">#REF!</definedName>
    <definedName name="VRNnazev" localSheetId="29">#REF!</definedName>
    <definedName name="VRNnazev" localSheetId="30">#REF!</definedName>
    <definedName name="VRNnazev" localSheetId="31">#REF!</definedName>
    <definedName name="VRNnazev" localSheetId="37">#REF!</definedName>
    <definedName name="VRNnazev" localSheetId="38">#REF!</definedName>
    <definedName name="VRNnazev" localSheetId="36">#REF!</definedName>
    <definedName name="VRNnazev" localSheetId="0">#REF!</definedName>
    <definedName name="VRNnazev" localSheetId="3">#REF!</definedName>
    <definedName name="VRNnazev" localSheetId="1">#REF!</definedName>
    <definedName name="VRNnazev">#REF!</definedName>
    <definedName name="VRNproc" localSheetId="2">#REF!</definedName>
    <definedName name="VRNproc" localSheetId="4">#REF!</definedName>
    <definedName name="VRNproc" localSheetId="5">#REF!</definedName>
    <definedName name="VRNproc" localSheetId="6">#REF!</definedName>
    <definedName name="VRNproc" localSheetId="7">#REF!</definedName>
    <definedName name="VRNproc" localSheetId="8">#REF!</definedName>
    <definedName name="VRNproc" localSheetId="10">#REF!</definedName>
    <definedName name="VRNproc" localSheetId="11">#REF!</definedName>
    <definedName name="VRNproc" localSheetId="12">#REF!</definedName>
    <definedName name="VRNproc" localSheetId="14">#REF!</definedName>
    <definedName name="VRNproc" localSheetId="13">#REF!</definedName>
    <definedName name="VRNproc" localSheetId="15">#REF!</definedName>
    <definedName name="VRNproc" localSheetId="16">#REF!</definedName>
    <definedName name="VRNproc" localSheetId="17">#REF!</definedName>
    <definedName name="VRNproc" localSheetId="34">#REF!</definedName>
    <definedName name="VRNproc" localSheetId="32">#REF!</definedName>
    <definedName name="VRNproc" localSheetId="33">#REF!</definedName>
    <definedName name="VRNproc" localSheetId="35">#REF!</definedName>
    <definedName name="VRNproc" localSheetId="18">#REF!</definedName>
    <definedName name="VRNproc" localSheetId="20">#REF!</definedName>
    <definedName name="VRNproc" localSheetId="24">#REF!</definedName>
    <definedName name="VRNproc" localSheetId="25">#REF!</definedName>
    <definedName name="VRNproc" localSheetId="26">#REF!</definedName>
    <definedName name="VRNproc" localSheetId="23">#REF!</definedName>
    <definedName name="VRNproc" localSheetId="28">#REF!</definedName>
    <definedName name="VRNproc" localSheetId="29">#REF!</definedName>
    <definedName name="VRNproc" localSheetId="30">#REF!</definedName>
    <definedName name="VRNproc" localSheetId="31">#REF!</definedName>
    <definedName name="VRNproc" localSheetId="37">#REF!</definedName>
    <definedName name="VRNproc" localSheetId="38">#REF!</definedName>
    <definedName name="VRNproc" localSheetId="36">#REF!</definedName>
    <definedName name="VRNproc" localSheetId="0">#REF!</definedName>
    <definedName name="VRNproc" localSheetId="3">#REF!</definedName>
    <definedName name="VRNproc" localSheetId="1">#REF!</definedName>
    <definedName name="VRNproc">#REF!</definedName>
    <definedName name="VRNzakl" localSheetId="2">#REF!</definedName>
    <definedName name="VRNzakl" localSheetId="4">#REF!</definedName>
    <definedName name="VRNzakl" localSheetId="5">#REF!</definedName>
    <definedName name="VRNzakl" localSheetId="6">#REF!</definedName>
    <definedName name="VRNzakl" localSheetId="7">#REF!</definedName>
    <definedName name="VRNzakl" localSheetId="8">#REF!</definedName>
    <definedName name="VRNzakl" localSheetId="10">#REF!</definedName>
    <definedName name="VRNzakl" localSheetId="11">#REF!</definedName>
    <definedName name="VRNzakl" localSheetId="12">#REF!</definedName>
    <definedName name="VRNzakl" localSheetId="14">#REF!</definedName>
    <definedName name="VRNzakl" localSheetId="13">#REF!</definedName>
    <definedName name="VRNzakl" localSheetId="15">#REF!</definedName>
    <definedName name="VRNzakl" localSheetId="16">#REF!</definedName>
    <definedName name="VRNzakl" localSheetId="17">#REF!</definedName>
    <definedName name="VRNzakl" localSheetId="34">#REF!</definedName>
    <definedName name="VRNzakl" localSheetId="32">#REF!</definedName>
    <definedName name="VRNzakl" localSheetId="33">#REF!</definedName>
    <definedName name="VRNzakl" localSheetId="35">#REF!</definedName>
    <definedName name="VRNzakl" localSheetId="18">#REF!</definedName>
    <definedName name="VRNzakl" localSheetId="20">#REF!</definedName>
    <definedName name="VRNzakl" localSheetId="24">#REF!</definedName>
    <definedName name="VRNzakl" localSheetId="25">#REF!</definedName>
    <definedName name="VRNzakl" localSheetId="26">#REF!</definedName>
    <definedName name="VRNzakl" localSheetId="23">#REF!</definedName>
    <definedName name="VRNzakl" localSheetId="28">#REF!</definedName>
    <definedName name="VRNzakl" localSheetId="29">#REF!</definedName>
    <definedName name="VRNzakl" localSheetId="30">#REF!</definedName>
    <definedName name="VRNzakl" localSheetId="31">#REF!</definedName>
    <definedName name="VRNzakl" localSheetId="37">#REF!</definedName>
    <definedName name="VRNzakl" localSheetId="38">#REF!</definedName>
    <definedName name="VRNzakl" localSheetId="36">#REF!</definedName>
    <definedName name="VRNzakl" localSheetId="0">#REF!</definedName>
    <definedName name="VRNzakl" localSheetId="3">#REF!</definedName>
    <definedName name="VRNzakl" localSheetId="1">#REF!</definedName>
    <definedName name="VRNzakl">#REF!</definedName>
    <definedName name="výpočty" localSheetId="2">#REF!</definedName>
    <definedName name="výpočty" localSheetId="4">#REF!</definedName>
    <definedName name="výpočty" localSheetId="5">#REF!</definedName>
    <definedName name="výpočty" localSheetId="6">#REF!</definedName>
    <definedName name="výpočty" localSheetId="7">#REF!</definedName>
    <definedName name="výpočty" localSheetId="8">#REF!</definedName>
    <definedName name="výpočty" localSheetId="10">#REF!</definedName>
    <definedName name="výpočty" localSheetId="11">#REF!</definedName>
    <definedName name="výpočty" localSheetId="12">#REF!</definedName>
    <definedName name="výpočty" localSheetId="14">#REF!</definedName>
    <definedName name="výpočty" localSheetId="13">#REF!</definedName>
    <definedName name="výpočty" localSheetId="15">#REF!</definedName>
    <definedName name="výpočty" localSheetId="16">#REF!</definedName>
    <definedName name="výpočty" localSheetId="17">#REF!</definedName>
    <definedName name="výpočty" localSheetId="34">#REF!</definedName>
    <definedName name="výpočty" localSheetId="32">#REF!</definedName>
    <definedName name="výpočty" localSheetId="33">#REF!</definedName>
    <definedName name="výpočty" localSheetId="35">#REF!</definedName>
    <definedName name="výpočty" localSheetId="18">#REF!</definedName>
    <definedName name="výpočty" localSheetId="20">#REF!</definedName>
    <definedName name="výpočty" localSheetId="24">#REF!</definedName>
    <definedName name="výpočty" localSheetId="25">#REF!</definedName>
    <definedName name="výpočty" localSheetId="26">#REF!</definedName>
    <definedName name="výpočty" localSheetId="23">#REF!</definedName>
    <definedName name="výpočty" localSheetId="28">#REF!</definedName>
    <definedName name="výpočty" localSheetId="29">#REF!</definedName>
    <definedName name="výpočty" localSheetId="30">#REF!</definedName>
    <definedName name="výpočty" localSheetId="31">#REF!</definedName>
    <definedName name="výpočty" localSheetId="37">#REF!</definedName>
    <definedName name="výpočty" localSheetId="38">#REF!</definedName>
    <definedName name="výpočty" localSheetId="36">#REF!</definedName>
    <definedName name="výpočty" localSheetId="3">#REF!</definedName>
    <definedName name="výpočty" localSheetId="1">#REF!</definedName>
    <definedName name="výpočty">#REF!</definedName>
    <definedName name="vystup" localSheetId="2">#REF!</definedName>
    <definedName name="vystup" localSheetId="4">#REF!</definedName>
    <definedName name="vystup" localSheetId="5">#REF!</definedName>
    <definedName name="vystup" localSheetId="6">#REF!</definedName>
    <definedName name="vystup" localSheetId="7">#REF!</definedName>
    <definedName name="vystup" localSheetId="8">#REF!</definedName>
    <definedName name="vystup" localSheetId="10">#REF!</definedName>
    <definedName name="vystup" localSheetId="11">#REF!</definedName>
    <definedName name="vystup" localSheetId="12">#REF!</definedName>
    <definedName name="vystup" localSheetId="14">#REF!</definedName>
    <definedName name="vystup" localSheetId="13">#REF!</definedName>
    <definedName name="vystup" localSheetId="15">#REF!</definedName>
    <definedName name="vystup" localSheetId="16">#REF!</definedName>
    <definedName name="vystup" localSheetId="17">#REF!</definedName>
    <definedName name="vystup" localSheetId="34">#REF!</definedName>
    <definedName name="vystup" localSheetId="32">#REF!</definedName>
    <definedName name="vystup" localSheetId="33">#REF!</definedName>
    <definedName name="vystup" localSheetId="35">#REF!</definedName>
    <definedName name="vystup" localSheetId="18">#REF!</definedName>
    <definedName name="vystup" localSheetId="20">#REF!</definedName>
    <definedName name="vystup" localSheetId="24">#REF!</definedName>
    <definedName name="vystup" localSheetId="25">#REF!</definedName>
    <definedName name="vystup" localSheetId="26">#REF!</definedName>
    <definedName name="vystup" localSheetId="23">#REF!</definedName>
    <definedName name="vystup" localSheetId="28">#REF!</definedName>
    <definedName name="vystup" localSheetId="29">#REF!</definedName>
    <definedName name="vystup" localSheetId="30">#REF!</definedName>
    <definedName name="vystup" localSheetId="31">#REF!</definedName>
    <definedName name="vystup" localSheetId="37">#REF!</definedName>
    <definedName name="vystup" localSheetId="38">#REF!</definedName>
    <definedName name="vystup" localSheetId="36">#REF!</definedName>
    <definedName name="vystup" localSheetId="3">#REF!</definedName>
    <definedName name="vystup" localSheetId="1">#REF!</definedName>
    <definedName name="vystup">#REF!</definedName>
    <definedName name="vzduchna" localSheetId="2" hidden="1">{#N/A,#N/A,TRUE,"Krycí list"}</definedName>
    <definedName name="vzduchna" localSheetId="4"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17"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35" hidden="1">{#N/A,#N/A,TRUE,"Krycí list"}</definedName>
    <definedName name="vzduchna" localSheetId="18" hidden="1">{#N/A,#N/A,TRUE,"Krycí list"}</definedName>
    <definedName name="vzduchna" localSheetId="19" hidden="1">{#N/A,#N/A,TRUE,"Krycí list"}</definedName>
    <definedName name="vzduchna" localSheetId="20" hidden="1">{#N/A,#N/A,TRUE,"Krycí list"}</definedName>
    <definedName name="vzduchna" localSheetId="22" hidden="1">{#N/A,#N/A,TRUE,"Krycí list"}</definedName>
    <definedName name="vzduchna" localSheetId="23" hidden="1">{#N/A,#N/A,TRUE,"Krycí list"}</definedName>
    <definedName name="vzduchna" localSheetId="27" hidden="1">{#N/A,#N/A,TRUE,"Krycí list"}</definedName>
    <definedName name="vzduchna" localSheetId="28" hidden="1">{#N/A,#N/A,TRUE,"Krycí list"}</definedName>
    <definedName name="vzduchna" localSheetId="37" hidden="1">{#N/A,#N/A,TRUE,"Krycí list"}</definedName>
    <definedName name="vzduchna" localSheetId="38" hidden="1">{#N/A,#N/A,TRUE,"Krycí list"}</definedName>
    <definedName name="vzduchna" localSheetId="36" hidden="1">{#N/A,#N/A,TRUE,"Krycí list"}</definedName>
    <definedName name="vzduchna" localSheetId="0" hidden="1">{#N/A,#N/A,TRUE,"Krycí list"}</definedName>
    <definedName name="vzduchna" localSheetId="3" hidden="1">{#N/A,#N/A,TRUE,"Krycí list"}</definedName>
    <definedName name="vzduchna" localSheetId="1" hidden="1">{#N/A,#N/A,TRUE,"Krycí list"}</definedName>
    <definedName name="vzduchna" hidden="1">{#N/A,#N/A,TRUE,"Krycí list"}</definedName>
    <definedName name="Weak" localSheetId="2" hidden="1">{#N/A,#N/A,TRUE,"Krycí list"}</definedName>
    <definedName name="Weak" localSheetId="4"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17"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35" hidden="1">{#N/A,#N/A,TRUE,"Krycí list"}</definedName>
    <definedName name="Weak" localSheetId="18" hidden="1">{#N/A,#N/A,TRUE,"Krycí list"}</definedName>
    <definedName name="Weak" localSheetId="19" hidden="1">{#N/A,#N/A,TRUE,"Krycí list"}</definedName>
    <definedName name="Weak" localSheetId="20" hidden="1">{#N/A,#N/A,TRUE,"Krycí list"}</definedName>
    <definedName name="Weak" localSheetId="22" hidden="1">{#N/A,#N/A,TRUE,"Krycí list"}</definedName>
    <definedName name="Weak" localSheetId="23" hidden="1">{#N/A,#N/A,TRUE,"Krycí list"}</definedName>
    <definedName name="Weak" localSheetId="27" hidden="1">{#N/A,#N/A,TRUE,"Krycí list"}</definedName>
    <definedName name="Weak" localSheetId="28" hidden="1">{#N/A,#N/A,TRUE,"Krycí list"}</definedName>
    <definedName name="Weak" localSheetId="37" hidden="1">{#N/A,#N/A,TRUE,"Krycí list"}</definedName>
    <definedName name="Weak" localSheetId="38" hidden="1">{#N/A,#N/A,TRUE,"Krycí list"}</definedName>
    <definedName name="Weak" localSheetId="36" hidden="1">{#N/A,#N/A,TRUE,"Krycí list"}</definedName>
    <definedName name="Weak" localSheetId="0" hidden="1">{#N/A,#N/A,TRUE,"Krycí list"}</definedName>
    <definedName name="Weak" localSheetId="3" hidden="1">{#N/A,#N/A,TRUE,"Krycí list"}</definedName>
    <definedName name="Weak" localSheetId="1" hidden="1">{#N/A,#N/A,TRUE,"Krycí list"}</definedName>
    <definedName name="Weak" hidden="1">{#N/A,#N/A,TRUE,"Krycí list"}</definedName>
    <definedName name="wrn.Kontrolní._.rozpočet." localSheetId="2" hidden="1">{#N/A,#N/A,TRUE,"Krycí list"}</definedName>
    <definedName name="wrn.Kontrolní._.rozpočet." localSheetId="4"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17"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35" hidden="1">{#N/A,#N/A,TRUE,"Krycí list"}</definedName>
    <definedName name="wrn.Kontrolní._.rozpočet." localSheetId="18" hidden="1">{#N/A,#N/A,TRUE,"Krycí list"}</definedName>
    <definedName name="wrn.Kontrolní._.rozpočet." localSheetId="19" hidden="1">{#N/A,#N/A,TRUE,"Krycí list"}</definedName>
    <definedName name="wrn.Kontrolní._.rozpočet." localSheetId="20" hidden="1">{#N/A,#N/A,TRUE,"Krycí list"}</definedName>
    <definedName name="wrn.Kontrolní._.rozpočet." localSheetId="22" hidden="1">{#N/A,#N/A,TRUE,"Krycí list"}</definedName>
    <definedName name="wrn.Kontrolní._.rozpočet." localSheetId="23" hidden="1">{#N/A,#N/A,TRUE,"Krycí list"}</definedName>
    <definedName name="wrn.Kontrolní._.rozpočet." localSheetId="27" hidden="1">{#N/A,#N/A,TRUE,"Krycí list"}</definedName>
    <definedName name="wrn.Kontrolní._.rozpočet." localSheetId="28" hidden="1">{#N/A,#N/A,TRUE,"Krycí list"}</definedName>
    <definedName name="wrn.Kontrolní._.rozpočet." localSheetId="37" hidden="1">{#N/A,#N/A,TRUE,"Krycí list"}</definedName>
    <definedName name="wrn.Kontrolní._.rozpočet." localSheetId="38" hidden="1">{#N/A,#N/A,TRUE,"Krycí list"}</definedName>
    <definedName name="wrn.Kontrolní._.rozpočet." localSheetId="36" hidden="1">{#N/A,#N/A,TRUE,"Krycí list"}</definedName>
    <definedName name="wrn.Kontrolní._.rozpočet." localSheetId="0" hidden="1">{#N/A,#N/A,TRUE,"Krycí list"}</definedName>
    <definedName name="wrn.Kontrolní._.rozpočet." localSheetId="3" hidden="1">{#N/A,#N/A,TRUE,"Krycí list"}</definedName>
    <definedName name="wrn.Kontrolní._.rozpočet." localSheetId="1" hidden="1">{#N/A,#N/A,TRUE,"Krycí list"}</definedName>
    <definedName name="wrn.Kontrolní._.rozpočet." hidden="1">{#N/A,#N/A,TRUE,"Krycí list"}</definedName>
    <definedName name="wrn.Kontrolní._.rozpoeet." localSheetId="2" hidden="1">{#N/A,#N/A,TRUE,"Krycí list"}</definedName>
    <definedName name="wrn.Kontrolní._.rozpoeet." localSheetId="4"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17"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35" hidden="1">{#N/A,#N/A,TRUE,"Krycí list"}</definedName>
    <definedName name="wrn.Kontrolní._.rozpoeet." localSheetId="18" hidden="1">{#N/A,#N/A,TRUE,"Krycí list"}</definedName>
    <definedName name="wrn.Kontrolní._.rozpoeet." localSheetId="19" hidden="1">{#N/A,#N/A,TRUE,"Krycí list"}</definedName>
    <definedName name="wrn.Kontrolní._.rozpoeet." localSheetId="20" hidden="1">{#N/A,#N/A,TRUE,"Krycí list"}</definedName>
    <definedName name="wrn.Kontrolní._.rozpoeet." localSheetId="22" hidden="1">{#N/A,#N/A,TRUE,"Krycí list"}</definedName>
    <definedName name="wrn.Kontrolní._.rozpoeet." localSheetId="23" hidden="1">{#N/A,#N/A,TRUE,"Krycí list"}</definedName>
    <definedName name="wrn.Kontrolní._.rozpoeet." localSheetId="27" hidden="1">{#N/A,#N/A,TRUE,"Krycí list"}</definedName>
    <definedName name="wrn.Kontrolní._.rozpoeet." localSheetId="28" hidden="1">{#N/A,#N/A,TRUE,"Krycí list"}</definedName>
    <definedName name="wrn.Kontrolní._.rozpoeet." localSheetId="37" hidden="1">{#N/A,#N/A,TRUE,"Krycí list"}</definedName>
    <definedName name="wrn.Kontrolní._.rozpoeet." localSheetId="38" hidden="1">{#N/A,#N/A,TRUE,"Krycí list"}</definedName>
    <definedName name="wrn.Kontrolní._.rozpoeet." localSheetId="36" hidden="1">{#N/A,#N/A,TRUE,"Krycí list"}</definedName>
    <definedName name="wrn.Kontrolní._.rozpoeet." localSheetId="0" hidden="1">{#N/A,#N/A,TRUE,"Krycí list"}</definedName>
    <definedName name="wrn.Kontrolní._.rozpoeet." localSheetId="3" hidden="1">{#N/A,#N/A,TRUE,"Krycí list"}</definedName>
    <definedName name="wrn.Kontrolní._.rozpoeet." localSheetId="1" hidden="1">{#N/A,#N/A,TRUE,"Krycí list"}</definedName>
    <definedName name="wrn.Kontrolní._.rozpoeet." hidden="1">{#N/A,#N/A,TRUE,"Krycí list"}</definedName>
    <definedName name="y" localSheetId="15">#REF!</definedName>
    <definedName name="y" localSheetId="34">#REF!</definedName>
    <definedName name="y" localSheetId="33">#REF!</definedName>
    <definedName name="y" localSheetId="35">#REF!</definedName>
    <definedName name="y">#REF!</definedName>
    <definedName name="Z" localSheetId="2">#REF!</definedName>
    <definedName name="Z" localSheetId="4">#REF!</definedName>
    <definedName name="Z" localSheetId="5">#REF!</definedName>
    <definedName name="Z" localSheetId="6">#REF!</definedName>
    <definedName name="Z" localSheetId="11">#REF!</definedName>
    <definedName name="Z" localSheetId="15">#REF!</definedName>
    <definedName name="Z" localSheetId="16">#REF!</definedName>
    <definedName name="Z" localSheetId="17">#REF!</definedName>
    <definedName name="Z" localSheetId="34">#REF!</definedName>
    <definedName name="Z" localSheetId="32">#REF!</definedName>
    <definedName name="Z" localSheetId="33">#REF!</definedName>
    <definedName name="Z" localSheetId="35">#REF!</definedName>
    <definedName name="Z" localSheetId="18">#REF!</definedName>
    <definedName name="Z" localSheetId="19">#REF!</definedName>
    <definedName name="Z" localSheetId="20">#REF!</definedName>
    <definedName name="Z" localSheetId="22">#REF!</definedName>
    <definedName name="Z" localSheetId="27">#REF!</definedName>
    <definedName name="Z" localSheetId="37">#REF!</definedName>
    <definedName name="Z" localSheetId="38">#REF!</definedName>
    <definedName name="Z" localSheetId="36">#REF!</definedName>
    <definedName name="Z" localSheetId="3">#REF!</definedName>
    <definedName name="Z" localSheetId="1">#REF!</definedName>
    <definedName name="Z">#REF!</definedName>
    <definedName name="zahrnsazby" localSheetId="2">#REF!</definedName>
    <definedName name="zahrnsazby" localSheetId="4">#REF!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2">#REF!</definedName>
    <definedName name="zahrnsazby" localSheetId="14">#REF!</definedName>
    <definedName name="zahrnsazby" localSheetId="13">#REF!</definedName>
    <definedName name="zahrnsazby" localSheetId="15">#REF!</definedName>
    <definedName name="zahrnsazby" localSheetId="16">#REF!</definedName>
    <definedName name="zahrnsazby" localSheetId="17">#REF!</definedName>
    <definedName name="zahrnsazby" localSheetId="34">#REF!</definedName>
    <definedName name="zahrnsazby" localSheetId="32">#REF!</definedName>
    <definedName name="zahrnsazby" localSheetId="35">#REF!</definedName>
    <definedName name="zahrnsazby" localSheetId="18">#REF!</definedName>
    <definedName name="zahrnsazby" localSheetId="19">#REF!</definedName>
    <definedName name="zahrnsazby" localSheetId="20">#REF!</definedName>
    <definedName name="zahrnsazby" localSheetId="22">#REF!</definedName>
    <definedName name="zahrnsazby" localSheetId="24">#REF!</definedName>
    <definedName name="zahrnsazby" localSheetId="25">#REF!</definedName>
    <definedName name="zahrnsazby" localSheetId="26">#REF!</definedName>
    <definedName name="zahrnsazby" localSheetId="23">#REF!</definedName>
    <definedName name="zahrnsazby" localSheetId="27">#REF!</definedName>
    <definedName name="zahrnsazby" localSheetId="28">#REF!</definedName>
    <definedName name="zahrnsazby" localSheetId="29">#REF!</definedName>
    <definedName name="zahrnsazby" localSheetId="30">#REF!</definedName>
    <definedName name="zahrnsazby" localSheetId="31">#REF!</definedName>
    <definedName name="zahrnsazby" localSheetId="37">#REF!</definedName>
    <definedName name="zahrnsazby" localSheetId="38">#REF!</definedName>
    <definedName name="zahrnsazby" localSheetId="36">#REF!</definedName>
    <definedName name="zahrnsazby" localSheetId="3">#REF!</definedName>
    <definedName name="zahrnsazby" localSheetId="1">#REF!</definedName>
    <definedName name="zahrnsazby">#REF!</definedName>
    <definedName name="zahrnslevy" localSheetId="2">#REF!</definedName>
    <definedName name="zahrnslevy" localSheetId="4">#REF!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2">#REF!</definedName>
    <definedName name="zahrnslevy" localSheetId="14">#REF!</definedName>
    <definedName name="zahrnslevy" localSheetId="13">#REF!</definedName>
    <definedName name="zahrnslevy" localSheetId="15">#REF!</definedName>
    <definedName name="zahrnslevy" localSheetId="16">#REF!</definedName>
    <definedName name="zahrnslevy" localSheetId="17">#REF!</definedName>
    <definedName name="zahrnslevy" localSheetId="34">#REF!</definedName>
    <definedName name="zahrnslevy" localSheetId="32">#REF!</definedName>
    <definedName name="zahrnslevy" localSheetId="35">#REF!</definedName>
    <definedName name="zahrnslevy" localSheetId="18">#REF!</definedName>
    <definedName name="zahrnslevy" localSheetId="19">#REF!</definedName>
    <definedName name="zahrnslevy" localSheetId="20">#REF!</definedName>
    <definedName name="zahrnslevy" localSheetId="24">#REF!</definedName>
    <definedName name="zahrnslevy" localSheetId="25">#REF!</definedName>
    <definedName name="zahrnslevy" localSheetId="26">#REF!</definedName>
    <definedName name="zahrnslevy" localSheetId="23">#REF!</definedName>
    <definedName name="zahrnslevy" localSheetId="28">#REF!</definedName>
    <definedName name="zahrnslevy" localSheetId="29">#REF!</definedName>
    <definedName name="zahrnslevy" localSheetId="30">#REF!</definedName>
    <definedName name="zahrnslevy" localSheetId="31">#REF!</definedName>
    <definedName name="zahrnslevy" localSheetId="37">#REF!</definedName>
    <definedName name="zahrnslevy" localSheetId="38">#REF!</definedName>
    <definedName name="zahrnslevy" localSheetId="36">#REF!</definedName>
    <definedName name="zahrnslevy" localSheetId="3">#REF!</definedName>
    <definedName name="zahrnslevy" localSheetId="1">#REF!</definedName>
    <definedName name="zahrnslevy">#REF!</definedName>
    <definedName name="Zakazka" localSheetId="2">#REF!</definedName>
    <definedName name="Zakazka" localSheetId="4">#REF!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4">#REF!</definedName>
    <definedName name="Zakazka" localSheetId="13">#REF!</definedName>
    <definedName name="Zakazka" localSheetId="15">#REF!</definedName>
    <definedName name="Zakazka" localSheetId="16">#REF!</definedName>
    <definedName name="Zakazka" localSheetId="17">#REF!</definedName>
    <definedName name="Zakazka" localSheetId="34">#REF!</definedName>
    <definedName name="Zakazka" localSheetId="32">#REF!</definedName>
    <definedName name="Zakazka" localSheetId="33">#REF!</definedName>
    <definedName name="Zakazka" localSheetId="35">#REF!</definedName>
    <definedName name="Zakazka" localSheetId="18">#REF!</definedName>
    <definedName name="Zakazka" localSheetId="20">#REF!</definedName>
    <definedName name="Zakazka" localSheetId="24">#REF!</definedName>
    <definedName name="Zakazka" localSheetId="25">#REF!</definedName>
    <definedName name="Zakazka" localSheetId="26">#REF!</definedName>
    <definedName name="Zakazka" localSheetId="23">#REF!</definedName>
    <definedName name="Zakazka" localSheetId="28">#REF!</definedName>
    <definedName name="Zakazka" localSheetId="29">#REF!</definedName>
    <definedName name="Zakazka" localSheetId="30">#REF!</definedName>
    <definedName name="Zakazka" localSheetId="31">#REF!</definedName>
    <definedName name="Zakazka" localSheetId="37">#REF!</definedName>
    <definedName name="Zakazka" localSheetId="38">#REF!</definedName>
    <definedName name="Zakazka" localSheetId="36">#REF!</definedName>
    <definedName name="Zakazka" localSheetId="0">#REF!</definedName>
    <definedName name="Zakazka" localSheetId="3">#REF!</definedName>
    <definedName name="Zakazka" localSheetId="1">#REF!</definedName>
    <definedName name="Zakazka">#REF!</definedName>
    <definedName name="Zaklad22" localSheetId="2">#REF!</definedName>
    <definedName name="Zaklad22" localSheetId="4">#REF!</definedName>
    <definedName name="Zaklad22" localSheetId="5">#REF!</definedName>
    <definedName name="Zaklad22" localSheetId="6">#REF!</definedName>
    <definedName name="Zaklad22" localSheetId="7">#REF!</definedName>
    <definedName name="Zaklad22" localSheetId="8">#REF!</definedName>
    <definedName name="Zaklad22" localSheetId="10">#REF!</definedName>
    <definedName name="Zaklad22" localSheetId="11">#REF!</definedName>
    <definedName name="Zaklad22" localSheetId="12">#REF!</definedName>
    <definedName name="Zaklad22" localSheetId="14">#REF!</definedName>
    <definedName name="Zaklad22" localSheetId="13">#REF!</definedName>
    <definedName name="Zaklad22" localSheetId="15">#REF!</definedName>
    <definedName name="Zaklad22" localSheetId="16">#REF!</definedName>
    <definedName name="Zaklad22" localSheetId="17">#REF!</definedName>
    <definedName name="Zaklad22" localSheetId="34">#REF!</definedName>
    <definedName name="Zaklad22" localSheetId="32">#REF!</definedName>
    <definedName name="Zaklad22" localSheetId="33">#REF!</definedName>
    <definedName name="Zaklad22" localSheetId="35">#REF!</definedName>
    <definedName name="Zaklad22" localSheetId="18">#REF!</definedName>
    <definedName name="Zaklad22" localSheetId="20">#REF!</definedName>
    <definedName name="Zaklad22" localSheetId="24">#REF!</definedName>
    <definedName name="Zaklad22" localSheetId="25">#REF!</definedName>
    <definedName name="Zaklad22" localSheetId="26">#REF!</definedName>
    <definedName name="Zaklad22" localSheetId="23">#REF!</definedName>
    <definedName name="Zaklad22" localSheetId="28">#REF!</definedName>
    <definedName name="Zaklad22" localSheetId="29">#REF!</definedName>
    <definedName name="Zaklad22" localSheetId="30">#REF!</definedName>
    <definedName name="Zaklad22" localSheetId="31">#REF!</definedName>
    <definedName name="Zaklad22" localSheetId="37">#REF!</definedName>
    <definedName name="Zaklad22" localSheetId="38">#REF!</definedName>
    <definedName name="Zaklad22" localSheetId="36">#REF!</definedName>
    <definedName name="Zaklad22" localSheetId="0">#REF!</definedName>
    <definedName name="Zaklad22" localSheetId="3">#REF!</definedName>
    <definedName name="Zaklad22" localSheetId="1">#REF!</definedName>
    <definedName name="Zaklad22">#REF!</definedName>
    <definedName name="Zaklad5" localSheetId="2">#REF!</definedName>
    <definedName name="Zaklad5" localSheetId="4">#REF!</definedName>
    <definedName name="Zaklad5" localSheetId="5">#REF!</definedName>
    <definedName name="Zaklad5" localSheetId="6">#REF!</definedName>
    <definedName name="Zaklad5" localSheetId="7">#REF!</definedName>
    <definedName name="Zaklad5" localSheetId="8">#REF!</definedName>
    <definedName name="Zaklad5" localSheetId="10">#REF!</definedName>
    <definedName name="Zaklad5" localSheetId="11">#REF!</definedName>
    <definedName name="Zaklad5" localSheetId="12">#REF!</definedName>
    <definedName name="Zaklad5" localSheetId="14">#REF!</definedName>
    <definedName name="Zaklad5" localSheetId="13">#REF!</definedName>
    <definedName name="Zaklad5" localSheetId="15">#REF!</definedName>
    <definedName name="Zaklad5" localSheetId="16">#REF!</definedName>
    <definedName name="Zaklad5" localSheetId="17">#REF!</definedName>
    <definedName name="Zaklad5" localSheetId="34">#REF!</definedName>
    <definedName name="Zaklad5" localSheetId="32">#REF!</definedName>
    <definedName name="Zaklad5" localSheetId="33">#REF!</definedName>
    <definedName name="Zaklad5" localSheetId="35">#REF!</definedName>
    <definedName name="Zaklad5" localSheetId="18">#REF!</definedName>
    <definedName name="Zaklad5" localSheetId="20">#REF!</definedName>
    <definedName name="Zaklad5" localSheetId="24">#REF!</definedName>
    <definedName name="Zaklad5" localSheetId="25">#REF!</definedName>
    <definedName name="Zaklad5" localSheetId="26">#REF!</definedName>
    <definedName name="Zaklad5" localSheetId="23">#REF!</definedName>
    <definedName name="Zaklad5" localSheetId="28">#REF!</definedName>
    <definedName name="Zaklad5" localSheetId="29">#REF!</definedName>
    <definedName name="Zaklad5" localSheetId="30">#REF!</definedName>
    <definedName name="Zaklad5" localSheetId="31">#REF!</definedName>
    <definedName name="Zaklad5" localSheetId="37">#REF!</definedName>
    <definedName name="Zaklad5" localSheetId="38">#REF!</definedName>
    <definedName name="Zaklad5" localSheetId="36">#REF!</definedName>
    <definedName name="Zaklad5" localSheetId="0">#REF!</definedName>
    <definedName name="Zaklad5" localSheetId="3">#REF!</definedName>
    <definedName name="Zaklad5" localSheetId="1">#REF!</definedName>
    <definedName name="Zaklad5">#REF!</definedName>
    <definedName name="Zhotovitel" localSheetId="2">#REF!</definedName>
    <definedName name="Zhotovitel" localSheetId="4">#REF!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4">#REF!</definedName>
    <definedName name="Zhotovitel" localSheetId="13">#REF!</definedName>
    <definedName name="Zhotovitel" localSheetId="15">#REF!</definedName>
    <definedName name="Zhotovitel" localSheetId="16">#REF!</definedName>
    <definedName name="Zhotovitel" localSheetId="17">#REF!</definedName>
    <definedName name="Zhotovitel" localSheetId="34">#REF!</definedName>
    <definedName name="Zhotovitel" localSheetId="32">#REF!</definedName>
    <definedName name="Zhotovitel" localSheetId="33">#REF!</definedName>
    <definedName name="Zhotovitel" localSheetId="35">#REF!</definedName>
    <definedName name="Zhotovitel" localSheetId="18">#REF!</definedName>
    <definedName name="Zhotovitel" localSheetId="20">#REF!</definedName>
    <definedName name="Zhotovitel" localSheetId="24">#REF!</definedName>
    <definedName name="Zhotovitel" localSheetId="25">#REF!</definedName>
    <definedName name="Zhotovitel" localSheetId="26">#REF!</definedName>
    <definedName name="Zhotovitel" localSheetId="23">#REF!</definedName>
    <definedName name="Zhotovitel" localSheetId="28">#REF!</definedName>
    <definedName name="Zhotovitel" localSheetId="29">#REF!</definedName>
    <definedName name="Zhotovitel" localSheetId="30">#REF!</definedName>
    <definedName name="Zhotovitel" localSheetId="31">#REF!</definedName>
    <definedName name="Zhotovitel" localSheetId="37">#REF!</definedName>
    <definedName name="Zhotovitel" localSheetId="38">#REF!</definedName>
    <definedName name="Zhotovitel" localSheetId="36">#REF!</definedName>
    <definedName name="Zhotovitel" localSheetId="0">KL!$D$7</definedName>
    <definedName name="Zhotovitel" localSheetId="3">#REF!</definedName>
    <definedName name="Zhotovitel" localSheetId="1">#REF!</definedName>
    <definedName name="Zhotovitel">#REF!</definedName>
  </definedNames>
  <calcPr calcId="181029"/>
</workbook>
</file>

<file path=xl/calcChain.xml><?xml version="1.0" encoding="utf-8"?>
<calcChain xmlns="http://schemas.openxmlformats.org/spreadsheetml/2006/main">
  <c r="H43" i="11" l="1"/>
  <c r="H42" i="11"/>
  <c r="H41" i="11"/>
  <c r="H40" i="11"/>
  <c r="H39" i="11"/>
  <c r="H38" i="11"/>
  <c r="H37" i="11"/>
  <c r="H35" i="11"/>
  <c r="H34" i="11"/>
  <c r="H33" i="11"/>
  <c r="F33" i="11"/>
  <c r="F29" i="11"/>
  <c r="G29" i="11" l="1"/>
  <c r="H29" i="11" s="1"/>
  <c r="F521" i="32" l="1"/>
  <c r="H521" i="32" s="1"/>
  <c r="F520" i="32"/>
  <c r="H520" i="32" s="1"/>
  <c r="F519" i="32"/>
  <c r="H519" i="32" s="1"/>
  <c r="H511" i="32"/>
  <c r="F511" i="32"/>
  <c r="F510" i="32"/>
  <c r="H510" i="32" s="1"/>
  <c r="H509" i="32"/>
  <c r="F509" i="32"/>
  <c r="H501" i="32"/>
  <c r="F501" i="32"/>
  <c r="F500" i="32"/>
  <c r="H500" i="32" s="1"/>
  <c r="F499" i="32"/>
  <c r="H499" i="32" s="1"/>
  <c r="F491" i="32"/>
  <c r="H491" i="32" s="1"/>
  <c r="F490" i="32"/>
  <c r="H490" i="32" s="1"/>
  <c r="F489" i="32"/>
  <c r="H489" i="32" s="1"/>
  <c r="F481" i="32"/>
  <c r="H481" i="32" s="1"/>
  <c r="F480" i="32"/>
  <c r="H480" i="32" s="1"/>
  <c r="F479" i="32"/>
  <c r="H479" i="32" s="1"/>
  <c r="F471" i="32"/>
  <c r="H471" i="32" s="1"/>
  <c r="F470" i="32"/>
  <c r="H470" i="32" s="1"/>
  <c r="F469" i="32"/>
  <c r="H469" i="32" s="1"/>
  <c r="F461" i="32"/>
  <c r="H461" i="32" s="1"/>
  <c r="F460" i="32"/>
  <c r="H460" i="32" s="1"/>
  <c r="F459" i="32"/>
  <c r="H459" i="32" s="1"/>
  <c r="F451" i="32"/>
  <c r="H451" i="32" s="1"/>
  <c r="F450" i="32"/>
  <c r="H450" i="32" s="1"/>
  <c r="F449" i="32"/>
  <c r="H449" i="32" s="1"/>
  <c r="F441" i="32"/>
  <c r="H441" i="32" s="1"/>
  <c r="F440" i="32"/>
  <c r="H440" i="32" s="1"/>
  <c r="F439" i="32"/>
  <c r="H439" i="32" s="1"/>
  <c r="F431" i="32"/>
  <c r="H431" i="32" s="1"/>
  <c r="F430" i="32"/>
  <c r="H430" i="32" s="1"/>
  <c r="F429" i="32"/>
  <c r="H429" i="32" s="1"/>
  <c r="F421" i="32"/>
  <c r="H421" i="32" s="1"/>
  <c r="F420" i="32"/>
  <c r="H420" i="32" s="1"/>
  <c r="F419" i="32"/>
  <c r="H419" i="32" s="1"/>
  <c r="F411" i="32"/>
  <c r="H411" i="32" s="1"/>
  <c r="F410" i="32"/>
  <c r="H410" i="32" s="1"/>
  <c r="F409" i="32"/>
  <c r="H409" i="32" s="1"/>
  <c r="F401" i="32"/>
  <c r="H401" i="32" s="1"/>
  <c r="F400" i="32"/>
  <c r="H400" i="32" s="1"/>
  <c r="F399" i="32"/>
  <c r="H399" i="32" s="1"/>
  <c r="F391" i="32"/>
  <c r="H391" i="32" s="1"/>
  <c r="F390" i="32"/>
  <c r="H390" i="32" s="1"/>
  <c r="F389" i="32"/>
  <c r="H389" i="32" s="1"/>
  <c r="F381" i="32"/>
  <c r="H381" i="32" s="1"/>
  <c r="F380" i="32"/>
  <c r="H380" i="32" s="1"/>
  <c r="F379" i="32"/>
  <c r="H379" i="32" s="1"/>
  <c r="F371" i="32"/>
  <c r="H371" i="32" s="1"/>
  <c r="F370" i="32"/>
  <c r="H370" i="32" s="1"/>
  <c r="F369" i="32"/>
  <c r="H369" i="32" s="1"/>
  <c r="F361" i="32"/>
  <c r="H361" i="32" s="1"/>
  <c r="F360" i="32"/>
  <c r="H360" i="32" s="1"/>
  <c r="F359" i="32"/>
  <c r="H359" i="32" s="1"/>
  <c r="F351" i="32"/>
  <c r="H351" i="32" s="1"/>
  <c r="F350" i="32"/>
  <c r="H350" i="32" s="1"/>
  <c r="F349" i="32"/>
  <c r="H349" i="32" s="1"/>
  <c r="F341" i="32"/>
  <c r="H341" i="32" s="1"/>
  <c r="F340" i="32"/>
  <c r="H340" i="32" s="1"/>
  <c r="F339" i="32"/>
  <c r="H339" i="32" s="1"/>
  <c r="F331" i="32"/>
  <c r="H331" i="32" s="1"/>
  <c r="F330" i="32"/>
  <c r="H330" i="32" s="1"/>
  <c r="F329" i="32"/>
  <c r="H329" i="32" s="1"/>
  <c r="F321" i="32"/>
  <c r="H321" i="32" s="1"/>
  <c r="F320" i="32"/>
  <c r="H320" i="32" s="1"/>
  <c r="F319" i="32"/>
  <c r="H319" i="32" s="1"/>
  <c r="F311" i="32"/>
  <c r="H311" i="32" s="1"/>
  <c r="F310" i="32"/>
  <c r="H310" i="32" s="1"/>
  <c r="F309" i="32"/>
  <c r="H309" i="32" s="1"/>
  <c r="F301" i="32"/>
  <c r="H301" i="32" s="1"/>
  <c r="F300" i="32"/>
  <c r="H300" i="32" s="1"/>
  <c r="F299" i="32"/>
  <c r="H299" i="32" s="1"/>
  <c r="F291" i="32"/>
  <c r="H291" i="32" s="1"/>
  <c r="F290" i="32"/>
  <c r="H290" i="32" s="1"/>
  <c r="F289" i="32"/>
  <c r="H289" i="32" s="1"/>
  <c r="F281" i="32"/>
  <c r="H281" i="32" s="1"/>
  <c r="F280" i="32"/>
  <c r="H280" i="32" s="1"/>
  <c r="F279" i="32"/>
  <c r="H279" i="32" s="1"/>
  <c r="F271" i="32"/>
  <c r="H271" i="32" s="1"/>
  <c r="F270" i="32"/>
  <c r="H270" i="32" s="1"/>
  <c r="F269" i="32"/>
  <c r="H269" i="32" s="1"/>
  <c r="F261" i="32"/>
  <c r="H261" i="32" s="1"/>
  <c r="F260" i="32"/>
  <c r="H260" i="32" s="1"/>
  <c r="F259" i="32"/>
  <c r="H259" i="32" s="1"/>
  <c r="F251" i="32"/>
  <c r="H251" i="32" s="1"/>
  <c r="F250" i="32"/>
  <c r="H250" i="32" s="1"/>
  <c r="F249" i="32"/>
  <c r="H249" i="32" s="1"/>
  <c r="F241" i="32"/>
  <c r="H241" i="32" s="1"/>
  <c r="F240" i="32"/>
  <c r="H240" i="32" s="1"/>
  <c r="F239" i="32"/>
  <c r="H239" i="32" s="1"/>
  <c r="F231" i="32"/>
  <c r="H231" i="32" s="1"/>
  <c r="F230" i="32"/>
  <c r="H230" i="32" s="1"/>
  <c r="F229" i="32"/>
  <c r="H229" i="32" s="1"/>
  <c r="F221" i="32"/>
  <c r="H221" i="32" s="1"/>
  <c r="F220" i="32"/>
  <c r="H220" i="32" s="1"/>
  <c r="F219" i="32"/>
  <c r="H219" i="32" s="1"/>
  <c r="F211" i="32"/>
  <c r="H211" i="32" s="1"/>
  <c r="F210" i="32"/>
  <c r="H210" i="32" s="1"/>
  <c r="F209" i="32"/>
  <c r="H209" i="32" s="1"/>
  <c r="F201" i="32"/>
  <c r="H201" i="32" s="1"/>
  <c r="F200" i="32"/>
  <c r="H200" i="32" s="1"/>
  <c r="F199" i="32"/>
  <c r="H199" i="32" s="1"/>
  <c r="F192" i="32"/>
  <c r="H192" i="32" s="1"/>
  <c r="F191" i="32"/>
  <c r="H191" i="32" s="1"/>
  <c r="F190" i="32"/>
  <c r="H190" i="32" s="1"/>
  <c r="F183" i="32"/>
  <c r="H183" i="32" s="1"/>
  <c r="F182" i="32"/>
  <c r="H182" i="32" s="1"/>
  <c r="F181" i="32"/>
  <c r="H181" i="32" s="1"/>
  <c r="F174" i="32"/>
  <c r="H174" i="32" s="1"/>
  <c r="F173" i="32"/>
  <c r="H173" i="32" s="1"/>
  <c r="F172" i="32"/>
  <c r="H172" i="32" s="1"/>
  <c r="F165" i="32"/>
  <c r="H165" i="32" s="1"/>
  <c r="F164" i="32"/>
  <c r="H164" i="32" s="1"/>
  <c r="F163" i="32"/>
  <c r="H163" i="32" s="1"/>
  <c r="F157" i="32"/>
  <c r="F156" i="32"/>
  <c r="H156" i="32" s="1"/>
  <c r="F155" i="32"/>
  <c r="H155" i="32" s="1"/>
  <c r="F154" i="32"/>
  <c r="H154" i="32" s="1"/>
  <c r="F147" i="32"/>
  <c r="H147" i="32" s="1"/>
  <c r="F146" i="32"/>
  <c r="H146" i="32" s="1"/>
  <c r="F145" i="32"/>
  <c r="H145" i="32" s="1"/>
  <c r="F138" i="32"/>
  <c r="H138" i="32" s="1"/>
  <c r="F137" i="32"/>
  <c r="H137" i="32" s="1"/>
  <c r="F136" i="32"/>
  <c r="H136" i="32" s="1"/>
  <c r="F129" i="32"/>
  <c r="H129" i="32" s="1"/>
  <c r="F128" i="32"/>
  <c r="H128" i="32" s="1"/>
  <c r="F127" i="32"/>
  <c r="H127" i="32" s="1"/>
  <c r="F120" i="32"/>
  <c r="H120" i="32" s="1"/>
  <c r="F119" i="32"/>
  <c r="H119" i="32" s="1"/>
  <c r="F118" i="32"/>
  <c r="H118" i="32" s="1"/>
  <c r="F111" i="32"/>
  <c r="H111" i="32" s="1"/>
  <c r="F110" i="32"/>
  <c r="H110" i="32" s="1"/>
  <c r="F109" i="32"/>
  <c r="H109" i="32" s="1"/>
  <c r="F102" i="32"/>
  <c r="H102" i="32" s="1"/>
  <c r="F101" i="32"/>
  <c r="H101" i="32" s="1"/>
  <c r="F100" i="32"/>
  <c r="H100" i="32" s="1"/>
  <c r="F93" i="32" l="1"/>
  <c r="H93" i="32" s="1"/>
  <c r="F92" i="32"/>
  <c r="H92" i="32" s="1"/>
  <c r="F91" i="32"/>
  <c r="H91" i="32" s="1"/>
  <c r="G318" i="6" l="1"/>
  <c r="G334" i="6"/>
  <c r="H87" i="56" l="1"/>
  <c r="H9" i="39"/>
  <c r="G9" i="5" l="1"/>
  <c r="F259" i="6" l="1"/>
  <c r="F433" i="31"/>
  <c r="F391" i="31"/>
  <c r="F321" i="31"/>
  <c r="H321" i="31" s="1"/>
  <c r="F330" i="31"/>
  <c r="H330" i="31" s="1"/>
  <c r="F318" i="31"/>
  <c r="H318" i="31" s="1"/>
  <c r="F310" i="31"/>
  <c r="H310" i="31" s="1"/>
  <c r="F309" i="31"/>
  <c r="F307" i="31" s="1"/>
  <c r="H307" i="31" s="1"/>
  <c r="F306" i="31"/>
  <c r="F304" i="31" s="1"/>
  <c r="H304" i="31" s="1"/>
  <c r="F280" i="31"/>
  <c r="F278" i="31" s="1"/>
  <c r="H278" i="31" s="1"/>
  <c r="F277" i="31"/>
  <c r="F275" i="31" s="1"/>
  <c r="H275" i="31" s="1"/>
  <c r="F271" i="31"/>
  <c r="H271" i="31" s="1"/>
  <c r="F268" i="31"/>
  <c r="H268" i="31" s="1"/>
  <c r="F264" i="31"/>
  <c r="H264" i="31" s="1"/>
  <c r="F260" i="31"/>
  <c r="H260" i="31" s="1"/>
  <c r="F256" i="31"/>
  <c r="H256" i="31" s="1"/>
  <c r="F252" i="31"/>
  <c r="H252" i="31" s="1"/>
  <c r="F188" i="6" l="1"/>
  <c r="F193" i="6"/>
  <c r="F192" i="6"/>
  <c r="F293" i="31"/>
  <c r="H293" i="31" s="1"/>
  <c r="F117" i="31"/>
  <c r="H117" i="31" s="1"/>
  <c r="F360" i="31"/>
  <c r="F191" i="6"/>
  <c r="F190" i="6"/>
  <c r="H188" i="6" l="1"/>
  <c r="F329" i="31" l="1"/>
  <c r="F328" i="31"/>
  <c r="F326" i="31" s="1"/>
  <c r="H326" i="31" s="1"/>
  <c r="F314" i="31"/>
  <c r="H314" i="31" s="1"/>
  <c r="F303" i="31"/>
  <c r="F302" i="31"/>
  <c r="F296" i="31"/>
  <c r="H296" i="31" s="1"/>
  <c r="F283" i="31"/>
  <c r="F284" i="31"/>
  <c r="F287" i="31"/>
  <c r="F288" i="31"/>
  <c r="F292" i="31"/>
  <c r="F291" i="31"/>
  <c r="F289" i="31" l="1"/>
  <c r="H289" i="31" s="1"/>
  <c r="F281" i="31"/>
  <c r="H281" i="31" s="1"/>
  <c r="F300" i="31"/>
  <c r="H300" i="31" s="1"/>
  <c r="F285" i="31"/>
  <c r="H285" i="31" s="1"/>
  <c r="F116" i="34" l="1"/>
  <c r="H116" i="34" s="1"/>
  <c r="F113" i="34"/>
  <c r="H113" i="34" s="1"/>
  <c r="F258" i="34"/>
  <c r="H258" i="34" s="1"/>
  <c r="F228" i="34"/>
  <c r="H228" i="34" s="1"/>
  <c r="F201" i="34"/>
  <c r="H201" i="34" s="1"/>
  <c r="F172" i="34"/>
  <c r="H172" i="34" s="1"/>
  <c r="F145" i="34"/>
  <c r="H145" i="34" s="1"/>
  <c r="F70" i="34"/>
  <c r="H70" i="34" s="1"/>
  <c r="F30" i="34"/>
  <c r="H30" i="34" l="1"/>
  <c r="F367" i="31" l="1"/>
  <c r="F366" i="31"/>
  <c r="F359" i="31"/>
  <c r="F358" i="31"/>
  <c r="F357" i="31"/>
  <c r="F365" i="31"/>
  <c r="F381" i="31"/>
  <c r="H381" i="31" s="1"/>
  <c r="F385" i="31"/>
  <c r="H385" i="31" s="1"/>
  <c r="F377" i="31"/>
  <c r="H377" i="31" s="1"/>
  <c r="F164" i="31"/>
  <c r="F163" i="31"/>
  <c r="F162" i="31"/>
  <c r="F224" i="6"/>
  <c r="F223" i="6" s="1"/>
  <c r="H223" i="6" s="1"/>
  <c r="F215" i="6"/>
  <c r="F214" i="6" s="1"/>
  <c r="H214" i="6" s="1"/>
  <c r="F206" i="6"/>
  <c r="F205" i="6"/>
  <c r="H205" i="6" s="1"/>
  <c r="F355" i="31" l="1"/>
  <c r="H355" i="31" s="1"/>
  <c r="F363" i="31"/>
  <c r="H363" i="31" s="1"/>
  <c r="F160" i="31"/>
  <c r="H160" i="31" s="1"/>
  <c r="F145" i="31" l="1"/>
  <c r="F144" i="31" s="1"/>
  <c r="H144" i="31" s="1"/>
  <c r="F137" i="31"/>
  <c r="F136" i="31" s="1"/>
  <c r="H136" i="31" s="1"/>
  <c r="F128" i="31"/>
  <c r="F127" i="31" s="1"/>
  <c r="H127" i="31" s="1"/>
  <c r="F63" i="44" l="1"/>
  <c r="F98" i="43"/>
  <c r="H98" i="43" s="1"/>
  <c r="F97" i="43"/>
  <c r="H97" i="43" s="1"/>
  <c r="F96" i="43"/>
  <c r="H96" i="43" s="1"/>
  <c r="F95" i="43"/>
  <c r="H95" i="43"/>
  <c r="F30" i="56"/>
  <c r="H30" i="56" s="1"/>
  <c r="F28" i="56"/>
  <c r="H28" i="56" s="1"/>
  <c r="F147" i="49"/>
  <c r="H147" i="49" s="1"/>
  <c r="F146" i="49"/>
  <c r="H146" i="49" s="1"/>
  <c r="F145" i="49"/>
  <c r="H145" i="49" s="1"/>
  <c r="F178" i="48"/>
  <c r="H178" i="48" s="1"/>
  <c r="F177" i="48"/>
  <c r="H177" i="48" s="1"/>
  <c r="F176" i="48"/>
  <c r="H176" i="48" s="1"/>
  <c r="F178" i="47"/>
  <c r="H178" i="47" s="1"/>
  <c r="F177" i="47"/>
  <c r="H177" i="47" s="1"/>
  <c r="F176" i="47"/>
  <c r="H176" i="47" s="1"/>
  <c r="F147" i="53"/>
  <c r="H147" i="53" s="1"/>
  <c r="F146" i="53"/>
  <c r="H146" i="53" s="1"/>
  <c r="F145" i="53"/>
  <c r="H145" i="53" s="1"/>
  <c r="F179" i="52"/>
  <c r="H179" i="52" s="1"/>
  <c r="H178" i="52"/>
  <c r="F178" i="52"/>
  <c r="F177" i="52"/>
  <c r="H177" i="52" s="1"/>
  <c r="F103" i="40"/>
  <c r="H103" i="40" s="1"/>
  <c r="F102" i="40"/>
  <c r="H102" i="40" s="1"/>
  <c r="F101" i="40"/>
  <c r="H101" i="40" s="1"/>
  <c r="F100" i="40"/>
  <c r="H100" i="40" s="1"/>
  <c r="F102" i="39"/>
  <c r="H102" i="39" s="1"/>
  <c r="F101" i="39"/>
  <c r="H101" i="39" s="1"/>
  <c r="F100" i="39"/>
  <c r="H100" i="39" s="1"/>
  <c r="F99" i="39"/>
  <c r="H99" i="39" s="1"/>
  <c r="F85" i="45"/>
  <c r="H85" i="45" s="1"/>
  <c r="F84" i="45"/>
  <c r="H84" i="45" s="1"/>
  <c r="F83" i="45"/>
  <c r="H83" i="45" s="1"/>
  <c r="F82" i="45"/>
  <c r="H82" i="45" s="1"/>
  <c r="F80" i="45"/>
  <c r="H80" i="45" s="1"/>
  <c r="F81" i="45"/>
  <c r="H81" i="45"/>
  <c r="F658" i="37"/>
  <c r="H658" i="37" s="1"/>
  <c r="F657" i="37"/>
  <c r="H657" i="37" s="1"/>
  <c r="G22" i="5" l="1"/>
  <c r="G24" i="5"/>
  <c r="G25" i="5"/>
  <c r="G20" i="5"/>
  <c r="G18" i="5"/>
  <c r="F620" i="6" l="1"/>
  <c r="F336" i="6"/>
  <c r="F80" i="55" l="1"/>
  <c r="H80" i="55" s="1"/>
  <c r="F164" i="43" l="1"/>
  <c r="F163" i="43"/>
  <c r="F161" i="43" s="1"/>
  <c r="H161" i="43" s="1"/>
  <c r="F165" i="43"/>
  <c r="H165" i="43" s="1"/>
  <c r="F156" i="43"/>
  <c r="H156" i="43" s="1"/>
  <c r="H85" i="56"/>
  <c r="F85" i="56"/>
  <c r="H84" i="56"/>
  <c r="H83" i="56"/>
  <c r="F77" i="56"/>
  <c r="H77" i="56" s="1"/>
  <c r="F71" i="56"/>
  <c r="H71" i="56" s="1"/>
  <c r="H65" i="56"/>
  <c r="F65" i="56"/>
  <c r="F61" i="56"/>
  <c r="H61" i="56" s="1"/>
  <c r="F56" i="56"/>
  <c r="F55" i="56"/>
  <c r="H55" i="56" s="1"/>
  <c r="H50" i="56"/>
  <c r="F50" i="56"/>
  <c r="F47" i="56"/>
  <c r="H47" i="56" s="1"/>
  <c r="F42" i="56"/>
  <c r="H42" i="56" s="1"/>
  <c r="F38" i="56"/>
  <c r="H38" i="56" s="1"/>
  <c r="F36" i="56"/>
  <c r="F34" i="56"/>
  <c r="H34" i="56" s="1"/>
  <c r="H33" i="56" s="1"/>
  <c r="F25" i="56"/>
  <c r="F27" i="56" s="1"/>
  <c r="H27" i="56" s="1"/>
  <c r="F24" i="56"/>
  <c r="F23" i="56"/>
  <c r="F22" i="56"/>
  <c r="H22" i="56" s="1"/>
  <c r="F21" i="56"/>
  <c r="F20" i="56" s="1"/>
  <c r="H20" i="56" s="1"/>
  <c r="F18" i="56"/>
  <c r="F17" i="56"/>
  <c r="F16" i="56"/>
  <c r="H16" i="56" s="1"/>
  <c r="H15" i="56"/>
  <c r="H14" i="56"/>
  <c r="H13" i="56"/>
  <c r="H12" i="56"/>
  <c r="H11" i="56"/>
  <c r="H10" i="56"/>
  <c r="H155" i="43" l="1"/>
  <c r="H154" i="43" s="1"/>
  <c r="H37" i="56"/>
  <c r="H60" i="56"/>
  <c r="F29" i="56"/>
  <c r="H29" i="56" s="1"/>
  <c r="G24" i="56" s="1"/>
  <c r="H24" i="56" s="1"/>
  <c r="H9" i="56" s="1"/>
  <c r="H8" i="56" s="1"/>
  <c r="H89" i="56" s="1"/>
  <c r="C9" i="54" s="1"/>
  <c r="F111" i="55" l="1"/>
  <c r="H111" i="55" s="1"/>
  <c r="H110" i="55"/>
  <c r="F102" i="55"/>
  <c r="F101" i="55" s="1"/>
  <c r="F97" i="55"/>
  <c r="F96" i="55" s="1"/>
  <c r="F91" i="55"/>
  <c r="F95" i="55" s="1"/>
  <c r="H95" i="55" s="1"/>
  <c r="F86" i="55"/>
  <c r="H86" i="55" s="1"/>
  <c r="F79" i="55"/>
  <c r="F78" i="55" s="1"/>
  <c r="H78" i="55" s="1"/>
  <c r="F77" i="55"/>
  <c r="F76" i="55" s="1"/>
  <c r="H76" i="55" s="1"/>
  <c r="F75" i="55"/>
  <c r="F74" i="55" s="1"/>
  <c r="H74" i="55" s="1"/>
  <c r="F73" i="55"/>
  <c r="F72" i="55" s="1"/>
  <c r="H72" i="55" s="1"/>
  <c r="F70" i="55"/>
  <c r="H70" i="55" s="1"/>
  <c r="F68" i="55"/>
  <c r="H68" i="55" s="1"/>
  <c r="F67" i="55"/>
  <c r="F66" i="55"/>
  <c r="H66" i="55" s="1"/>
  <c r="F64" i="55"/>
  <c r="H64" i="55" s="1"/>
  <c r="F63" i="55"/>
  <c r="F62" i="55" s="1"/>
  <c r="H62" i="55" s="1"/>
  <c r="F61" i="55"/>
  <c r="F60" i="55" s="1"/>
  <c r="H60" i="55" s="1"/>
  <c r="F57" i="55"/>
  <c r="H57" i="55" s="1"/>
  <c r="F52" i="55"/>
  <c r="H52" i="55" s="1"/>
  <c r="F51" i="55"/>
  <c r="F50" i="55" s="1"/>
  <c r="H50" i="55" s="1"/>
  <c r="F48" i="55"/>
  <c r="H48" i="55" s="1"/>
  <c r="F46" i="55"/>
  <c r="H46" i="55" s="1"/>
  <c r="F45" i="55"/>
  <c r="F44" i="55"/>
  <c r="F43" i="55" s="1"/>
  <c r="H43" i="55" s="1"/>
  <c r="F42" i="55"/>
  <c r="F41" i="55" s="1"/>
  <c r="H41" i="55" s="1"/>
  <c r="F40" i="55"/>
  <c r="F39" i="55" s="1"/>
  <c r="H39" i="55" s="1"/>
  <c r="F38" i="55"/>
  <c r="F37" i="55" s="1"/>
  <c r="H37" i="55" s="1"/>
  <c r="F36" i="55"/>
  <c r="F35" i="55" s="1"/>
  <c r="H35" i="55" s="1"/>
  <c r="F33" i="55"/>
  <c r="H33" i="55" s="1"/>
  <c r="F32" i="55"/>
  <c r="F31" i="55" s="1"/>
  <c r="H31" i="55" s="1"/>
  <c r="F29" i="55"/>
  <c r="H29" i="55" s="1"/>
  <c r="F28" i="55"/>
  <c r="F27" i="55" s="1"/>
  <c r="H27" i="55" s="1"/>
  <c r="F25" i="55"/>
  <c r="H25" i="55" s="1"/>
  <c r="F23" i="55"/>
  <c r="H23" i="55" s="1"/>
  <c r="F20" i="55"/>
  <c r="F18" i="55" s="1"/>
  <c r="H18" i="55" s="1"/>
  <c r="F16" i="55"/>
  <c r="F14" i="55" s="1"/>
  <c r="H14" i="55" s="1"/>
  <c r="F13" i="55"/>
  <c r="F12" i="55" s="1"/>
  <c r="H12" i="55" s="1"/>
  <c r="F11" i="55"/>
  <c r="F10" i="55" s="1"/>
  <c r="H10" i="55" s="1"/>
  <c r="H109" i="55" l="1"/>
  <c r="F98" i="55"/>
  <c r="H98" i="55" s="1"/>
  <c r="F103" i="55"/>
  <c r="F106" i="55"/>
  <c r="H106" i="55" s="1"/>
  <c r="F93" i="55"/>
  <c r="F90" i="55"/>
  <c r="F99" i="55"/>
  <c r="H99" i="55" s="1"/>
  <c r="G96" i="55" s="1"/>
  <c r="H96" i="55" s="1"/>
  <c r="F94" i="55" l="1"/>
  <c r="H94" i="55" s="1"/>
  <c r="H93" i="55"/>
  <c r="H103" i="55"/>
  <c r="F104" i="55"/>
  <c r="G90" i="55"/>
  <c r="H90" i="55" s="1"/>
  <c r="F105" i="55" l="1"/>
  <c r="H105" i="55" s="1"/>
  <c r="H104" i="55"/>
  <c r="G101" i="55" l="1"/>
  <c r="H101" i="55" s="1"/>
  <c r="H9" i="55" s="1"/>
  <c r="H8" i="55" s="1"/>
  <c r="H114" i="55" s="1"/>
  <c r="H116" i="55" s="1"/>
  <c r="C8" i="54" s="1"/>
  <c r="C10" i="54" s="1"/>
  <c r="H60" i="4" s="1"/>
  <c r="F153" i="53"/>
  <c r="H153" i="53" s="1"/>
  <c r="F152" i="53"/>
  <c r="F151" i="53"/>
  <c r="F150" i="53" s="1"/>
  <c r="H150" i="53" s="1"/>
  <c r="F142" i="53"/>
  <c r="F141" i="53"/>
  <c r="F144" i="53" s="1"/>
  <c r="H144" i="53" s="1"/>
  <c r="F140" i="53"/>
  <c r="F139" i="53" s="1"/>
  <c r="F137" i="53" s="1"/>
  <c r="F132" i="53"/>
  <c r="F134" i="53" s="1"/>
  <c r="H134" i="53" s="1"/>
  <c r="F130" i="53"/>
  <c r="F133" i="53" s="1"/>
  <c r="H133" i="53" s="1"/>
  <c r="F121" i="53"/>
  <c r="F120" i="53" s="1"/>
  <c r="F123" i="53" s="1"/>
  <c r="H123" i="53" s="1"/>
  <c r="F119" i="53"/>
  <c r="F118" i="53" s="1"/>
  <c r="F113" i="53"/>
  <c r="F111" i="53" s="1"/>
  <c r="H111" i="53" s="1"/>
  <c r="F108" i="53"/>
  <c r="F106" i="53" s="1"/>
  <c r="H106" i="53" s="1"/>
  <c r="F105" i="53"/>
  <c r="F103" i="53" s="1"/>
  <c r="H103" i="53" s="1"/>
  <c r="F100" i="53"/>
  <c r="F98" i="53" s="1"/>
  <c r="H98" i="53" s="1"/>
  <c r="F96" i="53"/>
  <c r="F94" i="53" s="1"/>
  <c r="H94" i="53" s="1"/>
  <c r="F92" i="53"/>
  <c r="F90" i="53" s="1"/>
  <c r="H90" i="53" s="1"/>
  <c r="F88" i="53"/>
  <c r="H88" i="53" s="1"/>
  <c r="F86" i="53"/>
  <c r="H86" i="53" s="1"/>
  <c r="F84" i="53"/>
  <c r="H84" i="53" s="1"/>
  <c r="F82" i="53"/>
  <c r="H82" i="53" s="1"/>
  <c r="F81" i="53"/>
  <c r="F80" i="53" s="1"/>
  <c r="H80" i="53" s="1"/>
  <c r="F78" i="53"/>
  <c r="F76" i="53" s="1"/>
  <c r="H76" i="53" s="1"/>
  <c r="F74" i="53"/>
  <c r="F72" i="53" s="1"/>
  <c r="H72" i="53" s="1"/>
  <c r="F70" i="53"/>
  <c r="F68" i="53" s="1"/>
  <c r="H68" i="53" s="1"/>
  <c r="F66" i="53"/>
  <c r="H66" i="53" s="1"/>
  <c r="F65" i="53"/>
  <c r="F64" i="53" s="1"/>
  <c r="H64" i="53" s="1"/>
  <c r="F61" i="53"/>
  <c r="H61" i="53" s="1"/>
  <c r="F59" i="53"/>
  <c r="H59" i="53" s="1"/>
  <c r="F57" i="53"/>
  <c r="H57" i="53" s="1"/>
  <c r="F54" i="53"/>
  <c r="H54" i="53" s="1"/>
  <c r="F50" i="53"/>
  <c r="H50" i="53" s="1"/>
  <c r="F46" i="53"/>
  <c r="H46" i="53" s="1"/>
  <c r="F42" i="53"/>
  <c r="H42" i="53" s="1"/>
  <c r="F38" i="53"/>
  <c r="H38" i="53" s="1"/>
  <c r="F36" i="53"/>
  <c r="F35" i="53"/>
  <c r="F33" i="53" s="1"/>
  <c r="H33" i="53" s="1"/>
  <c r="F30" i="53"/>
  <c r="H30" i="53" s="1"/>
  <c r="F27" i="53"/>
  <c r="H27" i="53" s="1"/>
  <c r="F25" i="53"/>
  <c r="F23" i="53" s="1"/>
  <c r="H23" i="53" s="1"/>
  <c r="F21" i="53"/>
  <c r="F19" i="53" s="1"/>
  <c r="H19" i="53" s="1"/>
  <c r="F17" i="53"/>
  <c r="F15" i="53" s="1"/>
  <c r="H15" i="53" s="1"/>
  <c r="F13" i="53"/>
  <c r="F11" i="53" s="1"/>
  <c r="H11" i="53" s="1"/>
  <c r="H185" i="52"/>
  <c r="F185" i="52"/>
  <c r="F184" i="52"/>
  <c r="F183" i="52"/>
  <c r="F182" i="52" s="1"/>
  <c r="H182" i="52" s="1"/>
  <c r="F174" i="52"/>
  <c r="F173" i="52" s="1"/>
  <c r="F176" i="52" s="1"/>
  <c r="H176" i="52" s="1"/>
  <c r="F172" i="52"/>
  <c r="F171" i="52" s="1"/>
  <c r="F164" i="52"/>
  <c r="F163" i="52" s="1"/>
  <c r="F162" i="52"/>
  <c r="F165" i="52" s="1"/>
  <c r="H165" i="52" s="1"/>
  <c r="F161" i="52"/>
  <c r="F159" i="52" s="1"/>
  <c r="F153" i="52"/>
  <c r="F152" i="52" s="1"/>
  <c r="F155" i="52" s="1"/>
  <c r="H155" i="52" s="1"/>
  <c r="F151" i="52"/>
  <c r="F150" i="52" s="1"/>
  <c r="F145" i="52"/>
  <c r="F143" i="52" s="1"/>
  <c r="H143" i="52" s="1"/>
  <c r="F140" i="52"/>
  <c r="F138" i="52"/>
  <c r="H138" i="52" s="1"/>
  <c r="F137" i="52"/>
  <c r="F135" i="52" s="1"/>
  <c r="F134" i="52"/>
  <c r="F132" i="52"/>
  <c r="H132" i="52" s="1"/>
  <c r="F129" i="52"/>
  <c r="F127" i="52" s="1"/>
  <c r="F124" i="52"/>
  <c r="F122" i="52" s="1"/>
  <c r="H122" i="52" s="1"/>
  <c r="F120" i="52"/>
  <c r="F118" i="52" s="1"/>
  <c r="F116" i="52"/>
  <c r="F114" i="52" s="1"/>
  <c r="F112" i="52"/>
  <c r="F110" i="52" s="1"/>
  <c r="H110" i="52" s="1"/>
  <c r="F108" i="52"/>
  <c r="F106" i="52" s="1"/>
  <c r="H106" i="52" s="1"/>
  <c r="F104" i="52"/>
  <c r="H104" i="52" s="1"/>
  <c r="F102" i="52"/>
  <c r="H102" i="52" s="1"/>
  <c r="F100" i="52"/>
  <c r="H100" i="52" s="1"/>
  <c r="H98" i="52"/>
  <c r="F98" i="52"/>
  <c r="F96" i="52"/>
  <c r="F95" i="52" s="1"/>
  <c r="H95" i="52" s="1"/>
  <c r="F93" i="52"/>
  <c r="F91" i="52" s="1"/>
  <c r="F89" i="52"/>
  <c r="F87" i="52" s="1"/>
  <c r="F85" i="52"/>
  <c r="F83" i="52"/>
  <c r="H83" i="52" s="1"/>
  <c r="F81" i="52"/>
  <c r="F79" i="52" s="1"/>
  <c r="H79" i="52" s="1"/>
  <c r="F77" i="52"/>
  <c r="F75" i="52" s="1"/>
  <c r="F73" i="52"/>
  <c r="F71" i="52" s="1"/>
  <c r="H71" i="52" s="1"/>
  <c r="F69" i="52"/>
  <c r="H69" i="52" s="1"/>
  <c r="F68" i="52"/>
  <c r="F67" i="52" s="1"/>
  <c r="H67" i="52" s="1"/>
  <c r="F64" i="52"/>
  <c r="H64" i="52" s="1"/>
  <c r="F62" i="52"/>
  <c r="H62" i="52" s="1"/>
  <c r="F60" i="52"/>
  <c r="H60" i="52" s="1"/>
  <c r="H57" i="52"/>
  <c r="F57" i="52"/>
  <c r="F53" i="52"/>
  <c r="H53" i="52" s="1"/>
  <c r="F49" i="52"/>
  <c r="H49" i="52" s="1"/>
  <c r="F45" i="52"/>
  <c r="H45" i="52" s="1"/>
  <c r="H41" i="52"/>
  <c r="F41" i="52"/>
  <c r="F39" i="52"/>
  <c r="F38" i="52"/>
  <c r="F37" i="52"/>
  <c r="H32" i="52"/>
  <c r="F32" i="52"/>
  <c r="F29" i="52"/>
  <c r="H29" i="52" s="1"/>
  <c r="F27" i="52"/>
  <c r="F25" i="52" s="1"/>
  <c r="H25" i="52" s="1"/>
  <c r="F23" i="52"/>
  <c r="F21" i="52"/>
  <c r="H21" i="52" s="1"/>
  <c r="F19" i="52"/>
  <c r="F18" i="52"/>
  <c r="F14" i="52"/>
  <c r="F13" i="52"/>
  <c r="F184" i="51"/>
  <c r="H184" i="51" s="1"/>
  <c r="F183" i="51"/>
  <c r="F182" i="51"/>
  <c r="F181" i="51" s="1"/>
  <c r="H181" i="51" s="1"/>
  <c r="F173" i="51"/>
  <c r="F172" i="51" s="1"/>
  <c r="F171" i="51"/>
  <c r="F170" i="51" s="1"/>
  <c r="F174" i="51" s="1"/>
  <c r="H174" i="51" s="1"/>
  <c r="F163" i="51"/>
  <c r="F165" i="51" s="1"/>
  <c r="H165" i="51" s="1"/>
  <c r="F161" i="51"/>
  <c r="F164" i="51" s="1"/>
  <c r="H164" i="51" s="1"/>
  <c r="F160" i="51"/>
  <c r="F152" i="51"/>
  <c r="F151" i="51" s="1"/>
  <c r="F154" i="51" s="1"/>
  <c r="H154" i="51" s="1"/>
  <c r="F150" i="51"/>
  <c r="F149" i="51" s="1"/>
  <c r="F144" i="51"/>
  <c r="F142" i="51" s="1"/>
  <c r="H142" i="51" s="1"/>
  <c r="F139" i="51"/>
  <c r="F137" i="51" s="1"/>
  <c r="H137" i="51" s="1"/>
  <c r="F136" i="51"/>
  <c r="F134" i="51" s="1"/>
  <c r="H134" i="51" s="1"/>
  <c r="F133" i="51"/>
  <c r="F131" i="51" s="1"/>
  <c r="H131" i="51" s="1"/>
  <c r="F128" i="51"/>
  <c r="F126" i="51" s="1"/>
  <c r="H126" i="51" s="1"/>
  <c r="F123" i="51"/>
  <c r="F121" i="51" s="1"/>
  <c r="H121" i="51" s="1"/>
  <c r="F119" i="51"/>
  <c r="F117" i="51" s="1"/>
  <c r="H117" i="51" s="1"/>
  <c r="F115" i="51"/>
  <c r="F113" i="51" s="1"/>
  <c r="H113" i="51" s="1"/>
  <c r="F111" i="51"/>
  <c r="F109" i="51" s="1"/>
  <c r="H109" i="51" s="1"/>
  <c r="F107" i="51"/>
  <c r="F105" i="51" s="1"/>
  <c r="H105" i="51" s="1"/>
  <c r="F103" i="51"/>
  <c r="H103" i="51" s="1"/>
  <c r="F101" i="51"/>
  <c r="H101" i="51" s="1"/>
  <c r="F99" i="51"/>
  <c r="H99" i="51" s="1"/>
  <c r="F97" i="51"/>
  <c r="H97" i="51" s="1"/>
  <c r="F96" i="51"/>
  <c r="F95" i="51" s="1"/>
  <c r="H95" i="51" s="1"/>
  <c r="F93" i="51"/>
  <c r="F91" i="51" s="1"/>
  <c r="H91" i="51" s="1"/>
  <c r="F89" i="51"/>
  <c r="F87" i="51" s="1"/>
  <c r="H87" i="51" s="1"/>
  <c r="F85" i="51"/>
  <c r="F83" i="51"/>
  <c r="H83" i="51" s="1"/>
  <c r="F81" i="51"/>
  <c r="F79" i="51" s="1"/>
  <c r="H79" i="51" s="1"/>
  <c r="F77" i="51"/>
  <c r="F75" i="51" s="1"/>
  <c r="H75" i="51" s="1"/>
  <c r="F73" i="51"/>
  <c r="F71" i="51" s="1"/>
  <c r="H71" i="51" s="1"/>
  <c r="F69" i="51"/>
  <c r="H69" i="51" s="1"/>
  <c r="F68" i="51"/>
  <c r="F67" i="51" s="1"/>
  <c r="H67" i="51" s="1"/>
  <c r="H64" i="51"/>
  <c r="F64" i="51"/>
  <c r="F62" i="51"/>
  <c r="H62" i="51" s="1"/>
  <c r="F60" i="51"/>
  <c r="H60" i="51" s="1"/>
  <c r="F57" i="51"/>
  <c r="H57" i="51" s="1"/>
  <c r="F53" i="51"/>
  <c r="H53" i="51" s="1"/>
  <c r="F49" i="51"/>
  <c r="H49" i="51" s="1"/>
  <c r="F45" i="51"/>
  <c r="H45" i="51" s="1"/>
  <c r="F41" i="51"/>
  <c r="H41" i="51" s="1"/>
  <c r="F39" i="51"/>
  <c r="F38" i="51"/>
  <c r="F37" i="51"/>
  <c r="F32" i="51"/>
  <c r="H32" i="51" s="1"/>
  <c r="F29" i="51"/>
  <c r="H29" i="51" s="1"/>
  <c r="F27" i="51"/>
  <c r="F25" i="51" s="1"/>
  <c r="H25" i="51" s="1"/>
  <c r="F23" i="51"/>
  <c r="F21" i="51" s="1"/>
  <c r="H21" i="51" s="1"/>
  <c r="F19" i="51"/>
  <c r="F18" i="51"/>
  <c r="F16" i="51" s="1"/>
  <c r="H16" i="51" s="1"/>
  <c r="F14" i="51"/>
  <c r="F13" i="51"/>
  <c r="F11" i="51" s="1"/>
  <c r="H11" i="51" s="1"/>
  <c r="F131" i="53" l="1"/>
  <c r="F35" i="52"/>
  <c r="H35" i="52" s="1"/>
  <c r="F11" i="52"/>
  <c r="H11" i="52" s="1"/>
  <c r="F16" i="52"/>
  <c r="H16" i="52" s="1"/>
  <c r="F162" i="51"/>
  <c r="F158" i="51" s="1"/>
  <c r="F166" i="51" s="1"/>
  <c r="H166" i="51" s="1"/>
  <c r="G158" i="51" s="1"/>
  <c r="H158" i="51" s="1"/>
  <c r="F35" i="51"/>
  <c r="H35" i="51" s="1"/>
  <c r="H10" i="51" s="1"/>
  <c r="H10" i="53"/>
  <c r="F116" i="53"/>
  <c r="F122" i="53"/>
  <c r="H122" i="53" s="1"/>
  <c r="F169" i="52"/>
  <c r="F175" i="52"/>
  <c r="H175" i="52" s="1"/>
  <c r="F168" i="51"/>
  <c r="F175" i="51"/>
  <c r="H175" i="51" s="1"/>
  <c r="F147" i="51"/>
  <c r="F153" i="51"/>
  <c r="H153" i="51" s="1"/>
  <c r="F154" i="52"/>
  <c r="H154" i="52" s="1"/>
  <c r="F148" i="52"/>
  <c r="F167" i="52"/>
  <c r="H167" i="52" s="1"/>
  <c r="H10" i="52"/>
  <c r="F166" i="52"/>
  <c r="H166" i="52" s="1"/>
  <c r="G159" i="52" s="1"/>
  <c r="H159" i="52" s="1"/>
  <c r="F129" i="53"/>
  <c r="F127" i="53" s="1"/>
  <c r="F143" i="53"/>
  <c r="H143" i="53" s="1"/>
  <c r="G137" i="53" s="1"/>
  <c r="H137" i="53" s="1"/>
  <c r="F125" i="53" l="1"/>
  <c r="H125" i="53" s="1"/>
  <c r="G116" i="53" s="1"/>
  <c r="H116" i="53" s="1"/>
  <c r="H63" i="53" s="1"/>
  <c r="H9" i="53" s="1"/>
  <c r="H155" i="53" s="1"/>
  <c r="H157" i="53" s="1"/>
  <c r="C12" i="50" s="1"/>
  <c r="F124" i="53"/>
  <c r="H124" i="53" s="1"/>
  <c r="F135" i="53"/>
  <c r="H135" i="53" s="1"/>
  <c r="G127" i="53" s="1"/>
  <c r="H127" i="53" s="1"/>
  <c r="F156" i="51"/>
  <c r="H156" i="51" s="1"/>
  <c r="F155" i="51"/>
  <c r="H155" i="51" s="1"/>
  <c r="F176" i="51"/>
  <c r="H176" i="51" s="1"/>
  <c r="F178" i="51"/>
  <c r="H178" i="51" s="1"/>
  <c r="F177" i="51"/>
  <c r="H177" i="51" s="1"/>
  <c r="F157" i="52"/>
  <c r="H157" i="52" s="1"/>
  <c r="F156" i="52"/>
  <c r="H156" i="52" s="1"/>
  <c r="G169" i="52"/>
  <c r="H169" i="52" s="1"/>
  <c r="G148" i="52" l="1"/>
  <c r="H148" i="52" s="1"/>
  <c r="H66" i="52"/>
  <c r="H9" i="52" s="1"/>
  <c r="H187" i="52" s="1"/>
  <c r="H189" i="52" s="1"/>
  <c r="C11" i="50" s="1"/>
  <c r="G147" i="51"/>
  <c r="H147" i="51" s="1"/>
  <c r="G168" i="51"/>
  <c r="H168" i="51" s="1"/>
  <c r="H66" i="51" s="1"/>
  <c r="H9" i="51" s="1"/>
  <c r="H186" i="51" s="1"/>
  <c r="H188" i="51" s="1"/>
  <c r="C10" i="50" s="1"/>
  <c r="C13" i="50" l="1"/>
  <c r="H57" i="4" s="1"/>
  <c r="F154" i="49"/>
  <c r="H154" i="49" s="1"/>
  <c r="F153" i="49"/>
  <c r="F152" i="49"/>
  <c r="F151" i="49"/>
  <c r="F150" i="49" s="1"/>
  <c r="H150" i="49" s="1"/>
  <c r="F142" i="49"/>
  <c r="F141" i="49"/>
  <c r="F144" i="49" s="1"/>
  <c r="H144" i="49" s="1"/>
  <c r="F140" i="49"/>
  <c r="F139" i="49" s="1"/>
  <c r="F132" i="49"/>
  <c r="F134" i="49" s="1"/>
  <c r="H134" i="49" s="1"/>
  <c r="F130" i="49"/>
  <c r="F133" i="49" s="1"/>
  <c r="H133" i="49" s="1"/>
  <c r="F129" i="49"/>
  <c r="F121" i="49"/>
  <c r="F120" i="49"/>
  <c r="F123" i="49" s="1"/>
  <c r="H123" i="49" s="1"/>
  <c r="F119" i="49"/>
  <c r="F118" i="49" s="1"/>
  <c r="F113" i="49"/>
  <c r="F111" i="49" s="1"/>
  <c r="H111" i="49" s="1"/>
  <c r="F108" i="49"/>
  <c r="F106" i="49" s="1"/>
  <c r="H106" i="49" s="1"/>
  <c r="F105" i="49"/>
  <c r="F103" i="49" s="1"/>
  <c r="H103" i="49" s="1"/>
  <c r="F100" i="49"/>
  <c r="F98" i="49"/>
  <c r="H98" i="49" s="1"/>
  <c r="F96" i="49"/>
  <c r="F94" i="49"/>
  <c r="H94" i="49" s="1"/>
  <c r="F92" i="49"/>
  <c r="F90" i="49" s="1"/>
  <c r="H90" i="49" s="1"/>
  <c r="F88" i="49"/>
  <c r="H88" i="49" s="1"/>
  <c r="F86" i="49"/>
  <c r="H86" i="49" s="1"/>
  <c r="F84" i="49"/>
  <c r="H84" i="49" s="1"/>
  <c r="F82" i="49"/>
  <c r="H82" i="49" s="1"/>
  <c r="F81" i="49"/>
  <c r="F80" i="49" s="1"/>
  <c r="H80" i="49" s="1"/>
  <c r="F78" i="49"/>
  <c r="F76" i="49" s="1"/>
  <c r="H76" i="49" s="1"/>
  <c r="F74" i="49"/>
  <c r="F72" i="49" s="1"/>
  <c r="H72" i="49" s="1"/>
  <c r="F70" i="49"/>
  <c r="F68" i="49" s="1"/>
  <c r="H68" i="49" s="1"/>
  <c r="F66" i="49"/>
  <c r="H66" i="49" s="1"/>
  <c r="F65" i="49"/>
  <c r="F64" i="49" s="1"/>
  <c r="H64" i="49" s="1"/>
  <c r="F61" i="49"/>
  <c r="H61" i="49" s="1"/>
  <c r="F59" i="49"/>
  <c r="H59" i="49" s="1"/>
  <c r="H57" i="49"/>
  <c r="F57" i="49"/>
  <c r="F54" i="49"/>
  <c r="H54" i="49" s="1"/>
  <c r="F50" i="49"/>
  <c r="H50" i="49" s="1"/>
  <c r="F46" i="49"/>
  <c r="H46" i="49" s="1"/>
  <c r="F44" i="49"/>
  <c r="F43" i="49"/>
  <c r="F41" i="49" s="1"/>
  <c r="H41" i="49" s="1"/>
  <c r="F38" i="49"/>
  <c r="H38" i="49" s="1"/>
  <c r="F34" i="49"/>
  <c r="H34" i="49" s="1"/>
  <c r="F30" i="49"/>
  <c r="H30" i="49" s="1"/>
  <c r="F27" i="49"/>
  <c r="F25" i="49" s="1"/>
  <c r="H25" i="49" s="1"/>
  <c r="F22" i="49"/>
  <c r="H22" i="49" s="1"/>
  <c r="H19" i="49"/>
  <c r="F19" i="49"/>
  <c r="F17" i="49"/>
  <c r="F15" i="49" s="1"/>
  <c r="H15" i="49" s="1"/>
  <c r="F13" i="49"/>
  <c r="F11" i="49"/>
  <c r="H11" i="49" s="1"/>
  <c r="F185" i="48"/>
  <c r="H185" i="48" s="1"/>
  <c r="F184" i="48"/>
  <c r="F183" i="48"/>
  <c r="F182" i="48"/>
  <c r="F181" i="48" s="1"/>
  <c r="H181" i="48" s="1"/>
  <c r="F173" i="48"/>
  <c r="F172" i="48" s="1"/>
  <c r="F171" i="48"/>
  <c r="F170" i="48" s="1"/>
  <c r="F174" i="48" s="1"/>
  <c r="H174" i="48" s="1"/>
  <c r="F163" i="48"/>
  <c r="F165" i="48" s="1"/>
  <c r="H165" i="48" s="1"/>
  <c r="F162" i="48"/>
  <c r="F161" i="48"/>
  <c r="F160" i="48" s="1"/>
  <c r="F158" i="48" s="1"/>
  <c r="F152" i="48"/>
  <c r="F151" i="48" s="1"/>
  <c r="F154" i="48" s="1"/>
  <c r="H154" i="48" s="1"/>
  <c r="F150" i="48"/>
  <c r="F149" i="48"/>
  <c r="F147" i="48" s="1"/>
  <c r="F144" i="48"/>
  <c r="F142" i="48" s="1"/>
  <c r="H142" i="48" s="1"/>
  <c r="F139" i="48"/>
  <c r="F137" i="48" s="1"/>
  <c r="H137" i="48" s="1"/>
  <c r="F136" i="48"/>
  <c r="F134" i="48" s="1"/>
  <c r="F133" i="48"/>
  <c r="F131" i="48" s="1"/>
  <c r="H131" i="48" s="1"/>
  <c r="F128" i="48"/>
  <c r="F126" i="48" s="1"/>
  <c r="F123" i="48"/>
  <c r="F121" i="48" s="1"/>
  <c r="H121" i="48" s="1"/>
  <c r="F119" i="48"/>
  <c r="F117" i="48" s="1"/>
  <c r="F115" i="48"/>
  <c r="F113" i="48"/>
  <c r="F111" i="48"/>
  <c r="F109" i="48" s="1"/>
  <c r="H109" i="48" s="1"/>
  <c r="F107" i="48"/>
  <c r="F105" i="48"/>
  <c r="H105" i="48" s="1"/>
  <c r="F103" i="48"/>
  <c r="H103" i="48" s="1"/>
  <c r="F101" i="48"/>
  <c r="H101" i="48" s="1"/>
  <c r="H99" i="48"/>
  <c r="F99" i="48"/>
  <c r="F97" i="48"/>
  <c r="H97" i="48" s="1"/>
  <c r="F96" i="48"/>
  <c r="F95" i="48"/>
  <c r="H95" i="48" s="1"/>
  <c r="F93" i="48"/>
  <c r="F91" i="48" s="1"/>
  <c r="F89" i="48"/>
  <c r="F87" i="48" s="1"/>
  <c r="F85" i="48"/>
  <c r="F83" i="48" s="1"/>
  <c r="H83" i="48" s="1"/>
  <c r="F81" i="48"/>
  <c r="F79" i="48" s="1"/>
  <c r="H79" i="48" s="1"/>
  <c r="F77" i="48"/>
  <c r="F75" i="48"/>
  <c r="F73" i="48"/>
  <c r="F71" i="48" s="1"/>
  <c r="H71" i="48" s="1"/>
  <c r="F69" i="48"/>
  <c r="H69" i="48" s="1"/>
  <c r="F68" i="48"/>
  <c r="F67" i="48" s="1"/>
  <c r="H67" i="48" s="1"/>
  <c r="F64" i="48"/>
  <c r="H64" i="48" s="1"/>
  <c r="F62" i="48"/>
  <c r="H62" i="48" s="1"/>
  <c r="H60" i="48"/>
  <c r="F60" i="48"/>
  <c r="F57" i="48"/>
  <c r="H57" i="48" s="1"/>
  <c r="F53" i="48"/>
  <c r="H53" i="48" s="1"/>
  <c r="F49" i="48"/>
  <c r="H49" i="48" s="1"/>
  <c r="F47" i="48"/>
  <c r="F46" i="48"/>
  <c r="F45" i="48"/>
  <c r="F40" i="48"/>
  <c r="H40" i="48" s="1"/>
  <c r="F36" i="48"/>
  <c r="H36" i="48" s="1"/>
  <c r="F32" i="48"/>
  <c r="H32" i="48" s="1"/>
  <c r="F29" i="48"/>
  <c r="F27" i="48" s="1"/>
  <c r="H27" i="48" s="1"/>
  <c r="H24" i="48"/>
  <c r="F24" i="48"/>
  <c r="F21" i="48"/>
  <c r="H21" i="48" s="1"/>
  <c r="F19" i="48"/>
  <c r="F18" i="48"/>
  <c r="F14" i="48"/>
  <c r="F13" i="48"/>
  <c r="F11" i="48" s="1"/>
  <c r="H11" i="48" s="1"/>
  <c r="H185" i="47"/>
  <c r="F185" i="47"/>
  <c r="F184" i="47"/>
  <c r="F183" i="47"/>
  <c r="F182" i="47"/>
  <c r="F181" i="47" s="1"/>
  <c r="H181" i="47" s="1"/>
  <c r="F173" i="47"/>
  <c r="F172" i="47" s="1"/>
  <c r="F175" i="47" s="1"/>
  <c r="H175" i="47" s="1"/>
  <c r="F171" i="47"/>
  <c r="F170" i="47" s="1"/>
  <c r="F164" i="47"/>
  <c r="H164" i="47" s="1"/>
  <c r="F163" i="47"/>
  <c r="F162" i="47" s="1"/>
  <c r="F161" i="47"/>
  <c r="F160" i="47"/>
  <c r="F152" i="47"/>
  <c r="F151" i="47"/>
  <c r="F154" i="47" s="1"/>
  <c r="H154" i="47" s="1"/>
  <c r="F150" i="47"/>
  <c r="F149" i="47" s="1"/>
  <c r="F144" i="47"/>
  <c r="F142" i="47" s="1"/>
  <c r="H142" i="47" s="1"/>
  <c r="F139" i="47"/>
  <c r="F137" i="47" s="1"/>
  <c r="H137" i="47" s="1"/>
  <c r="F136" i="47"/>
  <c r="F134" i="47" s="1"/>
  <c r="H134" i="47" s="1"/>
  <c r="F133" i="47"/>
  <c r="F131" i="47" s="1"/>
  <c r="H131" i="47" s="1"/>
  <c r="F128" i="47"/>
  <c r="F126" i="47"/>
  <c r="H126" i="47" s="1"/>
  <c r="F123" i="47"/>
  <c r="F121" i="47" s="1"/>
  <c r="H121" i="47" s="1"/>
  <c r="F119" i="47"/>
  <c r="F117" i="47" s="1"/>
  <c r="H117" i="47" s="1"/>
  <c r="F115" i="47"/>
  <c r="F113" i="47"/>
  <c r="H113" i="47" s="1"/>
  <c r="F111" i="47"/>
  <c r="F109" i="47"/>
  <c r="H109" i="47" s="1"/>
  <c r="F107" i="47"/>
  <c r="F105" i="47" s="1"/>
  <c r="H105" i="47" s="1"/>
  <c r="F103" i="47"/>
  <c r="H103" i="47" s="1"/>
  <c r="F101" i="47"/>
  <c r="H101" i="47" s="1"/>
  <c r="H99" i="47"/>
  <c r="F99" i="47"/>
  <c r="F97" i="47"/>
  <c r="H97" i="47" s="1"/>
  <c r="F96" i="47"/>
  <c r="F95" i="47" s="1"/>
  <c r="H95" i="47" s="1"/>
  <c r="F93" i="47"/>
  <c r="F91" i="47"/>
  <c r="H91" i="47" s="1"/>
  <c r="F89" i="47"/>
  <c r="F87" i="47" s="1"/>
  <c r="H87" i="47" s="1"/>
  <c r="F85" i="47"/>
  <c r="F83" i="47" s="1"/>
  <c r="H83" i="47" s="1"/>
  <c r="F81" i="47"/>
  <c r="F79" i="47" s="1"/>
  <c r="H79" i="47" s="1"/>
  <c r="F77" i="47"/>
  <c r="F75" i="47"/>
  <c r="H75" i="47" s="1"/>
  <c r="F73" i="47"/>
  <c r="F71" i="47"/>
  <c r="H71" i="47" s="1"/>
  <c r="H69" i="47"/>
  <c r="F69" i="47"/>
  <c r="F68" i="47"/>
  <c r="F67" i="47"/>
  <c r="H67" i="47" s="1"/>
  <c r="F64" i="47"/>
  <c r="H64" i="47" s="1"/>
  <c r="H62" i="47"/>
  <c r="F62" i="47"/>
  <c r="F60" i="47"/>
  <c r="H60" i="47" s="1"/>
  <c r="H57" i="47"/>
  <c r="F57" i="47"/>
  <c r="F53" i="47"/>
  <c r="H53" i="47" s="1"/>
  <c r="H49" i="47"/>
  <c r="F49" i="47"/>
  <c r="F47" i="47"/>
  <c r="F46" i="47"/>
  <c r="F45" i="47"/>
  <c r="F43" i="47" s="1"/>
  <c r="H43" i="47" s="1"/>
  <c r="H40" i="47"/>
  <c r="F40" i="47"/>
  <c r="F36" i="47"/>
  <c r="H36" i="47" s="1"/>
  <c r="H32" i="47"/>
  <c r="F32" i="47"/>
  <c r="F29" i="47"/>
  <c r="F27" i="47"/>
  <c r="H27" i="47" s="1"/>
  <c r="H24" i="47"/>
  <c r="F24" i="47"/>
  <c r="F21" i="47"/>
  <c r="H21" i="47" s="1"/>
  <c r="F19" i="47"/>
  <c r="F18" i="47"/>
  <c r="F16" i="47" s="1"/>
  <c r="H16" i="47" s="1"/>
  <c r="F14" i="47"/>
  <c r="F13" i="47"/>
  <c r="F11" i="47" s="1"/>
  <c r="H11" i="47" s="1"/>
  <c r="H10" i="47" s="1"/>
  <c r="H42" i="47" l="1"/>
  <c r="H40" i="49"/>
  <c r="F131" i="49"/>
  <c r="F127" i="49" s="1"/>
  <c r="F164" i="48"/>
  <c r="H164" i="48" s="1"/>
  <c r="F16" i="48"/>
  <c r="H16" i="48" s="1"/>
  <c r="F43" i="48"/>
  <c r="H43" i="48" s="1"/>
  <c r="H42" i="48" s="1"/>
  <c r="F166" i="48"/>
  <c r="H166" i="48" s="1"/>
  <c r="G158" i="48" s="1"/>
  <c r="H158" i="48" s="1"/>
  <c r="F168" i="47"/>
  <c r="F174" i="47"/>
  <c r="H174" i="47" s="1"/>
  <c r="F147" i="47"/>
  <c r="F153" i="47"/>
  <c r="H153" i="47" s="1"/>
  <c r="H10" i="48"/>
  <c r="F156" i="48"/>
  <c r="H156" i="48" s="1"/>
  <c r="F155" i="48"/>
  <c r="H155" i="48" s="1"/>
  <c r="H10" i="49"/>
  <c r="F137" i="49"/>
  <c r="F143" i="49"/>
  <c r="H143" i="49" s="1"/>
  <c r="F158" i="47"/>
  <c r="F135" i="49"/>
  <c r="H135" i="49" s="1"/>
  <c r="G127" i="49" s="1"/>
  <c r="H127" i="49" s="1"/>
  <c r="F122" i="49"/>
  <c r="H122" i="49" s="1"/>
  <c r="F116" i="49"/>
  <c r="F175" i="48"/>
  <c r="H175" i="48" s="1"/>
  <c r="F168" i="48"/>
  <c r="F165" i="47"/>
  <c r="H165" i="47" s="1"/>
  <c r="F153" i="48"/>
  <c r="H153" i="48" s="1"/>
  <c r="G147" i="48" s="1"/>
  <c r="H147" i="48" s="1"/>
  <c r="G168" i="47" l="1"/>
  <c r="H168" i="47" s="1"/>
  <c r="F155" i="47"/>
  <c r="H155" i="47" s="1"/>
  <c r="F156" i="47"/>
  <c r="H156" i="47" s="1"/>
  <c r="G147" i="47" s="1"/>
  <c r="H147" i="47" s="1"/>
  <c r="H66" i="47" s="1"/>
  <c r="H9" i="47" s="1"/>
  <c r="H187" i="47" s="1"/>
  <c r="H189" i="47" s="1"/>
  <c r="C10" i="46" s="1"/>
  <c r="F166" i="47"/>
  <c r="H166" i="47" s="1"/>
  <c r="G158" i="47" s="1"/>
  <c r="H158" i="47" s="1"/>
  <c r="G137" i="49"/>
  <c r="H137" i="49" s="1"/>
  <c r="F125" i="49"/>
  <c r="H125" i="49" s="1"/>
  <c r="F124" i="49"/>
  <c r="H124" i="49" s="1"/>
  <c r="G116" i="49" s="1"/>
  <c r="H116" i="49" s="1"/>
  <c r="H63" i="49" s="1"/>
  <c r="H9" i="49" s="1"/>
  <c r="H156" i="49" s="1"/>
  <c r="H158" i="49" s="1"/>
  <c r="C12" i="46" s="1"/>
  <c r="G168" i="48" l="1"/>
  <c r="H168" i="48" s="1"/>
  <c r="H66" i="48" s="1"/>
  <c r="H9" i="48" s="1"/>
  <c r="H187" i="48" s="1"/>
  <c r="H189" i="48" s="1"/>
  <c r="C11" i="46" s="1"/>
  <c r="C13" i="46" s="1"/>
  <c r="H59" i="4" s="1"/>
  <c r="I59" i="4" s="1"/>
  <c r="F59" i="4" s="1"/>
  <c r="I57" i="4"/>
  <c r="F124" i="45"/>
  <c r="H124" i="45" s="1"/>
  <c r="F123" i="45"/>
  <c r="F122" i="45"/>
  <c r="H122" i="45" s="1"/>
  <c r="F120" i="45"/>
  <c r="F118" i="45"/>
  <c r="H118" i="45" s="1"/>
  <c r="F117" i="45"/>
  <c r="F115" i="45"/>
  <c r="H115" i="45" s="1"/>
  <c r="F110" i="45"/>
  <c r="H110" i="45" s="1"/>
  <c r="F109" i="45"/>
  <c r="F107" i="45"/>
  <c r="H107" i="45" s="1"/>
  <c r="F106" i="45"/>
  <c r="F104" i="45"/>
  <c r="H104" i="45" s="1"/>
  <c r="F101" i="45"/>
  <c r="H101" i="45" s="1"/>
  <c r="F97" i="45"/>
  <c r="H97" i="45" s="1"/>
  <c r="F95" i="45"/>
  <c r="F93" i="45" s="1"/>
  <c r="H93" i="45" s="1"/>
  <c r="F91" i="45"/>
  <c r="F89" i="45" s="1"/>
  <c r="H89" i="45" s="1"/>
  <c r="H88" i="45" s="1"/>
  <c r="F79" i="45"/>
  <c r="F78" i="45"/>
  <c r="F77" i="45" s="1"/>
  <c r="F76" i="45"/>
  <c r="F75" i="45"/>
  <c r="F74" i="45"/>
  <c r="F67" i="45"/>
  <c r="H67" i="45" s="1"/>
  <c r="F66" i="45"/>
  <c r="F65" i="45" s="1"/>
  <c r="F64" i="45"/>
  <c r="F63" i="45"/>
  <c r="F69" i="45" s="1"/>
  <c r="H69" i="45" s="1"/>
  <c r="F59" i="45"/>
  <c r="H59" i="45" s="1"/>
  <c r="F56" i="45"/>
  <c r="H56" i="45" s="1"/>
  <c r="F55" i="45"/>
  <c r="H55" i="45" s="1"/>
  <c r="F54" i="45"/>
  <c r="F53" i="45"/>
  <c r="F58" i="45" s="1"/>
  <c r="H58" i="45" s="1"/>
  <c r="F52" i="45"/>
  <c r="F51" i="45"/>
  <c r="F57" i="45" s="1"/>
  <c r="H57" i="45" s="1"/>
  <c r="F49" i="45"/>
  <c r="F48" i="45"/>
  <c r="F46" i="45" s="1"/>
  <c r="H46" i="45" s="1"/>
  <c r="F45" i="45"/>
  <c r="F43" i="45" s="1"/>
  <c r="H43" i="45" s="1"/>
  <c r="F42" i="45"/>
  <c r="F40" i="45"/>
  <c r="H40" i="45" s="1"/>
  <c r="F39" i="45"/>
  <c r="F37" i="45"/>
  <c r="F35" i="45"/>
  <c r="H35" i="45" s="1"/>
  <c r="F33" i="45"/>
  <c r="F31" i="45" s="1"/>
  <c r="F30" i="45"/>
  <c r="F29" i="45"/>
  <c r="H29" i="45" s="1"/>
  <c r="F27" i="45"/>
  <c r="F25" i="45"/>
  <c r="H25" i="45" s="1"/>
  <c r="F23" i="45"/>
  <c r="F21" i="45" s="1"/>
  <c r="H21" i="45" s="1"/>
  <c r="F19" i="45"/>
  <c r="F17" i="45" s="1"/>
  <c r="H17" i="45" s="1"/>
  <c r="H16" i="45"/>
  <c r="H15" i="45"/>
  <c r="H14" i="45"/>
  <c r="H13" i="45"/>
  <c r="H12" i="45"/>
  <c r="H11" i="45"/>
  <c r="F57" i="4" l="1"/>
  <c r="F70" i="45"/>
  <c r="H70" i="45" s="1"/>
  <c r="F68" i="45"/>
  <c r="H68" i="45" s="1"/>
  <c r="F61" i="45"/>
  <c r="H92" i="45"/>
  <c r="F72" i="45"/>
  <c r="H121" i="45"/>
  <c r="H31" i="45"/>
  <c r="F34" i="45"/>
  <c r="H34" i="45" s="1"/>
  <c r="G49" i="45"/>
  <c r="H49" i="45" s="1"/>
  <c r="G72" i="45" l="1"/>
  <c r="H72" i="45" s="1"/>
  <c r="G61" i="45"/>
  <c r="H61" i="45" s="1"/>
  <c r="H10" i="45" l="1"/>
  <c r="H9" i="45" s="1"/>
  <c r="H126" i="45" s="1"/>
  <c r="H128" i="45" s="1"/>
  <c r="H49" i="4" s="1"/>
  <c r="F201" i="44"/>
  <c r="H201" i="44" s="1"/>
  <c r="F199" i="44"/>
  <c r="H199" i="44" s="1"/>
  <c r="H198" i="44" s="1"/>
  <c r="F193" i="44"/>
  <c r="F187" i="44"/>
  <c r="F186" i="44"/>
  <c r="F181" i="44"/>
  <c r="H181" i="44" s="1"/>
  <c r="F180" i="44"/>
  <c r="F179" i="44" s="1"/>
  <c r="H179" i="44" s="1"/>
  <c r="F178" i="44"/>
  <c r="F176" i="44" s="1"/>
  <c r="H176" i="44" s="1"/>
  <c r="F175" i="44"/>
  <c r="F174" i="44" s="1"/>
  <c r="H174" i="44" s="1"/>
  <c r="F171" i="44"/>
  <c r="H171" i="44" s="1"/>
  <c r="F170" i="44"/>
  <c r="F169" i="44" s="1"/>
  <c r="H169" i="44" s="1"/>
  <c r="F167" i="44"/>
  <c r="H167" i="44" s="1"/>
  <c r="F165" i="44"/>
  <c r="F164" i="44" s="1"/>
  <c r="H164" i="44" s="1"/>
  <c r="F161" i="44"/>
  <c r="H161" i="44" s="1"/>
  <c r="F158" i="44"/>
  <c r="F155" i="44"/>
  <c r="F151" i="44"/>
  <c r="H151" i="44" s="1"/>
  <c r="F149" i="44"/>
  <c r="H146" i="44"/>
  <c r="F145" i="44"/>
  <c r="H145" i="44" s="1"/>
  <c r="H144" i="44"/>
  <c r="H143" i="44"/>
  <c r="F142" i="44"/>
  <c r="H142" i="44" s="1"/>
  <c r="F140" i="44"/>
  <c r="F137" i="44"/>
  <c r="H137" i="44" s="1"/>
  <c r="F135" i="44"/>
  <c r="F132" i="44"/>
  <c r="H132" i="44" s="1"/>
  <c r="F130" i="44"/>
  <c r="F127" i="44"/>
  <c r="H127" i="44" s="1"/>
  <c r="F124" i="44"/>
  <c r="F126" i="44" s="1"/>
  <c r="H126" i="44" s="1"/>
  <c r="F121" i="44"/>
  <c r="H121" i="44" s="1"/>
  <c r="F119" i="44"/>
  <c r="H119" i="44" s="1"/>
  <c r="F116" i="44"/>
  <c r="F118" i="44" s="1"/>
  <c r="H118" i="44" s="1"/>
  <c r="F113" i="44"/>
  <c r="H113" i="44" s="1"/>
  <c r="F111" i="44"/>
  <c r="H111" i="44" s="1"/>
  <c r="F108" i="44"/>
  <c r="F110" i="44" s="1"/>
  <c r="H110" i="44" s="1"/>
  <c r="F105" i="44"/>
  <c r="H105" i="44" s="1"/>
  <c r="F103" i="44"/>
  <c r="H103" i="44" s="1"/>
  <c r="F100" i="44"/>
  <c r="F102" i="44" s="1"/>
  <c r="H102" i="44" s="1"/>
  <c r="F97" i="44"/>
  <c r="H97" i="44" s="1"/>
  <c r="F95" i="44"/>
  <c r="H95" i="44" s="1"/>
  <c r="F92" i="44"/>
  <c r="F94" i="44" s="1"/>
  <c r="H94" i="44" s="1"/>
  <c r="F90" i="44"/>
  <c r="F89" i="44" s="1"/>
  <c r="H89" i="44" s="1"/>
  <c r="F88" i="44"/>
  <c r="F87" i="44" s="1"/>
  <c r="H87" i="44" s="1"/>
  <c r="F86" i="44"/>
  <c r="F85" i="44" s="1"/>
  <c r="H85" i="44" s="1"/>
  <c r="F83" i="44"/>
  <c r="F82" i="44"/>
  <c r="F72" i="44"/>
  <c r="F75" i="44" s="1"/>
  <c r="H75" i="44" s="1"/>
  <c r="F69" i="44"/>
  <c r="F68" i="44" s="1"/>
  <c r="H68" i="44" s="1"/>
  <c r="F67" i="44"/>
  <c r="F66" i="44" s="1"/>
  <c r="H66" i="44" s="1"/>
  <c r="F65" i="44"/>
  <c r="F64" i="44" s="1"/>
  <c r="H64" i="44" s="1"/>
  <c r="F62" i="44"/>
  <c r="H62" i="44" s="1"/>
  <c r="F60" i="44"/>
  <c r="F59" i="44"/>
  <c r="F58" i="44"/>
  <c r="F57" i="44"/>
  <c r="F56" i="44"/>
  <c r="F50" i="44"/>
  <c r="H50" i="44" s="1"/>
  <c r="F46" i="44"/>
  <c r="H46" i="44" s="1"/>
  <c r="F43" i="44"/>
  <c r="H43" i="44" s="1"/>
  <c r="H42" i="44"/>
  <c r="H41" i="44"/>
  <c r="H40" i="44"/>
  <c r="H39" i="44"/>
  <c r="H38" i="44"/>
  <c r="H37" i="44"/>
  <c r="F34" i="44"/>
  <c r="H34" i="44" s="1"/>
  <c r="F31" i="44"/>
  <c r="H31" i="44" s="1"/>
  <c r="F29" i="44"/>
  <c r="F28" i="44" s="1"/>
  <c r="H28" i="44" s="1"/>
  <c r="F25" i="44"/>
  <c r="H25" i="44" s="1"/>
  <c r="F21" i="44"/>
  <c r="H21" i="44" s="1"/>
  <c r="F15" i="44"/>
  <c r="H15" i="44" s="1"/>
  <c r="F14" i="44"/>
  <c r="F12" i="44" s="1"/>
  <c r="H12" i="44" s="1"/>
  <c r="F9" i="44"/>
  <c r="H9" i="44" s="1"/>
  <c r="G130" i="44" l="1"/>
  <c r="H130" i="44" s="1"/>
  <c r="F192" i="44"/>
  <c r="G116" i="44"/>
  <c r="H116" i="44" s="1"/>
  <c r="F188" i="44"/>
  <c r="F190" i="44"/>
  <c r="H190" i="44" s="1"/>
  <c r="F54" i="44"/>
  <c r="H54" i="44" s="1"/>
  <c r="G135" i="44"/>
  <c r="H135" i="44" s="1"/>
  <c r="F70" i="44"/>
  <c r="F81" i="44"/>
  <c r="H81" i="44" s="1"/>
  <c r="H80" i="44" s="1"/>
  <c r="G140" i="44"/>
  <c r="H140" i="44" s="1"/>
  <c r="G100" i="44"/>
  <c r="H100" i="44" s="1"/>
  <c r="F196" i="44"/>
  <c r="H196" i="44" s="1"/>
  <c r="F194" i="44"/>
  <c r="G108" i="44"/>
  <c r="H108" i="44" s="1"/>
  <c r="G149" i="44"/>
  <c r="H149" i="44" s="1"/>
  <c r="F74" i="44"/>
  <c r="H74" i="44" s="1"/>
  <c r="G92" i="44"/>
  <c r="H92" i="44" s="1"/>
  <c r="G124" i="44"/>
  <c r="H124" i="44" s="1"/>
  <c r="H194" i="44" l="1"/>
  <c r="F195" i="44"/>
  <c r="H195" i="44" s="1"/>
  <c r="G192" i="44" s="1"/>
  <c r="H192" i="44" s="1"/>
  <c r="H188" i="44"/>
  <c r="F189" i="44"/>
  <c r="H189" i="44" s="1"/>
  <c r="F76" i="44"/>
  <c r="H76" i="44" s="1"/>
  <c r="G70" i="44" s="1"/>
  <c r="H70" i="44" s="1"/>
  <c r="H8" i="44" s="1"/>
  <c r="F77" i="44"/>
  <c r="H77" i="44" s="1"/>
  <c r="H91" i="44"/>
  <c r="G186" i="44" l="1"/>
  <c r="H186" i="44" s="1"/>
  <c r="H154" i="44" s="1"/>
  <c r="H7" i="44" s="1"/>
  <c r="H203" i="44" s="1"/>
  <c r="H205" i="44" s="1"/>
  <c r="H61" i="4" s="1"/>
  <c r="F152" i="43"/>
  <c r="H152" i="43" s="1"/>
  <c r="F150" i="43"/>
  <c r="H150" i="43" s="1"/>
  <c r="F147" i="43"/>
  <c r="H147" i="43" s="1"/>
  <c r="F146" i="43"/>
  <c r="F145" i="43"/>
  <c r="F143" i="43"/>
  <c r="H143" i="43" s="1"/>
  <c r="F139" i="43"/>
  <c r="H139" i="43" s="1"/>
  <c r="F135" i="43"/>
  <c r="H135" i="43" s="1"/>
  <c r="F132" i="43"/>
  <c r="H132" i="43" s="1"/>
  <c r="F130" i="43"/>
  <c r="F128" i="43" s="1"/>
  <c r="H128" i="43" s="1"/>
  <c r="F126" i="43"/>
  <c r="F125" i="43"/>
  <c r="F123" i="43"/>
  <c r="F122" i="43"/>
  <c r="F117" i="43"/>
  <c r="F116" i="43"/>
  <c r="F113" i="43" s="1"/>
  <c r="H113" i="43" s="1"/>
  <c r="H112" i="43" s="1"/>
  <c r="F111" i="43"/>
  <c r="F110" i="43"/>
  <c r="F107" i="43" s="1"/>
  <c r="H107" i="43" s="1"/>
  <c r="F106" i="43"/>
  <c r="F105" i="43"/>
  <c r="F92" i="43"/>
  <c r="F91" i="43" s="1"/>
  <c r="F90" i="43"/>
  <c r="F89" i="43" s="1"/>
  <c r="F80" i="43"/>
  <c r="F79" i="43" s="1"/>
  <c r="F78" i="43"/>
  <c r="F77" i="43"/>
  <c r="F82" i="43" s="1"/>
  <c r="H82" i="43" s="1"/>
  <c r="F74" i="43"/>
  <c r="F73" i="43"/>
  <c r="F69" i="43"/>
  <c r="F68" i="43"/>
  <c r="F65" i="43"/>
  <c r="H65" i="43" s="1"/>
  <c r="F64" i="43"/>
  <c r="F63" i="43"/>
  <c r="F60" i="43" s="1"/>
  <c r="H60" i="43" s="1"/>
  <c r="F59" i="43"/>
  <c r="F58" i="43"/>
  <c r="F54" i="43" s="1"/>
  <c r="H54" i="43" s="1"/>
  <c r="F52" i="43"/>
  <c r="F51" i="43"/>
  <c r="F47" i="43" s="1"/>
  <c r="F45" i="43"/>
  <c r="F44" i="43"/>
  <c r="F41" i="43" s="1"/>
  <c r="H41" i="43" s="1"/>
  <c r="F39" i="43"/>
  <c r="F38" i="43"/>
  <c r="F35" i="43"/>
  <c r="H35" i="43" s="1"/>
  <c r="F33" i="43"/>
  <c r="F32" i="43"/>
  <c r="F29" i="43" s="1"/>
  <c r="H29" i="43" s="1"/>
  <c r="F27" i="43"/>
  <c r="F26" i="43"/>
  <c r="F23" i="43" s="1"/>
  <c r="H23" i="43" s="1"/>
  <c r="F19" i="43"/>
  <c r="H19" i="43" s="1"/>
  <c r="F16" i="43"/>
  <c r="H16" i="43" s="1"/>
  <c r="H15" i="43"/>
  <c r="H14" i="43"/>
  <c r="H13" i="43"/>
  <c r="H12" i="43"/>
  <c r="H11" i="43"/>
  <c r="H10" i="43"/>
  <c r="H71" i="42"/>
  <c r="F71" i="42"/>
  <c r="H70" i="42"/>
  <c r="H69" i="42" s="1"/>
  <c r="F66" i="42"/>
  <c r="F64" i="42" s="1"/>
  <c r="H64" i="42" s="1"/>
  <c r="F62" i="42"/>
  <c r="F61" i="42"/>
  <c r="F59" i="42"/>
  <c r="H59" i="42" s="1"/>
  <c r="H54" i="42"/>
  <c r="F54" i="42"/>
  <c r="F52" i="42"/>
  <c r="F50" i="42" s="1"/>
  <c r="H50" i="42" s="1"/>
  <c r="H49" i="42" s="1"/>
  <c r="F47" i="42"/>
  <c r="F45" i="42"/>
  <c r="H45" i="42" s="1"/>
  <c r="F43" i="42"/>
  <c r="F41" i="42"/>
  <c r="F44" i="42" s="1"/>
  <c r="H44" i="42" s="1"/>
  <c r="F40" i="42"/>
  <c r="F39" i="42"/>
  <c r="H39" i="42" s="1"/>
  <c r="F37" i="42"/>
  <c r="F35" i="42" s="1"/>
  <c r="H35" i="42" s="1"/>
  <c r="F33" i="42"/>
  <c r="H31" i="42"/>
  <c r="F31" i="42"/>
  <c r="F29" i="42"/>
  <c r="F27" i="42" s="1"/>
  <c r="H27" i="42" s="1"/>
  <c r="F25" i="42"/>
  <c r="F23" i="42" s="1"/>
  <c r="H23" i="42" s="1"/>
  <c r="H19" i="42"/>
  <c r="F19" i="42"/>
  <c r="F16" i="42"/>
  <c r="H16" i="42" s="1"/>
  <c r="H15" i="42"/>
  <c r="H14" i="42"/>
  <c r="H13" i="42"/>
  <c r="H12" i="42"/>
  <c r="H11" i="42"/>
  <c r="H10" i="42"/>
  <c r="I61" i="4" l="1"/>
  <c r="F61" i="4" s="1"/>
  <c r="F84" i="43"/>
  <c r="H84" i="43" s="1"/>
  <c r="F93" i="43"/>
  <c r="H93" i="43" s="1"/>
  <c r="F53" i="43"/>
  <c r="H53" i="43" s="1"/>
  <c r="H47" i="43"/>
  <c r="F102" i="43"/>
  <c r="H102" i="43" s="1"/>
  <c r="H101" i="43" s="1"/>
  <c r="F119" i="43"/>
  <c r="H119" i="43" s="1"/>
  <c r="H118" i="43" s="1"/>
  <c r="F70" i="43"/>
  <c r="H70" i="43" s="1"/>
  <c r="F75" i="43"/>
  <c r="F83" i="43"/>
  <c r="H83" i="43" s="1"/>
  <c r="H149" i="43"/>
  <c r="F87" i="43"/>
  <c r="F94" i="43"/>
  <c r="H94" i="43" s="1"/>
  <c r="H41" i="42"/>
  <c r="H9" i="42" s="1"/>
  <c r="H8" i="42" s="1"/>
  <c r="H73" i="42" s="1"/>
  <c r="H75" i="42" s="1"/>
  <c r="C9" i="41" s="1"/>
  <c r="F85" i="43"/>
  <c r="H85" i="43" s="1"/>
  <c r="G87" i="43" l="1"/>
  <c r="H87" i="43" s="1"/>
  <c r="F86" i="43"/>
  <c r="H86" i="43" s="1"/>
  <c r="G75" i="43" s="1"/>
  <c r="H75" i="43" s="1"/>
  <c r="H9" i="43" l="1"/>
  <c r="H8" i="43" s="1"/>
  <c r="F135" i="40"/>
  <c r="H135" i="40" s="1"/>
  <c r="F134" i="40"/>
  <c r="F133" i="40"/>
  <c r="H133" i="40" s="1"/>
  <c r="H132" i="40" s="1"/>
  <c r="F128" i="40"/>
  <c r="F124" i="40"/>
  <c r="H124" i="40" s="1"/>
  <c r="H120" i="40"/>
  <c r="H119" i="40" s="1"/>
  <c r="F120" i="40"/>
  <c r="F118" i="40"/>
  <c r="F117" i="40" s="1"/>
  <c r="H117" i="40" s="1"/>
  <c r="F115" i="40"/>
  <c r="F113" i="40" s="1"/>
  <c r="F112" i="40"/>
  <c r="F110" i="40" s="1"/>
  <c r="H110" i="40" s="1"/>
  <c r="F109" i="40"/>
  <c r="F107" i="40"/>
  <c r="H107" i="40" s="1"/>
  <c r="F97" i="40"/>
  <c r="F96" i="40"/>
  <c r="F95" i="40"/>
  <c r="F94" i="40"/>
  <c r="F93" i="40"/>
  <c r="F92" i="40"/>
  <c r="F98" i="40" s="1"/>
  <c r="H98" i="40" s="1"/>
  <c r="F86" i="40"/>
  <c r="H86" i="40" s="1"/>
  <c r="F84" i="40"/>
  <c r="F83" i="40"/>
  <c r="F88" i="40" s="1"/>
  <c r="H88" i="40" s="1"/>
  <c r="F82" i="40"/>
  <c r="F81" i="40" s="1"/>
  <c r="F72" i="40"/>
  <c r="F71" i="40" s="1"/>
  <c r="F70" i="40"/>
  <c r="F69" i="40"/>
  <c r="F66" i="40"/>
  <c r="H64" i="40"/>
  <c r="F64" i="40"/>
  <c r="F63" i="40"/>
  <c r="F61" i="40"/>
  <c r="H61" i="40" s="1"/>
  <c r="F60" i="40"/>
  <c r="F58" i="40" s="1"/>
  <c r="H58" i="40" s="1"/>
  <c r="F57" i="40"/>
  <c r="F55" i="40"/>
  <c r="F54" i="40"/>
  <c r="F53" i="40"/>
  <c r="F51" i="40" s="1"/>
  <c r="H51" i="40" s="1"/>
  <c r="F50" i="40"/>
  <c r="F49" i="40"/>
  <c r="H49" i="40" s="1"/>
  <c r="F48" i="40"/>
  <c r="F47" i="40"/>
  <c r="H47" i="40" s="1"/>
  <c r="F45" i="40"/>
  <c r="F41" i="40" s="1"/>
  <c r="H41" i="40" s="1"/>
  <c r="F44" i="40"/>
  <c r="F43" i="40"/>
  <c r="F39" i="40"/>
  <c r="F38" i="40"/>
  <c r="F37" i="40"/>
  <c r="F35" i="40" s="1"/>
  <c r="H35" i="40" s="1"/>
  <c r="F33" i="40"/>
  <c r="F32" i="40"/>
  <c r="F31" i="40"/>
  <c r="F29" i="40" s="1"/>
  <c r="H29" i="40" s="1"/>
  <c r="F27" i="40"/>
  <c r="F26" i="40"/>
  <c r="F25" i="40"/>
  <c r="F23" i="40" s="1"/>
  <c r="H23" i="40" s="1"/>
  <c r="F21" i="40"/>
  <c r="F20" i="40"/>
  <c r="F19" i="40"/>
  <c r="F17" i="40"/>
  <c r="H17" i="40" s="1"/>
  <c r="H16" i="40"/>
  <c r="H15" i="40"/>
  <c r="H14" i="40"/>
  <c r="H13" i="40"/>
  <c r="H12" i="40"/>
  <c r="H11" i="40"/>
  <c r="H167" i="43" l="1"/>
  <c r="H169" i="43" s="1"/>
  <c r="C8" i="41" s="1"/>
  <c r="C10" i="41" s="1"/>
  <c r="H63" i="4" s="1"/>
  <c r="F74" i="40"/>
  <c r="H74" i="40" s="1"/>
  <c r="F76" i="40"/>
  <c r="H76" i="40" s="1"/>
  <c r="F79" i="40"/>
  <c r="F85" i="40"/>
  <c r="H85" i="40" s="1"/>
  <c r="F87" i="40"/>
  <c r="H87" i="40" s="1"/>
  <c r="H106" i="40"/>
  <c r="F67" i="40"/>
  <c r="F116" i="40"/>
  <c r="H116" i="40" s="1"/>
  <c r="H113" i="40"/>
  <c r="F75" i="40"/>
  <c r="H75" i="40" s="1"/>
  <c r="F99" i="40"/>
  <c r="H99" i="40" s="1"/>
  <c r="F73" i="40"/>
  <c r="H73" i="40" s="1"/>
  <c r="F90" i="40"/>
  <c r="G79" i="40" l="1"/>
  <c r="H79" i="40" s="1"/>
  <c r="F77" i="40"/>
  <c r="H77" i="40" s="1"/>
  <c r="G67" i="40" s="1"/>
  <c r="H67" i="40" s="1"/>
  <c r="H10" i="40" s="1"/>
  <c r="G90" i="40"/>
  <c r="H90" i="40" s="1"/>
  <c r="H9" i="40" l="1"/>
  <c r="H137" i="40" s="1"/>
  <c r="H139" i="40" s="1"/>
  <c r="H51" i="4" s="1"/>
  <c r="F126" i="39"/>
  <c r="H126" i="39" s="1"/>
  <c r="F125" i="39"/>
  <c r="F124" i="39"/>
  <c r="H124" i="39" s="1"/>
  <c r="H123" i="39" s="1"/>
  <c r="F121" i="39"/>
  <c r="F120" i="39"/>
  <c r="F118" i="39"/>
  <c r="H118" i="39" s="1"/>
  <c r="H117" i="39" s="1"/>
  <c r="F113" i="39"/>
  <c r="F110" i="39"/>
  <c r="H109" i="39"/>
  <c r="F108" i="39"/>
  <c r="F106" i="39" s="1"/>
  <c r="H106" i="39" s="1"/>
  <c r="H105" i="39" s="1"/>
  <c r="F98" i="39"/>
  <c r="H98" i="39" s="1"/>
  <c r="F97" i="39"/>
  <c r="H97" i="39" s="1"/>
  <c r="F96" i="39"/>
  <c r="F95" i="39"/>
  <c r="F94" i="39"/>
  <c r="F93" i="39"/>
  <c r="F92" i="39"/>
  <c r="F91" i="39"/>
  <c r="F89" i="39" s="1"/>
  <c r="H85" i="39"/>
  <c r="F85" i="39"/>
  <c r="F83" i="39"/>
  <c r="F82" i="39"/>
  <c r="F87" i="39" s="1"/>
  <c r="H87" i="39" s="1"/>
  <c r="F81" i="39"/>
  <c r="F80" i="39" s="1"/>
  <c r="F73" i="39"/>
  <c r="H73" i="39" s="1"/>
  <c r="F71" i="39"/>
  <c r="F70" i="39"/>
  <c r="F75" i="39" s="1"/>
  <c r="H75" i="39" s="1"/>
  <c r="F69" i="39"/>
  <c r="F68" i="39"/>
  <c r="F66" i="39" s="1"/>
  <c r="F65" i="39"/>
  <c r="F63" i="39"/>
  <c r="H63" i="39" s="1"/>
  <c r="F62" i="39"/>
  <c r="H60" i="39"/>
  <c r="F60" i="39"/>
  <c r="F59" i="39"/>
  <c r="F57" i="39" s="1"/>
  <c r="H57" i="39" s="1"/>
  <c r="F56" i="39"/>
  <c r="F54" i="39"/>
  <c r="F51" i="39" s="1"/>
  <c r="H51" i="39" s="1"/>
  <c r="F53" i="39"/>
  <c r="F50" i="39"/>
  <c r="F49" i="39" s="1"/>
  <c r="H49" i="39" s="1"/>
  <c r="F48" i="39"/>
  <c r="F47" i="39" s="1"/>
  <c r="H47" i="39" s="1"/>
  <c r="F45" i="39"/>
  <c r="F44" i="39"/>
  <c r="F43" i="39"/>
  <c r="F41" i="39" s="1"/>
  <c r="H41" i="39" s="1"/>
  <c r="F39" i="39"/>
  <c r="F38" i="39"/>
  <c r="F37" i="39"/>
  <c r="F35" i="39"/>
  <c r="H35" i="39" s="1"/>
  <c r="F33" i="39"/>
  <c r="F29" i="39" s="1"/>
  <c r="H29" i="39" s="1"/>
  <c r="F32" i="39"/>
  <c r="F31" i="39"/>
  <c r="F27" i="39"/>
  <c r="F26" i="39"/>
  <c r="F25" i="39"/>
  <c r="F23" i="39" s="1"/>
  <c r="H23" i="39" s="1"/>
  <c r="F21" i="39"/>
  <c r="F20" i="39"/>
  <c r="F19" i="39"/>
  <c r="F17" i="39"/>
  <c r="H17" i="39" s="1"/>
  <c r="H16" i="39"/>
  <c r="H15" i="39"/>
  <c r="H14" i="39"/>
  <c r="H13" i="39"/>
  <c r="H12" i="39"/>
  <c r="H11" i="39"/>
  <c r="F84" i="39" l="1"/>
  <c r="H84" i="39" s="1"/>
  <c r="F86" i="39"/>
  <c r="H86" i="39" s="1"/>
  <c r="F78" i="39"/>
  <c r="F76" i="39"/>
  <c r="H76" i="39" s="1"/>
  <c r="G89" i="39"/>
  <c r="H89" i="39" s="1"/>
  <c r="F74" i="39"/>
  <c r="H74" i="39" s="1"/>
  <c r="F72" i="39"/>
  <c r="H72" i="39" s="1"/>
  <c r="G66" i="39" s="1"/>
  <c r="H66" i="39" s="1"/>
  <c r="G78" i="39" l="1"/>
  <c r="H78" i="39" s="1"/>
  <c r="H10" i="39" s="1"/>
  <c r="H128" i="39" s="1"/>
  <c r="H130" i="39" s="1"/>
  <c r="H50" i="4" s="1"/>
  <c r="F164" i="38" l="1"/>
  <c r="H164" i="38" s="1"/>
  <c r="F163" i="38"/>
  <c r="F162" i="38" s="1"/>
  <c r="H162" i="38" s="1"/>
  <c r="F161" i="38"/>
  <c r="H160" i="38"/>
  <c r="F160" i="38"/>
  <c r="F157" i="38"/>
  <c r="F156" i="38"/>
  <c r="F154" i="38" s="1"/>
  <c r="H154" i="38" s="1"/>
  <c r="F152" i="38"/>
  <c r="F151" i="38"/>
  <c r="F149" i="38" s="1"/>
  <c r="H149" i="38" s="1"/>
  <c r="H144" i="38"/>
  <c r="F144" i="38"/>
  <c r="H137" i="38"/>
  <c r="F137" i="38"/>
  <c r="F130" i="38"/>
  <c r="H130" i="38" s="1"/>
  <c r="F124" i="38"/>
  <c r="F123" i="38"/>
  <c r="H123" i="38" s="1"/>
  <c r="F119" i="38"/>
  <c r="F117" i="38" s="1"/>
  <c r="H117" i="38" s="1"/>
  <c r="F114" i="38"/>
  <c r="F113" i="38"/>
  <c r="F111" i="38" s="1"/>
  <c r="H111" i="38" s="1"/>
  <c r="F109" i="38"/>
  <c r="F108" i="38" s="1"/>
  <c r="H108" i="38" s="1"/>
  <c r="F107" i="38"/>
  <c r="H106" i="38"/>
  <c r="F106" i="38"/>
  <c r="F105" i="38"/>
  <c r="H104" i="38"/>
  <c r="F104" i="38"/>
  <c r="F103" i="38"/>
  <c r="F102" i="38" s="1"/>
  <c r="H102" i="38" s="1"/>
  <c r="F100" i="38"/>
  <c r="F98" i="38" s="1"/>
  <c r="H98" i="38" s="1"/>
  <c r="F96" i="38"/>
  <c r="F94" i="38" s="1"/>
  <c r="H94" i="38" s="1"/>
  <c r="F93" i="38"/>
  <c r="F92" i="38"/>
  <c r="H92" i="38" s="1"/>
  <c r="F91" i="38"/>
  <c r="F90" i="38"/>
  <c r="H90" i="38" s="1"/>
  <c r="F88" i="38"/>
  <c r="F87" i="38" s="1"/>
  <c r="H87" i="38" s="1"/>
  <c r="F86" i="38"/>
  <c r="H85" i="38"/>
  <c r="F85" i="38"/>
  <c r="F84" i="38"/>
  <c r="H83" i="38"/>
  <c r="F83" i="38"/>
  <c r="F82" i="38"/>
  <c r="F81" i="38"/>
  <c r="F80" i="38"/>
  <c r="H80" i="38" s="1"/>
  <c r="F79" i="38"/>
  <c r="F78" i="38"/>
  <c r="H78" i="38" s="1"/>
  <c r="F77" i="38"/>
  <c r="F76" i="38" s="1"/>
  <c r="H76" i="38" s="1"/>
  <c r="F75" i="38"/>
  <c r="H74" i="38"/>
  <c r="F74" i="38"/>
  <c r="F73" i="38"/>
  <c r="H72" i="38"/>
  <c r="F72" i="38"/>
  <c r="F71" i="38"/>
  <c r="F70" i="38" s="1"/>
  <c r="H70" i="38" s="1"/>
  <c r="F69" i="38"/>
  <c r="F68" i="38" s="1"/>
  <c r="H68" i="38" s="1"/>
  <c r="F67" i="38"/>
  <c r="F66" i="38"/>
  <c r="F65" i="38"/>
  <c r="F63" i="38" s="1"/>
  <c r="H63" i="38" s="1"/>
  <c r="F61" i="38"/>
  <c r="F60" i="38"/>
  <c r="F59" i="38"/>
  <c r="F57" i="38"/>
  <c r="F55" i="38" s="1"/>
  <c r="H55" i="38" s="1"/>
  <c r="F53" i="38"/>
  <c r="F51" i="38" s="1"/>
  <c r="H49" i="38"/>
  <c r="F49" i="38"/>
  <c r="F48" i="38"/>
  <c r="F47" i="38" s="1"/>
  <c r="H47" i="38" s="1"/>
  <c r="F45" i="38"/>
  <c r="F43" i="38" s="1"/>
  <c r="H43" i="38" s="1"/>
  <c r="F41" i="38"/>
  <c r="F39" i="38" s="1"/>
  <c r="H39" i="38" s="1"/>
  <c r="F37" i="38"/>
  <c r="F35" i="38"/>
  <c r="H35" i="38" s="1"/>
  <c r="F33" i="38"/>
  <c r="F31" i="38"/>
  <c r="H31" i="38" s="1"/>
  <c r="F29" i="38"/>
  <c r="F27" i="38" s="1"/>
  <c r="H27" i="38" s="1"/>
  <c r="F26" i="38"/>
  <c r="H24" i="38"/>
  <c r="F24" i="38"/>
  <c r="F20" i="38"/>
  <c r="H20" i="38" s="1"/>
  <c r="F17" i="38"/>
  <c r="H17" i="38" s="1"/>
  <c r="H16" i="38"/>
  <c r="H15" i="38"/>
  <c r="H14" i="38"/>
  <c r="H13" i="38"/>
  <c r="H12" i="38"/>
  <c r="H11" i="38"/>
  <c r="H943" i="37"/>
  <c r="F943" i="37"/>
  <c r="F942" i="37"/>
  <c r="F941" i="37"/>
  <c r="F939" i="37" s="1"/>
  <c r="H939" i="37" s="1"/>
  <c r="F934" i="37"/>
  <c r="H934" i="37" s="1"/>
  <c r="F930" i="37"/>
  <c r="H930" i="37" s="1"/>
  <c r="F929" i="37"/>
  <c r="F928" i="37" s="1"/>
  <c r="H928" i="37" s="1"/>
  <c r="H927" i="37" s="1"/>
  <c r="F926" i="37"/>
  <c r="F925" i="37"/>
  <c r="F923" i="37"/>
  <c r="H923" i="37" s="1"/>
  <c r="F922" i="37"/>
  <c r="F921" i="37"/>
  <c r="F919" i="37" s="1"/>
  <c r="H919" i="37" s="1"/>
  <c r="H915" i="37"/>
  <c r="F915" i="37"/>
  <c r="F911" i="37"/>
  <c r="H911" i="37" s="1"/>
  <c r="F907" i="37"/>
  <c r="H907" i="37" s="1"/>
  <c r="F905" i="37"/>
  <c r="F903" i="37"/>
  <c r="H903" i="37" s="1"/>
  <c r="H899" i="37"/>
  <c r="F899" i="37"/>
  <c r="H895" i="37"/>
  <c r="F895" i="37"/>
  <c r="F893" i="37"/>
  <c r="F892" i="37"/>
  <c r="F891" i="37"/>
  <c r="F890" i="37"/>
  <c r="F889" i="37"/>
  <c r="F888" i="37"/>
  <c r="F887" i="37"/>
  <c r="F886" i="37"/>
  <c r="F885" i="37"/>
  <c r="F884" i="37"/>
  <c r="F883" i="37"/>
  <c r="F882" i="37"/>
  <c r="F881" i="37"/>
  <c r="F880" i="37"/>
  <c r="F879" i="37"/>
  <c r="F878" i="37"/>
  <c r="F877" i="37"/>
  <c r="F876" i="37"/>
  <c r="F875" i="37"/>
  <c r="F874" i="37"/>
  <c r="F873" i="37"/>
  <c r="F871" i="37"/>
  <c r="H871" i="37" s="1"/>
  <c r="F866" i="37"/>
  <c r="H866" i="37" s="1"/>
  <c r="F860" i="37"/>
  <c r="H860" i="37" s="1"/>
  <c r="F857" i="37"/>
  <c r="F856" i="37"/>
  <c r="F854" i="37"/>
  <c r="H854" i="37" s="1"/>
  <c r="F851" i="37"/>
  <c r="F849" i="37" s="1"/>
  <c r="H849" i="37" s="1"/>
  <c r="F846" i="37"/>
  <c r="H844" i="37"/>
  <c r="F844" i="37"/>
  <c r="F840" i="37"/>
  <c r="H840" i="37" s="1"/>
  <c r="F836" i="37"/>
  <c r="H836" i="37" s="1"/>
  <c r="F832" i="37"/>
  <c r="H832" i="37" s="1"/>
  <c r="H828" i="37"/>
  <c r="F828" i="37"/>
  <c r="F824" i="37"/>
  <c r="H824" i="37" s="1"/>
  <c r="F820" i="37"/>
  <c r="H820" i="37" s="1"/>
  <c r="F816" i="37"/>
  <c r="H816" i="37" s="1"/>
  <c r="H812" i="37"/>
  <c r="F812" i="37"/>
  <c r="F808" i="37"/>
  <c r="H808" i="37" s="1"/>
  <c r="F804" i="37"/>
  <c r="H804" i="37" s="1"/>
  <c r="F800" i="37"/>
  <c r="H800" i="37" s="1"/>
  <c r="H796" i="37"/>
  <c r="F796" i="37"/>
  <c r="F792" i="37"/>
  <c r="H792" i="37" s="1"/>
  <c r="F788" i="37"/>
  <c r="H788" i="37" s="1"/>
  <c r="F784" i="37"/>
  <c r="H784" i="37" s="1"/>
  <c r="H780" i="37"/>
  <c r="F780" i="37"/>
  <c r="F776" i="37"/>
  <c r="H776" i="37" s="1"/>
  <c r="F772" i="37"/>
  <c r="H772" i="37" s="1"/>
  <c r="F768" i="37"/>
  <c r="H768" i="37" s="1"/>
  <c r="H764" i="37"/>
  <c r="F764" i="37"/>
  <c r="F760" i="37"/>
  <c r="H760" i="37" s="1"/>
  <c r="F756" i="37"/>
  <c r="H756" i="37" s="1"/>
  <c r="F754" i="37"/>
  <c r="F752" i="37"/>
  <c r="F751" i="37"/>
  <c r="F748" i="37" s="1"/>
  <c r="H748" i="37" s="1"/>
  <c r="F746" i="37"/>
  <c r="F745" i="37"/>
  <c r="F744" i="37"/>
  <c r="F743" i="37"/>
  <c r="F742" i="37"/>
  <c r="F741" i="37"/>
  <c r="F740" i="37"/>
  <c r="F739" i="37"/>
  <c r="F738" i="37"/>
  <c r="F737" i="37"/>
  <c r="F736" i="37"/>
  <c r="F735" i="37"/>
  <c r="F734" i="37"/>
  <c r="F733" i="37"/>
  <c r="F732" i="37"/>
  <c r="F731" i="37"/>
  <c r="F729" i="37"/>
  <c r="F728" i="37"/>
  <c r="F727" i="37"/>
  <c r="F726" i="37"/>
  <c r="F725" i="37"/>
  <c r="F724" i="37"/>
  <c r="F723" i="37"/>
  <c r="F722" i="37"/>
  <c r="F721" i="37"/>
  <c r="F720" i="37"/>
  <c r="F719" i="37"/>
  <c r="F718" i="37"/>
  <c r="F717" i="37"/>
  <c r="F715" i="37"/>
  <c r="F714" i="37"/>
  <c r="F710" i="37" s="1"/>
  <c r="H710" i="37" s="1"/>
  <c r="F713" i="37"/>
  <c r="F708" i="37"/>
  <c r="F707" i="37"/>
  <c r="H707" i="37" s="1"/>
  <c r="F706" i="37"/>
  <c r="F704" i="37"/>
  <c r="F703" i="37"/>
  <c r="F702" i="37"/>
  <c r="F701" i="37"/>
  <c r="F700" i="37"/>
  <c r="F699" i="37"/>
  <c r="F698" i="37"/>
  <c r="F697" i="37"/>
  <c r="F696" i="37"/>
  <c r="F695" i="37"/>
  <c r="F694" i="37"/>
  <c r="F693" i="37"/>
  <c r="F692" i="37"/>
  <c r="F691" i="37"/>
  <c r="F690" i="37"/>
  <c r="F689" i="37"/>
  <c r="F688" i="37"/>
  <c r="F686" i="37"/>
  <c r="F685" i="37"/>
  <c r="F684" i="37"/>
  <c r="F683" i="37"/>
  <c r="F682" i="37"/>
  <c r="F681" i="37"/>
  <c r="F680" i="37"/>
  <c r="F679" i="37"/>
  <c r="F678" i="37"/>
  <c r="F677" i="37"/>
  <c r="F676" i="37"/>
  <c r="F675" i="37"/>
  <c r="F674" i="37"/>
  <c r="F673" i="37"/>
  <c r="F672" i="37"/>
  <c r="F670" i="37"/>
  <c r="F669" i="37"/>
  <c r="F668" i="37"/>
  <c r="F666" i="37" s="1"/>
  <c r="H666" i="37" s="1"/>
  <c r="F665" i="37"/>
  <c r="H664" i="37"/>
  <c r="F664" i="37"/>
  <c r="F654" i="37"/>
  <c r="F653" i="37"/>
  <c r="F652" i="37" s="1"/>
  <c r="F651" i="37"/>
  <c r="F650" i="37"/>
  <c r="F649" i="37" s="1"/>
  <c r="F641" i="37"/>
  <c r="F640" i="37" s="1"/>
  <c r="F639" i="37"/>
  <c r="F638" i="37"/>
  <c r="F644" i="37" s="1"/>
  <c r="H644" i="37" s="1"/>
  <c r="F629" i="37"/>
  <c r="F628" i="37" s="1"/>
  <c r="F627" i="37"/>
  <c r="F626" i="37" s="1"/>
  <c r="F623" i="37"/>
  <c r="F622" i="37"/>
  <c r="F621" i="37"/>
  <c r="F620" i="37"/>
  <c r="F619" i="37"/>
  <c r="F618" i="37"/>
  <c r="F617" i="37"/>
  <c r="F616" i="37"/>
  <c r="F615" i="37"/>
  <c r="F614" i="37"/>
  <c r="F613" i="37"/>
  <c r="F612" i="37"/>
  <c r="F611" i="37"/>
  <c r="F610" i="37"/>
  <c r="F609" i="37"/>
  <c r="F608" i="37"/>
  <c r="F607" i="37"/>
  <c r="F605" i="37"/>
  <c r="F604" i="37"/>
  <c r="F603" i="37"/>
  <c r="F602" i="37"/>
  <c r="F601" i="37"/>
  <c r="F600" i="37"/>
  <c r="F599" i="37"/>
  <c r="F598" i="37"/>
  <c r="F597" i="37"/>
  <c r="F596" i="37"/>
  <c r="F595" i="37"/>
  <c r="F594" i="37"/>
  <c r="F593" i="37"/>
  <c r="F592" i="37"/>
  <c r="F591" i="37"/>
  <c r="F589" i="37"/>
  <c r="F588" i="37"/>
  <c r="F585" i="37" s="1"/>
  <c r="H585" i="37" s="1"/>
  <c r="F587" i="37"/>
  <c r="F584" i="37"/>
  <c r="F583" i="37"/>
  <c r="F582" i="37"/>
  <c r="F581" i="37"/>
  <c r="F580" i="37"/>
  <c r="F579" i="37"/>
  <c r="F578" i="37"/>
  <c r="F577" i="37"/>
  <c r="F576" i="37"/>
  <c r="F575" i="37"/>
  <c r="F574" i="37"/>
  <c r="F573" i="37"/>
  <c r="F572" i="37"/>
  <c r="F571" i="37"/>
  <c r="F570" i="37"/>
  <c r="F569" i="37"/>
  <c r="F568" i="37"/>
  <c r="F566" i="37"/>
  <c r="F565" i="37"/>
  <c r="F564" i="37"/>
  <c r="F563" i="37"/>
  <c r="F562" i="37"/>
  <c r="F561" i="37"/>
  <c r="F560" i="37"/>
  <c r="F559" i="37"/>
  <c r="F558" i="37"/>
  <c r="F557" i="37"/>
  <c r="F556" i="37"/>
  <c r="F555" i="37"/>
  <c r="F554" i="37"/>
  <c r="F553" i="37"/>
  <c r="F546" i="37" s="1"/>
  <c r="H546" i="37" s="1"/>
  <c r="F552" i="37"/>
  <c r="F550" i="37"/>
  <c r="F549" i="37"/>
  <c r="F548" i="37"/>
  <c r="F545" i="37"/>
  <c r="F544" i="37"/>
  <c r="F543" i="37"/>
  <c r="F542" i="37"/>
  <c r="F541" i="37"/>
  <c r="F540" i="37"/>
  <c r="F539" i="37"/>
  <c r="F538" i="37"/>
  <c r="F537" i="37"/>
  <c r="F536" i="37"/>
  <c r="F535" i="37"/>
  <c r="F534" i="37"/>
  <c r="F533" i="37"/>
  <c r="F532" i="37"/>
  <c r="F531" i="37"/>
  <c r="F530" i="37"/>
  <c r="F529" i="37"/>
  <c r="F528" i="37"/>
  <c r="F523" i="37" s="1"/>
  <c r="H523" i="37" s="1"/>
  <c r="F527" i="37"/>
  <c r="F526" i="37"/>
  <c r="F525" i="37"/>
  <c r="F522" i="37"/>
  <c r="F520" i="37"/>
  <c r="F519" i="37"/>
  <c r="F518" i="37"/>
  <c r="F517" i="37"/>
  <c r="F516" i="37"/>
  <c r="F515" i="37"/>
  <c r="F514" i="37"/>
  <c r="F513" i="37"/>
  <c r="F512" i="37"/>
  <c r="F511" i="37"/>
  <c r="F509" i="37"/>
  <c r="F508" i="37"/>
  <c r="F507" i="37"/>
  <c r="F506" i="37"/>
  <c r="F505" i="37"/>
  <c r="F504" i="37"/>
  <c r="F503" i="37"/>
  <c r="F502" i="37"/>
  <c r="F500" i="37"/>
  <c r="F499" i="37"/>
  <c r="F497" i="37" s="1"/>
  <c r="H497" i="37" s="1"/>
  <c r="F496" i="37"/>
  <c r="F495" i="37"/>
  <c r="F494" i="37"/>
  <c r="F493" i="37"/>
  <c r="F492" i="37"/>
  <c r="F491" i="37"/>
  <c r="F490" i="37"/>
  <c r="F489" i="37"/>
  <c r="F488" i="37"/>
  <c r="F487" i="37"/>
  <c r="F486" i="37"/>
  <c r="F485" i="37"/>
  <c r="F484" i="37"/>
  <c r="F483" i="37"/>
  <c r="F482" i="37"/>
  <c r="F481" i="37"/>
  <c r="F480" i="37"/>
  <c r="F479" i="37"/>
  <c r="F478" i="37"/>
  <c r="F477" i="37"/>
  <c r="F476" i="37"/>
  <c r="F474" i="37"/>
  <c r="F472" i="37"/>
  <c r="F471" i="37"/>
  <c r="F470" i="37"/>
  <c r="F469" i="37"/>
  <c r="F468" i="37"/>
  <c r="F467" i="37"/>
  <c r="F466" i="37"/>
  <c r="F465" i="37"/>
  <c r="F464" i="37"/>
  <c r="F463" i="37"/>
  <c r="F461" i="37"/>
  <c r="F460" i="37"/>
  <c r="F459" i="37"/>
  <c r="F458" i="37"/>
  <c r="F457" i="37"/>
  <c r="F456" i="37"/>
  <c r="F455" i="37"/>
  <c r="F454" i="37"/>
  <c r="F452" i="37"/>
  <c r="F451" i="37"/>
  <c r="F449" i="37"/>
  <c r="F448" i="37"/>
  <c r="F447" i="37"/>
  <c r="F446" i="37"/>
  <c r="F445" i="37"/>
  <c r="F444" i="37"/>
  <c r="F443" i="37"/>
  <c r="F442" i="37"/>
  <c r="F441" i="37"/>
  <c r="F440" i="37"/>
  <c r="F439" i="37"/>
  <c r="F438" i="37"/>
  <c r="F437" i="37"/>
  <c r="F436" i="37"/>
  <c r="F435" i="37"/>
  <c r="F433" i="37"/>
  <c r="F432" i="37"/>
  <c r="F431" i="37"/>
  <c r="F430" i="37"/>
  <c r="F429" i="37"/>
  <c r="F428" i="37"/>
  <c r="F427" i="37"/>
  <c r="F426" i="37"/>
  <c r="F425" i="37"/>
  <c r="F424" i="37"/>
  <c r="F423" i="37"/>
  <c r="F422" i="37"/>
  <c r="F421" i="37"/>
  <c r="F420" i="37"/>
  <c r="F418" i="37"/>
  <c r="F417" i="37"/>
  <c r="F416" i="37"/>
  <c r="F414" i="37"/>
  <c r="H414" i="37" s="1"/>
  <c r="F413" i="37"/>
  <c r="F412" i="37"/>
  <c r="F411" i="37" s="1"/>
  <c r="H411" i="37" s="1"/>
  <c r="F409" i="37"/>
  <c r="F408" i="37"/>
  <c r="F407" i="37"/>
  <c r="F406" i="37"/>
  <c r="F405" i="37"/>
  <c r="F404" i="37"/>
  <c r="F403" i="37"/>
  <c r="F402" i="37"/>
  <c r="F401" i="37"/>
  <c r="F400" i="37"/>
  <c r="F399" i="37"/>
  <c r="F398" i="37"/>
  <c r="F397" i="37"/>
  <c r="F396" i="37"/>
  <c r="F395" i="37"/>
  <c r="F394" i="37"/>
  <c r="F393" i="37"/>
  <c r="F392" i="37"/>
  <c r="F391" i="37"/>
  <c r="F390" i="37"/>
  <c r="F389" i="37"/>
  <c r="F387" i="37"/>
  <c r="F385" i="37"/>
  <c r="F384" i="37"/>
  <c r="F383" i="37"/>
  <c r="F382" i="37"/>
  <c r="F381" i="37"/>
  <c r="F380" i="37"/>
  <c r="F379" i="37"/>
  <c r="F378" i="37"/>
  <c r="F377" i="37"/>
  <c r="F376" i="37"/>
  <c r="F375" i="37"/>
  <c r="F374" i="37"/>
  <c r="F373" i="37"/>
  <c r="F372" i="37"/>
  <c r="F371" i="37"/>
  <c r="F370" i="37"/>
  <c r="F369" i="37"/>
  <c r="F367" i="37"/>
  <c r="F366" i="37"/>
  <c r="F365" i="37"/>
  <c r="F364" i="37"/>
  <c r="F363" i="37"/>
  <c r="F362" i="37"/>
  <c r="F361" i="37"/>
  <c r="F360" i="37"/>
  <c r="F359" i="37"/>
  <c r="F358" i="37"/>
  <c r="F357" i="37"/>
  <c r="F356" i="37"/>
  <c r="F355" i="37"/>
  <c r="F354" i="37"/>
  <c r="F353" i="37"/>
  <c r="F351" i="37"/>
  <c r="F350" i="37"/>
  <c r="F346" i="37" s="1"/>
  <c r="F349" i="37"/>
  <c r="F345" i="37"/>
  <c r="F344" i="37" s="1"/>
  <c r="H344" i="37" s="1"/>
  <c r="F342" i="37"/>
  <c r="F340" i="37"/>
  <c r="F339" i="37"/>
  <c r="F338" i="37"/>
  <c r="F337" i="37"/>
  <c r="F336" i="37"/>
  <c r="F335" i="37"/>
  <c r="F334" i="37"/>
  <c r="F333" i="37"/>
  <c r="F332" i="37"/>
  <c r="F331" i="37"/>
  <c r="F330" i="37"/>
  <c r="F329" i="37"/>
  <c r="F328" i="37"/>
  <c r="F327" i="37"/>
  <c r="F326" i="37"/>
  <c r="F325" i="37"/>
  <c r="F324" i="37"/>
  <c r="F323" i="37"/>
  <c r="F322" i="37"/>
  <c r="F321" i="37"/>
  <c r="F320" i="37"/>
  <c r="F318" i="37"/>
  <c r="F317" i="37"/>
  <c r="F316" i="37"/>
  <c r="F315" i="37"/>
  <c r="F314" i="37"/>
  <c r="F313" i="37"/>
  <c r="F312" i="37"/>
  <c r="F311" i="37"/>
  <c r="F310" i="37"/>
  <c r="F309" i="37"/>
  <c r="F308" i="37"/>
  <c r="F307" i="37"/>
  <c r="F306" i="37"/>
  <c r="F305" i="37"/>
  <c r="F304" i="37"/>
  <c r="F303" i="37"/>
  <c r="F302" i="37"/>
  <c r="F300" i="37"/>
  <c r="F299" i="37"/>
  <c r="F298" i="37"/>
  <c r="F297" i="37"/>
  <c r="F296" i="37"/>
  <c r="F295" i="37"/>
  <c r="F294" i="37"/>
  <c r="F293" i="37"/>
  <c r="F292" i="37"/>
  <c r="F291" i="37"/>
  <c r="F290" i="37"/>
  <c r="F289" i="37"/>
  <c r="F288" i="37"/>
  <c r="F287" i="37"/>
  <c r="F286" i="37"/>
  <c r="F284" i="37"/>
  <c r="F283" i="37"/>
  <c r="F282" i="37"/>
  <c r="F280" i="37" s="1"/>
  <c r="H280" i="37" s="1"/>
  <c r="F278" i="37"/>
  <c r="F276" i="37"/>
  <c r="F275" i="37"/>
  <c r="F274" i="37"/>
  <c r="F273" i="37"/>
  <c r="F272" i="37"/>
  <c r="F271" i="37"/>
  <c r="F270" i="37"/>
  <c r="F269" i="37"/>
  <c r="F268" i="37"/>
  <c r="F267" i="37"/>
  <c r="F266" i="37"/>
  <c r="F265" i="37"/>
  <c r="F264" i="37"/>
  <c r="F263" i="37"/>
  <c r="F262" i="37"/>
  <c r="F261" i="37"/>
  <c r="F260" i="37"/>
  <c r="F259" i="37"/>
  <c r="F258" i="37"/>
  <c r="F257" i="37"/>
  <c r="F256" i="37"/>
  <c r="F254" i="37"/>
  <c r="F253" i="37"/>
  <c r="F252" i="37"/>
  <c r="F251" i="37"/>
  <c r="F250" i="37"/>
  <c r="F249" i="37"/>
  <c r="F248" i="37"/>
  <c r="F247" i="37"/>
  <c r="F246" i="37"/>
  <c r="F245" i="37"/>
  <c r="F244" i="37"/>
  <c r="F243" i="37"/>
  <c r="F242" i="37"/>
  <c r="F241" i="37"/>
  <c r="F240" i="37"/>
  <c r="F239" i="37"/>
  <c r="F238" i="37"/>
  <c r="F236" i="37"/>
  <c r="F235" i="37"/>
  <c r="F234" i="37"/>
  <c r="F233" i="37"/>
  <c r="F232" i="37"/>
  <c r="F231" i="37"/>
  <c r="F230" i="37"/>
  <c r="F229" i="37"/>
  <c r="F228" i="37"/>
  <c r="F227" i="37"/>
  <c r="F226" i="37"/>
  <c r="F225" i="37"/>
  <c r="F224" i="37"/>
  <c r="F223" i="37"/>
  <c r="F222" i="37"/>
  <c r="F220" i="37"/>
  <c r="F219" i="37"/>
  <c r="F218" i="37"/>
  <c r="F216" i="37" s="1"/>
  <c r="H216" i="37" s="1"/>
  <c r="F214" i="37"/>
  <c r="F212" i="37"/>
  <c r="F211" i="37"/>
  <c r="F210" i="37"/>
  <c r="F209" i="37"/>
  <c r="F208" i="37"/>
  <c r="F207" i="37"/>
  <c r="F206" i="37"/>
  <c r="F205" i="37"/>
  <c r="F204" i="37"/>
  <c r="F203" i="37"/>
  <c r="F202" i="37"/>
  <c r="F201" i="37"/>
  <c r="F200" i="37"/>
  <c r="F199" i="37"/>
  <c r="F198" i="37"/>
  <c r="F197" i="37"/>
  <c r="F196" i="37"/>
  <c r="F195" i="37"/>
  <c r="F194" i="37"/>
  <c r="F193" i="37"/>
  <c r="F192" i="37"/>
  <c r="F190" i="37"/>
  <c r="F189" i="37"/>
  <c r="F188" i="37"/>
  <c r="F187" i="37"/>
  <c r="F186" i="37"/>
  <c r="F185" i="37"/>
  <c r="F184" i="37"/>
  <c r="F183" i="37"/>
  <c r="F182" i="37"/>
  <c r="F181" i="37"/>
  <c r="F180" i="37"/>
  <c r="F179" i="37"/>
  <c r="F178" i="37"/>
  <c r="F177" i="37"/>
  <c r="F176" i="37"/>
  <c r="F175" i="37"/>
  <c r="F174" i="37"/>
  <c r="F172" i="37"/>
  <c r="F171" i="37"/>
  <c r="F170" i="37"/>
  <c r="F169" i="37"/>
  <c r="F168" i="37"/>
  <c r="F167" i="37"/>
  <c r="F166" i="37"/>
  <c r="F165" i="37"/>
  <c r="F164" i="37"/>
  <c r="F163" i="37"/>
  <c r="F162" i="37"/>
  <c r="F161" i="37"/>
  <c r="F160" i="37"/>
  <c r="F159" i="37"/>
  <c r="F158" i="37"/>
  <c r="F152" i="37" s="1"/>
  <c r="H152" i="37" s="1"/>
  <c r="F156" i="37"/>
  <c r="F155" i="37"/>
  <c r="F154" i="37"/>
  <c r="F150" i="37"/>
  <c r="F148" i="37"/>
  <c r="F147" i="37"/>
  <c r="F146" i="37"/>
  <c r="F145" i="37"/>
  <c r="F144" i="37"/>
  <c r="F143" i="37"/>
  <c r="F142" i="37"/>
  <c r="F141" i="37"/>
  <c r="F140" i="37"/>
  <c r="F139" i="37"/>
  <c r="F138" i="37"/>
  <c r="F137" i="37"/>
  <c r="F136" i="37"/>
  <c r="F135" i="37"/>
  <c r="F134" i="37"/>
  <c r="F133" i="37"/>
  <c r="F132" i="37"/>
  <c r="F131" i="37"/>
  <c r="F130" i="37"/>
  <c r="F129" i="37"/>
  <c r="F128" i="37"/>
  <c r="F126" i="37"/>
  <c r="F125" i="37"/>
  <c r="F124" i="37"/>
  <c r="F123" i="37"/>
  <c r="F122" i="37"/>
  <c r="F121" i="37"/>
  <c r="F120" i="37"/>
  <c r="F119" i="37"/>
  <c r="F118" i="37"/>
  <c r="F117" i="37"/>
  <c r="F116" i="37"/>
  <c r="F115" i="37"/>
  <c r="F114" i="37"/>
  <c r="F113" i="37"/>
  <c r="F112" i="37"/>
  <c r="F111" i="37"/>
  <c r="F110" i="37"/>
  <c r="F108" i="37"/>
  <c r="F107" i="37"/>
  <c r="F106" i="37"/>
  <c r="F105" i="37"/>
  <c r="F104" i="37"/>
  <c r="F103" i="37"/>
  <c r="F102" i="37"/>
  <c r="F101" i="37"/>
  <c r="F100" i="37"/>
  <c r="F99" i="37"/>
  <c r="F98" i="37"/>
  <c r="F97" i="37"/>
  <c r="F96" i="37"/>
  <c r="F95" i="37"/>
  <c r="F94" i="37"/>
  <c r="F92" i="37"/>
  <c r="F91" i="37"/>
  <c r="F90" i="37"/>
  <c r="F88" i="37"/>
  <c r="H88" i="37" s="1"/>
  <c r="F86" i="37"/>
  <c r="F84" i="37"/>
  <c r="F83" i="37"/>
  <c r="F82" i="37"/>
  <c r="F81" i="37"/>
  <c r="F80" i="37"/>
  <c r="F79" i="37"/>
  <c r="F78" i="37"/>
  <c r="F77" i="37"/>
  <c r="F76" i="37"/>
  <c r="F75" i="37"/>
  <c r="F74" i="37"/>
  <c r="F73" i="37"/>
  <c r="F72" i="37"/>
  <c r="F71" i="37"/>
  <c r="F70" i="37"/>
  <c r="F69" i="37"/>
  <c r="F68" i="37"/>
  <c r="F67" i="37"/>
  <c r="F66" i="37"/>
  <c r="F65" i="37"/>
  <c r="F64" i="37"/>
  <c r="F62" i="37"/>
  <c r="F61" i="37"/>
  <c r="F60" i="37"/>
  <c r="F59" i="37"/>
  <c r="F58" i="37"/>
  <c r="F57" i="37"/>
  <c r="F56" i="37"/>
  <c r="F55" i="37"/>
  <c r="F54" i="37"/>
  <c r="F53" i="37"/>
  <c r="F52" i="37"/>
  <c r="F51" i="37"/>
  <c r="F50" i="37"/>
  <c r="F49" i="37"/>
  <c r="F48" i="37"/>
  <c r="F47" i="37"/>
  <c r="F46" i="37"/>
  <c r="F44" i="37"/>
  <c r="F43" i="37"/>
  <c r="F42" i="37"/>
  <c r="F41" i="37"/>
  <c r="F40" i="37"/>
  <c r="F39" i="37"/>
  <c r="F38" i="37"/>
  <c r="F37" i="37"/>
  <c r="F36" i="37"/>
  <c r="F35" i="37"/>
  <c r="F34" i="37"/>
  <c r="F33" i="37"/>
  <c r="F32" i="37"/>
  <c r="F31" i="37"/>
  <c r="F30" i="37"/>
  <c r="F28" i="37"/>
  <c r="F27" i="37"/>
  <c r="F24" i="37" s="1"/>
  <c r="H24" i="37" s="1"/>
  <c r="F26" i="37"/>
  <c r="F20" i="37"/>
  <c r="H20" i="37" s="1"/>
  <c r="H17" i="37"/>
  <c r="F17" i="37"/>
  <c r="H16" i="37"/>
  <c r="H15" i="37"/>
  <c r="H14" i="37"/>
  <c r="H13" i="37"/>
  <c r="H12" i="37"/>
  <c r="H11" i="37"/>
  <c r="H663" i="37" l="1"/>
  <c r="H709" i="37"/>
  <c r="F630" i="37"/>
  <c r="H630" i="37" s="1"/>
  <c r="F632" i="37"/>
  <c r="H632" i="37" s="1"/>
  <c r="F624" i="37"/>
  <c r="H933" i="37"/>
  <c r="H932" i="37" s="1"/>
  <c r="F633" i="37"/>
  <c r="H633" i="37" s="1"/>
  <c r="F631" i="37"/>
  <c r="H631" i="37" s="1"/>
  <c r="H51" i="38"/>
  <c r="F54" i="38"/>
  <c r="H54" i="38" s="1"/>
  <c r="H10" i="38" s="1"/>
  <c r="H9" i="38" s="1"/>
  <c r="H166" i="38" s="1"/>
  <c r="H168" i="38" s="1"/>
  <c r="C11" i="36" s="1"/>
  <c r="F410" i="37"/>
  <c r="H410" i="37" s="1"/>
  <c r="H346" i="37"/>
  <c r="F645" i="37"/>
  <c r="H645" i="37" s="1"/>
  <c r="F643" i="37"/>
  <c r="H643" i="37" s="1"/>
  <c r="H159" i="38"/>
  <c r="F655" i="37"/>
  <c r="H655" i="37" s="1"/>
  <c r="F647" i="37"/>
  <c r="H110" i="38"/>
  <c r="F656" i="37"/>
  <c r="H656" i="37" s="1"/>
  <c r="F642" i="37"/>
  <c r="H642" i="37" s="1"/>
  <c r="F636" i="37"/>
  <c r="F660" i="37" l="1"/>
  <c r="H660" i="37" s="1"/>
  <c r="G647" i="37" s="1"/>
  <c r="H647" i="37" s="1"/>
  <c r="F659" i="37"/>
  <c r="H659" i="37" s="1"/>
  <c r="F634" i="37"/>
  <c r="H634" i="37" s="1"/>
  <c r="G624" i="37" s="1"/>
  <c r="H624" i="37" s="1"/>
  <c r="G636" i="37"/>
  <c r="H636" i="37" s="1"/>
  <c r="H10" i="37" l="1"/>
  <c r="H9" i="37" s="1"/>
  <c r="H945" i="37" s="1"/>
  <c r="H947" i="37" s="1"/>
  <c r="C10" i="36" s="1"/>
  <c r="C12" i="36" s="1"/>
  <c r="H48" i="4" s="1"/>
  <c r="F420" i="30"/>
  <c r="H420" i="30" s="1"/>
  <c r="F417" i="30"/>
  <c r="H417" i="30" s="1"/>
  <c r="F413" i="30"/>
  <c r="H413" i="30" s="1"/>
  <c r="F409" i="30"/>
  <c r="H409" i="30" s="1"/>
  <c r="F405" i="30"/>
  <c r="H405" i="30" s="1"/>
  <c r="F401" i="30"/>
  <c r="H401" i="30" s="1"/>
  <c r="F397" i="30"/>
  <c r="H397" i="30" s="1"/>
  <c r="F393" i="30"/>
  <c r="H393" i="30" s="1"/>
  <c r="F389" i="30"/>
  <c r="H389" i="30" s="1"/>
  <c r="F385" i="30"/>
  <c r="H385" i="30" s="1"/>
  <c r="F381" i="30"/>
  <c r="H381" i="30" s="1"/>
  <c r="F377" i="30"/>
  <c r="H377" i="30" s="1"/>
  <c r="F373" i="30"/>
  <c r="H373" i="30" s="1"/>
  <c r="F369" i="30"/>
  <c r="H369" i="30" s="1"/>
  <c r="F365" i="30"/>
  <c r="H365" i="30" s="1"/>
  <c r="F361" i="30"/>
  <c r="H361" i="30" s="1"/>
  <c r="F92" i="35" l="1"/>
  <c r="H92" i="35" s="1"/>
  <c r="H91" i="35"/>
  <c r="F87" i="35"/>
  <c r="H87" i="35" s="1"/>
  <c r="H82" i="35"/>
  <c r="F82" i="35"/>
  <c r="F80" i="35"/>
  <c r="H80" i="35" s="1"/>
  <c r="H79" i="35"/>
  <c r="H78" i="35"/>
  <c r="H77" i="35"/>
  <c r="H76" i="35"/>
  <c r="H74" i="35"/>
  <c r="F72" i="35"/>
  <c r="F70" i="35"/>
  <c r="H70" i="35" s="1"/>
  <c r="H69" i="35"/>
  <c r="H68" i="35"/>
  <c r="H67" i="35"/>
  <c r="H66" i="35"/>
  <c r="H65" i="35"/>
  <c r="H64" i="35"/>
  <c r="H63" i="35"/>
  <c r="H62" i="35"/>
  <c r="H60" i="35"/>
  <c r="F58" i="35"/>
  <c r="F56" i="35"/>
  <c r="H56" i="35" s="1"/>
  <c r="H55" i="35"/>
  <c r="H54" i="35"/>
  <c r="H53" i="35"/>
  <c r="H52" i="35"/>
  <c r="H51" i="35"/>
  <c r="H50" i="35"/>
  <c r="H49" i="35"/>
  <c r="H47" i="35"/>
  <c r="F45" i="35"/>
  <c r="F43" i="35"/>
  <c r="H43" i="35" s="1"/>
  <c r="H42" i="35"/>
  <c r="H41" i="35"/>
  <c r="H40" i="35"/>
  <c r="H39" i="35"/>
  <c r="H38" i="35"/>
  <c r="H37" i="35"/>
  <c r="H36" i="35"/>
  <c r="H35" i="35"/>
  <c r="H33" i="35"/>
  <c r="F31" i="35"/>
  <c r="F29" i="35"/>
  <c r="H29" i="35" s="1"/>
  <c r="H28" i="35"/>
  <c r="H27" i="35"/>
  <c r="H26" i="35"/>
  <c r="H25" i="35"/>
  <c r="H24" i="35"/>
  <c r="H22" i="35"/>
  <c r="F20" i="35"/>
  <c r="H18" i="35"/>
  <c r="F18" i="35"/>
  <c r="H17" i="35"/>
  <c r="H16" i="35"/>
  <c r="H15" i="35"/>
  <c r="H14" i="35"/>
  <c r="H12" i="35"/>
  <c r="F10" i="35"/>
  <c r="F881" i="6"/>
  <c r="F880" i="6"/>
  <c r="F871" i="6"/>
  <c r="F870" i="6" s="1"/>
  <c r="H870" i="6" s="1"/>
  <c r="F864" i="6"/>
  <c r="F863" i="6"/>
  <c r="F862" i="6"/>
  <c r="H620" i="6"/>
  <c r="H619" i="6"/>
  <c r="F616" i="6"/>
  <c r="H616" i="6" s="1"/>
  <c r="F614" i="6"/>
  <c r="F613" i="6" s="1"/>
  <c r="H613" i="6" s="1"/>
  <c r="F507" i="6"/>
  <c r="H507" i="6" s="1"/>
  <c r="F503" i="6"/>
  <c r="H503" i="6" s="1"/>
  <c r="F251" i="6"/>
  <c r="H251" i="6" s="1"/>
  <c r="F182" i="6"/>
  <c r="F181" i="6"/>
  <c r="F180" i="6"/>
  <c r="F157" i="6"/>
  <c r="F156" i="6"/>
  <c r="F153" i="6"/>
  <c r="F152" i="6"/>
  <c r="F154" i="6" l="1"/>
  <c r="H154" i="6" s="1"/>
  <c r="F879" i="6"/>
  <c r="H879" i="6" s="1"/>
  <c r="G58" i="35"/>
  <c r="H58" i="35" s="1"/>
  <c r="G10" i="35"/>
  <c r="H10" i="35" s="1"/>
  <c r="G72" i="35"/>
  <c r="H72" i="35" s="1"/>
  <c r="G20" i="35"/>
  <c r="H20" i="35" s="1"/>
  <c r="G45" i="35"/>
  <c r="H45" i="35" s="1"/>
  <c r="G31" i="35"/>
  <c r="H31" i="35" s="1"/>
  <c r="H612" i="6"/>
  <c r="C22" i="7" s="1"/>
  <c r="F150" i="6"/>
  <c r="H150" i="6" s="1"/>
  <c r="F285" i="34"/>
  <c r="H285" i="34" s="1"/>
  <c r="H284" i="34"/>
  <c r="F279" i="34"/>
  <c r="F276" i="34"/>
  <c r="H276" i="34" s="1"/>
  <c r="F273" i="34"/>
  <c r="H273" i="34" s="1"/>
  <c r="F269" i="34"/>
  <c r="H269" i="34" s="1"/>
  <c r="H268" i="34"/>
  <c r="H267" i="34"/>
  <c r="F264" i="34"/>
  <c r="H264" i="34" s="1"/>
  <c r="F261" i="34"/>
  <c r="H261" i="34" s="1"/>
  <c r="F255" i="34"/>
  <c r="F252" i="34"/>
  <c r="H252" i="34" s="1"/>
  <c r="F248" i="34"/>
  <c r="H248" i="34" s="1"/>
  <c r="F243" i="34"/>
  <c r="H243" i="34" s="1"/>
  <c r="F239" i="34"/>
  <c r="H239" i="34" s="1"/>
  <c r="H238" i="34"/>
  <c r="H237" i="34"/>
  <c r="F234" i="34"/>
  <c r="H234" i="34" s="1"/>
  <c r="F231" i="34"/>
  <c r="H231" i="34" s="1"/>
  <c r="F225" i="34"/>
  <c r="H221" i="34"/>
  <c r="F221" i="34"/>
  <c r="F216" i="34"/>
  <c r="H216" i="34" s="1"/>
  <c r="F212" i="34"/>
  <c r="H212" i="34" s="1"/>
  <c r="H211" i="34"/>
  <c r="H210" i="34"/>
  <c r="F207" i="34"/>
  <c r="H207" i="34" s="1"/>
  <c r="F204" i="34"/>
  <c r="H204" i="34" s="1"/>
  <c r="F198" i="34"/>
  <c r="F194" i="34"/>
  <c r="H194" i="34" s="1"/>
  <c r="F190" i="34"/>
  <c r="H190" i="34" s="1"/>
  <c r="F186" i="34"/>
  <c r="H186" i="34" s="1"/>
  <c r="H185" i="34"/>
  <c r="H184" i="34"/>
  <c r="F181" i="34"/>
  <c r="H181" i="34" s="1"/>
  <c r="F178" i="34"/>
  <c r="H178" i="34" s="1"/>
  <c r="F175" i="34"/>
  <c r="H175" i="34" s="1"/>
  <c r="F169" i="34"/>
  <c r="F164" i="34"/>
  <c r="H164" i="34" s="1"/>
  <c r="F160" i="34"/>
  <c r="H160" i="34" s="1"/>
  <c r="F156" i="34"/>
  <c r="H156" i="34" s="1"/>
  <c r="H155" i="34"/>
  <c r="H154" i="34"/>
  <c r="F151" i="34"/>
  <c r="H151" i="34" s="1"/>
  <c r="F148" i="34"/>
  <c r="H148" i="34" s="1"/>
  <c r="F142" i="34"/>
  <c r="F140" i="34"/>
  <c r="H140" i="34" s="1"/>
  <c r="F136" i="34"/>
  <c r="H136" i="34" s="1"/>
  <c r="F131" i="34"/>
  <c r="H131" i="34" s="1"/>
  <c r="F127" i="34"/>
  <c r="H127" i="34" s="1"/>
  <c r="H126" i="34"/>
  <c r="H125" i="34"/>
  <c r="F122" i="34"/>
  <c r="H122" i="34" s="1"/>
  <c r="F119" i="34"/>
  <c r="H119" i="34" s="1"/>
  <c r="F110" i="34"/>
  <c r="F107" i="34"/>
  <c r="H107" i="34" s="1"/>
  <c r="F103" i="34"/>
  <c r="H103" i="34" s="1"/>
  <c r="F99" i="34"/>
  <c r="H99" i="34" s="1"/>
  <c r="F93" i="34"/>
  <c r="H93" i="34" s="1"/>
  <c r="F89" i="34"/>
  <c r="H89" i="34" s="1"/>
  <c r="F85" i="34"/>
  <c r="H85" i="34" s="1"/>
  <c r="F81" i="34"/>
  <c r="H81" i="34" s="1"/>
  <c r="H80" i="34"/>
  <c r="H79" i="34"/>
  <c r="F76" i="34"/>
  <c r="H76" i="34" s="1"/>
  <c r="F73" i="34"/>
  <c r="H73" i="34" s="1"/>
  <c r="F67" i="34"/>
  <c r="F64" i="34"/>
  <c r="H64" i="34" s="1"/>
  <c r="F61" i="34"/>
  <c r="H61" i="34" s="1"/>
  <c r="F57" i="34"/>
  <c r="H57" i="34" s="1"/>
  <c r="F53" i="34"/>
  <c r="H53" i="34" s="1"/>
  <c r="F49" i="34"/>
  <c r="H49" i="34" s="1"/>
  <c r="F45" i="34"/>
  <c r="H45" i="34" s="1"/>
  <c r="F41" i="34"/>
  <c r="H41" i="34" s="1"/>
  <c r="H40" i="34"/>
  <c r="H39" i="34"/>
  <c r="F36" i="34"/>
  <c r="H36" i="34" s="1"/>
  <c r="F33" i="34"/>
  <c r="H33" i="34" s="1"/>
  <c r="F27" i="34"/>
  <c r="F24" i="34"/>
  <c r="H24" i="34" s="1"/>
  <c r="F20" i="34"/>
  <c r="H20" i="34" s="1"/>
  <c r="F14" i="34"/>
  <c r="H14" i="34" s="1"/>
  <c r="F10" i="34"/>
  <c r="H10" i="34" s="1"/>
  <c r="F338" i="33"/>
  <c r="H338" i="33" s="1"/>
  <c r="H337" i="33"/>
  <c r="H335" i="33"/>
  <c r="H334" i="33"/>
  <c r="H331" i="33"/>
  <c r="F331" i="33"/>
  <c r="F327" i="33"/>
  <c r="F324" i="33"/>
  <c r="H324" i="33" s="1"/>
  <c r="F321" i="33"/>
  <c r="H321" i="33" s="1"/>
  <c r="H317" i="33"/>
  <c r="F317" i="33"/>
  <c r="H316" i="33"/>
  <c r="F313" i="33"/>
  <c r="H313" i="33" s="1"/>
  <c r="H312" i="33"/>
  <c r="F309" i="33"/>
  <c r="H309" i="33" s="1"/>
  <c r="H306" i="33"/>
  <c r="F306" i="33"/>
  <c r="H303" i="33"/>
  <c r="F303" i="33"/>
  <c r="H300" i="33"/>
  <c r="F300" i="33"/>
  <c r="F297" i="33"/>
  <c r="H297" i="33" s="1"/>
  <c r="H294" i="33"/>
  <c r="F294" i="33"/>
  <c r="F292" i="33"/>
  <c r="F290" i="33"/>
  <c r="H290" i="33" s="1"/>
  <c r="F288" i="33"/>
  <c r="F286" i="33"/>
  <c r="H286" i="33" s="1"/>
  <c r="F282" i="33"/>
  <c r="H282" i="33" s="1"/>
  <c r="H281" i="33"/>
  <c r="H280" i="33"/>
  <c r="F278" i="33"/>
  <c r="H278" i="33" s="1"/>
  <c r="H275" i="33"/>
  <c r="F275" i="33"/>
  <c r="F272" i="33"/>
  <c r="H272" i="33" s="1"/>
  <c r="F270" i="33"/>
  <c r="F268" i="33" s="1"/>
  <c r="H268" i="33" s="1"/>
  <c r="F266" i="33"/>
  <c r="H264" i="33"/>
  <c r="F264" i="33"/>
  <c r="H260" i="33"/>
  <c r="F260" i="33"/>
  <c r="H259" i="33"/>
  <c r="H255" i="33"/>
  <c r="F255" i="33"/>
  <c r="H251" i="33"/>
  <c r="F251" i="33"/>
  <c r="F247" i="33"/>
  <c r="H247" i="33" s="1"/>
  <c r="F243" i="33"/>
  <c r="H243" i="33" s="1"/>
  <c r="H239" i="33"/>
  <c r="F239" i="33"/>
  <c r="H235" i="33"/>
  <c r="F235" i="33"/>
  <c r="F231" i="33"/>
  <c r="H231" i="33" s="1"/>
  <c r="F227" i="33"/>
  <c r="H227" i="33" s="1"/>
  <c r="F223" i="33"/>
  <c r="H223" i="33" s="1"/>
  <c r="H222" i="33"/>
  <c r="F219" i="33"/>
  <c r="H219" i="33" s="1"/>
  <c r="F216" i="33"/>
  <c r="H216" i="33" s="1"/>
  <c r="H213" i="33"/>
  <c r="F213" i="33"/>
  <c r="H210" i="33"/>
  <c r="F210" i="33"/>
  <c r="F207" i="33"/>
  <c r="H207" i="33" s="1"/>
  <c r="F204" i="33"/>
  <c r="H204" i="33" s="1"/>
  <c r="H201" i="33"/>
  <c r="F201" i="33"/>
  <c r="H197" i="33"/>
  <c r="F197" i="33"/>
  <c r="H196" i="33"/>
  <c r="F192" i="33"/>
  <c r="H192" i="33" s="1"/>
  <c r="H188" i="33"/>
  <c r="F188" i="33"/>
  <c r="H183" i="33"/>
  <c r="F183" i="33"/>
  <c r="F178" i="33"/>
  <c r="H178" i="33" s="1"/>
  <c r="F173" i="33"/>
  <c r="H173" i="33" s="1"/>
  <c r="H168" i="33"/>
  <c r="F168" i="33"/>
  <c r="H163" i="33"/>
  <c r="F163" i="33"/>
  <c r="F159" i="33"/>
  <c r="H159" i="33" s="1"/>
  <c r="F154" i="33"/>
  <c r="H154" i="33" s="1"/>
  <c r="H148" i="33"/>
  <c r="F148" i="33"/>
  <c r="H143" i="33"/>
  <c r="F143" i="33"/>
  <c r="F139" i="33"/>
  <c r="H139" i="33" s="1"/>
  <c r="F134" i="33"/>
  <c r="H134" i="33" s="1"/>
  <c r="H128" i="33"/>
  <c r="F128" i="33"/>
  <c r="H122" i="33"/>
  <c r="F122" i="33"/>
  <c r="H118" i="33"/>
  <c r="F118" i="33"/>
  <c r="H117" i="33"/>
  <c r="H111" i="33"/>
  <c r="F111" i="33"/>
  <c r="H106" i="33"/>
  <c r="F106" i="33"/>
  <c r="F102" i="33"/>
  <c r="H102" i="33" s="1"/>
  <c r="F97" i="33"/>
  <c r="H97" i="33" s="1"/>
  <c r="H92" i="33"/>
  <c r="F92" i="33"/>
  <c r="H87" i="33"/>
  <c r="F87" i="33"/>
  <c r="F81" i="33"/>
  <c r="H81" i="33" s="1"/>
  <c r="F77" i="33"/>
  <c r="H77" i="33" s="1"/>
  <c r="H72" i="33"/>
  <c r="F72" i="33"/>
  <c r="H67" i="33"/>
  <c r="F67" i="33"/>
  <c r="F63" i="33"/>
  <c r="H63" i="33" s="1"/>
  <c r="F58" i="33"/>
  <c r="H58" i="33" s="1"/>
  <c r="H54" i="33"/>
  <c r="F54" i="33"/>
  <c r="H50" i="33"/>
  <c r="F50" i="33"/>
  <c r="F46" i="33"/>
  <c r="H46" i="33" s="1"/>
  <c r="F42" i="33"/>
  <c r="H42" i="33" s="1"/>
  <c r="H37" i="33"/>
  <c r="F37" i="33"/>
  <c r="H33" i="33"/>
  <c r="F33" i="33"/>
  <c r="F28" i="33"/>
  <c r="H28" i="33" s="1"/>
  <c r="F23" i="33"/>
  <c r="H23" i="33" s="1"/>
  <c r="H19" i="33"/>
  <c r="F19" i="33"/>
  <c r="H13" i="33"/>
  <c r="F13" i="33"/>
  <c r="F9" i="33"/>
  <c r="H9" i="33" s="1"/>
  <c r="F811" i="32"/>
  <c r="H811" i="32" s="1"/>
  <c r="H810" i="32"/>
  <c r="F804" i="32"/>
  <c r="H804" i="32" s="1"/>
  <c r="H802" i="32"/>
  <c r="F798" i="32"/>
  <c r="H798" i="32" s="1"/>
  <c r="H797" i="32"/>
  <c r="F793" i="32"/>
  <c r="H793" i="32" s="1"/>
  <c r="F789" i="32"/>
  <c r="H789" i="32" s="1"/>
  <c r="F785" i="32"/>
  <c r="H785" i="32" s="1"/>
  <c r="F780" i="32"/>
  <c r="H780" i="32" s="1"/>
  <c r="F776" i="32"/>
  <c r="H776" i="32" s="1"/>
  <c r="F772" i="32"/>
  <c r="H772" i="32" s="1"/>
  <c r="F768" i="32"/>
  <c r="H768" i="32" s="1"/>
  <c r="F764" i="32"/>
  <c r="H764" i="32" s="1"/>
  <c r="F760" i="32"/>
  <c r="H760" i="32" s="1"/>
  <c r="F756" i="32"/>
  <c r="H756" i="32" s="1"/>
  <c r="F752" i="32"/>
  <c r="H752" i="32" s="1"/>
  <c r="F748" i="32"/>
  <c r="H748" i="32" s="1"/>
  <c r="F744" i="32"/>
  <c r="H744" i="32" s="1"/>
  <c r="F740" i="32"/>
  <c r="H740" i="32" s="1"/>
  <c r="F736" i="32"/>
  <c r="H736" i="32" s="1"/>
  <c r="F732" i="32"/>
  <c r="H732" i="32" s="1"/>
  <c r="F728" i="32"/>
  <c r="H728" i="32" s="1"/>
  <c r="F724" i="32"/>
  <c r="H724" i="32" s="1"/>
  <c r="F720" i="32"/>
  <c r="H720" i="32" s="1"/>
  <c r="F716" i="32"/>
  <c r="H716" i="32" s="1"/>
  <c r="F712" i="32"/>
  <c r="H712" i="32" s="1"/>
  <c r="F708" i="32"/>
  <c r="H708" i="32" s="1"/>
  <c r="F704" i="32"/>
  <c r="H704" i="32" s="1"/>
  <c r="F700" i="32"/>
  <c r="H700" i="32" s="1"/>
  <c r="F696" i="32"/>
  <c r="H696" i="32" s="1"/>
  <c r="F692" i="32"/>
  <c r="H692" i="32" s="1"/>
  <c r="F688" i="32"/>
  <c r="H688" i="32" s="1"/>
  <c r="F684" i="32"/>
  <c r="H684" i="32" s="1"/>
  <c r="F679" i="32"/>
  <c r="H679" i="32" s="1"/>
  <c r="F674" i="32"/>
  <c r="H674" i="32" s="1"/>
  <c r="F670" i="32"/>
  <c r="H670" i="32" s="1"/>
  <c r="F666" i="32"/>
  <c r="H666" i="32" s="1"/>
  <c r="F662" i="32"/>
  <c r="H662" i="32" s="1"/>
  <c r="F658" i="32"/>
  <c r="H658" i="32" s="1"/>
  <c r="F654" i="32"/>
  <c r="H654" i="32" s="1"/>
  <c r="F650" i="32"/>
  <c r="H650" i="32" s="1"/>
  <c r="F646" i="32"/>
  <c r="H646" i="32" s="1"/>
  <c r="F642" i="32"/>
  <c r="H642" i="32" s="1"/>
  <c r="F637" i="32"/>
  <c r="H637" i="32" s="1"/>
  <c r="F632" i="32"/>
  <c r="H632" i="32" s="1"/>
  <c r="F628" i="32"/>
  <c r="H628" i="32" s="1"/>
  <c r="F624" i="32"/>
  <c r="H624" i="32" s="1"/>
  <c r="F620" i="32"/>
  <c r="H620" i="32" s="1"/>
  <c r="F616" i="32"/>
  <c r="H616" i="32" s="1"/>
  <c r="F612" i="32"/>
  <c r="H612" i="32" s="1"/>
  <c r="F608" i="32"/>
  <c r="H608" i="32" s="1"/>
  <c r="F603" i="32"/>
  <c r="H603" i="32" s="1"/>
  <c r="F599" i="32"/>
  <c r="H599" i="32" s="1"/>
  <c r="F595" i="32"/>
  <c r="H595" i="32" s="1"/>
  <c r="F591" i="32"/>
  <c r="H591" i="32" s="1"/>
  <c r="F587" i="32"/>
  <c r="H587" i="32" s="1"/>
  <c r="F583" i="32"/>
  <c r="H583" i="32" s="1"/>
  <c r="F579" i="32"/>
  <c r="H579" i="32" s="1"/>
  <c r="F575" i="32"/>
  <c r="H575" i="32" s="1"/>
  <c r="F570" i="32"/>
  <c r="H570" i="32" s="1"/>
  <c r="F566" i="32"/>
  <c r="H566" i="32" s="1"/>
  <c r="F562" i="32"/>
  <c r="H562" i="32" s="1"/>
  <c r="F559" i="32"/>
  <c r="F555" i="32"/>
  <c r="H555" i="32" s="1"/>
  <c r="H554" i="32"/>
  <c r="F551" i="32"/>
  <c r="H551" i="32" s="1"/>
  <c r="F548" i="32"/>
  <c r="H548" i="32" s="1"/>
  <c r="F540" i="32"/>
  <c r="H540" i="32" s="1"/>
  <c r="F525" i="32"/>
  <c r="H525" i="32" s="1"/>
  <c r="F515" i="32"/>
  <c r="F505" i="32"/>
  <c r="F495" i="32"/>
  <c r="F485" i="32"/>
  <c r="F475" i="32"/>
  <c r="F465" i="32"/>
  <c r="F455" i="32"/>
  <c r="F452" i="32"/>
  <c r="F445" i="32" s="1"/>
  <c r="F435" i="32"/>
  <c r="F425" i="32"/>
  <c r="F415" i="32"/>
  <c r="F405" i="32"/>
  <c r="F395" i="32"/>
  <c r="F385" i="32"/>
  <c r="F375" i="32"/>
  <c r="F365" i="32"/>
  <c r="F355" i="32"/>
  <c r="F345" i="32"/>
  <c r="F335" i="32"/>
  <c r="F325" i="32"/>
  <c r="F315" i="32"/>
  <c r="F305" i="32"/>
  <c r="F295" i="32"/>
  <c r="F285" i="32"/>
  <c r="F275" i="32"/>
  <c r="F272" i="32"/>
  <c r="F265" i="32" s="1"/>
  <c r="F262" i="32"/>
  <c r="F255" i="32" s="1"/>
  <c r="F252" i="32"/>
  <c r="F245" i="32" s="1"/>
  <c r="F242" i="32"/>
  <c r="F235" i="32" s="1"/>
  <c r="F232" i="32"/>
  <c r="F225" i="32" s="1"/>
  <c r="F222" i="32"/>
  <c r="F215" i="32" s="1"/>
  <c r="F212" i="32"/>
  <c r="F205" i="32" s="1"/>
  <c r="F202" i="32"/>
  <c r="F195" i="32" s="1"/>
  <c r="F186" i="32"/>
  <c r="F177" i="32"/>
  <c r="F168" i="32"/>
  <c r="F159" i="32"/>
  <c r="F150" i="32"/>
  <c r="F141" i="32"/>
  <c r="F132" i="32"/>
  <c r="F123" i="32"/>
  <c r="F114" i="32"/>
  <c r="F105" i="32"/>
  <c r="F96" i="32"/>
  <c r="F87" i="32"/>
  <c r="F83" i="32"/>
  <c r="H83" i="32" s="1"/>
  <c r="H82" i="32"/>
  <c r="F79" i="32"/>
  <c r="H79" i="32" s="1"/>
  <c r="F76" i="32"/>
  <c r="H76" i="32" s="1"/>
  <c r="F73" i="32"/>
  <c r="H73" i="32" s="1"/>
  <c r="F70" i="32"/>
  <c r="H70" i="32" s="1"/>
  <c r="F67" i="32"/>
  <c r="H67" i="32" s="1"/>
  <c r="F64" i="32"/>
  <c r="H64" i="32" s="1"/>
  <c r="F59" i="32"/>
  <c r="H59" i="32" s="1"/>
  <c r="F54" i="32"/>
  <c r="H54" i="32" s="1"/>
  <c r="F49" i="32"/>
  <c r="H49" i="32" s="1"/>
  <c r="F44" i="32"/>
  <c r="H44" i="32" s="1"/>
  <c r="F39" i="32"/>
  <c r="H39" i="32" s="1"/>
  <c r="F33" i="32"/>
  <c r="H33" i="32" s="1"/>
  <c r="F27" i="32"/>
  <c r="H27" i="32" s="1"/>
  <c r="F21" i="32"/>
  <c r="H21" i="32" s="1"/>
  <c r="F15" i="32"/>
  <c r="H15" i="32" s="1"/>
  <c r="F9" i="32"/>
  <c r="H9" i="32" s="1"/>
  <c r="F518" i="32" l="1"/>
  <c r="H518" i="32" s="1"/>
  <c r="G515" i="32" s="1"/>
  <c r="H515" i="32" s="1"/>
  <c r="F508" i="32"/>
  <c r="H508" i="32" s="1"/>
  <c r="G505" i="32" s="1"/>
  <c r="H505" i="32" s="1"/>
  <c r="F498" i="32"/>
  <c r="H498" i="32" s="1"/>
  <c r="G495" i="32" s="1"/>
  <c r="H495" i="32" s="1"/>
  <c r="H485" i="32"/>
  <c r="F488" i="32"/>
  <c r="H488" i="32" s="1"/>
  <c r="G485" i="32" s="1"/>
  <c r="F478" i="32"/>
  <c r="H478" i="32" s="1"/>
  <c r="G475" i="32" s="1"/>
  <c r="H475" i="32" s="1"/>
  <c r="F468" i="32"/>
  <c r="H468" i="32" s="1"/>
  <c r="G465" i="32" s="1"/>
  <c r="H465" i="32" s="1"/>
  <c r="F458" i="32"/>
  <c r="H458" i="32" s="1"/>
  <c r="G455" i="32" s="1"/>
  <c r="H455" i="32" s="1"/>
  <c r="H445" i="32"/>
  <c r="F448" i="32"/>
  <c r="H448" i="32" s="1"/>
  <c r="G445" i="32" s="1"/>
  <c r="F438" i="32"/>
  <c r="H438" i="32" s="1"/>
  <c r="G435" i="32" s="1"/>
  <c r="H435" i="32" s="1"/>
  <c r="F428" i="32"/>
  <c r="H428" i="32" s="1"/>
  <c r="G425" i="32" s="1"/>
  <c r="H425" i="32" s="1"/>
  <c r="F418" i="32"/>
  <c r="H418" i="32" s="1"/>
  <c r="G415" i="32" s="1"/>
  <c r="H415" i="32" s="1"/>
  <c r="H405" i="32"/>
  <c r="F408" i="32"/>
  <c r="H408" i="32" s="1"/>
  <c r="G405" i="32" s="1"/>
  <c r="F398" i="32"/>
  <c r="H398" i="32" s="1"/>
  <c r="G395" i="32" s="1"/>
  <c r="H395" i="32" s="1"/>
  <c r="F388" i="32"/>
  <c r="H388" i="32" s="1"/>
  <c r="G385" i="32" s="1"/>
  <c r="H385" i="32" s="1"/>
  <c r="F378" i="32"/>
  <c r="H378" i="32" s="1"/>
  <c r="G375" i="32" s="1"/>
  <c r="H375" i="32" s="1"/>
  <c r="H365" i="32"/>
  <c r="F368" i="32"/>
  <c r="H368" i="32" s="1"/>
  <c r="G365" i="32" s="1"/>
  <c r="F358" i="32"/>
  <c r="H358" i="32" s="1"/>
  <c r="G355" i="32" s="1"/>
  <c r="H355" i="32" s="1"/>
  <c r="F348" i="32"/>
  <c r="H348" i="32" s="1"/>
  <c r="G345" i="32" s="1"/>
  <c r="H345" i="32" s="1"/>
  <c r="F338" i="32"/>
  <c r="H338" i="32" s="1"/>
  <c r="G335" i="32" s="1"/>
  <c r="H335" i="32" s="1"/>
  <c r="H325" i="32"/>
  <c r="F328" i="32"/>
  <c r="H328" i="32" s="1"/>
  <c r="G325" i="32" s="1"/>
  <c r="F318" i="32"/>
  <c r="H318" i="32" s="1"/>
  <c r="G315" i="32" s="1"/>
  <c r="H315" i="32" s="1"/>
  <c r="F308" i="32"/>
  <c r="H308" i="32" s="1"/>
  <c r="G305" i="32" s="1"/>
  <c r="H305" i="32" s="1"/>
  <c r="F298" i="32"/>
  <c r="H298" i="32" s="1"/>
  <c r="G295" i="32" s="1"/>
  <c r="H295" i="32" s="1"/>
  <c r="H285" i="32"/>
  <c r="F288" i="32"/>
  <c r="H288" i="32" s="1"/>
  <c r="G285" i="32" s="1"/>
  <c r="F278" i="32"/>
  <c r="H278" i="32" s="1"/>
  <c r="G275" i="32" s="1"/>
  <c r="H275" i="32" s="1"/>
  <c r="F268" i="32"/>
  <c r="H268" i="32" s="1"/>
  <c r="G265" i="32" s="1"/>
  <c r="H265" i="32" s="1"/>
  <c r="F258" i="32"/>
  <c r="H258" i="32" s="1"/>
  <c r="G255" i="32" s="1"/>
  <c r="H255" i="32" s="1"/>
  <c r="H245" i="32"/>
  <c r="F248" i="32"/>
  <c r="H248" i="32" s="1"/>
  <c r="G245" i="32" s="1"/>
  <c r="F238" i="32"/>
  <c r="H238" i="32" s="1"/>
  <c r="G235" i="32" s="1"/>
  <c r="H235" i="32" s="1"/>
  <c r="F228" i="32"/>
  <c r="H228" i="32" s="1"/>
  <c r="G225" i="32" s="1"/>
  <c r="H225" i="32" s="1"/>
  <c r="F218" i="32"/>
  <c r="H218" i="32" s="1"/>
  <c r="G215" i="32" s="1"/>
  <c r="H215" i="32" s="1"/>
  <c r="H205" i="32"/>
  <c r="F208" i="32"/>
  <c r="H208" i="32" s="1"/>
  <c r="G205" i="32" s="1"/>
  <c r="F198" i="32"/>
  <c r="H198" i="32" s="1"/>
  <c r="G195" i="32" s="1"/>
  <c r="H195" i="32" s="1"/>
  <c r="F189" i="32"/>
  <c r="H189" i="32" s="1"/>
  <c r="G186" i="32" s="1"/>
  <c r="H186" i="32" s="1"/>
  <c r="F180" i="32"/>
  <c r="H180" i="32" s="1"/>
  <c r="G177" i="32" s="1"/>
  <c r="H177" i="32" s="1"/>
  <c r="H168" i="32"/>
  <c r="F171" i="32"/>
  <c r="H171" i="32" s="1"/>
  <c r="G168" i="32" s="1"/>
  <c r="F162" i="32"/>
  <c r="H162" i="32" s="1"/>
  <c r="G159" i="32" s="1"/>
  <c r="H159" i="32" s="1"/>
  <c r="F153" i="32"/>
  <c r="H153" i="32" s="1"/>
  <c r="G150" i="32" s="1"/>
  <c r="H150" i="32" s="1"/>
  <c r="F144" i="32"/>
  <c r="H144" i="32" s="1"/>
  <c r="G141" i="32" s="1"/>
  <c r="H141" i="32" s="1"/>
  <c r="H132" i="32"/>
  <c r="F135" i="32"/>
  <c r="H135" i="32" s="1"/>
  <c r="G132" i="32" s="1"/>
  <c r="F126" i="32"/>
  <c r="H126" i="32" s="1"/>
  <c r="G123" i="32" s="1"/>
  <c r="H123" i="32" s="1"/>
  <c r="F117" i="32"/>
  <c r="H117" i="32" s="1"/>
  <c r="G114" i="32" s="1"/>
  <c r="H114" i="32" s="1"/>
  <c r="F108" i="32"/>
  <c r="H108" i="32" s="1"/>
  <c r="G105" i="32" s="1"/>
  <c r="H105" i="32" s="1"/>
  <c r="H96" i="32"/>
  <c r="F99" i="32"/>
  <c r="H99" i="32" s="1"/>
  <c r="G96" i="32" s="1"/>
  <c r="F90" i="32"/>
  <c r="H90" i="32" s="1"/>
  <c r="G87" i="32" s="1"/>
  <c r="H87" i="32" s="1"/>
  <c r="H86" i="32" s="1"/>
  <c r="H558" i="32"/>
  <c r="H8" i="32"/>
  <c r="H801" i="32"/>
  <c r="H272" i="34"/>
  <c r="H9" i="35"/>
  <c r="H8" i="35" s="1"/>
  <c r="H95" i="35" s="1"/>
  <c r="H97" i="35" s="1"/>
  <c r="H43" i="4" s="1"/>
  <c r="H44" i="34"/>
  <c r="H242" i="34"/>
  <c r="H159" i="34"/>
  <c r="H263" i="33"/>
  <c r="H9" i="34"/>
  <c r="H189" i="34"/>
  <c r="H84" i="34"/>
  <c r="H215" i="34"/>
  <c r="H130" i="34"/>
  <c r="H285" i="33"/>
  <c r="H226" i="33"/>
  <c r="H8" i="33"/>
  <c r="H121" i="33"/>
  <c r="H320" i="33"/>
  <c r="H200" i="33"/>
  <c r="F722" i="31"/>
  <c r="H722" i="31" s="1"/>
  <c r="F721" i="31"/>
  <c r="F720" i="31"/>
  <c r="F719" i="31"/>
  <c r="F712" i="31"/>
  <c r="H712" i="31" s="1"/>
  <c r="F708" i="31"/>
  <c r="H708" i="31" s="1"/>
  <c r="F704" i="31"/>
  <c r="H704" i="31" s="1"/>
  <c r="F701" i="31"/>
  <c r="H701" i="31" s="1"/>
  <c r="F697" i="31"/>
  <c r="H697" i="31" s="1"/>
  <c r="F694" i="31"/>
  <c r="H694" i="31" s="1"/>
  <c r="F690" i="31"/>
  <c r="H690" i="31" s="1"/>
  <c r="F689" i="31"/>
  <c r="F687" i="31" s="1"/>
  <c r="H687" i="31" s="1"/>
  <c r="F685" i="31"/>
  <c r="H685" i="31" s="1"/>
  <c r="F684" i="31"/>
  <c r="F683" i="31"/>
  <c r="F678" i="31"/>
  <c r="H678" i="31" s="1"/>
  <c r="F675" i="31"/>
  <c r="H675" i="31" s="1"/>
  <c r="F672" i="31"/>
  <c r="H672" i="31" s="1"/>
  <c r="F669" i="31"/>
  <c r="H669" i="31" s="1"/>
  <c r="F666" i="31"/>
  <c r="H666" i="31" s="1"/>
  <c r="H665" i="31" s="1"/>
  <c r="F662" i="31"/>
  <c r="H662" i="31" s="1"/>
  <c r="F659" i="31"/>
  <c r="H659" i="31" s="1"/>
  <c r="F656" i="31"/>
  <c r="H656" i="31" s="1"/>
  <c r="H655" i="31" s="1"/>
  <c r="F652" i="31"/>
  <c r="H652" i="31" s="1"/>
  <c r="F651" i="31"/>
  <c r="F650" i="31"/>
  <c r="F645" i="31"/>
  <c r="H645" i="31" s="1"/>
  <c r="F643" i="31"/>
  <c r="H643" i="31" s="1"/>
  <c r="F641" i="31"/>
  <c r="H641" i="31" s="1"/>
  <c r="F639" i="31"/>
  <c r="F638" i="31" s="1"/>
  <c r="H638" i="31" s="1"/>
  <c r="F636" i="31"/>
  <c r="H636" i="31" s="1"/>
  <c r="F634" i="31"/>
  <c r="H634" i="31" s="1"/>
  <c r="F630" i="31"/>
  <c r="H630" i="31" s="1"/>
  <c r="F629" i="31"/>
  <c r="F628" i="31"/>
  <c r="F620" i="31"/>
  <c r="H620" i="31" s="1"/>
  <c r="F619" i="31"/>
  <c r="F618" i="31"/>
  <c r="F613" i="31"/>
  <c r="H613" i="31" s="1"/>
  <c r="F608" i="31"/>
  <c r="H608" i="31" s="1"/>
  <c r="F604" i="31"/>
  <c r="H604" i="31" s="1"/>
  <c r="F599" i="31"/>
  <c r="H599" i="31" s="1"/>
  <c r="H598" i="31" s="1"/>
  <c r="F595" i="31"/>
  <c r="H595" i="31" s="1"/>
  <c r="F591" i="31"/>
  <c r="H591" i="31" s="1"/>
  <c r="F586" i="31"/>
  <c r="H586" i="31" s="1"/>
  <c r="F581" i="31"/>
  <c r="H581" i="31" s="1"/>
  <c r="F577" i="31"/>
  <c r="H577" i="31" s="1"/>
  <c r="F573" i="31"/>
  <c r="H573" i="31" s="1"/>
  <c r="F569" i="31"/>
  <c r="H569" i="31" s="1"/>
  <c r="F564" i="31"/>
  <c r="H564" i="31" s="1"/>
  <c r="F559" i="31"/>
  <c r="H559" i="31" s="1"/>
  <c r="F555" i="31"/>
  <c r="H555" i="31" s="1"/>
  <c r="F551" i="31"/>
  <c r="H551" i="31" s="1"/>
  <c r="F547" i="31"/>
  <c r="H547" i="31" s="1"/>
  <c r="F543" i="31"/>
  <c r="H543" i="31" s="1"/>
  <c r="F539" i="31"/>
  <c r="H539" i="31" s="1"/>
  <c r="F536" i="31"/>
  <c r="H536" i="31" s="1"/>
  <c r="F534" i="31"/>
  <c r="H534" i="31" s="1"/>
  <c r="F531" i="31"/>
  <c r="H531" i="31" s="1"/>
  <c r="F529" i="31"/>
  <c r="H529" i="31" s="1"/>
  <c r="F526" i="31"/>
  <c r="H526" i="31" s="1"/>
  <c r="F523" i="31"/>
  <c r="H523" i="31" s="1"/>
  <c r="F520" i="31"/>
  <c r="H520" i="31" s="1"/>
  <c r="F516" i="31"/>
  <c r="H516" i="31" s="1"/>
  <c r="F512" i="31"/>
  <c r="H512" i="31" s="1"/>
  <c r="F508" i="31"/>
  <c r="H508" i="31" s="1"/>
  <c r="F504" i="31"/>
  <c r="H504" i="31" s="1"/>
  <c r="F500" i="31"/>
  <c r="H500" i="31" s="1"/>
  <c r="F495" i="31"/>
  <c r="H495" i="31" s="1"/>
  <c r="F490" i="31"/>
  <c r="H490" i="31" s="1"/>
  <c r="F485" i="31"/>
  <c r="H485" i="31" s="1"/>
  <c r="F481" i="31"/>
  <c r="H481" i="31" s="1"/>
  <c r="F477" i="31"/>
  <c r="H477" i="31" s="1"/>
  <c r="F472" i="31"/>
  <c r="H472" i="31" s="1"/>
  <c r="F467" i="31"/>
  <c r="H467" i="31" s="1"/>
  <c r="F462" i="31"/>
  <c r="H462" i="31" s="1"/>
  <c r="H461" i="31" s="1"/>
  <c r="F459" i="31"/>
  <c r="H459" i="31" s="1"/>
  <c r="F458" i="31"/>
  <c r="F457" i="31" s="1"/>
  <c r="H457" i="31" s="1"/>
  <c r="F456" i="31"/>
  <c r="F455" i="31" s="1"/>
  <c r="H455" i="31" s="1"/>
  <c r="H454" i="31" s="1"/>
  <c r="F452" i="31"/>
  <c r="H452" i="31" s="1"/>
  <c r="F450" i="31"/>
  <c r="F449" i="31" s="1"/>
  <c r="H449" i="31" s="1"/>
  <c r="F446" i="31"/>
  <c r="H446" i="31" s="1"/>
  <c r="F444" i="31"/>
  <c r="H444" i="31" s="1"/>
  <c r="F441" i="31"/>
  <c r="H441" i="31" s="1"/>
  <c r="F440" i="31"/>
  <c r="F439" i="31"/>
  <c r="F434" i="31"/>
  <c r="H434" i="31" s="1"/>
  <c r="H433" i="31"/>
  <c r="F425" i="31"/>
  <c r="F424" i="31" s="1"/>
  <c r="F429" i="31" s="1"/>
  <c r="H429" i="31" s="1"/>
  <c r="F417" i="31"/>
  <c r="F416" i="31" s="1"/>
  <c r="F408" i="31"/>
  <c r="F407" i="31" s="1"/>
  <c r="F412" i="31" s="1"/>
  <c r="H412" i="31" s="1"/>
  <c r="F400" i="31"/>
  <c r="F399" i="31" s="1"/>
  <c r="F390" i="31"/>
  <c r="F389" i="31" s="1"/>
  <c r="F371" i="31"/>
  <c r="F352" i="31"/>
  <c r="F351" i="31"/>
  <c r="F350" i="31"/>
  <c r="F346" i="31"/>
  <c r="F345" i="31" s="1"/>
  <c r="H345" i="31" s="1"/>
  <c r="F344" i="31"/>
  <c r="F343" i="31"/>
  <c r="F340" i="31"/>
  <c r="F339" i="31"/>
  <c r="F338" i="31"/>
  <c r="F335" i="31"/>
  <c r="H335" i="31" s="1"/>
  <c r="F247" i="31"/>
  <c r="F246" i="31"/>
  <c r="F245" i="31"/>
  <c r="F244" i="31"/>
  <c r="F243" i="31"/>
  <c r="F242" i="31"/>
  <c r="F241" i="31"/>
  <c r="F240" i="31"/>
  <c r="F239" i="31"/>
  <c r="F234" i="31"/>
  <c r="F233" i="31"/>
  <c r="F229" i="31"/>
  <c r="F228" i="31"/>
  <c r="F227" i="31"/>
  <c r="F225" i="31"/>
  <c r="F224" i="31"/>
  <c r="F221" i="31"/>
  <c r="F220" i="31" s="1"/>
  <c r="H220" i="31" s="1"/>
  <c r="F219" i="31"/>
  <c r="F218" i="31" s="1"/>
  <c r="H218" i="31" s="1"/>
  <c r="F217" i="31"/>
  <c r="F216" i="31"/>
  <c r="F215" i="31"/>
  <c r="F212" i="31"/>
  <c r="H212" i="31" s="1"/>
  <c r="F211" i="31"/>
  <c r="F210" i="31" s="1"/>
  <c r="H210" i="31" s="1"/>
  <c r="F208" i="31"/>
  <c r="H208" i="31" s="1"/>
  <c r="F202" i="31"/>
  <c r="H202" i="31" s="1"/>
  <c r="F199" i="31"/>
  <c r="H199" i="31" s="1"/>
  <c r="F196" i="31"/>
  <c r="F195" i="31"/>
  <c r="F194" i="31"/>
  <c r="F191" i="31"/>
  <c r="F190" i="31" s="1"/>
  <c r="H190" i="31" s="1"/>
  <c r="F188" i="31"/>
  <c r="H188" i="31" s="1"/>
  <c r="F186" i="31"/>
  <c r="H186" i="31" s="1"/>
  <c r="F183" i="31"/>
  <c r="H183" i="31" s="1"/>
  <c r="F181" i="31"/>
  <c r="H181" i="31" s="1"/>
  <c r="F180" i="31"/>
  <c r="F179" i="31" s="1"/>
  <c r="H179" i="31" s="1"/>
  <c r="F177" i="31"/>
  <c r="F176" i="31" s="1"/>
  <c r="H176" i="31" s="1"/>
  <c r="F174" i="31"/>
  <c r="H174" i="31" s="1"/>
  <c r="F173" i="31"/>
  <c r="F172" i="31" s="1"/>
  <c r="H172" i="31" s="1"/>
  <c r="F169" i="31"/>
  <c r="H169" i="31" s="1"/>
  <c r="F168" i="31"/>
  <c r="F167" i="31"/>
  <c r="F159" i="31"/>
  <c r="F158" i="31"/>
  <c r="F157" i="31"/>
  <c r="F153" i="31"/>
  <c r="F152" i="31"/>
  <c r="F151" i="31"/>
  <c r="F143" i="31"/>
  <c r="F142" i="31" s="1"/>
  <c r="F140" i="31"/>
  <c r="H140" i="31" s="1"/>
  <c r="F135" i="31"/>
  <c r="F134" i="31" s="1"/>
  <c r="F133" i="31"/>
  <c r="F132" i="31" s="1"/>
  <c r="F126" i="31"/>
  <c r="F125" i="31" s="1"/>
  <c r="F124" i="31"/>
  <c r="F122" i="31" s="1"/>
  <c r="H122" i="31" s="1"/>
  <c r="F113" i="31"/>
  <c r="H113" i="31" s="1"/>
  <c r="F109" i="31"/>
  <c r="H109" i="31" s="1"/>
  <c r="F105" i="31"/>
  <c r="H105" i="31" s="1"/>
  <c r="F98" i="31"/>
  <c r="H98" i="31" s="1"/>
  <c r="F92" i="31"/>
  <c r="H92" i="31" s="1"/>
  <c r="F86" i="31"/>
  <c r="H86" i="31" s="1"/>
  <c r="F80" i="31"/>
  <c r="H80" i="31" s="1"/>
  <c r="F74" i="31"/>
  <c r="H74" i="31" s="1"/>
  <c r="F68" i="31"/>
  <c r="H68" i="31" s="1"/>
  <c r="F62" i="31"/>
  <c r="H62" i="31" s="1"/>
  <c r="F56" i="31"/>
  <c r="H56" i="31" s="1"/>
  <c r="F44" i="31"/>
  <c r="F43" i="31" s="1"/>
  <c r="F50" i="31" s="1"/>
  <c r="H50" i="31" s="1"/>
  <c r="F41" i="31"/>
  <c r="F38" i="31"/>
  <c r="F37" i="31" s="1"/>
  <c r="H37" i="31" s="1"/>
  <c r="F36" i="31"/>
  <c r="F35" i="31" s="1"/>
  <c r="H35" i="31" s="1"/>
  <c r="F34" i="31"/>
  <c r="F33" i="31" s="1"/>
  <c r="H33" i="31" s="1"/>
  <c r="F31" i="31"/>
  <c r="H31" i="31" s="1"/>
  <c r="F29" i="31"/>
  <c r="F26" i="31" s="1"/>
  <c r="H26" i="31" s="1"/>
  <c r="F24" i="31"/>
  <c r="F21" i="31" s="1"/>
  <c r="H21" i="31" s="1"/>
  <c r="F19" i="31"/>
  <c r="F16" i="31" s="1"/>
  <c r="H16" i="31" s="1"/>
  <c r="H7" i="32" l="1"/>
  <c r="H814" i="32" s="1"/>
  <c r="H816" i="32" s="1"/>
  <c r="H53" i="4" s="1"/>
  <c r="H558" i="31"/>
  <c r="H55" i="31"/>
  <c r="H104" i="31"/>
  <c r="H484" i="31"/>
  <c r="H519" i="31"/>
  <c r="H576" i="31"/>
  <c r="H693" i="31"/>
  <c r="F418" i="31"/>
  <c r="F421" i="31"/>
  <c r="H421" i="31" s="1"/>
  <c r="F401" i="31"/>
  <c r="H401" i="31" s="1"/>
  <c r="F404" i="31"/>
  <c r="H404" i="31" s="1"/>
  <c r="F405" i="31"/>
  <c r="H405" i="31" s="1"/>
  <c r="F232" i="31"/>
  <c r="H232" i="31" s="1"/>
  <c r="F394" i="31"/>
  <c r="F395" i="31"/>
  <c r="F411" i="31"/>
  <c r="F409" i="31"/>
  <c r="H409" i="31" s="1"/>
  <c r="F47" i="31"/>
  <c r="F49" i="31"/>
  <c r="H49" i="31" s="1"/>
  <c r="F428" i="31"/>
  <c r="F426" i="31"/>
  <c r="H426" i="31" s="1"/>
  <c r="F46" i="31"/>
  <c r="H46" i="31" s="1"/>
  <c r="F347" i="31"/>
  <c r="F222" i="31"/>
  <c r="H222" i="31" s="1"/>
  <c r="F147" i="31"/>
  <c r="H147" i="31" s="1"/>
  <c r="F627" i="31"/>
  <c r="H627" i="31" s="1"/>
  <c r="F341" i="31"/>
  <c r="H341" i="31" s="1"/>
  <c r="F716" i="31"/>
  <c r="H716" i="31" s="1"/>
  <c r="H715" i="31" s="1"/>
  <c r="F148" i="31"/>
  <c r="H148" i="31" s="1"/>
  <c r="F438" i="31"/>
  <c r="H438" i="31" s="1"/>
  <c r="H437" i="31" s="1"/>
  <c r="F617" i="31"/>
  <c r="H617" i="31" s="1"/>
  <c r="F166" i="31"/>
  <c r="H166" i="31" s="1"/>
  <c r="F193" i="31"/>
  <c r="H193" i="31" s="1"/>
  <c r="H607" i="31"/>
  <c r="F237" i="31"/>
  <c r="H237" i="31" s="1"/>
  <c r="F682" i="31"/>
  <c r="H682" i="31" s="1"/>
  <c r="H681" i="31" s="1"/>
  <c r="F155" i="31"/>
  <c r="H432" i="31"/>
  <c r="F214" i="31"/>
  <c r="H214" i="31" s="1"/>
  <c r="H443" i="31"/>
  <c r="F226" i="31"/>
  <c r="H226" i="31" s="1"/>
  <c r="F337" i="31"/>
  <c r="H337" i="31" s="1"/>
  <c r="F649" i="31"/>
  <c r="H649" i="31" s="1"/>
  <c r="H648" i="31" s="1"/>
  <c r="H707" i="31"/>
  <c r="H8" i="34"/>
  <c r="H288" i="34" s="1"/>
  <c r="H290" i="34" s="1"/>
  <c r="H58" i="4" s="1"/>
  <c r="H7" i="33"/>
  <c r="H341" i="33" s="1"/>
  <c r="H343" i="33" s="1"/>
  <c r="H56" i="4" s="1"/>
  <c r="H700" i="31"/>
  <c r="H418" i="31"/>
  <c r="F422" i="31"/>
  <c r="H422" i="31" s="1"/>
  <c r="F420" i="31"/>
  <c r="F419" i="31"/>
  <c r="F403" i="31"/>
  <c r="F402" i="31"/>
  <c r="F139" i="31"/>
  <c r="H139" i="31" s="1"/>
  <c r="H132" i="31"/>
  <c r="H448" i="31"/>
  <c r="H511" i="31"/>
  <c r="H633" i="31"/>
  <c r="F131" i="31"/>
  <c r="F130" i="31" s="1"/>
  <c r="H130" i="31" s="1"/>
  <c r="F48" i="31"/>
  <c r="F396" i="31"/>
  <c r="H396" i="31" s="1"/>
  <c r="F413" i="31"/>
  <c r="H413" i="31" s="1"/>
  <c r="F430" i="31"/>
  <c r="H430" i="31" s="1"/>
  <c r="F45" i="31"/>
  <c r="F392" i="31"/>
  <c r="F39" i="31"/>
  <c r="F393" i="31"/>
  <c r="F410" i="31"/>
  <c r="F427" i="31"/>
  <c r="H616" i="31" l="1"/>
  <c r="H392" i="31"/>
  <c r="H395" i="31"/>
  <c r="G389" i="31" s="1"/>
  <c r="H389" i="31" s="1"/>
  <c r="H121" i="31" s="1"/>
  <c r="H45" i="31"/>
  <c r="H436" i="31"/>
  <c r="G399" i="31"/>
  <c r="H399" i="31" s="1"/>
  <c r="G416" i="31"/>
  <c r="H416" i="31" s="1"/>
  <c r="G424" i="31"/>
  <c r="H424" i="31" s="1"/>
  <c r="G407" i="31"/>
  <c r="H407" i="31" s="1"/>
  <c r="F52" i="31"/>
  <c r="H52" i="31" s="1"/>
  <c r="F51" i="31"/>
  <c r="H51" i="31" s="1"/>
  <c r="G39" i="31" l="1"/>
  <c r="H39" i="31" s="1"/>
  <c r="H9" i="31" l="1"/>
  <c r="H8" i="31" s="1"/>
  <c r="H725" i="31" s="1"/>
  <c r="H727" i="31" s="1"/>
  <c r="H39" i="4" s="1"/>
  <c r="F566" i="30"/>
  <c r="H566" i="30" s="1"/>
  <c r="H565" i="30"/>
  <c r="F563" i="30"/>
  <c r="H563" i="30" s="1"/>
  <c r="F561" i="30"/>
  <c r="F559" i="30" s="1"/>
  <c r="H559" i="30" s="1"/>
  <c r="F555" i="30"/>
  <c r="H555" i="30" s="1"/>
  <c r="F551" i="30"/>
  <c r="H551" i="30" s="1"/>
  <c r="F547" i="30"/>
  <c r="H547" i="30" s="1"/>
  <c r="F543" i="30"/>
  <c r="H543" i="30" s="1"/>
  <c r="F539" i="30"/>
  <c r="H539" i="30" s="1"/>
  <c r="F535" i="30"/>
  <c r="H535" i="30" s="1"/>
  <c r="F531" i="30"/>
  <c r="H531" i="30" s="1"/>
  <c r="F527" i="30"/>
  <c r="H527" i="30" s="1"/>
  <c r="F523" i="30"/>
  <c r="H523" i="30" s="1"/>
  <c r="F519" i="30"/>
  <c r="H519" i="30" s="1"/>
  <c r="F515" i="30"/>
  <c r="H515" i="30" s="1"/>
  <c r="F511" i="30"/>
  <c r="H511" i="30" s="1"/>
  <c r="F507" i="30"/>
  <c r="H507" i="30" s="1"/>
  <c r="F503" i="30"/>
  <c r="H503" i="30" s="1"/>
  <c r="F499" i="30"/>
  <c r="H499" i="30" s="1"/>
  <c r="F495" i="30"/>
  <c r="H495" i="30" s="1"/>
  <c r="F491" i="30"/>
  <c r="H491" i="30" s="1"/>
  <c r="F487" i="30"/>
  <c r="H487" i="30" s="1"/>
  <c r="F483" i="30"/>
  <c r="H483" i="30" s="1"/>
  <c r="F479" i="30"/>
  <c r="H479" i="30" s="1"/>
  <c r="F475" i="30"/>
  <c r="H475" i="30" s="1"/>
  <c r="F471" i="30"/>
  <c r="H471" i="30" s="1"/>
  <c r="F467" i="30"/>
  <c r="H467" i="30" s="1"/>
  <c r="F463" i="30"/>
  <c r="H463" i="30" s="1"/>
  <c r="F459" i="30"/>
  <c r="H459" i="30" s="1"/>
  <c r="F455" i="30"/>
  <c r="H455" i="30" s="1"/>
  <c r="F451" i="30"/>
  <c r="H451" i="30" s="1"/>
  <c r="F447" i="30"/>
  <c r="H447" i="30" s="1"/>
  <c r="F443" i="30"/>
  <c r="H443" i="30" s="1"/>
  <c r="H442" i="30"/>
  <c r="F439" i="30"/>
  <c r="H439" i="30" s="1"/>
  <c r="F435" i="30"/>
  <c r="H435" i="30" s="1"/>
  <c r="F432" i="30"/>
  <c r="H432" i="30" s="1"/>
  <c r="F429" i="30"/>
  <c r="F423" i="30"/>
  <c r="H423" i="30" s="1"/>
  <c r="F345" i="30"/>
  <c r="F341" i="30"/>
  <c r="H341" i="30" s="1"/>
  <c r="F337" i="30"/>
  <c r="H337" i="30" s="1"/>
  <c r="F333" i="30"/>
  <c r="H333" i="30" s="1"/>
  <c r="F329" i="30"/>
  <c r="H329" i="30" s="1"/>
  <c r="F326" i="30"/>
  <c r="H326" i="30" s="1"/>
  <c r="F322" i="30"/>
  <c r="H322" i="30" s="1"/>
  <c r="F318" i="30"/>
  <c r="H318" i="30" s="1"/>
  <c r="F314" i="30"/>
  <c r="H314" i="30" s="1"/>
  <c r="F312" i="30"/>
  <c r="F311" i="30" s="1"/>
  <c r="H311" i="30" s="1"/>
  <c r="F306" i="30"/>
  <c r="H306" i="30" s="1"/>
  <c r="F302" i="30"/>
  <c r="H302" i="30" s="1"/>
  <c r="F297" i="30"/>
  <c r="H297" i="30" s="1"/>
  <c r="F295" i="30"/>
  <c r="F294" i="30"/>
  <c r="F293" i="30"/>
  <c r="F292" i="30"/>
  <c r="F290" i="30"/>
  <c r="F289" i="30"/>
  <c r="F288" i="30"/>
  <c r="F287" i="30"/>
  <c r="F285" i="30"/>
  <c r="F284" i="30"/>
  <c r="F278" i="30"/>
  <c r="H278" i="30" s="1"/>
  <c r="F276" i="30"/>
  <c r="H276" i="30" s="1"/>
  <c r="F274" i="30"/>
  <c r="F277" i="30" s="1"/>
  <c r="H277" i="30" s="1"/>
  <c r="F271" i="30"/>
  <c r="H271" i="30" s="1"/>
  <c r="F270" i="30"/>
  <c r="H270" i="30" s="1"/>
  <c r="F268" i="30"/>
  <c r="F265" i="30"/>
  <c r="H265" i="30" s="1"/>
  <c r="F263" i="30"/>
  <c r="H263" i="30" s="1"/>
  <c r="F261" i="30"/>
  <c r="F264" i="30" s="1"/>
  <c r="H264" i="30" s="1"/>
  <c r="F258" i="30"/>
  <c r="H258" i="30" s="1"/>
  <c r="F257" i="30"/>
  <c r="H257" i="30" s="1"/>
  <c r="F255" i="30"/>
  <c r="F252" i="30"/>
  <c r="H252" i="30" s="1"/>
  <c r="F250" i="30"/>
  <c r="H250" i="30" s="1"/>
  <c r="F248" i="30"/>
  <c r="F251" i="30" s="1"/>
  <c r="H251" i="30" s="1"/>
  <c r="F245" i="30"/>
  <c r="H245" i="30" s="1"/>
  <c r="F244" i="30"/>
  <c r="H244" i="30" s="1"/>
  <c r="F242" i="30"/>
  <c r="F239" i="30"/>
  <c r="H239" i="30" s="1"/>
  <c r="F237" i="30"/>
  <c r="H237" i="30" s="1"/>
  <c r="F235" i="30"/>
  <c r="F238" i="30" s="1"/>
  <c r="H238" i="30" s="1"/>
  <c r="F233" i="30"/>
  <c r="F232" i="30" s="1"/>
  <c r="H232" i="30" s="1"/>
  <c r="F227" i="30"/>
  <c r="F225" i="30" s="1"/>
  <c r="H225" i="30" s="1"/>
  <c r="F223" i="30"/>
  <c r="F221" i="30" s="1"/>
  <c r="H221" i="30" s="1"/>
  <c r="F217" i="30"/>
  <c r="H217" i="30" s="1"/>
  <c r="H216" i="30"/>
  <c r="F213" i="30"/>
  <c r="H213" i="30" s="1"/>
  <c r="F209" i="30"/>
  <c r="H209" i="30" s="1"/>
  <c r="F206" i="30"/>
  <c r="F203" i="30"/>
  <c r="F200" i="30"/>
  <c r="H200" i="30" s="1"/>
  <c r="F196" i="30"/>
  <c r="H196" i="30" s="1"/>
  <c r="F192" i="30"/>
  <c r="H192" i="30" s="1"/>
  <c r="F188" i="30"/>
  <c r="H188" i="30" s="1"/>
  <c r="F184" i="30"/>
  <c r="H184" i="30" s="1"/>
  <c r="F180" i="30"/>
  <c r="H180" i="30" s="1"/>
  <c r="F176" i="30"/>
  <c r="H176" i="30" s="1"/>
  <c r="F174" i="30"/>
  <c r="H174" i="30" s="1"/>
  <c r="F172" i="30"/>
  <c r="F171" i="30"/>
  <c r="F161" i="30"/>
  <c r="H161" i="30" s="1"/>
  <c r="F156" i="30"/>
  <c r="H156" i="30" s="1"/>
  <c r="F149" i="30"/>
  <c r="H149" i="30" s="1"/>
  <c r="F147" i="30"/>
  <c r="F145" i="30" s="1"/>
  <c r="H145" i="30" s="1"/>
  <c r="F143" i="30"/>
  <c r="F141" i="30" s="1"/>
  <c r="H141" i="30" s="1"/>
  <c r="F139" i="30"/>
  <c r="F137" i="30" s="1"/>
  <c r="H137" i="30" s="1"/>
  <c r="F135" i="30"/>
  <c r="F133" i="30" s="1"/>
  <c r="H133" i="30" s="1"/>
  <c r="F131" i="30"/>
  <c r="F129" i="30" s="1"/>
  <c r="H129" i="30" s="1"/>
  <c r="F127" i="30"/>
  <c r="F125" i="30" s="1"/>
  <c r="H125" i="30" s="1"/>
  <c r="F123" i="30"/>
  <c r="F121" i="30" s="1"/>
  <c r="H121" i="30" s="1"/>
  <c r="F119" i="30"/>
  <c r="F117" i="30" s="1"/>
  <c r="H117" i="30" s="1"/>
  <c r="F115" i="30"/>
  <c r="F113" i="30" s="1"/>
  <c r="H113" i="30" s="1"/>
  <c r="F111" i="30"/>
  <c r="F109" i="30" s="1"/>
  <c r="H109" i="30" s="1"/>
  <c r="F107" i="30"/>
  <c r="F105" i="30" s="1"/>
  <c r="H105" i="30" s="1"/>
  <c r="F103" i="30"/>
  <c r="F101" i="30" s="1"/>
  <c r="H101" i="30" s="1"/>
  <c r="F97" i="30"/>
  <c r="H97" i="30" s="1"/>
  <c r="F95" i="30"/>
  <c r="H95" i="30" s="1"/>
  <c r="F93" i="30"/>
  <c r="H93" i="30" s="1"/>
  <c r="F88" i="30"/>
  <c r="H88" i="30" s="1"/>
  <c r="F85" i="30"/>
  <c r="H85" i="30" s="1"/>
  <c r="F83" i="30"/>
  <c r="F82" i="30" s="1"/>
  <c r="H82" i="30" s="1"/>
  <c r="H81" i="30" s="1"/>
  <c r="F69" i="30"/>
  <c r="F66" i="30"/>
  <c r="F62" i="30"/>
  <c r="F61" i="30" s="1"/>
  <c r="H61" i="30" s="1"/>
  <c r="F60" i="30"/>
  <c r="F58" i="30" s="1"/>
  <c r="H58" i="30" s="1"/>
  <c r="F57" i="30"/>
  <c r="F56" i="30" s="1"/>
  <c r="F54" i="30"/>
  <c r="F53" i="30" s="1"/>
  <c r="H53" i="30" s="1"/>
  <c r="F51" i="30"/>
  <c r="F50" i="30" s="1"/>
  <c r="H50" i="30" s="1"/>
  <c r="F46" i="30"/>
  <c r="H46" i="30" s="1"/>
  <c r="F42" i="30"/>
  <c r="H42" i="30" s="1"/>
  <c r="F39" i="30"/>
  <c r="F38" i="30"/>
  <c r="F36" i="30" s="1"/>
  <c r="F41" i="30" s="1"/>
  <c r="H41" i="30" s="1"/>
  <c r="F35" i="30"/>
  <c r="F34" i="30"/>
  <c r="F30" i="30"/>
  <c r="F29" i="30"/>
  <c r="F28" i="30"/>
  <c r="F27" i="30"/>
  <c r="F22" i="30"/>
  <c r="F21" i="30"/>
  <c r="F20" i="30"/>
  <c r="F19" i="30"/>
  <c r="F16" i="30"/>
  <c r="F15" i="30" s="1"/>
  <c r="H15" i="30" s="1"/>
  <c r="H14" i="30"/>
  <c r="H13" i="30"/>
  <c r="H12" i="30"/>
  <c r="H11" i="30"/>
  <c r="H10" i="30"/>
  <c r="H9" i="30"/>
  <c r="F32" i="30" l="1"/>
  <c r="F40" i="30" s="1"/>
  <c r="H40" i="30" s="1"/>
  <c r="F17" i="30"/>
  <c r="H17" i="30" s="1"/>
  <c r="F165" i="30"/>
  <c r="H165" i="30" s="1"/>
  <c r="F25" i="30"/>
  <c r="H25" i="30" s="1"/>
  <c r="H36" i="30"/>
  <c r="G242" i="30"/>
  <c r="H242" i="30" s="1"/>
  <c r="G261" i="30"/>
  <c r="H261" i="30" s="1"/>
  <c r="F281" i="30"/>
  <c r="F296" i="30" s="1"/>
  <c r="H296" i="30" s="1"/>
  <c r="G268" i="30"/>
  <c r="H268" i="30" s="1"/>
  <c r="H84" i="30"/>
  <c r="H100" i="30"/>
  <c r="H446" i="30"/>
  <c r="H56" i="30"/>
  <c r="F70" i="30"/>
  <c r="F68" i="30" s="1"/>
  <c r="F67" i="30"/>
  <c r="H92" i="30"/>
  <c r="G235" i="30"/>
  <c r="H235" i="30" s="1"/>
  <c r="G274" i="30"/>
  <c r="H274" i="30" s="1"/>
  <c r="G255" i="30"/>
  <c r="H255" i="30" s="1"/>
  <c r="F229" i="30"/>
  <c r="G248" i="30"/>
  <c r="H248" i="30" s="1"/>
  <c r="H32" i="30"/>
  <c r="F231" i="30"/>
  <c r="H231" i="30" s="1"/>
  <c r="F72" i="30" l="1"/>
  <c r="H72" i="30" s="1"/>
  <c r="F76" i="30"/>
  <c r="H76" i="30" s="1"/>
  <c r="F65" i="30"/>
  <c r="F75" i="30" s="1"/>
  <c r="H75" i="30" s="1"/>
  <c r="H281" i="30"/>
  <c r="F73" i="30"/>
  <c r="F63" i="30"/>
  <c r="F71" i="30"/>
  <c r="H71" i="30" s="1"/>
  <c r="G229" i="30"/>
  <c r="H229" i="30" s="1"/>
  <c r="H220" i="30" s="1"/>
  <c r="H99" i="30" s="1"/>
  <c r="F77" i="30" l="1"/>
  <c r="H77" i="30" s="1"/>
  <c r="F78" i="30"/>
  <c r="H78" i="30" s="1"/>
  <c r="G63" i="30" l="1"/>
  <c r="H63" i="30" s="1"/>
  <c r="H8" i="30" s="1"/>
  <c r="H7" i="30" s="1"/>
  <c r="H569" i="30" s="1"/>
  <c r="H571" i="30" s="1"/>
  <c r="H47" i="4" s="1"/>
  <c r="I49" i="4"/>
  <c r="F49" i="4" s="1"/>
  <c r="F385" i="29" l="1"/>
  <c r="H385" i="29" s="1"/>
  <c r="H384" i="29"/>
  <c r="F382" i="29"/>
  <c r="H382" i="29" s="1"/>
  <c r="H379" i="29"/>
  <c r="F373" i="29"/>
  <c r="H373" i="29" s="1"/>
  <c r="F368" i="29"/>
  <c r="H368" i="29" s="1"/>
  <c r="F363" i="29"/>
  <c r="H363" i="29" s="1"/>
  <c r="F358" i="29"/>
  <c r="H358" i="29" s="1"/>
  <c r="F353" i="29"/>
  <c r="H353" i="29" s="1"/>
  <c r="H347" i="29"/>
  <c r="F347" i="29"/>
  <c r="F342" i="29"/>
  <c r="H342" i="29" s="1"/>
  <c r="F337" i="29"/>
  <c r="H337" i="29" s="1"/>
  <c r="F331" i="29"/>
  <c r="H331" i="29" s="1"/>
  <c r="F326" i="29"/>
  <c r="H326" i="29" s="1"/>
  <c r="F320" i="29"/>
  <c r="H320" i="29" s="1"/>
  <c r="F314" i="29"/>
  <c r="H314" i="29" s="1"/>
  <c r="F309" i="29"/>
  <c r="H309" i="29" s="1"/>
  <c r="H303" i="29"/>
  <c r="F303" i="29"/>
  <c r="F297" i="29"/>
  <c r="H297" i="29" s="1"/>
  <c r="F292" i="29"/>
  <c r="H292" i="29" s="1"/>
  <c r="H291" i="29"/>
  <c r="H290" i="29"/>
  <c r="H289" i="29"/>
  <c r="H288" i="29"/>
  <c r="H287" i="29"/>
  <c r="H286" i="29"/>
  <c r="H285" i="29"/>
  <c r="H281" i="29"/>
  <c r="F281" i="29"/>
  <c r="H280" i="29"/>
  <c r="F277" i="29"/>
  <c r="H277" i="29" s="1"/>
  <c r="F274" i="29"/>
  <c r="H274" i="29" s="1"/>
  <c r="H271" i="29"/>
  <c r="F271" i="29"/>
  <c r="F268" i="29"/>
  <c r="H268" i="29" s="1"/>
  <c r="F265" i="29"/>
  <c r="H265" i="29" s="1"/>
  <c r="F263" i="29"/>
  <c r="H263" i="29" s="1"/>
  <c r="F261" i="29"/>
  <c r="H261" i="29" s="1"/>
  <c r="F259" i="29"/>
  <c r="H259" i="29" s="1"/>
  <c r="F257" i="29"/>
  <c r="H257" i="29" s="1"/>
  <c r="F255" i="29"/>
  <c r="H255" i="29" s="1"/>
  <c r="H253" i="29"/>
  <c r="F253" i="29"/>
  <c r="F251" i="29"/>
  <c r="H251" i="29" s="1"/>
  <c r="F249" i="29"/>
  <c r="H249" i="29" s="1"/>
  <c r="F247" i="29"/>
  <c r="H247" i="29" s="1"/>
  <c r="F245" i="29"/>
  <c r="H245" i="29" s="1"/>
  <c r="F243" i="29"/>
  <c r="H243" i="29" s="1"/>
  <c r="F241" i="29"/>
  <c r="H241" i="29" s="1"/>
  <c r="F239" i="29"/>
  <c r="H239" i="29" s="1"/>
  <c r="F237" i="29"/>
  <c r="H237" i="29" s="1"/>
  <c r="F235" i="29"/>
  <c r="H235" i="29" s="1"/>
  <c r="F233" i="29"/>
  <c r="H233" i="29" s="1"/>
  <c r="F231" i="29"/>
  <c r="H231" i="29" s="1"/>
  <c r="F228" i="29"/>
  <c r="H228" i="29" s="1"/>
  <c r="F225" i="29"/>
  <c r="H225" i="29" s="1"/>
  <c r="F223" i="29"/>
  <c r="H223" i="29" s="1"/>
  <c r="F221" i="29"/>
  <c r="H221" i="29" s="1"/>
  <c r="F218" i="29"/>
  <c r="H218" i="29" s="1"/>
  <c r="F215" i="29"/>
  <c r="H215" i="29" s="1"/>
  <c r="F212" i="29"/>
  <c r="H212" i="29" s="1"/>
  <c r="F209" i="29"/>
  <c r="H209" i="29" s="1"/>
  <c r="F206" i="29"/>
  <c r="H206" i="29" s="1"/>
  <c r="F203" i="29"/>
  <c r="H203" i="29" s="1"/>
  <c r="F200" i="29"/>
  <c r="H200" i="29" s="1"/>
  <c r="F197" i="29"/>
  <c r="H197" i="29" s="1"/>
  <c r="F194" i="29"/>
  <c r="H194" i="29" s="1"/>
  <c r="F191" i="29"/>
  <c r="H191" i="29" s="1"/>
  <c r="F188" i="29"/>
  <c r="H188" i="29" s="1"/>
  <c r="F185" i="29"/>
  <c r="H185" i="29" s="1"/>
  <c r="F182" i="29"/>
  <c r="H182" i="29" s="1"/>
  <c r="F179" i="29"/>
  <c r="H179" i="29" s="1"/>
  <c r="F176" i="29"/>
  <c r="H176" i="29" s="1"/>
  <c r="F173" i="29"/>
  <c r="H173" i="29" s="1"/>
  <c r="F170" i="29"/>
  <c r="H170" i="29" s="1"/>
  <c r="F167" i="29"/>
  <c r="H167" i="29" s="1"/>
  <c r="F164" i="29"/>
  <c r="H164" i="29" s="1"/>
  <c r="F161" i="29"/>
  <c r="H161" i="29" s="1"/>
  <c r="F158" i="29"/>
  <c r="H158" i="29" s="1"/>
  <c r="F155" i="29"/>
  <c r="H155" i="29" s="1"/>
  <c r="F152" i="29"/>
  <c r="H152" i="29" s="1"/>
  <c r="F149" i="29"/>
  <c r="H149" i="29" s="1"/>
  <c r="F146" i="29"/>
  <c r="H146" i="29" s="1"/>
  <c r="F143" i="29"/>
  <c r="H143" i="29" s="1"/>
  <c r="F140" i="29"/>
  <c r="H140" i="29" s="1"/>
  <c r="F136" i="29"/>
  <c r="H136" i="29" s="1"/>
  <c r="H135" i="29"/>
  <c r="H132" i="29"/>
  <c r="F132" i="29"/>
  <c r="F129" i="29"/>
  <c r="H129" i="29" s="1"/>
  <c r="F122" i="29"/>
  <c r="H122" i="29" s="1"/>
  <c r="F118" i="29"/>
  <c r="H118" i="29" s="1"/>
  <c r="F117" i="29"/>
  <c r="F116" i="29" s="1"/>
  <c r="H116" i="29" s="1"/>
  <c r="F113" i="29"/>
  <c r="F112" i="29"/>
  <c r="F111" i="29"/>
  <c r="F110" i="29"/>
  <c r="F109" i="29"/>
  <c r="F105" i="29"/>
  <c r="F103" i="29" s="1"/>
  <c r="H103" i="29" s="1"/>
  <c r="F101" i="29"/>
  <c r="F99" i="29"/>
  <c r="H99" i="29" s="1"/>
  <c r="F97" i="29"/>
  <c r="F95" i="29" s="1"/>
  <c r="H95" i="29" s="1"/>
  <c r="F93" i="29"/>
  <c r="F91" i="29" s="1"/>
  <c r="H91" i="29" s="1"/>
  <c r="F89" i="29"/>
  <c r="F87" i="29"/>
  <c r="H87" i="29" s="1"/>
  <c r="F85" i="29"/>
  <c r="F83" i="29"/>
  <c r="H83" i="29" s="1"/>
  <c r="F81" i="29"/>
  <c r="F79" i="29" s="1"/>
  <c r="H79" i="29" s="1"/>
  <c r="F77" i="29"/>
  <c r="F75" i="29" s="1"/>
  <c r="H75" i="29" s="1"/>
  <c r="F73" i="29"/>
  <c r="F71" i="29"/>
  <c r="H71" i="29" s="1"/>
  <c r="F68" i="29"/>
  <c r="F67" i="29"/>
  <c r="H67" i="29" s="1"/>
  <c r="F65" i="29"/>
  <c r="F63" i="29" s="1"/>
  <c r="H63" i="29" s="1"/>
  <c r="F64" i="29"/>
  <c r="F59" i="29"/>
  <c r="H59" i="29" s="1"/>
  <c r="H58" i="29"/>
  <c r="F55" i="29"/>
  <c r="H55" i="29" s="1"/>
  <c r="F52" i="29"/>
  <c r="H52" i="29" s="1"/>
  <c r="F49" i="29"/>
  <c r="H49" i="29" s="1"/>
  <c r="F46" i="29"/>
  <c r="H46" i="29" s="1"/>
  <c r="F43" i="29"/>
  <c r="H43" i="29" s="1"/>
  <c r="F40" i="29"/>
  <c r="H40" i="29" s="1"/>
  <c r="F37" i="29"/>
  <c r="H37" i="29" s="1"/>
  <c r="F34" i="29"/>
  <c r="H34" i="29" s="1"/>
  <c r="F31" i="29"/>
  <c r="H31" i="29" s="1"/>
  <c r="F28" i="29"/>
  <c r="H28" i="29" s="1"/>
  <c r="F25" i="29"/>
  <c r="H25" i="29" s="1"/>
  <c r="F22" i="29"/>
  <c r="H22" i="29" s="1"/>
  <c r="F19" i="29"/>
  <c r="H19" i="29" s="1"/>
  <c r="F17" i="29"/>
  <c r="H17" i="29" s="1"/>
  <c r="F13" i="29"/>
  <c r="H13" i="29" s="1"/>
  <c r="F9" i="29"/>
  <c r="H9" i="29" s="1"/>
  <c r="H284" i="29" l="1"/>
  <c r="H139" i="29"/>
  <c r="F106" i="29"/>
  <c r="H106" i="29" s="1"/>
  <c r="H62" i="29" s="1"/>
  <c r="H8" i="29"/>
  <c r="H7" i="29" l="1"/>
  <c r="H388" i="29" s="1"/>
  <c r="H390" i="29" s="1"/>
  <c r="H54" i="4" s="1"/>
  <c r="I51" i="4" l="1"/>
  <c r="F51" i="4" s="1"/>
  <c r="I50" i="4"/>
  <c r="F50" i="4" s="1"/>
  <c r="I48" i="4"/>
  <c r="F48" i="4" s="1"/>
  <c r="F83" i="26" l="1"/>
  <c r="H83" i="26" s="1"/>
  <c r="F79" i="26"/>
  <c r="H79" i="26" s="1"/>
  <c r="F75" i="26"/>
  <c r="H75" i="26" s="1"/>
  <c r="F71" i="26"/>
  <c r="H71" i="26" s="1"/>
  <c r="F66" i="26"/>
  <c r="H66" i="26" s="1"/>
  <c r="F62" i="26"/>
  <c r="H62" i="26" s="1"/>
  <c r="F58" i="26"/>
  <c r="H58" i="26" s="1"/>
  <c r="F54" i="26"/>
  <c r="H54" i="26" s="1"/>
  <c r="F51" i="26"/>
  <c r="H51" i="26" s="1"/>
  <c r="F47" i="26"/>
  <c r="H47" i="26" s="1"/>
  <c r="F43" i="26"/>
  <c r="H43" i="26" s="1"/>
  <c r="F39" i="26"/>
  <c r="H39" i="26" s="1"/>
  <c r="H38" i="26"/>
  <c r="F35" i="26"/>
  <c r="H35" i="26" s="1"/>
  <c r="F33" i="26"/>
  <c r="H33" i="26" s="1"/>
  <c r="F30" i="26"/>
  <c r="H30" i="26" s="1"/>
  <c r="F28" i="26"/>
  <c r="H28" i="26" s="1"/>
  <c r="F24" i="26"/>
  <c r="H24" i="26" s="1"/>
  <c r="F23" i="26"/>
  <c r="F22" i="26"/>
  <c r="H22" i="26" s="1"/>
  <c r="F20" i="26"/>
  <c r="F18" i="26" s="1"/>
  <c r="H18" i="26" s="1"/>
  <c r="F16" i="26"/>
  <c r="F15" i="26" s="1"/>
  <c r="H15" i="26" s="1"/>
  <c r="F13" i="26"/>
  <c r="F12" i="26" s="1"/>
  <c r="H12" i="26" s="1"/>
  <c r="F10" i="26"/>
  <c r="F9" i="26"/>
  <c r="H9" i="26" s="1"/>
  <c r="H8" i="26" l="1"/>
  <c r="H42" i="26"/>
  <c r="H70" i="26"/>
  <c r="H69" i="26" s="1"/>
  <c r="H7" i="26" l="1"/>
  <c r="H85" i="26" s="1"/>
  <c r="H87" i="26" s="1"/>
  <c r="H52" i="4" s="1"/>
  <c r="F890" i="6" l="1"/>
  <c r="F73" i="21"/>
  <c r="H73" i="21" s="1"/>
  <c r="H72" i="21"/>
  <c r="F70" i="21"/>
  <c r="H69" i="21"/>
  <c r="F67" i="21"/>
  <c r="H67" i="21" s="1"/>
  <c r="F66" i="21"/>
  <c r="H66" i="21" s="1"/>
  <c r="F64" i="21"/>
  <c r="F62" i="21"/>
  <c r="F60" i="21"/>
  <c r="H60" i="21" s="1"/>
  <c r="F58" i="21"/>
  <c r="F56" i="21"/>
  <c r="H56" i="21" s="1"/>
  <c r="F54" i="21"/>
  <c r="F52" i="21"/>
  <c r="H52" i="21" s="1"/>
  <c r="F50" i="21"/>
  <c r="F48" i="21"/>
  <c r="H48" i="21" s="1"/>
  <c r="F45" i="21"/>
  <c r="H45" i="21" s="1"/>
  <c r="H44" i="21"/>
  <c r="F44" i="21"/>
  <c r="F43" i="21"/>
  <c r="H43" i="21" s="1"/>
  <c r="F41" i="21"/>
  <c r="F38" i="21"/>
  <c r="H38" i="21" s="1"/>
  <c r="H37" i="21"/>
  <c r="F37" i="21"/>
  <c r="F36" i="21"/>
  <c r="H36" i="21" s="1"/>
  <c r="F34" i="21"/>
  <c r="F31" i="21"/>
  <c r="H31" i="21" s="1"/>
  <c r="F30" i="21"/>
  <c r="H30" i="21" s="1"/>
  <c r="F28" i="21"/>
  <c r="F25" i="21"/>
  <c r="H25" i="21" s="1"/>
  <c r="F24" i="21"/>
  <c r="H24" i="21" s="1"/>
  <c r="F22" i="21"/>
  <c r="F19" i="21"/>
  <c r="H19" i="21" s="1"/>
  <c r="F18" i="21"/>
  <c r="H18" i="21" s="1"/>
  <c r="F16" i="21"/>
  <c r="H13" i="21"/>
  <c r="F10" i="21"/>
  <c r="H10" i="21" s="1"/>
  <c r="G41" i="21" l="1"/>
  <c r="H41" i="21" s="1"/>
  <c r="G28" i="21"/>
  <c r="H28" i="21" s="1"/>
  <c r="G22" i="21"/>
  <c r="H22" i="21" s="1"/>
  <c r="G34" i="21"/>
  <c r="H34" i="21" s="1"/>
  <c r="G64" i="21"/>
  <c r="H64" i="21" s="1"/>
  <c r="G16" i="21"/>
  <c r="H16" i="21" s="1"/>
  <c r="H9" i="21" l="1"/>
  <c r="H8" i="21" l="1"/>
  <c r="H76" i="21"/>
  <c r="H78" i="21" s="1"/>
  <c r="H45" i="4" s="1"/>
  <c r="I52" i="4" l="1"/>
  <c r="F52" i="4" s="1"/>
  <c r="F133" i="14"/>
  <c r="F132" i="14"/>
  <c r="F131" i="14"/>
  <c r="F130" i="14"/>
  <c r="F129" i="14"/>
  <c r="F128" i="14"/>
  <c r="F127" i="14"/>
  <c r="F126" i="14"/>
  <c r="F125" i="14"/>
  <c r="F122" i="14" s="1"/>
  <c r="F124" i="14"/>
  <c r="F123" i="14"/>
  <c r="F121" i="14"/>
  <c r="F120" i="14"/>
  <c r="F119" i="14"/>
  <c r="F118" i="14" s="1"/>
  <c r="F117" i="14"/>
  <c r="F113" i="14"/>
  <c r="F112" i="14"/>
  <c r="F111" i="14"/>
  <c r="F110" i="14"/>
  <c r="F109" i="14"/>
  <c r="F108" i="14"/>
  <c r="F107" i="14"/>
  <c r="C106" i="14"/>
  <c r="F106" i="14" s="1"/>
  <c r="C105" i="14"/>
  <c r="C104" i="14"/>
  <c r="F104" i="14" s="1"/>
  <c r="C103" i="14"/>
  <c r="F103" i="14" s="1"/>
  <c r="C102" i="14"/>
  <c r="F101" i="14"/>
  <c r="C101" i="14"/>
  <c r="C100" i="14"/>
  <c r="F100" i="14" s="1"/>
  <c r="F98" i="14"/>
  <c r="F97" i="14"/>
  <c r="F96" i="14"/>
  <c r="F95" i="14"/>
  <c r="F94" i="14"/>
  <c r="F93" i="14"/>
  <c r="F92" i="14"/>
  <c r="F91" i="14"/>
  <c r="F90" i="14"/>
  <c r="F89" i="14"/>
  <c r="F88" i="14"/>
  <c r="F87" i="14"/>
  <c r="F86" i="14"/>
  <c r="F85" i="14"/>
  <c r="F84" i="14"/>
  <c r="F83" i="14"/>
  <c r="F82" i="14"/>
  <c r="F81" i="14"/>
  <c r="F80" i="14"/>
  <c r="F79" i="14"/>
  <c r="F78" i="14"/>
  <c r="F77" i="14"/>
  <c r="F76" i="14"/>
  <c r="C75" i="14"/>
  <c r="F75" i="14" s="1"/>
  <c r="C74" i="14"/>
  <c r="F74" i="14" s="1"/>
  <c r="F73" i="14"/>
  <c r="C72" i="14"/>
  <c r="F72" i="14" s="1"/>
  <c r="F71" i="14" s="1"/>
  <c r="F70" i="14"/>
  <c r="F69" i="14"/>
  <c r="F68" i="14"/>
  <c r="F67" i="14"/>
  <c r="F66" i="14"/>
  <c r="F65" i="14"/>
  <c r="F64" i="14"/>
  <c r="F63" i="14"/>
  <c r="F62" i="14"/>
  <c r="F61" i="14"/>
  <c r="F60" i="14"/>
  <c r="F59" i="14"/>
  <c r="F58" i="14"/>
  <c r="F57" i="14"/>
  <c r="F56" i="14"/>
  <c r="F55" i="14"/>
  <c r="F54" i="14"/>
  <c r="F53" i="14"/>
  <c r="F51" i="14"/>
  <c r="F50" i="14" s="1"/>
  <c r="F49" i="14"/>
  <c r="F48" i="14" s="1"/>
  <c r="F47" i="14"/>
  <c r="F46" i="14" s="1"/>
  <c r="F45" i="14"/>
  <c r="F44" i="14" s="1"/>
  <c r="F43" i="14"/>
  <c r="F42" i="14" s="1"/>
  <c r="F41" i="14"/>
  <c r="F40" i="14" s="1"/>
  <c r="F39" i="14"/>
  <c r="F38" i="14"/>
  <c r="F37" i="14"/>
  <c r="F36" i="14" s="1"/>
  <c r="F35" i="14"/>
  <c r="F34" i="14"/>
  <c r="F33" i="14"/>
  <c r="F31" i="14"/>
  <c r="F30" i="14"/>
  <c r="F29" i="14"/>
  <c r="F26" i="14"/>
  <c r="F25" i="14"/>
  <c r="F24" i="14"/>
  <c r="F23" i="14"/>
  <c r="F22" i="14"/>
  <c r="F20" i="14"/>
  <c r="F19" i="14"/>
  <c r="F18" i="14"/>
  <c r="F17" i="14"/>
  <c r="F16" i="14"/>
  <c r="F15" i="14"/>
  <c r="F14" i="14"/>
  <c r="F13" i="14"/>
  <c r="F12" i="14"/>
  <c r="F11" i="14"/>
  <c r="F10" i="14"/>
  <c r="B4" i="14"/>
  <c r="F28" i="14" l="1"/>
  <c r="F9" i="14"/>
  <c r="F52" i="14"/>
  <c r="F21" i="14"/>
  <c r="F32" i="14"/>
  <c r="F27" i="14" s="1"/>
  <c r="C116" i="14"/>
  <c r="F116" i="14" s="1"/>
  <c r="C115" i="14"/>
  <c r="F115" i="14" s="1"/>
  <c r="F8" i="14"/>
  <c r="F102" i="14"/>
  <c r="F105" i="14"/>
  <c r="F99" i="14" l="1"/>
  <c r="F114" i="14"/>
  <c r="J1" i="14" l="1"/>
  <c r="H55" i="4" s="1"/>
  <c r="F101" i="11"/>
  <c r="H101" i="11" s="1"/>
  <c r="H100" i="11"/>
  <c r="F96" i="11"/>
  <c r="H96" i="11" s="1"/>
  <c r="F92" i="11"/>
  <c r="H92" i="11" s="1"/>
  <c r="F88" i="11"/>
  <c r="H88" i="11" s="1"/>
  <c r="F84" i="11"/>
  <c r="H84" i="11" s="1"/>
  <c r="F80" i="11"/>
  <c r="H80" i="11" s="1"/>
  <c r="F76" i="11"/>
  <c r="H76" i="11" s="1"/>
  <c r="F72" i="11"/>
  <c r="H72" i="11" s="1"/>
  <c r="F68" i="11"/>
  <c r="H68" i="11" s="1"/>
  <c r="F64" i="11"/>
  <c r="H64" i="11" s="1"/>
  <c r="F60" i="11"/>
  <c r="H60" i="11" s="1"/>
  <c r="F56" i="11"/>
  <c r="H56" i="11" s="1"/>
  <c r="F52" i="11"/>
  <c r="H52" i="11" s="1"/>
  <c r="F48" i="11"/>
  <c r="H48" i="11" s="1"/>
  <c r="F25" i="11"/>
  <c r="H25" i="11" s="1"/>
  <c r="F21" i="11"/>
  <c r="H21" i="11" s="1"/>
  <c r="F17" i="11"/>
  <c r="H17" i="11" s="1"/>
  <c r="F13" i="11"/>
  <c r="H13" i="11" s="1"/>
  <c r="F9" i="11"/>
  <c r="H9" i="11" s="1"/>
  <c r="H8" i="11" l="1"/>
  <c r="H7" i="11" l="1"/>
  <c r="H104" i="11"/>
  <c r="H106" i="11" s="1"/>
  <c r="H44" i="4" s="1"/>
  <c r="F225" i="10" l="1"/>
  <c r="H225" i="10" s="1"/>
  <c r="H224" i="10"/>
  <c r="H219" i="10"/>
  <c r="F219" i="10"/>
  <c r="F214" i="10"/>
  <c r="H214" i="10" s="1"/>
  <c r="F209" i="10"/>
  <c r="H209" i="10" s="1"/>
  <c r="F205" i="10"/>
  <c r="H205" i="10" s="1"/>
  <c r="H201" i="10"/>
  <c r="F201" i="10"/>
  <c r="F196" i="10"/>
  <c r="H196" i="10" s="1"/>
  <c r="H192" i="10"/>
  <c r="F192" i="10"/>
  <c r="F188" i="10"/>
  <c r="H188" i="10" s="1"/>
  <c r="F184" i="10"/>
  <c r="H184" i="10" s="1"/>
  <c r="F179" i="10"/>
  <c r="H179" i="10" s="1"/>
  <c r="H174" i="10"/>
  <c r="F174" i="10"/>
  <c r="F170" i="10"/>
  <c r="H170" i="10" s="1"/>
  <c r="H165" i="10"/>
  <c r="F165" i="10"/>
  <c r="F160" i="10"/>
  <c r="H160" i="10" s="1"/>
  <c r="F156" i="10"/>
  <c r="H156" i="10" s="1"/>
  <c r="F151" i="10"/>
  <c r="H151" i="10" s="1"/>
  <c r="H146" i="10"/>
  <c r="F146" i="10"/>
  <c r="F141" i="10"/>
  <c r="H141" i="10" s="1"/>
  <c r="H138" i="10"/>
  <c r="F138" i="10"/>
  <c r="F135" i="10"/>
  <c r="H135" i="10" s="1"/>
  <c r="F132" i="10"/>
  <c r="H132" i="10" s="1"/>
  <c r="F129" i="10"/>
  <c r="H129" i="10" s="1"/>
  <c r="H125" i="10"/>
  <c r="F125" i="10"/>
  <c r="F122" i="10"/>
  <c r="H122" i="10" s="1"/>
  <c r="H116" i="10"/>
  <c r="F116" i="10"/>
  <c r="F112" i="10"/>
  <c r="H112" i="10" s="1"/>
  <c r="F107" i="10"/>
  <c r="H107" i="10" s="1"/>
  <c r="F104" i="10"/>
  <c r="H104" i="10" s="1"/>
  <c r="H101" i="10"/>
  <c r="F101" i="10"/>
  <c r="F97" i="10"/>
  <c r="H97" i="10" s="1"/>
  <c r="H92" i="10"/>
  <c r="F92" i="10"/>
  <c r="F89" i="10"/>
  <c r="H89" i="10" s="1"/>
  <c r="F86" i="10"/>
  <c r="H86" i="10" s="1"/>
  <c r="F83" i="10"/>
  <c r="H83" i="10" s="1"/>
  <c r="H80" i="10"/>
  <c r="F80" i="10"/>
  <c r="F76" i="10"/>
  <c r="H76" i="10" s="1"/>
  <c r="F72" i="10"/>
  <c r="H72" i="10" s="1"/>
  <c r="F68" i="10"/>
  <c r="H68" i="10" s="1"/>
  <c r="F63" i="10"/>
  <c r="H63" i="10" s="1"/>
  <c r="H59" i="10"/>
  <c r="F59" i="10"/>
  <c r="F55" i="10"/>
  <c r="H55" i="10" s="1"/>
  <c r="H49" i="10"/>
  <c r="F49" i="10"/>
  <c r="F43" i="10"/>
  <c r="H43" i="10" s="1"/>
  <c r="F41" i="10"/>
  <c r="F39" i="10" s="1"/>
  <c r="H39" i="10" s="1"/>
  <c r="F40" i="10"/>
  <c r="H40" i="10" s="1"/>
  <c r="F33" i="10"/>
  <c r="F31" i="10" s="1"/>
  <c r="H31" i="10" s="1"/>
  <c r="F32" i="10"/>
  <c r="H32" i="10" s="1"/>
  <c r="H24" i="10"/>
  <c r="F23" i="10"/>
  <c r="H23" i="10" s="1"/>
  <c r="F21" i="10"/>
  <c r="H18" i="10"/>
  <c r="H17" i="10"/>
  <c r="F17" i="10"/>
  <c r="F15" i="10"/>
  <c r="H12" i="10"/>
  <c r="F11" i="10"/>
  <c r="H11" i="10" s="1"/>
  <c r="G9" i="10" s="1"/>
  <c r="H9" i="10" s="1"/>
  <c r="F9" i="10"/>
  <c r="G21" i="10" l="1"/>
  <c r="H21" i="10" s="1"/>
  <c r="F27" i="10"/>
  <c r="F35" i="10"/>
  <c r="G15" i="10"/>
  <c r="H15" i="10" s="1"/>
  <c r="F29" i="10"/>
  <c r="H29" i="10" s="1"/>
  <c r="F37" i="10"/>
  <c r="H37" i="10" s="1"/>
  <c r="F30" i="10"/>
  <c r="H30" i="10" s="1"/>
  <c r="F38" i="10"/>
  <c r="H38" i="10" s="1"/>
  <c r="G35" i="10" l="1"/>
  <c r="H35" i="10" s="1"/>
  <c r="G27" i="10"/>
  <c r="H27" i="10" s="1"/>
  <c r="H8" i="10" s="1"/>
  <c r="H228" i="10" l="1"/>
  <c r="H231" i="10" s="1"/>
  <c r="H46" i="4" s="1"/>
  <c r="H7" i="10" l="1"/>
  <c r="F152" i="9"/>
  <c r="H152" i="9" s="1"/>
  <c r="H151" i="9"/>
  <c r="F146" i="9"/>
  <c r="F145" i="9"/>
  <c r="F144" i="9"/>
  <c r="F142" i="9"/>
  <c r="F141" i="9"/>
  <c r="F140" i="9"/>
  <c r="F139" i="9"/>
  <c r="F135" i="9"/>
  <c r="H135" i="9" s="1"/>
  <c r="F131" i="9"/>
  <c r="H131" i="9" s="1"/>
  <c r="F127" i="9"/>
  <c r="H127" i="9" s="1"/>
  <c r="F123" i="9"/>
  <c r="H123" i="9" s="1"/>
  <c r="F119" i="9"/>
  <c r="H119" i="9" s="1"/>
  <c r="F115" i="9"/>
  <c r="H115" i="9" s="1"/>
  <c r="H114" i="9"/>
  <c r="F110" i="9"/>
  <c r="H110" i="9" s="1"/>
  <c r="F106" i="9"/>
  <c r="H106" i="9" s="1"/>
  <c r="H105" i="9"/>
  <c r="F101" i="9"/>
  <c r="H101" i="9" s="1"/>
  <c r="F96" i="9"/>
  <c r="H96" i="9" s="1"/>
  <c r="F92" i="9"/>
  <c r="H92" i="9" s="1"/>
  <c r="F87" i="9"/>
  <c r="H87" i="9" s="1"/>
  <c r="F82" i="9"/>
  <c r="H82" i="9" s="1"/>
  <c r="F78" i="9"/>
  <c r="H78" i="9" s="1"/>
  <c r="F73" i="9"/>
  <c r="H73" i="9" s="1"/>
  <c r="F69" i="9"/>
  <c r="H69" i="9" s="1"/>
  <c r="F65" i="9"/>
  <c r="H65" i="9" s="1"/>
  <c r="F61" i="9"/>
  <c r="H61" i="9" s="1"/>
  <c r="F56" i="9"/>
  <c r="H56" i="9" s="1"/>
  <c r="F51" i="9"/>
  <c r="H51" i="9" s="1"/>
  <c r="F47" i="9"/>
  <c r="H47" i="9" s="1"/>
  <c r="F43" i="9"/>
  <c r="H43" i="9" s="1"/>
  <c r="F38" i="9"/>
  <c r="H38" i="9" s="1"/>
  <c r="F33" i="9"/>
  <c r="H33" i="9" s="1"/>
  <c r="F28" i="9"/>
  <c r="H28" i="9" s="1"/>
  <c r="F23" i="9"/>
  <c r="H23" i="9" s="1"/>
  <c r="F18" i="9"/>
  <c r="H18" i="9" s="1"/>
  <c r="F14" i="9"/>
  <c r="H14" i="9" s="1"/>
  <c r="F10" i="9"/>
  <c r="H10" i="9" s="1"/>
  <c r="H9" i="9" l="1"/>
  <c r="H118" i="9"/>
  <c r="H109" i="9"/>
  <c r="H8" i="9" l="1"/>
  <c r="H156" i="9" s="1"/>
  <c r="H158" i="9" s="1"/>
  <c r="H42" i="4" s="1"/>
  <c r="F201" i="8"/>
  <c r="H201" i="8" s="1"/>
  <c r="H200" i="8"/>
  <c r="F198" i="8"/>
  <c r="H198" i="8" s="1"/>
  <c r="F194" i="8"/>
  <c r="H194" i="8" s="1"/>
  <c r="F190" i="8"/>
  <c r="H190" i="8" s="1"/>
  <c r="F186" i="8"/>
  <c r="H186" i="8" s="1"/>
  <c r="F182" i="8"/>
  <c r="H182" i="8" s="1"/>
  <c r="F178" i="8"/>
  <c r="H178" i="8" s="1"/>
  <c r="F174" i="8"/>
  <c r="H174" i="8" s="1"/>
  <c r="F170" i="8"/>
  <c r="H170" i="8" s="1"/>
  <c r="F166" i="8"/>
  <c r="H166" i="8" s="1"/>
  <c r="F162" i="8"/>
  <c r="H162" i="8" s="1"/>
  <c r="F158" i="8"/>
  <c r="H158" i="8" s="1"/>
  <c r="F154" i="8"/>
  <c r="H154" i="8" s="1"/>
  <c r="F150" i="8"/>
  <c r="H150" i="8" s="1"/>
  <c r="F146" i="8"/>
  <c r="H146" i="8" s="1"/>
  <c r="F142" i="8"/>
  <c r="H142" i="8" s="1"/>
  <c r="F138" i="8"/>
  <c r="H138" i="8" s="1"/>
  <c r="F134" i="8"/>
  <c r="H134" i="8" s="1"/>
  <c r="F130" i="8"/>
  <c r="H130" i="8" s="1"/>
  <c r="F126" i="8"/>
  <c r="H126" i="8" s="1"/>
  <c r="F122" i="8"/>
  <c r="H122" i="8" s="1"/>
  <c r="F118" i="8"/>
  <c r="H118" i="8" s="1"/>
  <c r="F114" i="8"/>
  <c r="H114" i="8" s="1"/>
  <c r="F110" i="8"/>
  <c r="H110" i="8" s="1"/>
  <c r="F106" i="8"/>
  <c r="H106" i="8" s="1"/>
  <c r="F102" i="8"/>
  <c r="H102" i="8" s="1"/>
  <c r="F98" i="8"/>
  <c r="H98" i="8" s="1"/>
  <c r="F94" i="8"/>
  <c r="H94" i="8" s="1"/>
  <c r="F90" i="8"/>
  <c r="H90" i="8" s="1"/>
  <c r="F86" i="8"/>
  <c r="H86" i="8" s="1"/>
  <c r="F82" i="8"/>
  <c r="H82" i="8" s="1"/>
  <c r="F78" i="8"/>
  <c r="H78" i="8" s="1"/>
  <c r="F74" i="8"/>
  <c r="H74" i="8" s="1"/>
  <c r="F70" i="8"/>
  <c r="H70" i="8" s="1"/>
  <c r="F66" i="8"/>
  <c r="H66" i="8" s="1"/>
  <c r="F62" i="8"/>
  <c r="H62" i="8" s="1"/>
  <c r="F58" i="8"/>
  <c r="H58" i="8" s="1"/>
  <c r="F54" i="8"/>
  <c r="H54" i="8" s="1"/>
  <c r="F50" i="8"/>
  <c r="H50" i="8" s="1"/>
  <c r="F46" i="8"/>
  <c r="H46" i="8" s="1"/>
  <c r="F42" i="8"/>
  <c r="H42" i="8" s="1"/>
  <c r="F38" i="8"/>
  <c r="H38" i="8" s="1"/>
  <c r="F34" i="8"/>
  <c r="H34" i="8" s="1"/>
  <c r="F29" i="8"/>
  <c r="H29" i="8" s="1"/>
  <c r="F24" i="8"/>
  <c r="H24" i="8" s="1"/>
  <c r="F19" i="8"/>
  <c r="H19" i="8" s="1"/>
  <c r="F14" i="8"/>
  <c r="H14" i="8" s="1"/>
  <c r="F9" i="8"/>
  <c r="H9" i="8" s="1"/>
  <c r="H8" i="8" l="1"/>
  <c r="H7" i="8" s="1"/>
  <c r="H204" i="8" s="1"/>
  <c r="H206" i="8" s="1"/>
  <c r="H41" i="4" s="1"/>
  <c r="F599" i="6" l="1"/>
  <c r="H599" i="6" s="1"/>
  <c r="F899" i="6"/>
  <c r="H899" i="6" s="1"/>
  <c r="H890" i="6"/>
  <c r="F885" i="6"/>
  <c r="H885" i="6" s="1"/>
  <c r="H884" i="6"/>
  <c r="F876" i="6"/>
  <c r="F872" i="6"/>
  <c r="H872" i="6" s="1"/>
  <c r="F868" i="6"/>
  <c r="F867" i="6"/>
  <c r="F860" i="6"/>
  <c r="F859" i="6"/>
  <c r="F858" i="6"/>
  <c r="F853" i="6"/>
  <c r="H853" i="6" s="1"/>
  <c r="F849" i="6"/>
  <c r="H849" i="6" s="1"/>
  <c r="F844" i="6"/>
  <c r="H844" i="6" s="1"/>
  <c r="F840" i="6"/>
  <c r="H840" i="6" s="1"/>
  <c r="F834" i="6"/>
  <c r="H834" i="6" s="1"/>
  <c r="F830" i="6"/>
  <c r="H830" i="6" s="1"/>
  <c r="H829" i="6"/>
  <c r="F826" i="6"/>
  <c r="F822" i="6" s="1"/>
  <c r="F825" i="6"/>
  <c r="H825" i="6" s="1"/>
  <c r="F821" i="6"/>
  <c r="F820" i="6" s="1"/>
  <c r="H820" i="6" s="1"/>
  <c r="F816" i="6"/>
  <c r="H816" i="6" s="1"/>
  <c r="H815" i="6"/>
  <c r="F811" i="6"/>
  <c r="H811" i="6" s="1"/>
  <c r="F810" i="6"/>
  <c r="H810" i="6" s="1"/>
  <c r="F809" i="6"/>
  <c r="H809" i="6" s="1"/>
  <c r="F808" i="6"/>
  <c r="H808" i="6" s="1"/>
  <c r="F807" i="6"/>
  <c r="H807" i="6" s="1"/>
  <c r="F806" i="6"/>
  <c r="H806" i="6" s="1"/>
  <c r="F803" i="6"/>
  <c r="F799" i="6"/>
  <c r="H799" i="6" s="1"/>
  <c r="F796" i="6"/>
  <c r="F792" i="6"/>
  <c r="H792" i="6" s="1"/>
  <c r="F791" i="6"/>
  <c r="H791" i="6" s="1"/>
  <c r="F790" i="6"/>
  <c r="H790" i="6" s="1"/>
  <c r="F789" i="6"/>
  <c r="H789" i="6" s="1"/>
  <c r="F788" i="6"/>
  <c r="H788" i="6" s="1"/>
  <c r="F787" i="6"/>
  <c r="H787" i="6" s="1"/>
  <c r="F784" i="6"/>
  <c r="F781" i="6"/>
  <c r="F776" i="6" s="1"/>
  <c r="F780" i="6"/>
  <c r="H780" i="6" s="1"/>
  <c r="F779" i="6"/>
  <c r="H779" i="6" s="1"/>
  <c r="F773" i="6"/>
  <c r="F768" i="6" s="1"/>
  <c r="F772" i="6"/>
  <c r="H772" i="6" s="1"/>
  <c r="F771" i="6"/>
  <c r="H771" i="6" s="1"/>
  <c r="F764" i="6"/>
  <c r="H764" i="6" s="1"/>
  <c r="H763" i="6"/>
  <c r="F760" i="6"/>
  <c r="F753" i="6" s="1"/>
  <c r="F759" i="6"/>
  <c r="H759" i="6" s="1"/>
  <c r="F758" i="6"/>
  <c r="H758" i="6" s="1"/>
  <c r="F757" i="6"/>
  <c r="H757" i="6" s="1"/>
  <c r="F750" i="6"/>
  <c r="F743" i="6" s="1"/>
  <c r="F749" i="6"/>
  <c r="H749" i="6" s="1"/>
  <c r="F748" i="6"/>
  <c r="H748" i="6" s="1"/>
  <c r="F747" i="6"/>
  <c r="H747" i="6" s="1"/>
  <c r="F740" i="6"/>
  <c r="F732" i="6" s="1"/>
  <c r="F739" i="6"/>
  <c r="H739" i="6" s="1"/>
  <c r="F738" i="6"/>
  <c r="H738" i="6" s="1"/>
  <c r="F737" i="6"/>
  <c r="H737" i="6" s="1"/>
  <c r="F736" i="6"/>
  <c r="H736" i="6" s="1"/>
  <c r="F735" i="6"/>
  <c r="H735" i="6" s="1"/>
  <c r="F729" i="6"/>
  <c r="F724" i="6" s="1"/>
  <c r="F728" i="6"/>
  <c r="H728" i="6" s="1"/>
  <c r="F727" i="6"/>
  <c r="H727" i="6" s="1"/>
  <c r="F721" i="6"/>
  <c r="F717" i="6" s="1"/>
  <c r="F720" i="6"/>
  <c r="H720" i="6" s="1"/>
  <c r="F713" i="6"/>
  <c r="H713" i="6" s="1"/>
  <c r="F712" i="6"/>
  <c r="H712" i="6" s="1"/>
  <c r="F711" i="6"/>
  <c r="H711" i="6" s="1"/>
  <c r="F710" i="6"/>
  <c r="H710" i="6" s="1"/>
  <c r="F709" i="6"/>
  <c r="H709" i="6" s="1"/>
  <c r="F706" i="6"/>
  <c r="F703" i="6"/>
  <c r="F696" i="6" s="1"/>
  <c r="F702" i="6"/>
  <c r="H702" i="6" s="1"/>
  <c r="F701" i="6"/>
  <c r="H701" i="6" s="1"/>
  <c r="F700" i="6"/>
  <c r="H700" i="6" s="1"/>
  <c r="F699" i="6"/>
  <c r="H699" i="6" s="1"/>
  <c r="F693" i="6"/>
  <c r="F686" i="6" s="1"/>
  <c r="F692" i="6"/>
  <c r="H692" i="6" s="1"/>
  <c r="F691" i="6"/>
  <c r="H691" i="6" s="1"/>
  <c r="F690" i="6"/>
  <c r="H690" i="6" s="1"/>
  <c r="F689" i="6"/>
  <c r="H689" i="6" s="1"/>
  <c r="F682" i="6"/>
  <c r="H682" i="6" s="1"/>
  <c r="H681" i="6"/>
  <c r="F677" i="6"/>
  <c r="F669" i="6" s="1"/>
  <c r="F676" i="6"/>
  <c r="H676" i="6" s="1"/>
  <c r="F675" i="6"/>
  <c r="H675" i="6" s="1"/>
  <c r="F674" i="6"/>
  <c r="H674" i="6" s="1"/>
  <c r="F673" i="6"/>
  <c r="H673" i="6" s="1"/>
  <c r="F672" i="6"/>
  <c r="F664" i="6"/>
  <c r="H664" i="6" s="1"/>
  <c r="F663" i="6"/>
  <c r="H663" i="6" s="1"/>
  <c r="F662" i="6"/>
  <c r="F659" i="6"/>
  <c r="F655" i="6"/>
  <c r="F647" i="6" s="1"/>
  <c r="F654" i="6"/>
  <c r="H654" i="6" s="1"/>
  <c r="F653" i="6"/>
  <c r="H653" i="6" s="1"/>
  <c r="F652" i="6"/>
  <c r="H652" i="6" s="1"/>
  <c r="F651" i="6"/>
  <c r="H651" i="6" s="1"/>
  <c r="F650" i="6"/>
  <c r="F643" i="6"/>
  <c r="F636" i="6" s="1"/>
  <c r="F642" i="6"/>
  <c r="H642" i="6" s="1"/>
  <c r="F641" i="6"/>
  <c r="H641" i="6" s="1"/>
  <c r="F640" i="6"/>
  <c r="H640" i="6" s="1"/>
  <c r="F639" i="6"/>
  <c r="F632" i="6"/>
  <c r="F624" i="6" s="1"/>
  <c r="F631" i="6"/>
  <c r="H631" i="6" s="1"/>
  <c r="F630" i="6"/>
  <c r="H630" i="6" s="1"/>
  <c r="F629" i="6"/>
  <c r="H629" i="6" s="1"/>
  <c r="F628" i="6"/>
  <c r="H628" i="6" s="1"/>
  <c r="F627" i="6"/>
  <c r="F609" i="6"/>
  <c r="H609" i="6" s="1"/>
  <c r="H608" i="6"/>
  <c r="F607" i="6"/>
  <c r="F606" i="6" s="1"/>
  <c r="H606" i="6" s="1"/>
  <c r="F605" i="6"/>
  <c r="F604" i="6"/>
  <c r="F598" i="6"/>
  <c r="F597" i="6"/>
  <c r="F596" i="6"/>
  <c r="F591" i="6"/>
  <c r="F589" i="6" s="1"/>
  <c r="H589" i="6" s="1"/>
  <c r="F586" i="6"/>
  <c r="F584" i="6" s="1"/>
  <c r="H584" i="6" s="1"/>
  <c r="F581" i="6"/>
  <c r="F580" i="6"/>
  <c r="F575" i="6"/>
  <c r="F574" i="6"/>
  <c r="F569" i="6"/>
  <c r="F568" i="6"/>
  <c r="F563" i="6"/>
  <c r="F562" i="6"/>
  <c r="F558" i="6"/>
  <c r="F556" i="6" s="1"/>
  <c r="H556" i="6" s="1"/>
  <c r="F554" i="6"/>
  <c r="F553" i="6"/>
  <c r="F547" i="6"/>
  <c r="F546" i="6"/>
  <c r="F538" i="6"/>
  <c r="F534" i="6" s="1"/>
  <c r="H534" i="6" s="1"/>
  <c r="F530" i="6"/>
  <c r="F529" i="6"/>
  <c r="F521" i="6"/>
  <c r="F518" i="6" s="1"/>
  <c r="H518" i="6" s="1"/>
  <c r="F514" i="6"/>
  <c r="F511" i="6" s="1"/>
  <c r="H511" i="6" s="1"/>
  <c r="F499" i="6"/>
  <c r="F497" i="6"/>
  <c r="F495" i="6"/>
  <c r="F494" i="6"/>
  <c r="F485" i="6"/>
  <c r="F481" i="6" s="1"/>
  <c r="H481" i="6" s="1"/>
  <c r="F477" i="6"/>
  <c r="F476" i="6"/>
  <c r="F468" i="6"/>
  <c r="F467" i="6"/>
  <c r="F459" i="6"/>
  <c r="H459" i="6" s="1"/>
  <c r="H458" i="6"/>
  <c r="F456" i="6"/>
  <c r="F455" i="6" s="1"/>
  <c r="H455" i="6" s="1"/>
  <c r="F451" i="6"/>
  <c r="H451" i="6" s="1"/>
  <c r="H450" i="6"/>
  <c r="F448" i="6"/>
  <c r="F443" i="6" s="1"/>
  <c r="F447" i="6"/>
  <c r="H447" i="6" s="1"/>
  <c r="F446" i="6"/>
  <c r="H446" i="6" s="1"/>
  <c r="F441" i="6"/>
  <c r="F434" i="6" s="1"/>
  <c r="F440" i="6"/>
  <c r="H440" i="6" s="1"/>
  <c r="F439" i="6"/>
  <c r="H439" i="6" s="1"/>
  <c r="F438" i="6"/>
  <c r="H438" i="6" s="1"/>
  <c r="F437" i="6"/>
  <c r="H437" i="6" s="1"/>
  <c r="F431" i="6"/>
  <c r="F425" i="6" s="1"/>
  <c r="F430" i="6"/>
  <c r="H430" i="6" s="1"/>
  <c r="F429" i="6"/>
  <c r="H429" i="6" s="1"/>
  <c r="F428" i="6"/>
  <c r="H428" i="6" s="1"/>
  <c r="F423" i="6"/>
  <c r="F416" i="6" s="1"/>
  <c r="F422" i="6"/>
  <c r="H422" i="6" s="1"/>
  <c r="F421" i="6"/>
  <c r="H421" i="6" s="1"/>
  <c r="F420" i="6"/>
  <c r="H420" i="6" s="1"/>
  <c r="F419" i="6"/>
  <c r="H419" i="6" s="1"/>
  <c r="F413" i="6"/>
  <c r="H413" i="6" s="1"/>
  <c r="F412" i="6"/>
  <c r="H412" i="6" s="1"/>
  <c r="F411" i="6"/>
  <c r="H411" i="6" s="1"/>
  <c r="F408" i="6"/>
  <c r="F405" i="6"/>
  <c r="H405" i="6" s="1"/>
  <c r="F404" i="6"/>
  <c r="H404" i="6" s="1"/>
  <c r="F403" i="6"/>
  <c r="H403" i="6" s="1"/>
  <c r="F400" i="6"/>
  <c r="F398" i="6"/>
  <c r="F391" i="6" s="1"/>
  <c r="F397" i="6"/>
  <c r="H397" i="6" s="1"/>
  <c r="F396" i="6"/>
  <c r="H396" i="6" s="1"/>
  <c r="F395" i="6"/>
  <c r="H395" i="6" s="1"/>
  <c r="F394" i="6"/>
  <c r="H394" i="6" s="1"/>
  <c r="F389" i="6"/>
  <c r="F381" i="6" s="1"/>
  <c r="F388" i="6"/>
  <c r="H388" i="6" s="1"/>
  <c r="F387" i="6"/>
  <c r="H387" i="6" s="1"/>
  <c r="F386" i="6"/>
  <c r="H386" i="6" s="1"/>
  <c r="F385" i="6"/>
  <c r="H385" i="6" s="1"/>
  <c r="F384" i="6"/>
  <c r="H384" i="6" s="1"/>
  <c r="F379" i="6"/>
  <c r="F372" i="6" s="1"/>
  <c r="F378" i="6"/>
  <c r="H378" i="6" s="1"/>
  <c r="F377" i="6"/>
  <c r="H377" i="6" s="1"/>
  <c r="F376" i="6"/>
  <c r="H376" i="6" s="1"/>
  <c r="F375" i="6"/>
  <c r="H375" i="6" s="1"/>
  <c r="F368" i="6"/>
  <c r="H368" i="6" s="1"/>
  <c r="H367" i="6"/>
  <c r="F362" i="6"/>
  <c r="H362" i="6" s="1"/>
  <c r="F361" i="6"/>
  <c r="H361" i="6" s="1"/>
  <c r="F360" i="6"/>
  <c r="H360" i="6" s="1"/>
  <c r="F359" i="6"/>
  <c r="H359" i="6" s="1"/>
  <c r="F357" i="6"/>
  <c r="H357" i="6" s="1"/>
  <c r="F356" i="6"/>
  <c r="H356" i="6" s="1"/>
  <c r="F355" i="6"/>
  <c r="H355" i="6" s="1"/>
  <c r="F354" i="6"/>
  <c r="H354" i="6" s="1"/>
  <c r="F353" i="6"/>
  <c r="H353" i="6" s="1"/>
  <c r="F352" i="6"/>
  <c r="H352" i="6" s="1"/>
  <c r="F350" i="6"/>
  <c r="F345" i="6"/>
  <c r="H345" i="6" s="1"/>
  <c r="F344" i="6"/>
  <c r="H344" i="6" s="1"/>
  <c r="F343" i="6"/>
  <c r="H343" i="6" s="1"/>
  <c r="F342" i="6"/>
  <c r="H342" i="6" s="1"/>
  <c r="F341" i="6"/>
  <c r="H341" i="6" s="1"/>
  <c r="F340" i="6"/>
  <c r="H340" i="6" s="1"/>
  <c r="F339" i="6"/>
  <c r="H339" i="6" s="1"/>
  <c r="F338" i="6"/>
  <c r="H338" i="6" s="1"/>
  <c r="F337" i="6"/>
  <c r="H337" i="6" s="1"/>
  <c r="H336" i="6"/>
  <c r="F334" i="6"/>
  <c r="F329" i="6"/>
  <c r="H329" i="6" s="1"/>
  <c r="F328" i="6"/>
  <c r="H328" i="6" s="1"/>
  <c r="F327" i="6"/>
  <c r="H327" i="6" s="1"/>
  <c r="F326" i="6"/>
  <c r="H326" i="6" s="1"/>
  <c r="F325" i="6"/>
  <c r="H325" i="6" s="1"/>
  <c r="F324" i="6"/>
  <c r="H324" i="6" s="1"/>
  <c r="F323" i="6"/>
  <c r="H323" i="6" s="1"/>
  <c r="F322" i="6"/>
  <c r="H322" i="6" s="1"/>
  <c r="F321" i="6"/>
  <c r="H321" i="6" s="1"/>
  <c r="F320" i="6"/>
  <c r="H320" i="6" s="1"/>
  <c r="F318" i="6"/>
  <c r="F313" i="6"/>
  <c r="H313" i="6" s="1"/>
  <c r="F312" i="6"/>
  <c r="H312" i="6" s="1"/>
  <c r="F311" i="6"/>
  <c r="H311" i="6" s="1"/>
  <c r="F310" i="6"/>
  <c r="H310" i="6" s="1"/>
  <c r="F309" i="6"/>
  <c r="H309" i="6" s="1"/>
  <c r="F308" i="6"/>
  <c r="H308" i="6" s="1"/>
  <c r="F307" i="6"/>
  <c r="H307" i="6" s="1"/>
  <c r="F306" i="6"/>
  <c r="H306" i="6" s="1"/>
  <c r="F305" i="6"/>
  <c r="H305" i="6" s="1"/>
  <c r="F303" i="6"/>
  <c r="F299" i="6"/>
  <c r="F285" i="6" s="1"/>
  <c r="F298" i="6"/>
  <c r="H298" i="6" s="1"/>
  <c r="F297" i="6"/>
  <c r="H297" i="6" s="1"/>
  <c r="F296" i="6"/>
  <c r="H296" i="6" s="1"/>
  <c r="F295" i="6"/>
  <c r="H295" i="6" s="1"/>
  <c r="F294" i="6"/>
  <c r="H294" i="6" s="1"/>
  <c r="F293" i="6"/>
  <c r="H293" i="6" s="1"/>
  <c r="F292" i="6"/>
  <c r="H292" i="6" s="1"/>
  <c r="F291" i="6"/>
  <c r="H291" i="6" s="1"/>
  <c r="F290" i="6"/>
  <c r="H290" i="6" s="1"/>
  <c r="F289" i="6"/>
  <c r="H289" i="6" s="1"/>
  <c r="F288" i="6"/>
  <c r="H288" i="6" s="1"/>
  <c r="F287" i="6"/>
  <c r="H287" i="6" s="1"/>
  <c r="F281" i="6"/>
  <c r="H281" i="6" s="1"/>
  <c r="H280" i="6"/>
  <c r="F277" i="6"/>
  <c r="H277" i="6" s="1"/>
  <c r="F276" i="6"/>
  <c r="H276" i="6" s="1"/>
  <c r="F274" i="6"/>
  <c r="F271" i="6"/>
  <c r="H271" i="6" s="1"/>
  <c r="F270" i="6"/>
  <c r="H270" i="6" s="1"/>
  <c r="G268" i="6" s="1"/>
  <c r="F268" i="6"/>
  <c r="F267" i="6"/>
  <c r="F266" i="6" s="1"/>
  <c r="H266" i="6" s="1"/>
  <c r="F262" i="6"/>
  <c r="H262" i="6" s="1"/>
  <c r="F260" i="6"/>
  <c r="F258" i="6"/>
  <c r="H258" i="6" s="1"/>
  <c r="F247" i="6"/>
  <c r="F245" i="6" s="1"/>
  <c r="H245" i="6" s="1"/>
  <c r="F240" i="6"/>
  <c r="F238" i="6" s="1"/>
  <c r="H238" i="6" s="1"/>
  <c r="F237" i="6"/>
  <c r="F236" i="6"/>
  <c r="F231" i="6"/>
  <c r="F230" i="6"/>
  <c r="F222" i="6"/>
  <c r="F221" i="6" s="1"/>
  <c r="F219" i="6"/>
  <c r="F227" i="6" s="1"/>
  <c r="F226" i="6" s="1"/>
  <c r="H226" i="6" s="1"/>
  <c r="F213" i="6"/>
  <c r="F212" i="6" s="1"/>
  <c r="F211" i="6"/>
  <c r="F210" i="6" s="1"/>
  <c r="F204" i="6"/>
  <c r="F203" i="6" s="1"/>
  <c r="F201" i="6"/>
  <c r="F199" i="6" s="1"/>
  <c r="H199" i="6" s="1"/>
  <c r="F194" i="6"/>
  <c r="F184" i="6"/>
  <c r="F178" i="6"/>
  <c r="F177" i="6"/>
  <c r="F176" i="6"/>
  <c r="F170" i="6"/>
  <c r="F169" i="6" s="1"/>
  <c r="H169" i="6" s="1"/>
  <c r="F165" i="6"/>
  <c r="H165" i="6" s="1"/>
  <c r="F159" i="6"/>
  <c r="H159" i="6" s="1"/>
  <c r="F146" i="6"/>
  <c r="F143" i="6"/>
  <c r="H143" i="6" s="1"/>
  <c r="F142" i="6"/>
  <c r="F141" i="6"/>
  <c r="F133" i="6"/>
  <c r="H133" i="6" s="1"/>
  <c r="F129" i="6"/>
  <c r="H129" i="6" s="1"/>
  <c r="F128" i="6"/>
  <c r="F126" i="6" s="1"/>
  <c r="H126" i="6" s="1"/>
  <c r="F125" i="6"/>
  <c r="F124" i="6"/>
  <c r="F123" i="6"/>
  <c r="F119" i="6"/>
  <c r="F118" i="6" s="1"/>
  <c r="H118" i="6" s="1"/>
  <c r="F116" i="6"/>
  <c r="F115" i="6" s="1"/>
  <c r="F113" i="6"/>
  <c r="F111" i="6" s="1"/>
  <c r="H111" i="6" s="1"/>
  <c r="F109" i="6"/>
  <c r="F108" i="6" s="1"/>
  <c r="F106" i="6"/>
  <c r="F104" i="6" s="1"/>
  <c r="H104" i="6" s="1"/>
  <c r="F103" i="6"/>
  <c r="F102" i="6"/>
  <c r="F99" i="6"/>
  <c r="F98" i="6" s="1"/>
  <c r="F97" i="6"/>
  <c r="F96" i="6"/>
  <c r="F95" i="6"/>
  <c r="F92" i="6"/>
  <c r="F91" i="6"/>
  <c r="F88" i="6"/>
  <c r="H88" i="6" s="1"/>
  <c r="F86" i="6"/>
  <c r="H86" i="6" s="1"/>
  <c r="F85" i="6"/>
  <c r="F84" i="6" s="1"/>
  <c r="H84" i="6" s="1"/>
  <c r="F83" i="6"/>
  <c r="F82" i="6" s="1"/>
  <c r="H82" i="6" s="1"/>
  <c r="F79" i="6"/>
  <c r="H79" i="6" s="1"/>
  <c r="F77" i="6"/>
  <c r="F75" i="6" s="1"/>
  <c r="H75" i="6" s="1"/>
  <c r="F63" i="6"/>
  <c r="F62" i="6"/>
  <c r="F60" i="6"/>
  <c r="F59" i="6"/>
  <c r="F55" i="6"/>
  <c r="F53" i="6" s="1"/>
  <c r="H53" i="6" s="1"/>
  <c r="F52" i="6"/>
  <c r="F51" i="6"/>
  <c r="F45" i="6"/>
  <c r="H45" i="6" s="1"/>
  <c r="F44" i="6"/>
  <c r="F42" i="6"/>
  <c r="F39" i="6"/>
  <c r="F38" i="6"/>
  <c r="F35" i="6"/>
  <c r="F34" i="6" s="1"/>
  <c r="H34" i="6" s="1"/>
  <c r="F32" i="6"/>
  <c r="F30" i="6"/>
  <c r="F26" i="6"/>
  <c r="F24" i="6"/>
  <c r="F20" i="6"/>
  <c r="F18" i="6"/>
  <c r="H15" i="6"/>
  <c r="H14" i="6"/>
  <c r="H13" i="6"/>
  <c r="H12" i="6"/>
  <c r="H11" i="6"/>
  <c r="H10" i="6"/>
  <c r="G46" i="5"/>
  <c r="G44" i="5"/>
  <c r="G43" i="5"/>
  <c r="G42" i="5"/>
  <c r="G41" i="5"/>
  <c r="G40" i="5"/>
  <c r="G39" i="5"/>
  <c r="G38" i="5"/>
  <c r="G36" i="5"/>
  <c r="G34" i="5"/>
  <c r="G33" i="5"/>
  <c r="G32" i="5"/>
  <c r="G31" i="5"/>
  <c r="G30" i="5"/>
  <c r="G29" i="5"/>
  <c r="G28" i="5"/>
  <c r="G27" i="5"/>
  <c r="G26" i="5"/>
  <c r="G15" i="5"/>
  <c r="G14" i="5"/>
  <c r="G13" i="5"/>
  <c r="G12" i="5"/>
  <c r="G11" i="5"/>
  <c r="G10" i="5"/>
  <c r="G8" i="5"/>
  <c r="I60" i="4"/>
  <c r="F60" i="4" s="1"/>
  <c r="I47" i="4"/>
  <c r="F47" i="4" s="1"/>
  <c r="I39" i="4"/>
  <c r="I46" i="4"/>
  <c r="F46" i="4" s="1"/>
  <c r="I45" i="4"/>
  <c r="F45" i="4" s="1"/>
  <c r="I44" i="4"/>
  <c r="I43" i="4"/>
  <c r="F43" i="4" s="1"/>
  <c r="I42" i="4"/>
  <c r="F42" i="4" s="1"/>
  <c r="I55" i="4"/>
  <c r="F55" i="4" s="1"/>
  <c r="I56" i="4"/>
  <c r="F56" i="4" s="1"/>
  <c r="I58" i="4"/>
  <c r="F58" i="4" s="1"/>
  <c r="H35" i="4"/>
  <c r="G35" i="4"/>
  <c r="H158" i="6" l="1"/>
  <c r="F58" i="6"/>
  <c r="F68" i="6" s="1"/>
  <c r="H68" i="6" s="1"/>
  <c r="F28" i="6"/>
  <c r="H28" i="6" s="1"/>
  <c r="G49" i="5"/>
  <c r="H37" i="4" s="1"/>
  <c r="F101" i="6"/>
  <c r="H101" i="6" s="1"/>
  <c r="F16" i="6"/>
  <c r="H16" i="6" s="1"/>
  <c r="F174" i="6"/>
  <c r="H174" i="6" s="1"/>
  <c r="F472" i="6"/>
  <c r="H472" i="6" s="1"/>
  <c r="F857" i="6"/>
  <c r="H857" i="6" s="1"/>
  <c r="F542" i="6"/>
  <c r="H542" i="6" s="1"/>
  <c r="F828" i="6"/>
  <c r="H828" i="6" s="1"/>
  <c r="F228" i="6"/>
  <c r="H228" i="6" s="1"/>
  <c r="H833" i="6"/>
  <c r="C27" i="7" s="1"/>
  <c r="F594" i="6"/>
  <c r="H594" i="6" s="1"/>
  <c r="H875" i="6"/>
  <c r="C29" i="7" s="1"/>
  <c r="F234" i="6"/>
  <c r="H234" i="6" s="1"/>
  <c r="H650" i="6"/>
  <c r="G647" i="6" s="1"/>
  <c r="H647" i="6" s="1"/>
  <c r="F463" i="6"/>
  <c r="H463" i="6" s="1"/>
  <c r="F525" i="6"/>
  <c r="H525" i="6" s="1"/>
  <c r="H268" i="6"/>
  <c r="F22" i="6"/>
  <c r="H22" i="6" s="1"/>
  <c r="F139" i="6"/>
  <c r="H139" i="6" s="1"/>
  <c r="G274" i="6"/>
  <c r="H274" i="6" s="1"/>
  <c r="F121" i="6"/>
  <c r="H121" i="6" s="1"/>
  <c r="H120" i="6" s="1"/>
  <c r="F551" i="6"/>
  <c r="H551" i="6" s="1"/>
  <c r="H627" i="6"/>
  <c r="G624" i="6" s="1"/>
  <c r="H624" i="6" s="1"/>
  <c r="F40" i="6"/>
  <c r="H40" i="6" s="1"/>
  <c r="F36" i="6"/>
  <c r="H36" i="6" s="1"/>
  <c r="G408" i="6"/>
  <c r="H408" i="6" s="1"/>
  <c r="F866" i="6"/>
  <c r="H866" i="6" s="1"/>
  <c r="H210" i="6"/>
  <c r="F218" i="6"/>
  <c r="F217" i="6" s="1"/>
  <c r="H217" i="6" s="1"/>
  <c r="H318" i="6"/>
  <c r="F560" i="6"/>
  <c r="H560" i="6" s="1"/>
  <c r="H639" i="6"/>
  <c r="G636" i="6" s="1"/>
  <c r="H636" i="6" s="1"/>
  <c r="F61" i="6"/>
  <c r="F566" i="6"/>
  <c r="H566" i="6" s="1"/>
  <c r="F90" i="6"/>
  <c r="H90" i="6" s="1"/>
  <c r="H74" i="6" s="1"/>
  <c r="F572" i="6"/>
  <c r="H572" i="6" s="1"/>
  <c r="H889" i="6"/>
  <c r="C31" i="7" s="1"/>
  <c r="C30" i="7" s="1"/>
  <c r="F93" i="6"/>
  <c r="H93" i="6" s="1"/>
  <c r="C12" i="7"/>
  <c r="F489" i="6"/>
  <c r="H489" i="6" s="1"/>
  <c r="F578" i="6"/>
  <c r="H578" i="6" s="1"/>
  <c r="F603" i="6"/>
  <c r="H603" i="6" s="1"/>
  <c r="H662" i="6"/>
  <c r="G659" i="6" s="1"/>
  <c r="H659" i="6" s="1"/>
  <c r="H454" i="6"/>
  <c r="C20" i="7" s="1"/>
  <c r="F49" i="6"/>
  <c r="H49" i="6" s="1"/>
  <c r="G303" i="6"/>
  <c r="H303" i="6" s="1"/>
  <c r="G400" i="6"/>
  <c r="H400" i="6" s="1"/>
  <c r="H672" i="6"/>
  <c r="G669" i="6" s="1"/>
  <c r="H669" i="6" s="1"/>
  <c r="G425" i="6"/>
  <c r="H425" i="6" s="1"/>
  <c r="G717" i="6"/>
  <c r="H717" i="6" s="1"/>
  <c r="H115" i="6"/>
  <c r="F117" i="6"/>
  <c r="H117" i="6" s="1"/>
  <c r="G724" i="6"/>
  <c r="H724" i="6" s="1"/>
  <c r="F824" i="6"/>
  <c r="H824" i="6" s="1"/>
  <c r="G822" i="6" s="1"/>
  <c r="H822" i="6" s="1"/>
  <c r="G285" i="6"/>
  <c r="H285" i="6" s="1"/>
  <c r="G391" i="6"/>
  <c r="H391" i="6" s="1"/>
  <c r="G696" i="6"/>
  <c r="H696" i="6" s="1"/>
  <c r="G732" i="6"/>
  <c r="H732" i="6" s="1"/>
  <c r="F100" i="6"/>
  <c r="H100" i="6" s="1"/>
  <c r="H98" i="6"/>
  <c r="G753" i="6"/>
  <c r="H753" i="6" s="1"/>
  <c r="G434" i="6"/>
  <c r="H434" i="6" s="1"/>
  <c r="G706" i="6"/>
  <c r="H706" i="6" s="1"/>
  <c r="G416" i="6"/>
  <c r="H416" i="6" s="1"/>
  <c r="F66" i="6"/>
  <c r="F64" i="6"/>
  <c r="H64" i="6" s="1"/>
  <c r="H257" i="6"/>
  <c r="C15" i="7" s="1"/>
  <c r="G381" i="6"/>
  <c r="H381" i="6" s="1"/>
  <c r="G686" i="6"/>
  <c r="H686" i="6" s="1"/>
  <c r="G372" i="6"/>
  <c r="H372" i="6" s="1"/>
  <c r="G776" i="6"/>
  <c r="H776" i="6" s="1"/>
  <c r="G443" i="6"/>
  <c r="H443" i="6" s="1"/>
  <c r="F110" i="6"/>
  <c r="H110" i="6" s="1"/>
  <c r="H108" i="6"/>
  <c r="G743" i="6"/>
  <c r="H743" i="6" s="1"/>
  <c r="G768" i="6"/>
  <c r="H768" i="6" s="1"/>
  <c r="G803" i="6"/>
  <c r="H803" i="6" s="1"/>
  <c r="H219" i="6"/>
  <c r="G784" i="6"/>
  <c r="H784" i="6" s="1"/>
  <c r="F209" i="6"/>
  <c r="F208" i="6" s="1"/>
  <c r="H208" i="6" s="1"/>
  <c r="H198" i="6" s="1"/>
  <c r="G796" i="6"/>
  <c r="H796" i="6" s="1"/>
  <c r="G350" i="6"/>
  <c r="H350" i="6" s="1"/>
  <c r="H334" i="6"/>
  <c r="I63" i="4"/>
  <c r="F63" i="4" s="1"/>
  <c r="I54" i="4"/>
  <c r="F54" i="4" s="1"/>
  <c r="I53" i="4"/>
  <c r="F53" i="4" s="1"/>
  <c r="F39" i="4"/>
  <c r="F44" i="4"/>
  <c r="I41" i="4"/>
  <c r="H173" i="6" l="1"/>
  <c r="C13" i="7" s="1"/>
  <c r="F67" i="6"/>
  <c r="F69" i="6"/>
  <c r="H69" i="6" s="1"/>
  <c r="H819" i="6"/>
  <c r="C26" i="7" s="1"/>
  <c r="C14" i="7"/>
  <c r="H843" i="6"/>
  <c r="C28" i="7" s="1"/>
  <c r="H265" i="6"/>
  <c r="C17" i="7" s="1"/>
  <c r="C11" i="7"/>
  <c r="H888" i="6"/>
  <c r="F56" i="6"/>
  <c r="F71" i="6" s="1"/>
  <c r="H71" i="6" s="1"/>
  <c r="F65" i="6"/>
  <c r="H65" i="6" s="1"/>
  <c r="H462" i="6"/>
  <c r="C21" i="7" s="1"/>
  <c r="C10" i="7"/>
  <c r="H284" i="6"/>
  <c r="C18" i="7" s="1"/>
  <c r="H767" i="6"/>
  <c r="C25" i="7" s="1"/>
  <c r="H685" i="6"/>
  <c r="C24" i="7" s="1"/>
  <c r="H623" i="6"/>
  <c r="C23" i="7" s="1"/>
  <c r="H371" i="6"/>
  <c r="C19" i="7" s="1"/>
  <c r="I37" i="4"/>
  <c r="F41" i="4"/>
  <c r="C16" i="7" l="1"/>
  <c r="H264" i="6"/>
  <c r="F70" i="6"/>
  <c r="H70" i="6" s="1"/>
  <c r="G56" i="6" s="1"/>
  <c r="H56" i="6" s="1"/>
  <c r="F37" i="4"/>
  <c r="H9" i="6" l="1"/>
  <c r="C9" i="7" s="1"/>
  <c r="C8" i="7" s="1"/>
  <c r="C32" i="7" s="1"/>
  <c r="H40" i="4" s="1"/>
  <c r="H8" i="6"/>
  <c r="H902" i="6" s="1"/>
  <c r="H904" i="6" s="1"/>
  <c r="I40" i="4" l="1"/>
  <c r="I38" i="4" s="1"/>
  <c r="I64" i="4" s="1"/>
  <c r="H38" i="4"/>
  <c r="H64" i="4" s="1"/>
  <c r="I27" i="4" s="1"/>
  <c r="F40" i="4" l="1"/>
  <c r="I28" i="4"/>
  <c r="I29" i="4" s="1"/>
  <c r="F38" i="4" l="1"/>
  <c r="F64" i="4" s="1"/>
</calcChain>
</file>

<file path=xl/sharedStrings.xml><?xml version="1.0" encoding="utf-8"?>
<sst xmlns="http://schemas.openxmlformats.org/spreadsheetml/2006/main" count="17632" uniqueCount="6875">
  <si>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</si>
  <si>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</si>
  <si>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</si>
  <si>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</si>
  <si>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</si>
  <si>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</si>
  <si>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</si>
  <si>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</si>
  <si>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</si>
  <si>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</si>
  <si>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</si>
  <si>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</si>
  <si>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</si>
  <si>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</si>
  <si>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</si>
  <si>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</si>
  <si>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</si>
  <si>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</si>
  <si>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</si>
  <si>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</si>
  <si>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</si>
  <si>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</si>
  <si>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</si>
  <si>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</si>
  <si>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</si>
  <si>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</si>
  <si>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</si>
  <si>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</si>
  <si>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</si>
  <si>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</si>
  <si>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</si>
  <si>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</si>
  <si>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</si>
  <si>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</si>
  <si>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</si>
  <si>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</si>
  <si>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</si>
  <si>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Datum: 01/2024</t>
  </si>
  <si>
    <t>Statutární město Liberec, Nám. Dr. E. Beneše 1, 460 59 Liberec 1</t>
  </si>
  <si>
    <t>Energetické úspory ZŠ U soudu - objekt stravovny a jídelny</t>
  </si>
  <si>
    <t xml:space="preserve">         D.1.1.c.02 VÝPIS OKEN</t>
  </si>
  <si>
    <t>Objekt :</t>
  </si>
  <si>
    <t>VEDLEJŠÍ  ROZPOČTOVÉ A OSTATNÍ NÁKLADY</t>
  </si>
  <si>
    <t>Díl:</t>
  </si>
  <si>
    <t>000</t>
  </si>
  <si>
    <t>Např. dle §8, §9, §10 apod. vyhlášky č.169/2016 Sb., rozpočtových standardů apod.</t>
  </si>
  <si>
    <t>Cenová soustava</t>
  </si>
  <si>
    <t>011002001 RTO</t>
  </si>
  <si>
    <t xml:space="preserve">Zajištění průzkumů, zkoušek, atestů, sond a revizí apod. uvedených v rozhodnutích a v projektové dokumetnaci nezbytně nutných k provedení díla. </t>
  </si>
  <si>
    <t>sada</t>
  </si>
  <si>
    <t>011002002 RTO</t>
  </si>
  <si>
    <t>Zpracování geodetického zaměření skutečného provedení stavby a geometrických plánů dle SoD a dle požadavků DOSS a zápisu do KN (je-li vyžadováno).</t>
  </si>
  <si>
    <t>011002003 RTO</t>
  </si>
  <si>
    <t>Vypracování dokumentace skutečného provedení stavby  dle SoD, platné legislativy, podmínek a požadavků investora a uživatele zajištění požadovaných dokladů a vyjádření DOSS.</t>
  </si>
  <si>
    <t>011002004 RTO</t>
  </si>
  <si>
    <t xml:space="preserve">Vypracování zhotovitelské realizačnÍ a výrobní projektové dokumentace a její koordinace. </t>
  </si>
  <si>
    <t>011002005 RTO</t>
  </si>
  <si>
    <t>Zpracování harmonogramu stavby a ZOV včetně průběžné aktualizace.</t>
  </si>
  <si>
    <t>011002006 RTO</t>
  </si>
  <si>
    <t>Vytýčení inženýrských sítí  - vč. případných kopaných sond, vč. projednání se správci, apod.</t>
  </si>
  <si>
    <t>011002007 RTO</t>
  </si>
  <si>
    <t>Vytýčení prostorové polohy dopravní a technické infrastruktury.</t>
  </si>
  <si>
    <t>011002008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</si>
  <si>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</si>
  <si>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</si>
  <si>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011002009 RTO</t>
  </si>
  <si>
    <t>Zajištění a projednání všech nezbytných administrativních úkonů spojených s realizací stavby.</t>
  </si>
  <si>
    <t>011002010 RTO</t>
  </si>
  <si>
    <t>Zajištění kompletační a koordinační činnosti spojených s realizací stavby a následným dáním do užívání.</t>
  </si>
  <si>
    <t>hod</t>
  </si>
  <si>
    <t>011002011 RTO</t>
  </si>
  <si>
    <t>Provedení veškerých měření a zkoušek, zkoušek provedených násypů, revizních zpráv apod. dle platné legislativy a dle SoD.</t>
  </si>
  <si>
    <t>011002012 RTO</t>
  </si>
  <si>
    <t xml:space="preserve">Jednání s dotčenými institucemi, s dotčenými orgány státní správy a samosprávy - například zajištění dokladů nutných k získání kolaudačního souhlasu, povolení a rozhodnutí nutných k realizaci stavby apod. </t>
  </si>
  <si>
    <t>011002013 RTO</t>
  </si>
  <si>
    <t>Součinnost se všemi zúčastněnými stranami - investorem, budoucím uživatelem, prjektantem, zástupci organizací státní správy, koordinátorem BOZP apod.</t>
  </si>
  <si>
    <t>011002014 RTO</t>
  </si>
  <si>
    <t>Zajištění splnění podmínek vyplývajících z vydaných rozhodnutí a povolení apod.</t>
  </si>
  <si>
    <t>011002015 RTO</t>
  </si>
  <si>
    <t xml:space="preserve">Spolupráce na technických řešení stavby odchylek zjištěných v průběhu stavby. </t>
  </si>
  <si>
    <t>011002016 RTO</t>
  </si>
  <si>
    <t>Technická řešení kolizí se skrytými konstrukcemi, které nemohl projektant předvídat (kolize s podzemními sítěmi a konstrukcemi, apod.).</t>
  </si>
  <si>
    <t>011002017 RTO</t>
  </si>
  <si>
    <t>Technická řešení rozdílů skutečně zjištěného stavu se stavem předpokládaného projektantem apod.</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</si>
  <si>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</si>
  <si>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</si>
  <si>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</si>
  <si>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</si>
  <si>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t>
  </si>
  <si>
    <t>011002020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</si>
  <si>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</si>
  <si>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</si>
  <si>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011002023 RTO</t>
  </si>
  <si>
    <t>Bezpečnostní opatření na ochranu osob a majetku v rozsahu platné legislativy a dle podmínek v SoD.</t>
  </si>
  <si>
    <t>011002024 RTO</t>
  </si>
  <si>
    <t>Fotodokumentace průběhu výstavby a dle specifikace uvedené SoD a podmínek dotačního titulu.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</si>
  <si>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</si>
  <si>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</si>
  <si>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</si>
  <si>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</si>
  <si>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</si>
  <si>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</si>
  <si>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</si>
  <si>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</si>
  <si>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</si>
  <si>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</si>
  <si>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</si>
  <si>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011002029 RTO</t>
  </si>
  <si>
    <t>Montáž + Demontáž + Pronájem kontejneru pro uskladnění zařízení/vybavení apod uživatele objektu po celou dobu výstavby + 3měsíce
Umístění, velikost apod - viz Speficikace dle PD</t>
  </si>
  <si>
    <t>011002030 RTO</t>
  </si>
  <si>
    <t>Náklady na stěhování a nastěhování vnitřního vybavení objektu včetně transportních prostředkl, balícího a ochranného materiálu apod.</t>
  </si>
  <si>
    <t xml:space="preserve">CS ÚRS/TEO 2024 01 </t>
  </si>
  <si>
    <t>CS ÚRS/TEO 2024 01</t>
  </si>
  <si>
    <t>011002031 RTO</t>
  </si>
  <si>
    <t xml:space="preserve">Včetně nákladů na přesmístění k uskladnění apod. </t>
  </si>
  <si>
    <t>Stavba:  Energetické úspory ZŠ U soudu - objekt stravovny a jídelny</t>
  </si>
  <si>
    <t>Objekt:   D.1.1. ASŘ</t>
  </si>
  <si>
    <t>Část:   NOVÝ STAV</t>
  </si>
  <si>
    <t>P.Č.</t>
  </si>
  <si>
    <t>KCN</t>
  </si>
  <si>
    <t>Kód položky</t>
  </si>
  <si>
    <t>Popis</t>
  </si>
  <si>
    <t>MJ</t>
  </si>
  <si>
    <t>Množství celkem</t>
  </si>
  <si>
    <t>Cena jednotková</t>
  </si>
  <si>
    <t>1</t>
  </si>
  <si>
    <t>2</t>
  </si>
  <si>
    <t>3</t>
  </si>
  <si>
    <t>4</t>
  </si>
  <si>
    <t>5</t>
  </si>
  <si>
    <t>6</t>
  </si>
  <si>
    <t>7</t>
  </si>
  <si>
    <t>HSV</t>
  </si>
  <si>
    <t>Práce a dodávky HSV</t>
  </si>
  <si>
    <t>Zemní práce</t>
  </si>
  <si>
    <t>001</t>
  </si>
  <si>
    <t>Čerpání vody na dopravní výšku do 10 m průměrný přítok do 500 l/min</t>
  </si>
  <si>
    <t>CS ÚRS 2024 01</t>
  </si>
  <si>
    <t>Pohotovost čerpací soupravy pro dopravní výšku do 10 m přítok do 500 l/min</t>
  </si>
  <si>
    <t>den</t>
  </si>
  <si>
    <t>Dočasné zajištění potrubí ocelového nebo litinového DN do 500 mm</t>
  </si>
  <si>
    <t>m</t>
  </si>
  <si>
    <t>Dočasné zajištění potrubí z PE DN do 500 mm</t>
  </si>
  <si>
    <t>Dočasné zajištění potrubí betonového, ŽB nebo kameninového DN do 500 mm</t>
  </si>
  <si>
    <t>Dočasné zajištění kabelů a kabelových tratí z 6 volně ložených kabelů</t>
  </si>
  <si>
    <t>Hloubení nezapažených jam v nesoudržných horninách třídy těžitelnosti I skupiny 3 ručně</t>
  </si>
  <si>
    <t>m3</t>
  </si>
  <si>
    <t>" Okolo objektu." (10,64+153,6+41,61+33)*0,45</t>
  </si>
  <si>
    <t>" Hloubení jam - 10% z celkové kubatury "</t>
  </si>
  <si>
    <t>" Technologický kanál." (35,46+19,3)*0,10</t>
  </si>
  <si>
    <t>" V ceně zohledněno svislé přemístění zeminy, naložení výkopku nebo uložení ve vzdálenosti do 3,0 m od jámy, lepivost a případné urovnání dna. "</t>
  </si>
  <si>
    <t>Hloubení zapažených jam v nesoudržných horninách třídy těžitelnosti II skupiny 4 ručně</t>
  </si>
  <si>
    <t>" Hloubení jam - 45% z celkové kubatury "</t>
  </si>
  <si>
    <t>" Hloubení jam - 70% z celkové kubatury "</t>
  </si>
  <si>
    <t>" Technologický kanál." (35,46+19,3)*0,70</t>
  </si>
  <si>
    <t>Hloubení zapažených jam v nesoudržných horninách třídy těžitelnosti II skupiny 5 ručně</t>
  </si>
  <si>
    <t>" Okolo objektu." (10,64+153,6+41,61+33)*0,10</t>
  </si>
  <si>
    <t>" Hloubení jam - 20% z celkové kubatury "</t>
  </si>
  <si>
    <t>" Technologický kanál." (35,46+19,3)*0,20</t>
  </si>
  <si>
    <t>" V ceně zohledněno svislé přemístění zeminy, naložení výkopku nebo uložení ve vzdálenosti do 3,0 m od jámy a případné urovnání dna. "</t>
  </si>
  <si>
    <t>Příplatek za ztížení vykopávky v blízkosti podzemního vedení</t>
  </si>
  <si>
    <t>" Příplatek 10 % " (10,64+153,6+41,61+33)*0,10</t>
  </si>
  <si>
    <t>Zhutnění podloží z hornin soudržných nebo nesoudržných pod násypy</t>
  </si>
  <si>
    <t>m2</t>
  </si>
  <si>
    <t>" Hutnění podloží pod konstrukcemi "</t>
  </si>
  <si>
    <t>" Hutnění podloží pod základy - úroveň základových desek " (71,81)</t>
  </si>
  <si>
    <t>" Hutnění podloží pod základy - technologický kanál " (3,24)</t>
  </si>
  <si>
    <t>Zásyp jam, šachet rýh nebo kolem objektů sypaninou se zhutněním ručně</t>
  </si>
  <si>
    <t>" Zásyp dovezenou zeminou. "</t>
  </si>
  <si>
    <t>" Zásyp dovezenou zeminou - ručně kolem objektu " (238,85)</t>
  </si>
  <si>
    <t>" Zásyp štěrkodrtí "</t>
  </si>
  <si>
    <t>" Zásyp štěrkodrti - ručně kolem objektu " (15,0)*1,1</t>
  </si>
  <si>
    <t>Zásyp v uzavřených prostorech sypaninou se zhutněním ručně</t>
  </si>
  <si>
    <t>" Zásyp dovezenou zeminou - ručně - vyrovnání terénu pod novou základovou desku. " (85,0)</t>
  </si>
  <si>
    <t>zemina pro terénní úpravy - tříděná</t>
  </si>
  <si>
    <t>t</t>
  </si>
  <si>
    <t>" Zásyp dovezenou zeminou - ručně - vyrovnání terénu pod novou základovou desku. " (85,0)*1,7</t>
  </si>
  <si>
    <t>" Zásyp dovezenou zeminou - ručně okolo objektu " (238,85)*1,7</t>
  </si>
  <si>
    <t>štěrkodrť frakce 0/32</t>
  </si>
  <si>
    <t>" Zásyp štěrkodrti - ručně kolem objektu " (16,5)*2,0</t>
  </si>
  <si>
    <t>189999803 SPC</t>
  </si>
  <si>
    <t>" Odvoz zeminy z odkopávek ostatních - přesuny strojně. "</t>
  </si>
  <si>
    <t>" Odvoz zeminy celkem z výkopových prací - Třída těžitelnosti I "</t>
  </si>
  <si>
    <t>" Odvoz zeminy z hloubení jam - okolo objektu " (10,64+153,6+41,61+33)*0,45</t>
  </si>
  <si>
    <t>" Odvoz zeminy z hloubení jam - technologický kanál "  (35,46+19,3)*0,10</t>
  </si>
  <si>
    <t>" Odvoz zeminy celkem z výkopových prací - Třída těžitelnosti II "</t>
  </si>
  <si>
    <t>" Odvoz zeminy z hloubení jam - okolo objektu " (10,64+153,6+41,61+33)*0,45+(10,64+153,6+41,61+33)*0,10</t>
  </si>
  <si>
    <t>" Odvoz zeminy z hloubení jam - technologický kanál " (35,46+19,3)*0,70+(35,46+19,3)*0,20</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</si>
  <si>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</si>
  <si>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</si>
  <si>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</si>
  <si>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 - Vodorovné přemístění do 10000 m výkopku/sypaniny z horniny třídy těžitelnosti II, skupiny 4 a 5 "</t>
  </si>
  <si>
    <t>" - Uložení sypaniny do násypů nezhutněných strojně - uložení zeminy na trvalé skládce vč. předepsaného zhutnění "</t>
  </si>
  <si>
    <t>" POZN: Množství ze poplatek násobeno vzhledem k MJ koeficientem 2,0 → 1 m3 ≈ 2,0 t.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</si>
  <si>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</si>
  <si>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Zakládání</t>
  </si>
  <si>
    <t>18</t>
  </si>
  <si>
    <t>002</t>
  </si>
  <si>
    <t>Trativody z drenážních trubek plastových flexibilních D 125 mm bez lože</t>
  </si>
  <si>
    <t>" Perforované potrubí PVC v drážce pro odvětrání podloží od radonu. "</t>
  </si>
  <si>
    <t>" Drenážní potrubí pro odvětrání podloží. " (168,5)*1,1</t>
  </si>
  <si>
    <t>" POZN: Lože neuvažováno. Pro lože a obsyp uvažován materiál tvořící podloží objektu pod základovou deskou. "</t>
  </si>
  <si>
    <t>19</t>
  </si>
  <si>
    <t>212751901 SPC</t>
  </si>
  <si>
    <t>D+M Napojení drenážního potrubí pro odvod radonu na stoupací těsné potrubí - Specifikace dle PD</t>
  </si>
  <si>
    <t>kus</t>
  </si>
  <si>
    <t>" Provedení napojení potrubí drenážního na svislé vzduchotěsné potrubí KG 125. " (2)</t>
  </si>
  <si>
    <t>" V ceně veškerý materiál a práce související s napojením a jeho dokonalým utěsněním, vč. přesunu hmot. "</t>
  </si>
  <si>
    <t>20</t>
  </si>
  <si>
    <t>Zřízení vrstvy z geotextilie v rovině nebo ve sklonu do 1:5 š do 3 m</t>
  </si>
  <si>
    <t>" Ochrana drenážních trubek na odvod radonu proti zalití betonem. " (168,5)*0,4</t>
  </si>
  <si>
    <t>21</t>
  </si>
  <si>
    <t>693</t>
  </si>
  <si>
    <t>geotextilie netkaná separační, ochranná, filtrační, drenážní PES 110g/m2</t>
  </si>
  <si>
    <t>" Geotextílie na ochranu drenážních trubek na odvod radonu proti zalití betonem. " ((168,5)*0,4)*1,15</t>
  </si>
  <si>
    <t>Zemní vrut pro kontejnery a dřevostavby D 76 mm dl 1300 mm</t>
  </si>
  <si>
    <t>" Zemní vrut - ocelové schodiště venkovní. " (6)</t>
  </si>
  <si>
    <t>Zemní vrut pro kontejnery a dřevostavby D 76 mm dl 1600 mm</t>
  </si>
  <si>
    <t>" Zemní vrut - venkovní rampa vč. zastřešení. " (9)</t>
  </si>
  <si>
    <t>011</t>
  </si>
  <si>
    <t>271542211 RTO</t>
  </si>
  <si>
    <t>Podsyp pod základové konstrukce se zhutněním ze štěrkodrtě 0-32</t>
  </si>
  <si>
    <t>" Podsyp pod základovou desku - tl. 250 mm " (68,387)*0,250</t>
  </si>
  <si>
    <t>" Podsyp pod technologický kanál - tl. 250 mm " (2,823)*0,250</t>
  </si>
  <si>
    <t>Základové desky ze ŽB se zvýšenými nároky na prostředí tř. C 25/30</t>
  </si>
  <si>
    <t xml:space="preserve">" Beton C 25/30 - XC2, XA1 - Cl 0,20 - Dmax 22 - S3 " </t>
  </si>
  <si>
    <t>" Základová deska - úroveň 1.NP " (68,387)*1,05</t>
  </si>
  <si>
    <t>" Základová deska - technologický kanál " (2,823)*1,05</t>
  </si>
  <si>
    <t>" Vrchní deska - technologický kanál " (0,263)*1,05</t>
  </si>
  <si>
    <t>Zřízení bednění základových desek</t>
  </si>
  <si>
    <t>" Bednění - vrchní deska - technické kanály " (0,263)*1,05</t>
  </si>
  <si>
    <t>Odstranění bednění základových patek</t>
  </si>
  <si>
    <t>274</t>
  </si>
  <si>
    <t>Výztuž základových desek betonářskou ocelí 10 505 (R)</t>
  </si>
  <si>
    <t>" Výztuž základové desky - 60 kg/m3 hmotnost výztuže včetně ztratného a provaření výztuže. " ((71,81/1,05))*0,06</t>
  </si>
  <si>
    <t>" Výztuž základové desky - technologický kanál 110 kg/m3 hmotnost výztuže včetně ztratného a provaření výztuže. " ((2,96+0,28/1,05))*0,110</t>
  </si>
  <si>
    <t>Základové patky z betonu tř. C 25/30</t>
  </si>
  <si>
    <t xml:space="preserve">" Beton C 25/30 - XC2, XA1 " </t>
  </si>
  <si>
    <t>" Základové patky pro sloupy - úroveň 1. NP " (0,058)*1,05</t>
  </si>
  <si>
    <t>" Cena zahrnuje veškeré systémové prvky (těsnící profily, bobtnající pásy, pohledové lišty, dilatační krycí lišty apod.). "</t>
  </si>
  <si>
    <t>Zřízení bednění základových patek</t>
  </si>
  <si>
    <t>" Bednění základových patek - 1.NP " (0,946)*1,05</t>
  </si>
  <si>
    <t>Základová zeď ze ŽB se zvýšenými nároky na prostředí tř. C 25/30 bez výztuže</t>
  </si>
  <si>
    <t>" Základové stěny pro technické kanály. " (4,077)*1,05</t>
  </si>
  <si>
    <t>Zřízení oboustranného bednění základových zdí</t>
  </si>
  <si>
    <t>" Bednění stěn technického kanálu. " (55,242)*1,05</t>
  </si>
  <si>
    <t>Odstranění oboustranného bednění základových zdí</t>
  </si>
  <si>
    <t>Výztuž základových zdí nosných betonářskou ocelí 10 505</t>
  </si>
  <si>
    <t>" Výztuž základových zdí - technologický kanál 110 kg/m3, hmotnost výztuže včetně ztratného a provaření výztuže. " ((4,28)/1,05)*0,11</t>
  </si>
  <si>
    <t>Svislé a kompletní konstrukce</t>
  </si>
  <si>
    <t>Zdivo nosné z cihel dl 290 mm P7 až 15 na MC 5 nebo MC 10</t>
  </si>
  <si>
    <t>" Zdivo z cihel plných pálených na dozdívky, stěny. "</t>
  </si>
  <si>
    <t>" 1. PP " (2,082)*1,05</t>
  </si>
  <si>
    <t>" 1. NP " (2,41)*1,05</t>
  </si>
  <si>
    <t>" 2. NP " (1,935)*1,05</t>
  </si>
  <si>
    <t>Zdivo z pórobetonových tvárnic hladkých přes P2 do P4 přes 450 do 600 kg/m3 na tenkovrstvou maltu tl 250 mm</t>
  </si>
  <si>
    <t>" Zdivo z pórobetonových tvárnic na dozdívky, stěny. "</t>
  </si>
  <si>
    <t>" 1. NP " (1,816)*1,05</t>
  </si>
  <si>
    <t>Překlad nenosný pórobetonový š 150 mm v do 250 mm na tenkovrstvou maltu dl přes 1000 do 1250 mm</t>
  </si>
  <si>
    <t xml:space="preserve">" Překlad plochý 150×249×1250mm - PP1c " </t>
  </si>
  <si>
    <t>" 1. NP " (1)</t>
  </si>
  <si>
    <t>" V ceně dodání a uložení překladu, promazání ložné plochy maltou, montážní podepření. "</t>
  </si>
  <si>
    <t>317999101 SPC</t>
  </si>
  <si>
    <t>D+M Ocelobetonový překlad s valcovanými nosníky, 2x I č. 100, dl. 2,0 m - P09</t>
  </si>
  <si>
    <t>" Překlady včetně spojení nosníků při spodním povrchu pásovou ocelí a jejich vzájemného svaření. "</t>
  </si>
  <si>
    <t>" Překlad - 1.NP. " (1)</t>
  </si>
  <si>
    <t>" V ceně povrchová úprava nosníků zákadním syntetickým nátěrem v min. tloušťce 80 µm, zřízení bednění, odstranění bednění, betonová podkládka, prostor mezi nosníky probetonovat "</t>
  </si>
  <si>
    <t>Příčka z pórobetonových hladkých tvárnic na tenkovrstvou maltu tl 100 mm</t>
  </si>
  <si>
    <t>" Příčky z pórobetonových tvárnic. "</t>
  </si>
  <si>
    <t>" 1. NP " (3,528)*1,05</t>
  </si>
  <si>
    <t>" 2. NP " (1,963)*1,05</t>
  </si>
  <si>
    <t>Příčka z pórobetonových hladkých tvárnic na tenkovrstvou maltu tl 150 mm</t>
  </si>
  <si>
    <t>" 1. NP " (2,934)*1,05</t>
  </si>
  <si>
    <t>342291119 SPC</t>
  </si>
  <si>
    <t>Ukotvení příček montážní polyuretanovou pěnou</t>
  </si>
  <si>
    <t>CS ÚRS/TEO 2022 02</t>
  </si>
  <si>
    <t>" Ukotvení zděných a SDK příček ke stropní konstrukci - dilatace . "</t>
  </si>
  <si>
    <t>" Urgent "</t>
  </si>
  <si>
    <t>" V ceně také přesun hmot. "</t>
  </si>
  <si>
    <t>Vodorovné konstrukce</t>
  </si>
  <si>
    <t>411121901 SPC</t>
  </si>
  <si>
    <t>D+M Deska stropní plná PZD - strop nad kolektorem</t>
  </si>
  <si>
    <t>" Předpjaté dutinové panely š. 290 mm, dl. 1790 mm a tl. 90 mm jako stropní konstrukce nového kolektoru.  "</t>
  </si>
  <si>
    <t>" Panely š. 290 mm " (25)</t>
  </si>
  <si>
    <t>" V ceně také zalití spár, podpěrná konstrukce, cementová malta pro uložení. "</t>
  </si>
  <si>
    <t>" V ceně případná úprava rozměrů PZD desky."</t>
  </si>
  <si>
    <t>" V ceně také přesun hmot a další veškeré nutné příslušenství a materiál nutnou pro montáž panelů. "</t>
  </si>
  <si>
    <t>413999901 SPC</t>
  </si>
  <si>
    <t>D+M Podchycení stropu ocelovými nosníky - Specifikace dle PD</t>
  </si>
  <si>
    <t>" Podchycení stropu ocelovými nosníky I100 - nad 1.PP, 1.NP, 2.NP."</t>
  </si>
  <si>
    <t>" V ceně vysekání kapes, kotvení pomocí čelního plechu, pomocné podchycení během prací."</t>
  </si>
  <si>
    <t>413999902 SPC</t>
  </si>
  <si>
    <t>D+M Dobetonávka čela stávajících stropních panelů - Specifikace dle PD</t>
  </si>
  <si>
    <t>" Dobetonávka čela stávajících stropních panelů." (42,55)*1,1</t>
  </si>
  <si>
    <t>Úpravy povrchu, podlahy, osazení</t>
  </si>
  <si>
    <t>612321341 RTO</t>
  </si>
  <si>
    <t>Štuková omítka vnitřních stěn / sloupů</t>
  </si>
  <si>
    <t>" Štuková omítka stropů. "</t>
  </si>
  <si>
    <t>" Nové omítky stěn - 1.PP." (407,5)*1,1</t>
  </si>
  <si>
    <t>" Nové omítky stěn - 1.NP." (989,571)*1,1</t>
  </si>
  <si>
    <t>" Nové omítky stěn - 2.NP." (1165,735)*1,1</t>
  </si>
  <si>
    <t>014</t>
  </si>
  <si>
    <t>612999901 SPC</t>
  </si>
  <si>
    <t>D+M Výplň vysekaných rýh a drážek pro vedení instalací - Specifikace dle PD</t>
  </si>
  <si>
    <t>" Hrubá výplň rýh po osazení instalací před hlavními omítkami. "</t>
  </si>
  <si>
    <t>" V ceně provedení zahození rýh a veškeré práce s tím související vč. přesunu hmot. "</t>
  </si>
  <si>
    <t>619996199 SPC</t>
  </si>
  <si>
    <t>D+M Dočasná ochrana, zakrytí, zajištění, úprava, případná demontáž a zpětná montáž stávajících konstrukcí a prvků během výstavby - části pro napojení profesí s demontáží podhledů - Specifikace dle PD</t>
  </si>
  <si>
    <t>" Ochrana stávajících konstrukcí, otvorů, prvků apod. uvnitř objektu během stavebních prací před poškozením např. pomocí OSB desek a geotextílií, fólií, apod. . "</t>
  </si>
  <si>
    <t>" V ceně montáž, obalení, následovné odstranění po provedení prací, pomocný materiál a veškeré další nutné práce a příslušenství. 
V ceně také přesun hmot, odvoz a likvidace suti.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</si>
  <si>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</si>
  <si>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9</t>
  </si>
  <si>
    <t>Ostatní konstrukce a práce-bourání</t>
  </si>
  <si>
    <t>003</t>
  </si>
  <si>
    <t>Montáž lešení řadového trubkového lehkého s podlahami zatížení do 200 kg/m2 š od 0,9 do 1,2 m v do 10 m</t>
  </si>
  <si>
    <t xml:space="preserve">" Venkovní lešení včetně ochranného zábradlí, podlahových zarážek, závětrování, zakrývání otvorů, prvků a konstrukcí proti znečištění a poškození." </t>
  </si>
  <si>
    <t>" Venkovní lešení - pro NS " (135,0)*9,0</t>
  </si>
  <si>
    <t>" V ceně náklady na dopravu, montáž, opotřebení, doby pronájmu lešení a demontáž lešení "</t>
  </si>
  <si>
    <t>Příplatek k lešení řadovému trubkovému lehkému s podlahami š 1,2 m v 10 m za první a ZKD den použití</t>
  </si>
  <si>
    <t>" Pronájem lešení - odhad 3 měsíce " ((1215,0)*90)</t>
  </si>
  <si>
    <t>Demontáž lešení řadového trubkového lehkého s podlahami zatížení do 200 kg/m2 š od 0,9 do 1,2 m v do 10 m</t>
  </si>
  <si>
    <t>" Součástí ceny demontáže je zapravení otvorů po lešenářských kotvách systémovými ucpávkami a jejich povrchová úprava. "</t>
  </si>
  <si>
    <t>Montáž ochranné sítě z textilie z umělých vláken</t>
  </si>
  <si>
    <t>" Montáž ochranné sítě pro použité lešení " (1215,0)</t>
  </si>
  <si>
    <t>Příplatek k ochranné síti za první a ZKD den použití</t>
  </si>
  <si>
    <t>" Pronájem sítě - odhad 3 měsíce " (1215,0)*90</t>
  </si>
  <si>
    <t>Demontáž ochranné sítě z textilie z umělých vláken</t>
  </si>
  <si>
    <t xml:space="preserve">" Demontáž ochranné sítě pro použité lešení " </t>
  </si>
  <si>
    <t>Montáž záchytné stříšky š přes 2,5 m</t>
  </si>
  <si>
    <t>" Montáž stříška v místě vchodů 1. NP " (6,0)</t>
  </si>
  <si>
    <t>Příplatek k záchytné stříšce š přes 2,5 m za první a ZKD den použití</t>
  </si>
  <si>
    <t>" Pronájem stříšky - odhad 3 měsíce " (6,0)*90</t>
  </si>
  <si>
    <t>Demontáž záchytné stříšky š přes 2,5 m</t>
  </si>
  <si>
    <t xml:space="preserve">" Demontáž stříšky v místě vchodů 1.NP  </t>
  </si>
  <si>
    <t>Lešení pomocné pro objekty pozemních staveb s lešeňovou podlahou v do 1,9 m zatížení do 150 kg/m2</t>
  </si>
  <si>
    <t>" Interiérové pomocné lešení pro stavební práce. "</t>
  </si>
  <si>
    <t>" Vnitřní lešení 1. PP " (16,7+7,98+11,82+1,08+2,17+3,93+5,21+15,55+6,25+20,91+89,06)</t>
  </si>
  <si>
    <t>" Vnitřní lešení 1. NP " (5,52+7,83+11,25+5,51+32,60+8,11+33,42+18,31+9,47+2,9+4,25+12,8+12,86+3,12+2+1,44+3,36+84,71+192,62+12,28+16,1+7,19+3,879+5,45+3,05+3,29+3,73+6,24+43,03+33,89+17,06+65,26+9,22+23,35+8,21)</t>
  </si>
  <si>
    <t xml:space="preserve">" Intérierové lešení včetně ochranného zábradlí, podlahových zarážek, závětrování apod. " </t>
  </si>
  <si>
    <t>Vyčištění budov bytové a občanské výstavby při výšce podlaží do 4 m</t>
  </si>
  <si>
    <t>" Vyčištění místností po provedení prací. "</t>
  </si>
  <si>
    <t>" Čistý úklid 1. PP " (16,7+7,98+11,82+1,08+2,17+3,93+5,21+15,55+6,25+20,91+89,06)</t>
  </si>
  <si>
    <t>" Čistý úklid 1. NP " (5,52+7,83+11,25+5,51+32,60+8,11+33,42+18,31+9,47+2,9+4,25+12,8+12,86+3,12+2+1,44+3,36+84,71+192,62+12,28+16,1+7,19+3,879+5,45+3,05+3,29+3,73+6,24+43,03+33,89+17,06+65,26+9,22+23,35+8,21)</t>
  </si>
  <si>
    <t>968999001 SPC</t>
  </si>
  <si>
    <t>Oprava poškozených částí podlahy při vybourání příček - Specifikace dle PD</t>
  </si>
  <si>
    <t>" Oprava a doplnění skladby podlah podél vybouráné a nově vybudované příčky."</t>
  </si>
  <si>
    <t>" 2.NP " (13,5)*1,05</t>
  </si>
  <si>
    <t>" Skladba a nášlapná vrstva dle místnosti."</t>
  </si>
  <si>
    <t>" V ceně demontáž poškozené našlapné vrstvy v nutném rozsahu, nahrazení vrstvy ve stejném dekoru a skladbě. "</t>
  </si>
  <si>
    <t>" V ceně také přesun a likvidace suti. "</t>
  </si>
  <si>
    <t>968999002 SPC</t>
  </si>
  <si>
    <t>Doplnění stávajícího prostupu ve stropní konstrukci - Specifikace dle PD</t>
  </si>
  <si>
    <t>" Doplnění stávajícího prostupu ve stropní konstrukci."</t>
  </si>
  <si>
    <t>" 2.NP " (0,6)*1,05</t>
  </si>
  <si>
    <t>" V ceně ztracené bednění z plechu, vylití betonem, skladba a nášlapná vrstva dle místnosti,  ."</t>
  </si>
  <si>
    <t>" Nahrazení vrstvy ve stejném dekoru a skladbě. "</t>
  </si>
  <si>
    <t>99</t>
  </si>
  <si>
    <t>Přesun hmot</t>
  </si>
  <si>
    <t>Přesun hmot pro budovy zděné v přes 6 do 12 m</t>
  </si>
  <si>
    <t>998999901 SPC</t>
  </si>
  <si>
    <t>Ostatní práce a materiály nespecifikované - pro HSV</t>
  </si>
  <si>
    <t>" Ostatní práce a materiál nespecifikované - HSV "</t>
  </si>
  <si>
    <t>HZS</t>
  </si>
  <si>
    <t>HZS1292</t>
  </si>
  <si>
    <t>Hodinová zúčtovací sazba stavební dělník</t>
  </si>
  <si>
    <t>" Stavební práce a dodávky spojené s provedením funkčního celku HSV - výpomoce, doplňkové práce a dodávky,kompletace apod. "</t>
  </si>
  <si>
    <t>PSV</t>
  </si>
  <si>
    <t>Práce a dodávky PSV</t>
  </si>
  <si>
    <t>711</t>
  </si>
  <si>
    <t>Izolace proti vodě, vlhkosti a plynům</t>
  </si>
  <si>
    <t>Izolace proti zemní vlhkosti nopovou fólií ukončení horní lištou</t>
  </si>
  <si>
    <t>" Lišta nopové fólie kolem nepodsklepené části budovy "  (851,0)*1,1</t>
  </si>
  <si>
    <t>711100101 SPC</t>
  </si>
  <si>
    <t>D+M Hydroizolace včetně penetračního nátěru - vodorovná - Specifikace dle PD</t>
  </si>
  <si>
    <t>" Hydroizolace podkladní betonové desky technologického kanálu - vodorovná vč. ometení povrchu před pokládkou. "</t>
  </si>
  <si>
    <t>" Hydroizolace z SBS modifikovaných asfaltových pásů, nosná vložka - hliník-polyester kombinace + skleněná rohož, horní povrch s jemným minerálním posypem, spodní povrch nakašírovaná spalná fólie - 22,77 m2 " (19,8)*1,15</t>
  </si>
  <si>
    <t>" - Modifikovaný asfaltový penetrační lak na bázi rozpouštědel pod asfaltovou hydroizolaci - 0,00871 t. " ((19,8*0,4)/1000)*1,1</t>
  </si>
  <si>
    <t>" Vodorovná hydroizolace - technologický kanál " (19,8)</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</si>
  <si>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</si>
  <si>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</si>
  <si>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</si>
  <si>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technologického kanálu - svislá vč. ometení povrchu před pokládkou. "</t>
  </si>
  <si>
    <t>" Hydroizolace z SBS modifikovaných asfaltových pásů, nosná vložka - hliník-polyester kombinace + skleněná rohož, horní povrch s jemným minerálním posypem, spodní povrch nakašírovaná spalná fólie. - 22,0 m2 " (20,0)*1,1</t>
  </si>
  <si>
    <t>" - Modifikovaný asfaltový penetrační lak na bázi rozpouštědel pod asfaltovou hydroizolaci - 0,01 t. " ((20,0*0,4)/1000)*1,1</t>
  </si>
  <si>
    <t>" Svislá hydroizolace - technologický kanál. " (20,0)</t>
  </si>
  <si>
    <t>Přesun hmot procentní pro izolace proti vodě, vlhkosti a plynům v objektech v do 60 m</t>
  </si>
  <si>
    <t>CS ÚRS 2022 02</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</si>
  <si>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</si>
  <si>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</si>
  <si>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</si>
  <si>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</si>
  <si>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Povlakové krytiny</t>
  </si>
  <si>
    <t>712</t>
  </si>
  <si>
    <t>712999101 SPC</t>
  </si>
  <si>
    <t>D+M Střecha plochá na stávající konstrukci - extenzivní zeleň - S1</t>
  </si>
  <si>
    <t>" Skladba : "</t>
  </si>
  <si>
    <t>" - Rozchodníková rohož - předpěstovaná vegetační rohož s vytlívající kokosovou rohoži, protkaná PP síťkou, s vrstvou substrátu, tl. 20 mm - 783,15 m2 " (681,0)*1,15</t>
  </si>
  <si>
    <t>" - Extenzivní vegetační substrát vhodný pro pěstování rozchodníků a bylin tl. 80 mm. - 783,15 m3 " (681,0)*1,15</t>
  </si>
  <si>
    <t>" - Filtrační netkaná textílie pro extenzivní a  intenzivní ozelenění z polyester/polypropylenu (125 g/m2) - 783,15 m2 " (681,0)*1,15</t>
  </si>
  <si>
    <t>" - Tlakově zatížitelný drenážní a hydroakumulační prvek z HDPE - 749,10 m2 " (681,0)*1,1</t>
  </si>
  <si>
    <t>" - Ochranná rohož - mechanicky a tepelně zpevněná směs vláken z polyesterového a polypropylenového regenerátu (600g/m2) tl.4 mm - 783,15 m2 " (681,0)*1,15</t>
  </si>
  <si>
    <t>" - Polyethylenová fólie z re-granulátu - 749,10 m2." (681,0)*1,10</t>
  </si>
  <si>
    <t>" - Asfaltový SBS natavitelný pás s polyesterovou rohoží 250g/m2 s ochranou proti prorůstání kořenů - tl. 5,2 mm. - 783,15 m2 " (681,0)*1,15</t>
  </si>
  <si>
    <t>" - SBS asfaltový modifikovaný samolepící pás za studena, nosná vložka skelná mřížka se skelnou rohoží - tl. 3,0 mm - 783,15 m2 " (681,0)*1,15</t>
  </si>
  <si>
    <t>" - Tepelná izolace - PIR s oboustrannou krycí vrstvou z černého hliníku, rovinné s polodrážkou λ = 0,022 W/(m.K) - tl. 180 mm - 749,65 m2." (681,50)*1,10</t>
  </si>
  <si>
    <t>" - Natavitelný SBS modifikovaný asfaltový pás s nosnou vložkou z hliníkovo-polyesterové a skelné rohože - tl. 4,0 mm -  773,19 m2. " (681,0)*1,10</t>
  </si>
  <si>
    <t>" - Asfaltový penetrační lak na bázi rozpouštědel - 0,30 t. " ((681,50*0,4)/1000)*1,1</t>
  </si>
  <si>
    <t>" Střecha." (690,50-9,0)</t>
  </si>
  <si>
    <t>" POZN: Jelikož se jedná o plochu, uvažována průměrná výška spádových klínů 180 mm. "</t>
  </si>
  <si>
    <t>" V ceně příprava podkladu před pokládkou střešního pláště (vyčištění, vyspravení, vyrovnání apod.)</t>
  </si>
  <si>
    <t>" Cena skladby včetně ztratného, zesílení izolace při řešení detailů v rozích a u prostupů, vytažení pásu na svislé stěny, zesílení tepelné izolace v místě vpustí, kotvící a spojovací prvky jednotlivých vrstev, lepidla, lepící tmely apod. "</t>
  </si>
  <si>
    <t>D+M Střecha plochá na stávající konstrukci - pochůzí chodník</t>
  </si>
  <si>
    <t>" - Betonová dlažba 500x500x50 mm, hladká , přírodní - 9,9 m2." (9,0)*1,1</t>
  </si>
  <si>
    <t>" - Ochranná rohož - mechanicky a tepelně zpevněná směs vláken z polyesterového a polypropylenového regenerátu (600g/m2) tl.4 mm - 10,35 m2 " (9,0)*1,15</t>
  </si>
  <si>
    <t>" - Polyethylenová fólie z re-granulátu - 9,90 m2." (9,0)*1,10</t>
  </si>
  <si>
    <t>" - Asfaltový SBS natavitelný pás s polyesterovou rohoží 250g/m2 s ochranou proti prorůstání kořenů - tl. 5,2 mm. - 11,39 m2 " (9,90)*1,15</t>
  </si>
  <si>
    <t>" - SBS asfaltový modifikovaný samolepící pás za studena, nosná vložka skelná mřížka se skelnou rohoží - tl. 3,0 mm - 10,35 m2 " (9,0)*1,15</t>
  </si>
  <si>
    <t>" - Tepelná izolace - PIR s oboustrannou krycí vrstvou z černého hliníku, rovinné s polodrážkou λ = 0,022 W/(m.K) - tl. 180 mm - 9,90 m2." (9,0)*1,10</t>
  </si>
  <si>
    <t>" - Natavitelný SBS modifikovaný asfaltový pás s nosnou vložkou z hliníkovo-polyesterové a skelné rohože - tl. 4,0 mm - 9,90 m2. " (9,00)*1,10</t>
  </si>
  <si>
    <t>" - Asfaltový penetrační lak na bázi rozpouštědel - 0,0040 t. " ((9,0*0,4)/1000)*1,1</t>
  </si>
  <si>
    <t>" Střecha." (9,00)</t>
  </si>
  <si>
    <t>712999102 SPC</t>
  </si>
  <si>
    <t>D+M Střecha plochá na stávající konstrukci - obsyp kačírkem - S2</t>
  </si>
  <si>
    <t>" - Filtrační netkaná textílie pro extenzivní a  intenzivní ozelenění z polyester/polypropylenu (125 g/m2) - 73,14 m2 " (63,60)*1,15</t>
  </si>
  <si>
    <t>" - Tlakově zatížitelný drenážní a hydroakumulační prvek z HDPE - 69,96 m2 " (63,60)*1,1</t>
  </si>
  <si>
    <t>" - Ochranná rohož - mechanicky a tepelně zpevněná směs vláken z polyesterového a polypropylenového regenerátu (600g/m2) tl.4 mm - 73,14 m2 " (63,60)*1,15</t>
  </si>
  <si>
    <t>" - Asfaltový SBS natavitelný pás s polyesterovou rohoží 250g/m2 s ochranou proti prorůstání kořenů - tl. 5,2 mm. - 73,14 m2 " (63,60)*1,15</t>
  </si>
  <si>
    <t>" - SBS asfaltový modifikovaný samolepící pás za studena, nosná vložka skelná mřížka se skelnou rohoží - tl. 3,0 mm - 73,14 m2 " (63,60)*1,15</t>
  </si>
  <si>
    <t>" - Tepelná izolace - PIR s oboustrannou krycí vrstvou z černého hliníku, rovinné s polodrážkou λ = 0,022 W/(m.K) - tl. 180 mm - 69,96 m2 " (63,60)*1,1</t>
  </si>
  <si>
    <t>" - Natavitelný SBS modifikovaný asfaltový pás s nosnou vložkou z hliníkovo-polyesterové a skelné rohože - tl. 4,0 mm -  69,96 m2 " (63,60)*1,1</t>
  </si>
  <si>
    <t>" - Asfaltový penetrační lak na bázi rozpouštědel - 0,03 t. " ((63,60*0,4)/1000)*1,1</t>
  </si>
  <si>
    <t>" Střecha." (63,6)</t>
  </si>
  <si>
    <t>712999103 SPC</t>
  </si>
  <si>
    <t>D+M Střecha plochá na stávající konstrukci - kačírek - střed - S3</t>
  </si>
  <si>
    <t>" - Filtrační netkaná textílie pro extenzivní a  intenzivní ozelenění z polyester/polypropylenu (125 g/m2) - 111,09 m2 " (96,60)*1,15</t>
  </si>
  <si>
    <t>" - Tlakově zatížitelný drenážní a hydroakumulační prvek z HDPE - 106,26 m2 " (96,60)*1,1</t>
  </si>
  <si>
    <t>" - Ochranná rohož - mechanicky a tepelně zpevněná směs vláken z polyesterového a polypropylenového regenerátu (600g/m2) tl.4 mm - 111,09 m2 " (96,60)*1,15</t>
  </si>
  <si>
    <t>" - Asfaltový SBS natavitelný pás s polyesterovou rohoží 250g/m2 s ochranou proti prorůstání kořenů - tl. 5,2 mm. - 111,09 m2 " (96,60)*1,15</t>
  </si>
  <si>
    <t>" - SBS asfaltový modifikovaný samolepící pás za studena, nosná vložka skelná mřížka se skelnou rohoží - tl. 3,0 mm - 111,09 m2 " (96,60)*1,15</t>
  </si>
  <si>
    <t>" - Tepelná izolace - PIR s oboustrannou krycí vrstvou z černého hliníku, rovinné s polodrážkou λ = 0,022 W/(m.K) - tl. 180 mm - 106,26 m2 " (96,60)*1,1</t>
  </si>
  <si>
    <t>" - Natavitelný SBS modifikovaný asfaltový pás s nosnou vložkou z hliníkovo-polyesterové a skelné rohože - tl. 4,0 mm -  106,26 m2 " (96,60)*1,1</t>
  </si>
  <si>
    <t>" - Asfaltový penetrační lak na bázi rozpouštědel - 0,04 t. " ((96,60*0,4)/1000)*1,1</t>
  </si>
  <si>
    <t>" Střecha." (96,6)</t>
  </si>
  <si>
    <t>712999104 SPC</t>
  </si>
  <si>
    <t>D+M Stříška nad vstupem - nad stávající konstrukci - falcovaná plech - S4</t>
  </si>
  <si>
    <t>" - Falcovaná střešní krytina, pozinkovaný plech s polyuretanovou vrstvou, stojatá drážka, tl. 0,7 - 0,8 mm - 9,79 m2." (8,9)*1,1</t>
  </si>
  <si>
    <t>" - Profilovaná struktůrní rohož pod TiZn krytinu, difůzně otevřená, umělohmotná rohož s distanční vrstvou smyčkové rohože z umělohmotných vláken, samolepící okraj, tl. 8 mm - 9,79 m2." (8,9)*1,1</t>
  </si>
  <si>
    <t>" - Dřevěné bednění, tl. 22 mm - 9,79 m2." (8,9)*1,1</t>
  </si>
  <si>
    <t>" - Kontralatě 40/80 (Větraná vzduchová mezera), po 1 m, tl. 60 mm - 11,0 m." (10,0)*1,1</t>
  </si>
  <si>
    <t>" -  Spádové klíny z kamenné vlny, λ = 0,036 W/(m.K), spád 3% tl. 20 - 100 mm - 0,59 m3 " (8,9*0,060)*1,10</t>
  </si>
  <si>
    <t>" - Tepelná izolace z kamenné vlny s podélnou orientací vláken λ = 0,036 W/(m.K) - tl. 120 mm - 6,79 m2 " (8,9)*1,1</t>
  </si>
  <si>
    <t>" - Stávající konstrukce stříšky."</t>
  </si>
  <si>
    <t>" - Tepelná izolace z kamenné vlny s podélnou orientací vláken λ = 0,036 W/(m.K) - tl. 120 mm - 9,79 m2 " (8,9)*1,1</t>
  </si>
  <si>
    <t>" - Armovací síťovina ze skelných vláken s úpravou proti posunutí, odolná proti alkáliím. Rozměry ok tkaniny max. 4x4 mm, plošná hmotnost 165 g/m2, pevnost v tahu 1750N/5cm - 10,24 m2." (8,9)*1,15</t>
  </si>
  <si>
    <t>" - Dvě vrstvy dvousložkové stěrkové hmoty na organické bázi s uhlíkovými vlákny + základní nátěr pod probarvené omítky na bázi akrylátového kopolymeru, silikonové prykyřice a křemičitanů - 9,79 m2."  (8,9)*1,1</t>
  </si>
  <si>
    <t>" - Tenkovrstvá probarvená silikonová omítka zrnitosti 1,0 mm, s obsahem uhlíkových vláken, fasádní barva na bázi silikonové pryskyřice s integrovanou nanokřemičitou mřížkou, samočistící efekt na principu fotokatalytických pigmentů - 9,79 m2. " (8,9)*1,1</t>
  </si>
  <si>
    <t>" Stříška nad vstupem." (8,9)</t>
  </si>
  <si>
    <t>" POZN: Jelikož se jedná o plochu, uvažována průměrná výška spádových klínů 60 mm. "</t>
  </si>
  <si>
    <t>Přesun hmot procentní pro krytiny povlakové v objektech v přes 6 do 12 m</t>
  </si>
  <si>
    <t>" Stavební práce a dodávky spojené s provedením funkčního celku 712 "</t>
  </si>
  <si>
    <t>" Zednická výpomoc,doplňkové práce,kompletace, zřízení a zapravení prostupů apod."</t>
  </si>
  <si>
    <t>Izolace tepelné</t>
  </si>
  <si>
    <t>713</t>
  </si>
  <si>
    <t>713099101 SPC</t>
  </si>
  <si>
    <t>D+M Kontaktní zateplovací systém, kamenná vlna tl. 200 mm včetně povrchové úpravy - provedení dle ČSN (ETICS) - F1</t>
  </si>
  <si>
    <t>" Zateplení stěn objektu : "</t>
  </si>
  <si>
    <t>" - Tenkovrstvá probarvená silikonová omítka zrnitosti 1,0 mm, s obsahem uhlíkových vláken, fasádní barva na bázi silikonové pryskyřice s integrovanou nanokřemičitou mřížkou, samočistící efekt na principu fotokatalytických pigmentů - 527,87 m2. " (479,88)*1,10</t>
  </si>
  <si>
    <t>" - Dvě vrstvy dvousložkové stěrkové hmoty na organické bázi s uhlíkovými vlákny + základní nátěr pod probarvené omítky na bázi akrylátového kopolymeru, silikonové prykyřice a křemičitanů - 527,87 m2." (479,88)*1,10</t>
  </si>
  <si>
    <t>" - 2x Armovací síťovina ze skelných vláken s úpravou proti posunutí, odolná proti alkáliím. Rozměry ok tkaniny max. 4x4 mm, plošná hmotnost 165 g/m2, pevnost v tahu 1750N/5cm - 551,86 m2." (479,88)*1,15</t>
  </si>
  <si>
    <t>" - Tepelná izolace z kamenné vlny s podélnou orientací vláken, λ = 0,036 W/(m.K) - tl. 200 mm, lepeno minerálním lepícím tmelem  -  527,87 m2 " (479,88)*1,1</t>
  </si>
  <si>
    <t>" Zateplení budovy - SEVER, JIH, VÝCHOD, ZÁPAD. " (129,0*3,72)</t>
  </si>
  <si>
    <t>713099102 SPC</t>
  </si>
  <si>
    <t>D+M Kontaktní zateplovací systém, kamenná vlna tl. 150 / 200 mm včetně povrchové úpravy - provedení dle ČSN (ETICS) - F2</t>
  </si>
  <si>
    <t>" - Tenkovrstvá probarvená silikonová omítka zrnitosti 1,0 mm, s obsahem uhlíkových vláken, fasádní barva na bázi silikonové pryskyřice s integrovanou nanokřemičitou mřížkou, samočistící efekt na principu fotokatalytických pigmentů - 532,13 m2. " (483,75)*1,10</t>
  </si>
  <si>
    <t>" - Dvě vrstvy dvousložkové stěrkové hmoty na organické bázi s uhlíkovými vlákny + základní nátěr pod probarvené omítky na bázi akrylátového kopolymeru, silikonové prykyřice a křemičitanů - 532,13 m2." (483,75)*1,10</t>
  </si>
  <si>
    <t>" - 2x Armovací síťovina ze skelných vláken s úpravou proti posunutí, odolná proti alkáliím. Rozměry ok tkaniny max. 4x4 mm, plošná hmotnost 165 g/m2, pevnost v tahu 1750N/5cm - 556,31 m2." (483,75)*1,15</t>
  </si>
  <si>
    <t>" - Tepelná izolace z kamenné vlny s podélnou orientací vláken, λ = 0,036 W/(m.K) - tl. 150 mm, lepeno minerálním lepícím tmelem  -  532,13 m2 " (483,75)*1,1</t>
  </si>
  <si>
    <t>" - Tepelná izolace z kamenné vlny s podélnou orientací vláken, λ = 0,036 W/(m.K) - tl. 200 mm, lepeno minerálním lepícím tmelem  -  532,13 m2 " 532,13 m2 " (483,75)*1,1</t>
  </si>
  <si>
    <t>" Zateplení budovy - SEVER, JIH, VÝCHOD, ZÁPAD. " (129,0*3,75)</t>
  </si>
  <si>
    <t>713099103 SPC</t>
  </si>
  <si>
    <t>D+M Kontaktní zateplovací systém - zateplení 300 mm nad terén, EPS Perimetr tl. 180 mm - provedení dle ČSN (ETICS) - I.F2</t>
  </si>
  <si>
    <t>" - Tenkovrstvá probarvená silikonová omítka zrnitosti 1,0 mm, s obsahem uhlíkových vláken, fasádní barva na bázi silikonové pryskyřice s integrovanou nanokřemičitou mřížkou, samočistící efekt na principu fotokatalytických pigmentů - 84,06 m2. " (76,42)*1,10</t>
  </si>
  <si>
    <t>" - Dvě vrstvy dvousložkové stěrkové hmoty na organické bázi s uhlíkovými vlákny + základní nátěr pod probarvené omítky na bázi akrylátového kopolymeru, silikonové prykyřice a křemičitanů - 84,06 m2. " (76,42)*1,10</t>
  </si>
  <si>
    <t>" - 2x Armovací síťovina ze skelných vláken s úpravou proti posunutí, odolná proti alkáliím. Rozměry ok tkaniny max. 4x4 mm, plošná hmotnost 165 g/m2, pevnost v tahu 1750N/5cm - 87,88 m2. " (76,42)*1,15</t>
  </si>
  <si>
    <t>" - Tepelná izolace soklový EPS Perimetr λ = 0,034 W/(m.K), lepený dvousložkovým bitumenovým lepidlem bez obsahu rozpouštědel - tl. 180 mm - 84,03 m2 " (76,42)*1,10</t>
  </si>
  <si>
    <t>" Zateplení budovy - SEVER, JIH, VÝCHOD, ZÁPAD. " (76,42)</t>
  </si>
  <si>
    <t>713099104 SPC</t>
  </si>
  <si>
    <t>D+M Zateplení podzemní - nepodsklepená - EPS Perimetr tl. 220 mm - F4</t>
  </si>
  <si>
    <t>" Zateplení objektu pod terénem: "</t>
  </si>
  <si>
    <t>" - Nopová fólie HDPE, výška nopu 20mm, tl. fólie 1,0mm + ochranná geotextílie - 83,20 m2 " (72,35)*1,15</t>
  </si>
  <si>
    <t>" - Lišta nopové fólie ukončovací - 69,19 m." (62,9)*1,1</t>
  </si>
  <si>
    <t>" - Tepelná izolace soklový EPS Perimetr λ = 0,034 W/(m.K), lepený dvousložkovým bitumenovým lepidlem bez obsahu rozpouštědel - tl. 180 mm - 79,59 m2 " (72,35)*1,10</t>
  </si>
  <si>
    <t>" Zateplení pod terénem - PERIMETR. " (72,35)</t>
  </si>
  <si>
    <t>713099105 SPC</t>
  </si>
  <si>
    <t>D+M Zateplení podzemní - podsklepená - EPS Perimetr tl. 220 mm - F5</t>
  </si>
  <si>
    <t>" - Nopová fólie HDPE, výška nopu 20mm, tl. fólie 1,0mm + ochranná geotextílie - 138,0 m2 " (120,0)*1,15</t>
  </si>
  <si>
    <t>" - Lišta nopové fólie ukončovací - 69,19 m." (120,0)*1,1</t>
  </si>
  <si>
    <t>" - Tepelná izolace soklový EPS Perimetr λ = 0,034 W/(m.K), lepený dvousložkovým bitumenovým lepidlem bez obsahu rozpouštědel - tl. 180 mm - 132,00 m2 " (120,0)*1,10</t>
  </si>
  <si>
    <t>" Zateplení pod terénem - PERIMETR. " (120,0)</t>
  </si>
  <si>
    <t>713099106 SPC</t>
  </si>
  <si>
    <t>D+M Kontaktní zateplovací systém - kamenná vlna tl. 120 mm, včetně povrchové úpravy - provedení dle ČSN (ETICS) - F6</t>
  </si>
  <si>
    <t>" - Tenkovrstvá probarvená silikonová omítka zrnitosti 1,0 mm, s obsahem uhlíkových vláken, fasádní barva na bázi silikonové pryskyřice s integrovanou nanokřemičitou mřížkou, samočistící efekt na principu fotokatalytických pigmentů - 29,37 m2. " (26,70)*1,10</t>
  </si>
  <si>
    <t>" - Dvě vrstvy dvousložkové stěrkové hmoty na organické bázi s uhlíkovými vlákny + základní nátěr pod probarvené omítky na bázi akrylátového kopolymeru, silikonové prykyřice a křemičitanů - 29,37 m2. " (26,70)*1,10</t>
  </si>
  <si>
    <t>" - 2x Armovací síťovina ze skelných vláken s úpravou proti posunutí, odolná proti alkáliím. Rozměry ok tkaniny max. 4x4 mm, plošná hmotnost 165 g/m2, pevnost v tahu 1750N/5cm - 30,71 m2. " (26,70)*1,15</t>
  </si>
  <si>
    <t>" - Tepelná izolace soklový EPS Perimetr λ = 0,034 W/(m.K), lepený dvousložkovým bitumenovým lepidlem bez obsahu rozpouštědel - tl. 120 mm - 29,37 m2 " (26,70)*1,10</t>
  </si>
  <si>
    <t>" Zateplení budovy - u nákladové rampy. " (8,9)*3,0</t>
  </si>
  <si>
    <t>713099107 SPC</t>
  </si>
  <si>
    <t>D+M Obvodová stěna a střecha - střešní nástavba - F7</t>
  </si>
  <si>
    <t>" - Oplechování pozinkovaný plech s polyuretanovou vrstvou, tl. 0,7 - 0,8 mm, barva RAL 9006 - bílý hliník - 149,90 m2." (136,27)*1,1</t>
  </si>
  <si>
    <t>" - profilovaná struktůrní rohož pod TiZn krytinu, difůzně otevřená, umělohmotná rohož s distanční vrstvou smyčkové rohože z umělohmotných vláken, samolepící okraj - 149,9 m2." (136,27)*1,1</t>
  </si>
  <si>
    <t>" - dřevoštěpková deska OSB 3 P+D - 156,71 m2." (136,27)*1,15</t>
  </si>
  <si>
    <t>" Střešní nástavba - stěny. " (63,1)*0,830</t>
  </si>
  <si>
    <t>" Střešní nástavba - střecha. " (83,9)</t>
  </si>
  <si>
    <t>" Cena zahrnuje také, dilatační a zakončovací lišty, rohový a lemovací systém, vyplnění spár mezi deskami pomocí jednosložkové polyuretanové pěny. "</t>
  </si>
  <si>
    <t>D+M Kontaktní zateplovací systém - kamenná vlna tl. 200 mm, včetně povrchové úpravy - provedení dle ČSN (ETICS) - H1</t>
  </si>
  <si>
    <t>" Zateplení podhledu objektu : "</t>
  </si>
  <si>
    <t>" - Tepelná izolace z kamenné vlny s podélnou orientací vláken λ = 0,036 W/(m.K), lepeno minerálním lepícím tmelem, kotveno šroubovacími hmoždinkami, tl. 200 mm - 19,47 m2 " (26,70)*1,10</t>
  </si>
  <si>
    <t>" - 2x Armovací síťovina ze skelných vláken s úpravou proti posunutí, odolná proti alkáliím. Rozměry ok tkaniny max. 4x4 mm, plošná hmotnost 165 g/m2, pevnost v tahu 1750N/5cm - 20,36 m2. " (26,70)*1,15</t>
  </si>
  <si>
    <t>" - Dvě vrstvy dvousložkové stěrkové hmoty na organické bázi s uhlíkovými vlákny + základní nátěr pod probarvené omítky na bázi akrylátového kopolymeru, silikonové prykyřice a křemičitanů - 19,47 m2. " (26,70)*1,10</t>
  </si>
  <si>
    <t>" - Tenkovrstvá probarvená silikonová omítka zrnitosti 1,0 mm, s obsahem uhlíkových vláken, fasádní barva na bázi silikonové pryskyřice s integrovanou nanokřemičitou mřížkou, samočistící efekt na principu fotokatalytických pigmentů - 19,47 m2. " (17,70)*1,10</t>
  </si>
  <si>
    <t>" Zateplení budovy - podhled. " (9,3+8,4)</t>
  </si>
  <si>
    <t>" - Tepelná izolace z kamenné vlny s podélnou orientací vláken λ = 0,036 W/(m.K), lepeno minerálním lepícím tmelem, kotveno šroubovacími hmoždinkami, tl. 100 mm - 184,93 m2 " (168,12)*1,10</t>
  </si>
  <si>
    <t>" - Stěrkovací tmel s vloženou armovací tkaninou, štuková omítka - 184,93 m2." (168,12)*1,10</t>
  </si>
  <si>
    <t>" Zateplení budovy - podhled. " (16,7+7,98+11,82+2,17+3,93+15,55+20,91+89,06)</t>
  </si>
  <si>
    <t>Přesun hmot procentní pro izolace tepelné v objektech v přes 6 do 12 m</t>
  </si>
  <si>
    <t xml:space="preserve">" Stavební práce a dodávky spojené s provedením funkčního celku 713." </t>
  </si>
  <si>
    <t xml:space="preserve">" Zednická výpomoc, doplňkové práce,kompletace apod." </t>
  </si>
  <si>
    <t>Akustická a protitřesová opatření</t>
  </si>
  <si>
    <t>714121901 SPC</t>
  </si>
  <si>
    <t>D+M Provedení akustického obkladu stěn - Specifikace dle PD</t>
  </si>
  <si>
    <t>" Provedení akustického obkladu - stěny vnitřní - 1. NP - m.č. 1.21 "  (15,855)*1,1</t>
  </si>
  <si>
    <t>" V ceně rastr, spojovací, kotvící, těsnící a doplňkové prvky, veškeré příslušenství, materál, apod. "</t>
  </si>
  <si>
    <t>714</t>
  </si>
  <si>
    <t>Přesun hmot procentní pro akustická a protiotřesová opatření v objektech v do 12 m</t>
  </si>
  <si>
    <t>HZS2321</t>
  </si>
  <si>
    <t>Hodinová zúčtovací sazba obkladač</t>
  </si>
  <si>
    <t xml:space="preserve">" Stavební práce a dodávky spojené s provedením funkčního celku 714 " </t>
  </si>
  <si>
    <t>Konstrukce suché výstavby</t>
  </si>
  <si>
    <t>763</t>
  </si>
  <si>
    <t>SDK příčka tl 100 mm profil CW+UW 50 deska s vysokou mechanickou odolností 1xDFRIH2 12,5 a deska 1xA 12,5 s izolací EI 60 Rw do 57 dB</t>
  </si>
  <si>
    <t>" S vloženou tepelnou izolací, s jednoduchými ocel.profily "</t>
  </si>
  <si>
    <t>" Opláštění 1xDFRIH2 do všech prostor desky vysokopevnostní. "</t>
  </si>
  <si>
    <t>" Opláštění 1xA do suchých prostor desky standartní. "</t>
  </si>
  <si>
    <t>" SDK příčka - 1. NP." (292,43)*1,05</t>
  </si>
  <si>
    <t>" SDK příčka - 2. NP." (65,054)*1,05</t>
  </si>
  <si>
    <t>" Cena včetně hladkého zatmelení napojovacích spár mezi deskami na obou vrstvách, výztužné pásky, vytmelení připojovacích spár, lemujících profilů, spojovacího a kotvícího materiálu. "</t>
  </si>
  <si>
    <t>"  V ceně penetrační nátěr, zajištění ukončení SDK ve volném prostoru, zesílení rohů Al úhelníky."</t>
  </si>
  <si>
    <t>" Součástí nosné profily / dřevoštěpkové desky pro zařizovací předměty. "</t>
  </si>
  <si>
    <t>SDK příčka tl 150 mm profil CW+UW 100 desky s vysokou mechanickou odolností 1xDFRIH2 12,5 a 1xA 12,5 s izolací EI 60 Rw do 59 dB</t>
  </si>
  <si>
    <t>" SDK příčka - 1. NP." (31,0)*1,05</t>
  </si>
  <si>
    <t>" SDK příčka - 2. NP." (68,087)*1,05</t>
  </si>
  <si>
    <t>763111481 RTO</t>
  </si>
  <si>
    <t>" SDK příčka - 2. NP." (6,120)*1,05</t>
  </si>
  <si>
    <t>763113351 RTO</t>
  </si>
  <si>
    <t>SDK příčka instalační tl 205 - 700 mm zdvojený profil CW+UW 75 desky 1xDFRIH2 12,5 a 1xA 12,5 s izolací REI 45 Rw do 62 dB</t>
  </si>
  <si>
    <t>" S vloženou tepelnou izolací, se zdvojenými ocel.profily "</t>
  </si>
  <si>
    <t>" SDK příčka instalační tl. 250 mm. "</t>
  </si>
  <si>
    <t>" SDK příčka - 1. NP." (14,025)*1,05</t>
  </si>
  <si>
    <t>" SDK příčka - 2. NP." (21,038)*1,05</t>
  </si>
  <si>
    <t>" SDK příčka instalační tl. 300 mm. "</t>
  </si>
  <si>
    <t>" SDK příčka - 1. NP." (5,28)*1,05</t>
  </si>
  <si>
    <t>" SDK příčka instalační tl. 350 mm. "</t>
  </si>
  <si>
    <t>" SDK příčka - 2. NP." (5,610)*1,05</t>
  </si>
  <si>
    <t>763121426 RTO</t>
  </si>
  <si>
    <t>SDK stěna předsazená tl 150 mm profil dle potřeby desky 2xH2 12,5 bez izolace EI 30</t>
  </si>
  <si>
    <t>" Bez tepelné izolace, s ocel.profily dle potřeby - dvojité, speciální, na míru, apod.  "</t>
  </si>
  <si>
    <t>" Opláštění 2xH2 do vlhkých prostor desky impregnované."</t>
  </si>
  <si>
    <t>" SDK stěna předsazená - instalační předstěna vysoká - 2. NP." (9,075)*1,05</t>
  </si>
  <si>
    <t>"  V ceně penetrační nátěr, zesílení rohů Al úhelníky."</t>
  </si>
  <si>
    <t>763121426 RT1</t>
  </si>
  <si>
    <t>SDK stěna předsazená tl 200 mm profil dle potřeby desky 2xH2 12,5 bez izolace EI 30</t>
  </si>
  <si>
    <t>" SDK stěna předsazená - instalační předstěna vysoká - 1. NP." (10,560)*1,05</t>
  </si>
  <si>
    <t>763121475 RTO</t>
  </si>
  <si>
    <t>SDK stěna předsazená tl 75 mm profil CW+UW 50 desky s vysokou mechanickou odolností 1xDFRIH2 12,5 A 1Xa 12,5 bez izolace</t>
  </si>
  <si>
    <t>" Bez tepelné izolace, s jednoduchými ocel.profily "</t>
  </si>
  <si>
    <t>" SDK stěna předsazená - 1. NP." (4,588)*1,05</t>
  </si>
  <si>
    <t>" SDK stěna předsazená - 2. NP." (2,707)*1,05</t>
  </si>
  <si>
    <t>763121476 RTO</t>
  </si>
  <si>
    <t>SDK stěna předsazená tl 100 mm profil CW+UW 75 desky s vysokou mechanickou odolností 1xDFRIH2 12,5 a 1xA 12,5 s izolací EI 30 Rw do 19 dB</t>
  </si>
  <si>
    <t>" SDK stěna předsazená - 1. NP." (11,22)*1,05</t>
  </si>
  <si>
    <t>763122421 RTO</t>
  </si>
  <si>
    <t>SDK stěna šachtová tl 75 mm profil CW+UW 50 desky 1xDFRIH2 12,5 a 1xA 12,5 bez izolace EI 30</t>
  </si>
  <si>
    <t>" SDK stěna šachtová - 1. NP." (20,293)*1,05</t>
  </si>
  <si>
    <t>" SDK stěna šachtová - 2. NP." (18,974)*1,05</t>
  </si>
  <si>
    <t xml:space="preserve">SDK podhled desky 1xA 15 bez izolace dvouvrstvá spodní kce profil CD+UD </t>
  </si>
  <si>
    <t>" Podhled - SDK hladký bílý "</t>
  </si>
  <si>
    <t>" 1.NP - (68,95)*1,05</t>
  </si>
  <si>
    <t>" 2.NP - (224,8)*1,05</t>
  </si>
  <si>
    <t>" Cena včetně desek, nosných profilů, závěsů, lemujících a ukončujících lišt, spojovacího a kotvícího materiálu, penetračního nátěro, příplatků, apod. "</t>
  </si>
  <si>
    <t>763164632 RTO</t>
  </si>
  <si>
    <t>SDK obklad kcí tvaru U š do 1,2 m desky 2xA 12,5</t>
  </si>
  <si>
    <t>" SDK opláštění stávajících ocelových sloupů. "</t>
  </si>
  <si>
    <t>" 1.NP - (43,4)*1,05</t>
  </si>
  <si>
    <t>763999101 SPC</t>
  </si>
  <si>
    <t>D+M Kazetový podhed z kazet 600x600 mm - RASTR 1</t>
  </si>
  <si>
    <t>" Podhled - kazetový 600x600 mm "</t>
  </si>
  <si>
    <t>" 1.NP - (74,069)*1,30</t>
  </si>
  <si>
    <t>" 2.NP - (40,291)*1,30</t>
  </si>
  <si>
    <t>" Viditelný rošt, nosný rošt z galvanizované oceli. "</t>
  </si>
  <si>
    <t>" Cena včetně kazet, nosných profilů, závěsů, lemujících a ukončujících lišt, spojovacího a kotvícího materiálu, příplatku za zavěšení, apod. "</t>
  </si>
  <si>
    <t>763999102 SPC</t>
  </si>
  <si>
    <t>D+M Kazetový podhed z kazet 600x600 mm - RASTR 2</t>
  </si>
  <si>
    <t>" Podhled - kazetový 600x600 mm - vlhký prostor."</t>
  </si>
  <si>
    <t>" 1.NP - (3,360)*1,30</t>
  </si>
  <si>
    <t>" 2.NP - (39,6)*1,30</t>
  </si>
  <si>
    <t>D+M Kazetový podhed z kazet 600x600 mm - RASTR 3</t>
  </si>
  <si>
    <t>" Podhled - kazetový 600x600 mm."</t>
  </si>
  <si>
    <t>" 1.NP - (156,276)*1,30</t>
  </si>
  <si>
    <t>" 2.NP - (64,61)*1,30</t>
  </si>
  <si>
    <t>" Částečně skrytý rošt, nosný rošt z galvanizované oceli. "</t>
  </si>
  <si>
    <t>D+M Kazetový podhed z kazet 600x600 mm - RASTR 4</t>
  </si>
  <si>
    <t>" 1.NP - (25,920)*1,30</t>
  </si>
  <si>
    <t>" 2.NP - (331,75)*1,30</t>
  </si>
  <si>
    <t>" Skrytý rošt, nosný rošt z galvanizované oceli. "</t>
  </si>
  <si>
    <t>D+M Kazetový podhed z kazet 600x600 mm - RASTR 5</t>
  </si>
  <si>
    <t>" 1.NP - (191,485)*1,30</t>
  </si>
  <si>
    <t>D+M Kazetový podhed z kazet 600x600 mm - RASTR 6</t>
  </si>
  <si>
    <t>" 1.NP - (97,2)*1,30</t>
  </si>
  <si>
    <t xml:space="preserve">SDK Protipožární obklad konstrukcí podychycení stropu včetně povrchové úpravy - Specifikace dle PD </t>
  </si>
  <si>
    <t>" Cena včetně lemujících profilů, spojovacího a kotvícího materiálu, povrchové úpravy. "</t>
  </si>
  <si>
    <t>" Opláštění ocelových stropních nosníků v 1.PP " (5,0*2,25)</t>
  </si>
  <si>
    <t>" Opláštění ocelových stropních nosníků v 1.NP " (3,87*2,4)</t>
  </si>
  <si>
    <t>" Opláštění ocelových stropních nosníků v 2.NP " (0,65*17,85+2,22*2,55)</t>
  </si>
  <si>
    <t>SDK podhled skoková změna v do 0,5 m</t>
  </si>
  <si>
    <t>" Skoková změna 1.NP " (15,9)</t>
  </si>
  <si>
    <t>" Skoková změna 2.NP " (48,3)</t>
  </si>
  <si>
    <t>SDK podhled skoková změna v přes 0,5 m</t>
  </si>
  <si>
    <t>" Skoková změna 1.NP " (19,5)</t>
  </si>
  <si>
    <t>Přesun hmot procentní pro konstrukce montované z desek v objektech v přes 6 do 12 m</t>
  </si>
  <si>
    <t>HZS2171</t>
  </si>
  <si>
    <t>Hodinová zúčtovací sazba sádrokartonář</t>
  </si>
  <si>
    <t xml:space="preserve">" Stavební práce a dodávky spojené s provedením funkčního celku 763. " </t>
  </si>
  <si>
    <t>Podlahy z dlaždic</t>
  </si>
  <si>
    <t>771099101 SPC</t>
  </si>
  <si>
    <t>D+M Keramická dlažba - Podlaha v 1. NP - Specifikace dle PD - D.1.1.c.03. VÝPIS SKLADEB KONSTRUKCÍ - P3</t>
  </si>
  <si>
    <t>" Skladba podlahy na stávající konstrukci - nášlapná vrstva z keramické dlažby. "</t>
  </si>
  <si>
    <t>" Skladba podlahy : "</t>
  </si>
  <si>
    <t>" - Keramická dlažba do flexibilního lepidla tl. 15 mm - 70,24 m2. " (63,85)*1,1</t>
  </si>
  <si>
    <t>" - Hydroizolační stěrka - 67,04 m2 " (63,85)*1,05</t>
  </si>
  <si>
    <t>" - Litý samonivelační cementový potěr (CT-C30-F6) vč. příplatku za tloušťku - tl. 66 mm - 67,04 m2. " (63,85)*1,05</t>
  </si>
  <si>
    <t>" - Separační PE fólie - 73,43 m2 " (63,85)*1,15</t>
  </si>
  <si>
    <t>" - Kročejová izolace z dřevovláknité desky ( objemová hm. 230 kg/m3) - tl. 19 mm - 33,31 m2 " (63,85)*1,1</t>
  </si>
  <si>
    <t>" 1. NP - míst. č. 1.01 - 1.03, 1.06, 1.08, 1.25 - 1.30 " (5,52+7,83+11,25+13,05+0,55+3,89+5,45+3,05+3,29+3,73+6,24)</t>
  </si>
  <si>
    <t xml:space="preserve">" V ceně např. případné vyčištění podkladu, vyspravení, vyrovnání, odstranění nerovností, vysátí, čištění podlah po položení dlažby apod." </t>
  </si>
  <si>
    <t>" V ceně také ukončovací, přechodové lišty (z profilů s dilatační zónou), dilatační profily a další příslušenství, práce a prvky jinde v soupise nespecifikované, ale nutné pro provedení skladby jako celku. "</t>
  </si>
  <si>
    <t>" Cena zahrnuje flexibilní lepidlo, spárovací hmotu a pružný tmel pro dilatace. "</t>
  </si>
  <si>
    <t>771099102 SPC</t>
  </si>
  <si>
    <t>D+M Keramická dlažba - Podlaha v 1. NP - Specifikace dle PD - D.1.1.c.03. VÝPIS SKLADEB KONSTRUKCÍ - P4</t>
  </si>
  <si>
    <t>" Skladba podlahy na terénu - nášlapná vrstva z keramické dlažby. "</t>
  </si>
  <si>
    <t>" - Keramická dlažba do flexibilního lepidla tl. 15 mm - 95,10 m2. " (86,45)*1,1</t>
  </si>
  <si>
    <t>" - Litý samonivelační cementový potěr (CT-C30-F6) vč. příplatku za tloušťku - tl. 65 mm - 90,77 m2. " (86,45)*1,05</t>
  </si>
  <si>
    <t>" - Separační PE fólie - 99,42 m2 " (86,45)*1,15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</si>
  <si>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- 95,10 m2 " (86,45)*1,1</t>
    </r>
  </si>
  <si>
    <t>" 1. NP - míst. č. 1.06 - 1.10, 1.12, 1.17 - 1.19 " (19,55+32,87+16,22+8,11+2,9+2,0+1,44+3,36)</t>
  </si>
  <si>
    <t>771099103 SPC</t>
  </si>
  <si>
    <t>D+M Keramická dlažba - Podlaha v 1. NP - Specifikace dle PD - D.1.1.c.03. VÝPIS SKLADEB KONSTRUKCÍ - P5</t>
  </si>
  <si>
    <t>" - Keramická dlažba do flexibilního lepidla tl. 15 mm - 93,18 m2. " (84,71)*1,1</t>
  </si>
  <si>
    <t>" - Samonivelační vyrovnávací stěrka, tl. 5 mm - 93,18 m2 " (84,71)*1,10</t>
  </si>
  <si>
    <t>" - Betonová mazanina C25/30-XCI s KARI sítí 100x100x6 mm, tl. 110 mm - 93,18 m3. " (84,71*0,110)*1,10</t>
  </si>
  <si>
    <t>" - Separační PE fólie - 99,42 m2 " (84,71)*1,15</t>
  </si>
  <si>
    <t>" 1. NP - míst. č. 1.20 " (84,71)</t>
  </si>
  <si>
    <t>771099104 SPC</t>
  </si>
  <si>
    <t>D+M Keramická dlažba - Venkovní schodiště - Specifikace dle PD - D.1.1.c.03. VÝPIS SKLADEB KONSTRUKCÍ - P14</t>
  </si>
  <si>
    <t>" - Keramická dlažba do exteriéru, do flexibilního lepidla tl. 15 mm - 11,93 m2. " (10,37)*1,15</t>
  </si>
  <si>
    <t>" - Hydroizolační stěrka - 10,89 m2 " (10,37)*1,05</t>
  </si>
  <si>
    <t>" - Samonivelační vyrovnávací stěrka exteriérová, tl. 5 mm - 11,41 m2 " (10,37)*1,10</t>
  </si>
  <si>
    <t>" Venkovní schodiště - míst. č. 1.37 " (10,37)</t>
  </si>
  <si>
    <t>771099105 SPC</t>
  </si>
  <si>
    <t>D+M Keramická dlažba - Podlaha v 2. NP - Specifikace dle PD - D.1.1.c.03. VÝPIS SKLADEB KONSTRUKCÍ - P17</t>
  </si>
  <si>
    <t>" - Keramická dlažba do flexibilního lepidla tl. 15 mm - 44,17 m2. " (40,15)*1,1</t>
  </si>
  <si>
    <t>" - Penetrace - 44,17 m2 " (40,15)*1,10</t>
  </si>
  <si>
    <t>" - Konstrukční sádrokartonová deska 2x12,5 mm, lepené k sobě sádrovým tmelem, tl. 25 mm - 44,17 m2. " (40,15)*1,10</t>
  </si>
  <si>
    <t>" - Suchý vyrovnávací podsyp tl. 11 mm vč. příplatku za tloušťku - 33,31 m2 " (40,15)*1,1</t>
  </si>
  <si>
    <t>" 2. NP - míst. č. 2.05 - 2.11, 2.17b - 2.19 " (2,79+6,72+5,8+1,64+5,96+4,86+3,76+2,72+2,17+3,73)</t>
  </si>
  <si>
    <t>" V ceně také ukončovací, přechodové lišty (z profilů s dilatační zónou), dilatační profily, okrajové pásky a další příslušenství, práce a prvky jinde v soupise nespecifikované, ale nutné pro provedení skladby jako celku. "</t>
  </si>
  <si>
    <t>Přesun hmot procentní pro podlahy z dlaždic v objektech v přes 6 do 12 m</t>
  </si>
  <si>
    <t>HZS2331</t>
  </si>
  <si>
    <t>Hodinová zúčtovací sazba podlahář</t>
  </si>
  <si>
    <t xml:space="preserve">" Stavební práce a dodávky spojené s provedením funkčního celku 771 " </t>
  </si>
  <si>
    <t xml:space="preserve">" Zednická výpomoc,doplňkové práce,kompletace,zřízení prostupů,zapravení prostupů, apod. " </t>
  </si>
  <si>
    <t>Podlahy povlakové</t>
  </si>
  <si>
    <t>776099101 SPC</t>
  </si>
  <si>
    <t>D+M Přírodní linoleum - Podlaha v 1. NP - Specifikace dle PD - D.1.1.c.03. VÝPIS SKLADEB KONSTRUKCÍ - P6</t>
  </si>
  <si>
    <t>" Skladba podlahy na stávající konstrukci - nášlapná vrstva z přírodního linolea. "</t>
  </si>
  <si>
    <t>" - Přírodní linoleum, lepeno disperzním lepidlem, tl. 2,5 mm - 128,80 m2. " (117,09)*1,1</t>
  </si>
  <si>
    <t>" - Litý samonivelační cementový potěr (CT-C30-F6) vč. příplatku za tloušťku - tl. 78 mm - 122,94 m2. " (117,09)*1,05</t>
  </si>
  <si>
    <t>" - Separační PE fólie - 134,65 m2 " (117,09)*1,15</t>
  </si>
  <si>
    <t>" - Kročejová izolace z dřevovláknité desky ( objemová hm. 230 kg/m3) - tl. 19 mm - 128,80 m2 " (117,09)*1,1</t>
  </si>
  <si>
    <t>" 1. NP  - místn.č. 1.31, 1.32, 1.34 - 1.36 " (43,03+33,89+7,6+9,22+23,35)</t>
  </si>
  <si>
    <t xml:space="preserve">" V ceně např. případné vyčištění podkladu, vyspravení, vyrovnání, odstranění nerovností, vysátí, čištění podlah po položení povlakové podlahy apod." </t>
  </si>
  <si>
    <t>" V ceně také penetrace, ukončovací, přechodové lišty (z profilů s dilatační zónou), dilatační profily a další příslušenství, práce a prvky jinde v soupise nespecifikované, ale nutné pro provedení skladby jako celku. "</t>
  </si>
  <si>
    <t>776099102 SPC</t>
  </si>
  <si>
    <t>D+M Přírodní linoleum - Podlaha v 1. NP - Specifikace dle PD - D.1.1.c.03. VÝPIS SKLADEB KONSTRUKCÍ - P7</t>
  </si>
  <si>
    <t>" Skladba podlahy na terénu - nášlapná vrstva z přírodního linolea. "</t>
  </si>
  <si>
    <t>" - Přírodní linoleum, lepeno disperzním lepidlem, tl. 2,5 mm - 305,65 m2. " (277,86)*1,1</t>
  </si>
  <si>
    <t>" - Litý samonivelační cementový potěr (CT-C30-F6) vč. příplatku za tloušťku - tl. 77 mm - 219,75 m2. " (277,86)*1,05</t>
  </si>
  <si>
    <t>" - Separační PE fólie - 319,54 m2 " (277,86)*1,15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</si>
  <si>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- 305,65 m2 " (277,86)*1,1</t>
    </r>
  </si>
  <si>
    <t>" 1. NP  - místn.č. 1.13 - 1.16, 1.21, 1.34 " (4,25+12,8+12,86+3,12+190,95+53,88)</t>
  </si>
  <si>
    <t>776099103 SPC</t>
  </si>
  <si>
    <t>D+M Přírodní linoleum - Podlaha v 1. NP - Specifikace dle PD - D.1.1.c.03. VÝPIS SKLADEB KONSTRUKCÍ - P8</t>
  </si>
  <si>
    <t>" - Přírodní linoleum, lepeno disperzním lepidlem, tl. 2,5 mm - 13,56 m2. " (12,33)*1,1</t>
  </si>
  <si>
    <t>" - Samonivelační vyrovnávací stěrka, tl. 17 mm - 13,56 m2 " (12,33)*1,10</t>
  </si>
  <si>
    <t>" - Betonová mazanina C25/30-XCI s KARI sítí 100x100x6 mm, tl. 110 mm - 1,49 m3. " (12,33*0,110)*1,10</t>
  </si>
  <si>
    <t>" - Separační PE fólie - 14,18 m2 " (12,33)*1,15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</si>
  <si>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- 13,56 m2 " (12,33)*1,1</t>
    </r>
  </si>
  <si>
    <t>" 1. NP  - místn.č. 1.22 " (12,33)</t>
  </si>
  <si>
    <t>776099104 SPC</t>
  </si>
  <si>
    <t>D+M Přírodní linoleum - Podlaha v 1. NP, 2.NP - Specifikace dle PD - D.1.1.c.03. VÝPIS SKLADEB KONSTRUKCÍ - P10</t>
  </si>
  <si>
    <t>" Skladba podlahy na schodišti - nášlapná vrstva z přírodního linolea. "</t>
  </si>
  <si>
    <t>" - Přírodní linoleum, lepeno disperzním lepidlem, tl. 2,5 mm - 61,52 m2. " (55,93)*1,1</t>
  </si>
  <si>
    <t>" 1. NP, 2.NP  - místn.č. 1.34, 1.36, 2.01, 2.13 " (3,78+23,35+5,86+22,94)</t>
  </si>
  <si>
    <t>776099105 SPC</t>
  </si>
  <si>
    <t>D+M Přírodní linoleum - Podlaha v 2.NP - Specifikace dle PD - D.1.1.c.03. VÝPIS SKLADEB KONSTRUKCÍ - P15</t>
  </si>
  <si>
    <t>" - Přírodní linoleum, lepeno disperzním lepidlem, tl. 2,5 mm - 710,56 m2. " (645,96)*1,1</t>
  </si>
  <si>
    <t>" - Samonivelační vyrovnávací stěrka, tl. 0 - 20 mm - 710,56 m2 " (645,96)*1,10</t>
  </si>
  <si>
    <t>" 2.NP  - místn.č. 2.02 - 2.04, 2.12 - 2.15, 2.23 - 2.28 " (87,71+22,35+64,22+77,07+22,94+29,24+66,71+12,71+10,20+58,71+66,71+57,04+70,35)</t>
  </si>
  <si>
    <t>776099106 SPC</t>
  </si>
  <si>
    <t>D+M Přírodní linoleum - Podlaha v 2.NP - Specifikace dle PD - D.1.1.c.03. VÝPIS SKLADEB KONSTRUKCÍ - P16</t>
  </si>
  <si>
    <t>" - Přírodní linoleum, lepeno disperzním lepidlem, tl. 2,5 mm - 15,97 m2. " (14,52)*1,1</t>
  </si>
  <si>
    <t>" - Penetrace - 15,97 m2 " (14,52)*1,10</t>
  </si>
  <si>
    <t>" - Konstrukční sádrokartonová deska 2x12,5 mm, lepené k sobě sádrovým tmelem, tl. 25 mm - 15,97 m2. " (14,52)*1,10</t>
  </si>
  <si>
    <t>" - Kročejová izolace z dřevovláknité desky ( objemová hm. 230 kg/m3) - tl. 19 mm - 15,97 m2 " (14,52)*1,1</t>
  </si>
  <si>
    <t>" - Suchý vyrovnávací podsyp tl. 23 mm vč. příplatku za tloušťku - 15,97 m2 " (14,52)*1,1</t>
  </si>
  <si>
    <t>" 2.NP  - místn.č. 2.16, 2.17a " (11,73+2,79)</t>
  </si>
  <si>
    <t>776099202 SPC</t>
  </si>
  <si>
    <t>D+M Čistící zóna - Podlaha v 1. NP - Specifikace dle PD - D.1.1.c.03. VÝPIS SKLADEB KONSTRUKCÍ - P11</t>
  </si>
  <si>
    <t>" Skladba podlahy na stávající konstrukci - nášlapná vrstva zátěžový koberec. "</t>
  </si>
  <si>
    <t xml:space="preserve">" - Vnitřní čistící zóna kobercová vyrobena ze 75 % ze 100% recyklovaných vláken ECONYL, zátěžová třída 33 - celková tl. 9,0 mm. vč. hliníkového rámu." </t>
  </si>
  <si>
    <t xml:space="preserve">Naceněno v rozpočtu D.1.1.c.07. VÝPIS OSTATNÍCH VÝROBKŮ </t>
  </si>
  <si>
    <t>" - Litý samonivelační cementový potěr (CT-C30-F6) vč. příplatku za tloušťku - tl. 72 mm - 17,91 m2. " (17,06)*1,05</t>
  </si>
  <si>
    <t>" - Separační PE fólie - 19,62 m2 " (17,06)*1,15</t>
  </si>
  <si>
    <t>" - Kročejová izolace z dřevovláknité desky ( objemová hm. 230 kg/m3) - tl. 19 mm - 18,77 m2 " (17,06)*1,1</t>
  </si>
  <si>
    <t>" 1. NP - místn. č. 1.33 " (17,06)</t>
  </si>
  <si>
    <t xml:space="preserve">" V ceně např. případné vyčištění podkladu, vyspravení, vyrovnání, odstranění nerovností, vysátí, čištění podlah po položení čistící zóny apod." </t>
  </si>
  <si>
    <t>776099201 SPC</t>
  </si>
  <si>
    <t>D+M Čistící zóna - Podlaha v 1. NP - Specifikace dle PD - D.1.1.c.03. VÝPIS SKLADEB KONSTRUKCÍ - P12</t>
  </si>
  <si>
    <t>" Skladba podlahy na terénu - nášlapná vrstva zátěžový koberec. "</t>
  </si>
  <si>
    <t>" - Litý samonivelační cementový potěr (CT-C30-F6) vč. příplatku za tloušťku - tl. 71 mm - 2,43 m2. " (2,31)*1,05</t>
  </si>
  <si>
    <t>" - Separační PE fólie - 19,62 m2 " (2,66)*1,15</t>
  </si>
  <si>
    <t>" - Kročejová izolace z dřevovláknité desky ( objemová hm. 230 kg/m3) - tl. 19 mm - 2,54 m2 " (2,31)*1,1</t>
  </si>
  <si>
    <t>" 1. NP - místn. č. 1.10 " (2,31)</t>
  </si>
  <si>
    <t>Přesun hmot procentní pro podlahy povlakové v objektech v přes 12 do 24 m</t>
  </si>
  <si>
    <t xml:space="preserve">" Stavební práce a dodávky spojené s provedením funkčního celku 776. " </t>
  </si>
  <si>
    <t xml:space="preserve">" Zednická výpomoc,doplňkové práce,kompletace,zřízení prostupů,zapravení prostupů, apod." </t>
  </si>
  <si>
    <t>Podlahy lité</t>
  </si>
  <si>
    <t>777099101 SPC</t>
  </si>
  <si>
    <t>D+M Epoxidová stěrka - Podlaha v 1. PP - Specifikace dle PD - D.1.1.c.03. VÝPIS SKLADEB KONSTRUKCÍ - P1</t>
  </si>
  <si>
    <t>" Skladba podlahy na terénu - nášlapná vrstva z epoxidové stěrky. "</t>
  </si>
  <si>
    <t>" - Epoxidová stěrka plněná, bez vsypu - tl. 3,0 mm - 189,69 m2 " (180,66)*1,05</t>
  </si>
  <si>
    <t>" - Epoxidový penetrace - 189,69 m2 " (180,66)*1,05</t>
  </si>
  <si>
    <t>" 1. PP  - místn. č. 0.01 - 0.10 " (16,7+7,98+11,82+1,08+2,17+3,93+5,21+15,55+6,25+20,91+89,06)</t>
  </si>
  <si>
    <t>" V ceně okrajové pásky, vytažení stěrky ( fabionu) na stěny, ukončovací , přechodové a dilatační lišty a další prvky a příslušenství jinde v soupise nespecifikované, ale nutné pro provedení skladby jako celku. "</t>
  </si>
  <si>
    <t>777099102 SPC</t>
  </si>
  <si>
    <t>D+M Epoxidová stěrka - Podlaha v 1. PP - Specifikace dle PD - D.1.1.c.03. VÝPIS SKLADEB KONSTRUKCÍ - P2</t>
  </si>
  <si>
    <t>" - Epoxidová stěrka plněná, bez vsypu - tl. 3,0 mm - 7,75 m2 " (7,38)*1,05</t>
  </si>
  <si>
    <t>" - Epoxidový penetrace - 7,75 m2 " (7,38)*1,05</t>
  </si>
  <si>
    <t>" 1. PP  - místn. č. 0.04, 0.06 " (2,17+5,21)</t>
  </si>
  <si>
    <t>777099103 SPC</t>
  </si>
  <si>
    <t>D+M Epoxidová stěrka - Podlaha v 1. NP - Specifikace dle PD - D.1.1.c.03. VÝPIS SKLADEB KONSTRUKCÍ - P9</t>
  </si>
  <si>
    <t>" Skladba podlahy na nové konstrukci - nášlapná vrstva z epoxidové stěrky. "</t>
  </si>
  <si>
    <t>" - Epoxidová stěrka plněná, bez vsypu - tl. 3,0 mm - 16,91 m2 " (16,10)*1,05</t>
  </si>
  <si>
    <t>" - Epoxidový penetrace - 16,91 m2 " (16,10)*1,05</t>
  </si>
  <si>
    <t>" - Samonivelační vyrovnávací stěrka, tl. 17 mm - 17,71 m2 " (16,10)*1,10</t>
  </si>
  <si>
    <t>" - Betonová mazanina C25/30-XCI s KARI sítí 100x100x6 mm, tl. 110 mm - 1,95 m3. " (16,10*0,110)*1,10</t>
  </si>
  <si>
    <t>" - Separační PE fólie - 18,52 m2 " (16,10)*1,15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</si>
  <si>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- 17,71 m2 " (16,10)*1,1</t>
    </r>
  </si>
  <si>
    <t>" 1. NP  - místn. č. 1.23 " (16,10)</t>
  </si>
  <si>
    <t>777099104 SPC</t>
  </si>
  <si>
    <t>D+M Elektrostaticky vodivá stěrka - Podlaha v 1. NP - Specifikace dle PD - D.1.1.c.03. VÝPIS SKLADEB KONSTRUKCÍ - P13</t>
  </si>
  <si>
    <t>" - Kartáčovaný beton C25/30-XC4, XF1 s KARI sítí 100x100x6 mm, tl. 120 mm - 1,25 m3. " (9,47*0,120)*1,10</t>
  </si>
  <si>
    <t>" 1. NP  - místn. č. 1.11 " (9,47)</t>
  </si>
  <si>
    <t>777099105 SPC</t>
  </si>
  <si>
    <t>D+M Elektrostaticky vodivá stěrka - Podlaha v 1. NP - Specifikace dle PD - D.1.1.c.03. VÝPIS SKLADEB KONSTRUKCÍ - P18</t>
  </si>
  <si>
    <t>" - Elektrostaticky vodivá stěrka s elektrovodivými vlákny rozptýlenými ve hmotě, svodový odpor Rs 5x 104 - 106 Ω - tl. 3,0 mm - 7,55 m2 " (7,19)*1,05</t>
  </si>
  <si>
    <t>" - Epoxidový penetrace - 7,55 m2 " (7,19)*1,05</t>
  </si>
  <si>
    <t>" - Samonivelační vyrovnávací stěrka, tl. 17 mm - 7,91 m2 " (7,19)*1,10</t>
  </si>
  <si>
    <t>" - Betonová mazanina C25/30-XCI s KARI sítí 100x100x6 mm, tl. 110 mm - 0,87 m3. " (7,19*0,110)*1,10</t>
  </si>
  <si>
    <t>" - Separační PE fólie - 8,27 m2 " (7,19)*1,15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</si>
  <si>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- 7,91 m2 " (7,19)*1,1</t>
    </r>
  </si>
  <si>
    <t>" 1. NP  - místn. č. 1.24 " (7,19)</t>
  </si>
  <si>
    <t>Přesun hmot procentní pro podlahy lité v objektech v přes 12 do 24 m</t>
  </si>
  <si>
    <t xml:space="preserve">" Stavební práce a dodávky spojené s provedením funkčního celku 777. " </t>
  </si>
  <si>
    <t>781</t>
  </si>
  <si>
    <t>Obklady keramické</t>
  </si>
  <si>
    <t>781131112 RTO</t>
  </si>
  <si>
    <t>Izolace pod obklad nátěrem nebo stěrkou ve dvou vrstvách vč. systémových prvků,pásků</t>
  </si>
  <si>
    <t>" Hydroizolační stěrka pod keramický obklad - 1. NP " (168,9)*1,15</t>
  </si>
  <si>
    <t>781471991 SPC</t>
  </si>
  <si>
    <t>D+M Obklad vnitřní keramický  - hladký - Specifikace dle PD</t>
  </si>
  <si>
    <t>" Obklad vnitřní keramický hladký -  m2 "</t>
  </si>
  <si>
    <t>" Montáž obkladů vnitřních keramických  "</t>
  </si>
  <si>
    <t>" obklad velkoformátový keramický hladký " (168,9)*1,10</t>
  </si>
  <si>
    <t>" Obklad v 2. NP " (168,9)</t>
  </si>
  <si>
    <t>" V ceně hliníkové profily rohové, ukončovací a přechodové, také spárování vodoodpudivou epoxidovou hmotou a tenkovrstvé flexibilní lepidlo. Součástí také barevná spárovací hmota. Příplatky za přípravu povrchů před provedením obkladu. Penetrační nátěr."</t>
  </si>
  <si>
    <t>Příplatek k montáži obkladů vnitřních keramických hladkých za spárování tmelem dvousložkovým</t>
  </si>
  <si>
    <t>Přesun hmot procentní pro obklady keramické v objektech v přes 6 do 12 m</t>
  </si>
  <si>
    <t xml:space="preserve">" Stavební práce a dodávky spojené s provedením funkčního celku 781. " </t>
  </si>
  <si>
    <t>Nátěry</t>
  </si>
  <si>
    <t>783999901 SPC</t>
  </si>
  <si>
    <t xml:space="preserve">D+M Nátěr vnitřních a venkovních kovových a ocelových prvků a konstrukcí včetně úpravy,očištění, základního a vrchního syntetického nátěru - Specifikace dle PD </t>
  </si>
  <si>
    <t>" Nátěr: Základní rozpouštědlový nátěr s aktivními ochrannými pigmenty proti korozi, rozpouštědlo bez obsahu aromátů, email na bázi alkydové pryskyřice s přídavkem polyuretanu s obsahem rozpouštědla bez obsahu aromátů. "</t>
  </si>
  <si>
    <t>" Jídelna "</t>
  </si>
  <si>
    <t>" Vnitřní viditelné ocelové konstrukce budou otrýskány na stupeň Sa 2,5, povrchová úprava zákadním syntetickým nátěrem v min. tloušťce 60 µm a vrhním nátěrem v celkové min. tloušťce 100 µm v odstínu dle požadavků investora."</t>
  </si>
  <si>
    <t>HZS2311</t>
  </si>
  <si>
    <t>Hodinová zúčtovací sazba malíř, natěrač, lakýrník</t>
  </si>
  <si>
    <t xml:space="preserve">" Stavební práce a dodávky spojené s provedením funkčního celku 783. " </t>
  </si>
  <si>
    <t>Malby a tapety</t>
  </si>
  <si>
    <t>784171001 RTO</t>
  </si>
  <si>
    <t>Olepování vnitřních ploch páskou v místnostech výšky do 3,80 m vč. pásky</t>
  </si>
  <si>
    <t>" Olepení styčných ploch + olepení v místech ostře zakončených maleb "</t>
  </si>
  <si>
    <t xml:space="preserve">" Olepení v místě obkladu / soklu - odhad  1000 m " </t>
  </si>
  <si>
    <t>" Olepení v místě zárubní / ostění - odhad  600 m "</t>
  </si>
  <si>
    <t>" V ceně také odstranění fólie po provedení prací. "</t>
  </si>
  <si>
    <t>784171111 RTO</t>
  </si>
  <si>
    <t>Zakrytí vnitřních ploch stěn v místnostech výšky do 3,80 m vč. fólie</t>
  </si>
  <si>
    <t>" Provedení zakrytí oken, dveří, obkladů, před malováním "</t>
  </si>
  <si>
    <t xml:space="preserve">" Odhadované množství - odhad -  500 m2 " </t>
  </si>
  <si>
    <t>784171121 RTO</t>
  </si>
  <si>
    <t>Zakrytí vnitřních ploch konstrukcí nebo prvků v místnostech výšky do 3,80 m vč. fólie</t>
  </si>
  <si>
    <t>" Provedení zakrytí stávajícího vybavení - radiátorů, vybavení atp. před malováním "</t>
  </si>
  <si>
    <t>" Odhadované množství - odhad - 1000 m2 "</t>
  </si>
  <si>
    <t>784</t>
  </si>
  <si>
    <t>784211101 RTO</t>
  </si>
  <si>
    <t>D+M Dvojnásobná interiérová disperzní, matná barva bez obsahu rouzpoštědel, oděruvzdorná  - Specifikace dle PD</t>
  </si>
  <si>
    <t>" Výmalba 1.PP." (407,520)*1,1</t>
  </si>
  <si>
    <t>" Výmalba 1.NP." (924,199)*1,1</t>
  </si>
  <si>
    <t>" Výmalba 2.NP." (812,0)*1,1</t>
  </si>
  <si>
    <t>" V ceně penetrační nátěr před výmalbou."</t>
  </si>
  <si>
    <t>784211101 RT1</t>
  </si>
  <si>
    <t>D+M Dvojnásobná interiérová disperzní, matná barva bez obsahu rouzpoštědel, otěruvzdorná, omyvatelná - Specifikace dle PD</t>
  </si>
  <si>
    <t>" Výmalba 1.NP." (388,802)*1,1</t>
  </si>
  <si>
    <t>" Výmalba 2.NP." (578,829)*1,1</t>
  </si>
  <si>
    <t xml:space="preserve">" Stavební práce a dodávky spojené s provedením funkčního celku 784. " </t>
  </si>
  <si>
    <t xml:space="preserve">" Zakrytí okenních a dveřních výplní, rámů a zárubní, obkladů a ostatních zabudovaných prvků a konstrukcí před výmalbou, olepování konstrukcí páskou." </t>
  </si>
  <si>
    <t>Ostatní práce a dodávky</t>
  </si>
  <si>
    <t>790</t>
  </si>
  <si>
    <t>790999999 SPC</t>
  </si>
  <si>
    <t>Ostatní práce a materiály nespecifikované - pro PSV</t>
  </si>
  <si>
    <t>" Ostatní práce a materiál nespecifikované - PSV "</t>
  </si>
  <si>
    <t>" V ceně např:
 - izolace tepelné a hydroizolace nespecifikované + doplnění v místech neřešených; 
 - prvky a materiál pro zajkištění napojení SDK konstrukcí a dalších věcí;
 - jednotlivé lišty, ochrany hran schodišť, reflexní prvky na hrany;
 - ocelové konstrukce pro drobné prvky a pomoci;
 - bezbarvé nátěry pro prefabrikovanékonstrukce a konstrukce z pohledového betonu;
 - případné oškrábáníé a nová malba u míst s napioojením an stávající části či v místech neřešených ale s vedením podhledu;
 - případné příplatky za barevné provedení maleb;
 - další práce a materiál nespecifikované související s provedením oddílů pro PSV jinde neuvedené a uzmíněné v PD. "</t>
  </si>
  <si>
    <t>998790203 SPC</t>
  </si>
  <si>
    <t>Přesun hmot procentní pro ostatní výrobky v objektech v do 24 m</t>
  </si>
  <si>
    <t>HZS2492</t>
  </si>
  <si>
    <t>Hodinová zúčtovací sazba pomocný dělník PSV</t>
  </si>
  <si>
    <t xml:space="preserve">" Stavební práce a dodávky spojené s provedením funkčního celku 790 " </t>
  </si>
  <si>
    <t>M</t>
  </si>
  <si>
    <t>Práce a dodávky M</t>
  </si>
  <si>
    <t>43-M</t>
  </si>
  <si>
    <t xml:space="preserve">Montáže ocelových konstrukcí </t>
  </si>
  <si>
    <t>943</t>
  </si>
  <si>
    <t>430999101 SPC</t>
  </si>
  <si>
    <t>D+M Ocelová konstrukce včetně nátěru a povchové úpravy - Specifikace dle PD</t>
  </si>
  <si>
    <t>kg</t>
  </si>
  <si>
    <t>" Cena obsahuje také kotvení ocelových konstrukcí pomocí navrtání, kotev, ocelových kotevních desek, patních a roznášecích plechů, podlití cemenotovu maltou a chemického zakotvení."</t>
  </si>
  <si>
    <t>" Konstrukce je navržena jako svařovaná svary na plný průřez, popř. koutové výšky min. 4mm."</t>
  </si>
  <si>
    <t>" Ocelová konstrukce dle ČSN EN 1090, nosné ocelové prvky dle ČSN EN 10025+A1 z oceli S235. "</t>
  </si>
  <si>
    <t>" Vnější ocelové konstrukce otrýskány na stupeň Sa 2,5, povrchová úprava bude žárovým pozinkem v min. tloušťce 100 µm, finální nátěr dle požadavků investora. "</t>
  </si>
  <si>
    <t>" Cena včetně opravy nátěru po montážních svarech, veškerý spojovací materiál z pozinkované oceli nebo opatřen antikorózní úpravou "</t>
  </si>
  <si>
    <t>HZS3121</t>
  </si>
  <si>
    <t>Hodinová zúčtovací sazba montér ocelových konstrukcí</t>
  </si>
  <si>
    <t xml:space="preserve">"Stavební práce a dodávky spojené s provedením funkčního celku M-43." </t>
  </si>
  <si>
    <t>CELKEM</t>
  </si>
  <si>
    <t>D.1.1. ASŘ - NOVÝ STAV</t>
  </si>
  <si>
    <t>Jednotkové položky zahrnují vedlejší rozpočtové náklady, náklady na montáž, dopravu, apod. a předepsané zkoušky, revize, manipulační řády, zaškolení obsluhy, není-li uvedeno jinak.</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</si>
  <si>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</si>
  <si>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REKAPITULACE</t>
  </si>
  <si>
    <t>Objekt:   D.1.1. ASŘ - NOVÝ STAV</t>
  </si>
  <si>
    <t>Kód</t>
  </si>
  <si>
    <t xml:space="preserve">Cena celkem                       </t>
  </si>
  <si>
    <t>Podlahy z povlakové</t>
  </si>
  <si>
    <t>D.1.1. ASŘ - CELKEM</t>
  </si>
  <si>
    <t>763999103 SPC</t>
  </si>
  <si>
    <t>763999104 SPC</t>
  </si>
  <si>
    <t>763999105 SPC</t>
  </si>
  <si>
    <t>763999106 SPC</t>
  </si>
  <si>
    <t>763999107 SPC</t>
  </si>
  <si>
    <t>763999108 SPC</t>
  </si>
  <si>
    <t>D+M Montáž dvířek revizních do SDK kcí vel. 400x400 mm - Specifikace dle PD</t>
  </si>
  <si>
    <t>" Montáž revizních dvířek."</t>
  </si>
  <si>
    <t>" V ceně veškkeré příslušenství pro provedení."</t>
  </si>
  <si>
    <t>" - dvířka se skrytými hranami, zavírání na magnet."</t>
  </si>
  <si>
    <t>11</t>
  </si>
  <si>
    <t>17</t>
  </si>
  <si>
    <t>22</t>
  </si>
  <si>
    <t>Objekt:  D.1.1.c.01. VÝPIS DVEŘÍ</t>
  </si>
  <si>
    <t>Konstrukce truhlářské - Výpis dveří</t>
  </si>
  <si>
    <t>766</t>
  </si>
  <si>
    <t>766910101 SPC</t>
  </si>
  <si>
    <t>D+M Fasádní otočné hliníkové dveře dvoukřídlé 900+750/2100 mm, prosklené - Specifikace dle PD - D.1.1.c.01. VÝPIS DVEŘÍ - DF01</t>
  </si>
  <si>
    <t>" Fasádní dveře hliníkové otočné dvoukřídlé, prosklené.
Rozměr otvoru 1850x2600 mm. "</t>
  </si>
  <si>
    <t>" Dveře - 1. NP "</t>
  </si>
  <si>
    <t>" Včetně kování, zárubně a veškerého příslušenství a doplňků dle PD. "</t>
  </si>
  <si>
    <t>" V ceně nutné prokabelování a napojení na elektro. "</t>
  </si>
  <si>
    <t>766910105 SPC</t>
  </si>
  <si>
    <t>D+M Fasádní otočné hliníkové dveře jednokřídlé 800/2100 mm, prosklené - Specifikace dle PD - D.1.1.c.01. VÝPIS DVEŘÍ - DF02</t>
  </si>
  <si>
    <t>" Fasádní dveře hliníkové otočné jednokřídlé, prosklené.
Rozměr otvoru 1000×3000 mm. "</t>
  </si>
  <si>
    <t>766910102 SPC</t>
  </si>
  <si>
    <t>D+M Fasádní otočné hliníkové dveře dvoukřídlé 900+400/2100 mm, prosklené - Specifikace dle PD - D.1.1.c.01. VÝPIS DVEŘÍ - DF03</t>
  </si>
  <si>
    <t>" Fasádní dveře hliníkové otočné dvoukřídlé, prosklené.
Rozměr otvoru 1500x2200 mm. "</t>
  </si>
  <si>
    <t>766910106 SPC</t>
  </si>
  <si>
    <t>D+M Fasádní otočné hliníkové dveře jednokřídlé 800/2100 mm, plné - Specifikace dle PD - D.1.1.c.01. VÝPIS DVEŘÍ - DF04</t>
  </si>
  <si>
    <t>" Fasádní dveře hliníkové otočné jednokřídlé, plné.
Rozměr otvoru 1000×2100 mm. "</t>
  </si>
  <si>
    <t>766910107 SPC</t>
  </si>
  <si>
    <t>D+M Fasádní otočné hliníkové dveře jednokřídlé 800/2000 mm, plné - Specifikace dle PD - D.1.1.c.01. VÝPIS DVEŘÍ - DF05</t>
  </si>
  <si>
    <t>" Fasádní dveře hliníkové otočné jednokřídlé, plné.
Rozměr otvoru 1000x2100 mm. "</t>
  </si>
  <si>
    <t>766920101 SPC</t>
  </si>
  <si>
    <t>D+M Interiérové otočné dřevěné dveře dvoukřídlé 900+350/1970 mm, prosklené - Specifikace dle PD - D.1.1.c.01. VÝPIS DVEŘÍ - D101</t>
  </si>
  <si>
    <t>" Interiérové dveře hliníkové otočné dvoukřídlé, prosklené.
Rozměr dveří celkový 1350x2020 mm. "</t>
  </si>
  <si>
    <t>766920102 SPC</t>
  </si>
  <si>
    <t>D+M Interiérové otočné dřevěné dveře dvoukřídlé 900+350/1970 mm, s PO, prosklené - Specifikace dle PD - D.1.1.c.01. VÝPIS DVEŘÍ - D102</t>
  </si>
  <si>
    <t>" Interiérové dveře hliníkové otočné dvoukřídlé, s PO, prosklené.
Rozměr dveří celkový 1350x2020 mm. "</t>
  </si>
  <si>
    <t>766920103 SPC</t>
  </si>
  <si>
    <t>D+M Interiérové otočné dřevěné dveře dvoukřídlé 900+350/1970 mm, s PO, plné - Specifikace dle PD - D.1.1.c.01. VÝPIS DVEŘÍ - D103</t>
  </si>
  <si>
    <t>" Interiérové dveře hliníkové otočné dvoukřídlé, s PO, plné.
Rozměr dveří celkový 1350x2020 mm. "</t>
  </si>
  <si>
    <t>766920104 SPC</t>
  </si>
  <si>
    <t>D+M Interiérové otočné dřevěné dveře dvoukřídlé 900+350/1970 mm, s PO, prosklené - Specifikace dle PD - D.1.1.c.01. VÝPIS DVEŘÍ - D104</t>
  </si>
  <si>
    <t>766920105 SPC</t>
  </si>
  <si>
    <t>D+M Interiérové otočné dřevěné dveře jednokřídlé 700/1970 mm, plné - Specifikace dle PD - D.1.1.c.01. VÝPIS DVEŘÍ - D105</t>
  </si>
  <si>
    <t>" Interiérové dveře dřevěné otočné jednokřídlé, plné.
Rozměr otvoru 800x2020 mm. "</t>
  </si>
  <si>
    <t>766920106 SPC</t>
  </si>
  <si>
    <t>D+M Interiérové otočné dřevěné dveře jednokřídlé 700/1970 mm, plné - Specifikace dle PD - D.1.1.c.01. VÝPIS DVEŘÍ - D106</t>
  </si>
  <si>
    <t>766920107 SPC</t>
  </si>
  <si>
    <t>D+M Interiérové otočné dřevěné dveře jednokřídlé 700/1970 mm, plné - Specifikace dle PD - D.1.1.c.01. VÝPIS DVEŘÍ - D107</t>
  </si>
  <si>
    <t>766920108 SPC</t>
  </si>
  <si>
    <t>D+M Interiérové otočné dřevěné dveře jednokřídlé 700/1970 mm, plné - Specifikace dle PD - D.1.1.c.01. VÝPIS DVEŘÍ - D108</t>
  </si>
  <si>
    <t>766920109 SPC</t>
  </si>
  <si>
    <t>D+M Interiérové otočné dřevěné dveře jednokřídlé 700/1970 mm, plné - Specifikace dle PD - D.1.1.c.01. VÝPIS DVEŘÍ - D109</t>
  </si>
  <si>
    <t>766920110 SPC</t>
  </si>
  <si>
    <t>D+M Interiérové otočné dřevěné dveře jednokřídlé 800/1970 mm, plné - Specifikace dle PD - D.1.1.c.01. VÝPIS DVEŘÍ - D110</t>
  </si>
  <si>
    <t>" Interiérové dveře dřevěné otočné jednokřídlé, plné.
Rozměr otvoru 900x2020 mm. "</t>
  </si>
  <si>
    <t>766920111 SPC</t>
  </si>
  <si>
    <t>D+M Interiérové otočné dřevěné dveře dvoukřídlé 900+350/1970 mm, prosklené - Specifikace dle PD - D.1.1.c.01. VÝPIS DVEŘÍ - D111</t>
  </si>
  <si>
    <t>" Interiérové dveře hliníkové otočné dvoukřídlé, prosklené.
Rozměr dveří celkový 1350×2020 mm. "</t>
  </si>
  <si>
    <t>766920112 SPC</t>
  </si>
  <si>
    <t>D+M Interiérové otočné dřevěné dveře dvoukřídlé 900+350/1970 mm, prosklené - Specifikace dle PD - D.1.1.c.01. VÝPIS DVEŘÍ - D112</t>
  </si>
  <si>
    <t>766920113 SPC</t>
  </si>
  <si>
    <t>D+M Interiérové otočné dřevěné dveře jednokřídlé 800/1970 mm, plné - Specifikace dle PD - D.1.1.c.01. VÝPIS DVEŘÍ - D113</t>
  </si>
  <si>
    <t>766920114 SPC</t>
  </si>
  <si>
    <t>D+M Interiérové otočné dřevěné dveře jednokřídlé 800/1970 mm, s PO, plné - Specifikace dle PD - D.1.1.c.01. VÝPIS DVEŘÍ - D114</t>
  </si>
  <si>
    <t>" Interiérové dveře dřevěné otočné jednokřídlé, plné, s PO.
Rozměr otvoru 900x2020 mm. "</t>
  </si>
  <si>
    <t>766920201 SPC</t>
  </si>
  <si>
    <t>D+M Interiérové otočné dřevěné dveře jednokřídlé 800/1970 mm, plné - Specifikace dle PD - D.1.1.c.01. VÝPIS DVEŘÍ - D115</t>
  </si>
  <si>
    <t>D+M Interiérové otočné dřevěné dveře jednokřídlé 800/1970 mm, plné - Specifikace dle PD - D.1.1.c.01. VÝPIS DVEŘÍ - D116</t>
  </si>
  <si>
    <t>" Dveře - 2. NP "</t>
  </si>
  <si>
    <t>766930101 SPC</t>
  </si>
  <si>
    <t>D+M Interiérové otočné dřevěné dveře dvoukřídlé 900+350/1970 mm, prosklené - Specifikace dle PD - D.1.1.c.01. VÝPIS DVEŘÍ - D117</t>
  </si>
  <si>
    <t>766930102 SPC</t>
  </si>
  <si>
    <t>D+M Interiérové otočné dřevěné dveře jednokřídlé 900/1970 mm, plné - Specifikace dle PD - D.1.1.c.01. VÝPIS DVEŘÍ - D118</t>
  </si>
  <si>
    <t>" Interiérové dveře dřevěné otočné jednokřídlé, plné.
Rozměr otvoru 1000x2020 mm. "</t>
  </si>
  <si>
    <t>766930103 SPC</t>
  </si>
  <si>
    <t>D+M Interiérové otočné dřevěné dveře jednokřídlé 800/1970 mm, plné - Specifikace dle PD - D.1.1.c.01. VÝPIS DVEŘÍ - D119</t>
  </si>
  <si>
    <t>766930104 SPC</t>
  </si>
  <si>
    <t>D+M Interiérové otočné dřevěné dveře jednokřídlé 800/1970 mm, plné - Specifikace dle PD - D.1.1.c.01. VÝPIS DVEŘÍ - D120</t>
  </si>
  <si>
    <t>766930105 SPC</t>
  </si>
  <si>
    <t>D+M Interiérové otočné dřevěné dveře jednokřídlé 800/1970 mm, prosklené - Specifikace dle PD - D.1.1.c.01. VÝPIS DVEŘÍ - D121</t>
  </si>
  <si>
    <t>" Interiérové dveře dřevěné otočné jednokřídlé, prosklené.
Rozměr otvoru 900x2020 mm. "</t>
  </si>
  <si>
    <t>766930106 SPC</t>
  </si>
  <si>
    <t>D+M Interiérové otočné dřevěné dveře dvoukřídlé 900+350/1970 mm, prosklené - Specifikace dle PD - D.1.1.c.01. VÝPIS DVEŘÍ - D122</t>
  </si>
  <si>
    <t>766930107 SPC</t>
  </si>
  <si>
    <t>D+M Interiérové otočné dřevěné dveře jednokřídlé 800/1970 mm, plné - Specifikace dle PD - D.1.1.c.01. VÝPIS DVEŘÍ - D123</t>
  </si>
  <si>
    <t>766930108 SPC</t>
  </si>
  <si>
    <t>D+M Interiérové otočné dřevěné dveře jednokřídlé 700/1970 mm, plné - Specifikace dle PD - D.1.1.c.01. VÝPIS DVEŘÍ - D124</t>
  </si>
  <si>
    <t>766930109 SPC</t>
  </si>
  <si>
    <t>D+M Interiérové otočné dřevěné dveře jednokřídlé 700/1970 mm, plné - Specifikace dle PD - D.1.1.c.01. VÝPIS DVEŘÍ - D125</t>
  </si>
  <si>
    <t>766930110 SPC</t>
  </si>
  <si>
    <t>D+M Interiérové otočné dřevěné dveře jednokřídlé 800/1970 mm, plné - Specifikace dle PD - D.1.1.c.01. VÝPIS DVEŘÍ - D126</t>
  </si>
  <si>
    <t>766930111 SPC</t>
  </si>
  <si>
    <t>D+M Interiérové otočné dřevěné dveře jednokřídlé 700/1970 mm, plné - Specifikace dle PD - D.1.1.c.01. VÝPIS DVEŘÍ - D127</t>
  </si>
  <si>
    <t>766930112 SPC</t>
  </si>
  <si>
    <t>D+M Interiérové otočné dřevěné dveře jednokřídlé 800/1970 mm, prosklené - Specifikace dle PD - D.1.1.c.01. VÝPIS DVEŘÍ - D128</t>
  </si>
  <si>
    <t>766940101 SPC</t>
  </si>
  <si>
    <t>D+M Interiérové otočné dřevěné dveře jednokřídlé 800/1970 mm, plné - Specifikace dle PD - D.1.1.c.01. VÝPIS DVEŘÍ - D129</t>
  </si>
  <si>
    <t>766940102 SPC</t>
  </si>
  <si>
    <t>D+M Interiérové otočné dřevěné dveře jednokřídlé 800/1970 mm, s PO,  plné - Specifikace dle PD - D.1.1.c.01. VÝPIS DVEŘÍ - D130</t>
  </si>
  <si>
    <t>" Interiérové dveře dřevěné otočné jednokřídlé, s PO, plné.
Rozměr otvoru 900x2020 mm. "</t>
  </si>
  <si>
    <t>766940103 SPC</t>
  </si>
  <si>
    <t>D+M Interiérové otočné dřevěné dveře dvoukřídlé 800+400/1970 mm, s PO, plné - Specifikace dle PD - D.1.1.c.01. VÝPIS DVEŘÍ - D131</t>
  </si>
  <si>
    <t>" Interiérové dveře hliníkové otočné dvoukřídlé, s PO, plné.
Rozměr dveří celkový 1400×2020 mm. "</t>
  </si>
  <si>
    <t>766940104 SPC</t>
  </si>
  <si>
    <t>D+M Interiérové otočné dřevěné dveře dvoukřídlé 900+350/1970 mm, s PO, prosklené - Specifikace dle PD - D.1.1.c.01. VÝPIS DVEŘÍ - D201</t>
  </si>
  <si>
    <t>" Interiérové dveře hliníkové otočné dvoukřídlé, s PO, prosklené.
Rozměr dveří celkový 1350×2020 mm. "</t>
  </si>
  <si>
    <t>766940105 SPC</t>
  </si>
  <si>
    <t>D+M Interiérové otočné dřevěné dveře jednokřídlé 800/1970 mm, plné - Specifikace dle PD - D.1.1.c.01. VÝPIS DVEŘÍ - D202</t>
  </si>
  <si>
    <t>766940106 SPC</t>
  </si>
  <si>
    <t>D+M Interiérové otočné dřevěné dveře jednokřídlé 700/1970 mm, plné - Specifikace dle PD - D.1.1.c.01. VÝPIS DVEŘÍ - D203</t>
  </si>
  <si>
    <t>766940107 SPC</t>
  </si>
  <si>
    <t>D+M Interiérové otočné dřevěné dveře jednokřídlé 700/1970 mm, plné - Specifikace dle PD - D.1.1.c.01. VÝPIS DVEŘÍ - D204</t>
  </si>
  <si>
    <t>766940108 SPC</t>
  </si>
  <si>
    <t>D+M Interiérové otočné dřevěné dveře jednokřídlé 800/1970 mm, plné - Specifikace dle PD - D.1.1.c.01. VÝPIS DVEŘÍ - D205</t>
  </si>
  <si>
    <t>766940109 SPC</t>
  </si>
  <si>
    <t>D+M Interiérové otočné dřevěné dveře jednokřídlé 700/1970 mm, plné - Specifikace dle PD - D.1.1.c.01. VÝPIS DVEŘÍ - D206</t>
  </si>
  <si>
    <t>7669401010 SPC</t>
  </si>
  <si>
    <t>D+M Interiérové otočné dřevěné dveře jednokřídlé 700/1970 mm, plné - Specifikace dle PD - D.1.1.c.01. VÝPIS DVEŘÍ - D207</t>
  </si>
  <si>
    <t>766940111 SPC</t>
  </si>
  <si>
    <t>D+M Interiérové otočné dřevěné dveře jednokřídlé 800/1970 mm, s PO, plné - Specifikace dle PD - D.1.1.c.01. VÝPIS DVEŘÍ - D208</t>
  </si>
  <si>
    <t>766660717 SPC</t>
  </si>
  <si>
    <t xml:space="preserve">D+M Samozavírač  na dveře mezi m.č. 2.07 - 2.28 a 2.29 - 2.29 - Specifikace dle PD - D.1.1.c.01. VÝPIS DVEŘÍ </t>
  </si>
  <si>
    <t>" Montáž a dodávka samozavírače. "</t>
  </si>
  <si>
    <t>" Samozavírače "</t>
  </si>
  <si>
    <t>" Včetně veškerého příslušenství a doplňků dle PD. "</t>
  </si>
  <si>
    <t>766940113 SPC</t>
  </si>
  <si>
    <t>D+M Štítky na všechny stávající dveře - Specifikace dle PD - D.1.1.c.01. VÝPIS DVEŘÍ</t>
  </si>
  <si>
    <t>" Štítek na dveře. "</t>
  </si>
  <si>
    <t>" Štítek na dveřích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</si>
  <si>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</si>
  <si>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</si>
  <si>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</si>
  <si>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</si>
  <si>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HZS2121</t>
  </si>
  <si>
    <t>Hodinová zúčtovací sazba truhlář</t>
  </si>
  <si>
    <t xml:space="preserve">" Stavební práce a dodávky spojené s provedením funkčního celku 766 " </t>
  </si>
  <si>
    <t>D.1.1.c.01. VÝPIS DVEŘÍ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</si>
  <si>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</si>
  <si>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Objekt:  D.1.1.c.02. VÝPIS OKEN</t>
  </si>
  <si>
    <t>Konstrukce truhlářské</t>
  </si>
  <si>
    <t>776999101 SPC</t>
  </si>
  <si>
    <t>D+M Plastové okno 900x600 mm - Specifikace ve výpisu oken - O01</t>
  </si>
  <si>
    <t>" Plastové okno 1x sklopné. "</t>
  </si>
  <si>
    <t>" 1. PP "</t>
  </si>
  <si>
    <t>" Okno včetně kování a příslušenství dle PD. "</t>
  </si>
  <si>
    <t>776999102 SPC</t>
  </si>
  <si>
    <t>D+M Plastové okno 1200×900 mm  - Specifikace ve výpisu oken - O02</t>
  </si>
  <si>
    <t>" Plastové okno sklopné i otevíravé. "</t>
  </si>
  <si>
    <t>776999103 SPC</t>
  </si>
  <si>
    <t>D+M Plastové okno 1200x1800 mm vč. sítě proti hmyzu - Specifikace ve výpisu oken - O101</t>
  </si>
  <si>
    <t>" Plastové okno 1x sklopné i otevíravé."</t>
  </si>
  <si>
    <t>" 1. NP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</si>
  <si>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</si>
  <si>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776999104 SPC</t>
  </si>
  <si>
    <t>D+M Plastové okno 1200×1800 mm - Specifikace ve výpisu oken - O102</t>
  </si>
  <si>
    <t>776999105 SPC</t>
  </si>
  <si>
    <t>D+M Plastové okno 2400×1800 mm vč. sítě proti hmyzu - Specifikace ve výpisu oken - O103</t>
  </si>
  <si>
    <t>" Plastové okno 2x sklopné i otevíravé. "</t>
  </si>
  <si>
    <t>776999106 SPC</t>
  </si>
  <si>
    <t>D+M Plastové okno 2400×1800 mm vč. sítě proti hmyzu - Specifikace ve výpisu oken - O104</t>
  </si>
  <si>
    <t>776999107 SPC</t>
  </si>
  <si>
    <t>D+M Plastové okno 900×1800 mm - Specifikace ve výpisu oken - O105</t>
  </si>
  <si>
    <t>776999108 SPC</t>
  </si>
  <si>
    <t>D+M Plastové okno 1200×2100 mm - Specifikace ve výpisu oken - O106</t>
  </si>
  <si>
    <t>" Plastové okno 1x sklopné i otevíravé a 1x sklopné."</t>
  </si>
  <si>
    <t>776999109 SPC</t>
  </si>
  <si>
    <t>D+M Plastové okno 2400×2100 mm - Specifikace ve výpisu oken - O107</t>
  </si>
  <si>
    <t>" Plastové okno 2x sklopné i otevíravé a 2x sklopné. "</t>
  </si>
  <si>
    <t>776999110 SPC</t>
  </si>
  <si>
    <t>D+M Plastové okno 2400×2100 mm - Specifikace ve výpisu oken - O108</t>
  </si>
  <si>
    <t>776999111 SPC</t>
  </si>
  <si>
    <t>D+M Plastové okno 2400×2100 mm - Specifikace ve výpisu oken - O109</t>
  </si>
  <si>
    <t>776999112 SPC</t>
  </si>
  <si>
    <t>D+M Plastové okno 900×2100 mm - Specifikace ve výpisu oken - O110</t>
  </si>
  <si>
    <t>776999113 SPC</t>
  </si>
  <si>
    <t>D+M Plastové okno 900×2100 mm - Specifikace ve výpisu oken - O111</t>
  </si>
  <si>
    <t>776999114 SPC</t>
  </si>
  <si>
    <t>D+M Plastové okno 2400×1800 mm - Specifikace ve výpisu oken - O112</t>
  </si>
  <si>
    <t>776999115 SPC</t>
  </si>
  <si>
    <t>D+M Plastové okno 1200×1800 mm - Specifikace ve výpisu oken - O113</t>
  </si>
  <si>
    <t>776999116 SPC</t>
  </si>
  <si>
    <t>D+M Plastové okno 1200×2100 mm - Specifikace ve výpisu oken - O201</t>
  </si>
  <si>
    <t>" 2. NP "</t>
  </si>
  <si>
    <t>776999117 SPC</t>
  </si>
  <si>
    <t>D+M Plastové okno 2400×2100 mm - Specifikace ve výpisu oken - O202</t>
  </si>
  <si>
    <t>" Plastové okno 2x sklopné i otevíravé a 2x sklopné."</t>
  </si>
  <si>
    <t>776999118 SPC</t>
  </si>
  <si>
    <t>D+M Plastové okno 900×2100 mm - Specifikace ve výpisu oken - O203</t>
  </si>
  <si>
    <t>776999119 SPC</t>
  </si>
  <si>
    <t>D+M Plastové okno 900×2100 mm - Specifikace ve výpisu oken - O204</t>
  </si>
  <si>
    <t>776999120 SPC</t>
  </si>
  <si>
    <t>D+M Plastové okno 1200×2100 mm - Specifikace ve výpisu oken - O205</t>
  </si>
  <si>
    <t>776999121 SPC</t>
  </si>
  <si>
    <t>D+M Plastové okno 2400×2100 mm - Specifikace ve výpisu oken - O206</t>
  </si>
  <si>
    <t>Přesun hmot procentní pro kce truhlářské v objektech v přes 6 do 12 m</t>
  </si>
  <si>
    <t>23</t>
  </si>
  <si>
    <t>Konstrukce zámečnické</t>
  </si>
  <si>
    <t>767620001 SPC</t>
  </si>
  <si>
    <t>D+M Hliníkové okno 5400x1500 mm - Specifikace dle PD - D.1.1.c.02. VÝPIS OKEN - OM01</t>
  </si>
  <si>
    <t>" Hliníkový profil, 4x příčka, křídla - 4x výsuvné a 4x fixní. "</t>
  </si>
  <si>
    <t>" 1.NP "</t>
  </si>
  <si>
    <t>767</t>
  </si>
  <si>
    <t>Přesun hmot procentní pro zámečnické konstrukce v objektech v přes 6 do 12 m</t>
  </si>
  <si>
    <t>HZS2131</t>
  </si>
  <si>
    <t>Hodinová zúčtovací sazba zámečník</t>
  </si>
  <si>
    <t>Stínění a čalounické úpravy</t>
  </si>
  <si>
    <t>786999102 SPC</t>
  </si>
  <si>
    <t>D+M Interiérové žaluzie, mechanicky ovládané - pro okno O102 - Specifikace dle PD - D.1.1.c.02 VÝPIS OKEN</t>
  </si>
  <si>
    <t>" Vnitřní žaluzie - celostínící hliníkové lamely š. 25 mm. Barva bílá. "</t>
  </si>
  <si>
    <t>" Vnitřní žaluzie "</t>
  </si>
  <si>
    <t xml:space="preserve">" V ceně veškeré nutné příslušenství a materiál pro montáž vnitřních žaluzií - ovládací prvek (lano, řetízek, …), případný uložný prvek ovládání (aretace), veškeré lišty, horní profil (box), apod. " </t>
  </si>
  <si>
    <t>786999105 SPC</t>
  </si>
  <si>
    <t>D+M Interiérové žaluzie, mechanicky ovládané - pro okno O105 - Specifikace dle PD - D.1.1.c.02 VÝPIS OKEN</t>
  </si>
  <si>
    <t>786999109 SPC</t>
  </si>
  <si>
    <t>D+M Interiérové žaluzie, mechanicky ovládané - pro okno O109 - Specifikace dle PD - D.1.1.c.02 VÝPIS OKEN</t>
  </si>
  <si>
    <t>786999113 SPC</t>
  </si>
  <si>
    <t>D+M Interiérové žaluzie, mechanicky ovládané - pro okno O113 - Specifikace dle PD - D.1.1.c.02 VÝPIS OKEN</t>
  </si>
  <si>
    <t>786</t>
  </si>
  <si>
    <t>786999401 SPC</t>
  </si>
  <si>
    <t>D+M Venkovní žaluzie - elektricky ovládané - Specifikace ve výpisu oken</t>
  </si>
  <si>
    <t>" Předokenní hliníková žaluzie. Šířka lamel 80 mm. Tvar lamely "C". Montáž do systémového kastlíku, podomítkový systém. "</t>
  </si>
  <si>
    <t>" Venkovní žaluzie pro okna. "</t>
  </si>
  <si>
    <t>" Žaluzie pro okno 1200×1800 mm - O101 " - 3ks</t>
  </si>
  <si>
    <t>" Žaluzie pro okno 2400×1800 mm - O103 " - 6ks</t>
  </si>
  <si>
    <t>" Žaluzie pro okno 2400×1800 mm - O104 " - 2ks</t>
  </si>
  <si>
    <t>" Žaluzie pro okno 2400×2100 mm - O108 " - 6ks</t>
  </si>
  <si>
    <t>" Žaluzie pro okno 2400×2100 mm - O202 " - 21ks</t>
  </si>
  <si>
    <t>" Žaluzie pro okno 900×2100 mm - O203 " - 2ks</t>
  </si>
  <si>
    <t>" Žaluzie pro okno 1200×2100 mm - O205 " - 2ks</t>
  </si>
  <si>
    <t xml:space="preserve">" Včetně podpůrné a rozšiřující konstrukce, vodících kolejnic, elektrického pohonu, pokabelování, napojení na elektro, ovládacích prvků a příslušenství. " </t>
  </si>
  <si>
    <t xml:space="preserve">" V ceně žaluziový box včetně systémové izolace a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</si>
  <si>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</si>
  <si>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okenních výplní. " </t>
  </si>
  <si>
    <t>Přesun hmot procentní pro stínění a čalounické úpravy v objektech v do 12 m</t>
  </si>
  <si>
    <t xml:space="preserve">" Stavební práce a dodávky spojené s provedením funkčního celku 786. " </t>
  </si>
  <si>
    <t>D.1.1.c.02. VÝPIS OKEN</t>
  </si>
  <si>
    <t>Jednotkové položky zahrnují vedlejší rozpočtové náklady, náklady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</si>
  <si>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</si>
  <si>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D.1.1.c.07. VÝPIS OSTATNÍCH VÝROBKŮ</t>
  </si>
  <si>
    <t>790999101 SPC</t>
  </si>
  <si>
    <t>D+M Sanitární příčka - Specifikace dle PD - D.1.1.c.07. VÝPIS OSTATNÍCH VÝROBKŮ - OV1.1</t>
  </si>
  <si>
    <t>" Sestava dělících systémových sanitárních příček. "</t>
  </si>
  <si>
    <t>1a</t>
  </si>
  <si>
    <t>763412114</t>
  </si>
  <si>
    <t>" - Sanitární příčka " ((1,450+1,80)*1,850)</t>
  </si>
  <si>
    <t>1b</t>
  </si>
  <si>
    <t>763412124</t>
  </si>
  <si>
    <t>" - Dveře pro sanitární příčky "</t>
  </si>
  <si>
    <t>" Sanitární příčka "</t>
  </si>
  <si>
    <t>" V ceně veškeré kotvíci prvky a doplňky. "</t>
  </si>
  <si>
    <t>790999102 SPC</t>
  </si>
  <si>
    <t>D+M Sanitární příčka - Specifikace dle PD - D.1.1.c.07. VÝPIS OSTATNÍCH VÝROBKŮ - OV1.2</t>
  </si>
  <si>
    <t>2a</t>
  </si>
  <si>
    <t>" - Sanitární příčka " ((1,580+1,800))*1,85</t>
  </si>
  <si>
    <t>2b</t>
  </si>
  <si>
    <t>790999103 SPC</t>
  </si>
  <si>
    <t>D+M Sanitární příčka - Specifikace dle PD - D.1.1.c.07. VÝPIS OSTATNÍCH VÝROBKŮ - OV1.3</t>
  </si>
  <si>
    <t>3a</t>
  </si>
  <si>
    <t>" - Sanitární příčka " (1,460*2+2,600)*1,85</t>
  </si>
  <si>
    <t>3b</t>
  </si>
  <si>
    <t>790999111 SPC</t>
  </si>
  <si>
    <t>D+M Čistící zóna - venkovní - Specifikace dle PD - D.1.1.c.07. VÝPIS OSTATNÍCH VÝROBKŮ  - OV2.1</t>
  </si>
  <si>
    <t>" Venkovní čistící zóna. "</t>
  </si>
  <si>
    <t>4a</t>
  </si>
  <si>
    <t>" - Osazení zápustného rámu čistící zóny " (0,91)*2</t>
  </si>
  <si>
    <t>4b</t>
  </si>
  <si>
    <t>767999991 SPC</t>
  </si>
  <si>
    <t>" - Dodávka zápustného rámu čistící zóny " (0,91)*2*1,05</t>
  </si>
  <si>
    <t>4c</t>
  </si>
  <si>
    <t>" - Montáž čistící zóny " (0,91)</t>
  </si>
  <si>
    <t>4d</t>
  </si>
  <si>
    <t>767999992 SPC</t>
  </si>
  <si>
    <t>" - Dodávka čistící zóny "  (0,91)*1,05</t>
  </si>
  <si>
    <t>" Venkovní čistící zóna - 1. NP "</t>
  </si>
  <si>
    <t>" Cena vč. osazení, zapuštěného nerezového rámu. "</t>
  </si>
  <si>
    <t>D+M Vstupní čistící zóna - vnitřní - Specifikace dle PD - D.1.1.c.07. VÝPIS OSTATNÍCH VÝROBKŮ  - OV2.2</t>
  </si>
  <si>
    <t>" Vstupní čistící zóna - vnitřní. "</t>
  </si>
  <si>
    <t>5a</t>
  </si>
  <si>
    <t>" - Osazení zápustného rámu čistící zóny " (17,92+2,31)*2</t>
  </si>
  <si>
    <t>5b</t>
  </si>
  <si>
    <t>767999993 SPC</t>
  </si>
  <si>
    <t>" - Dodávka hliníkového rámečku čistící zóny " (17,92+2,31)*1,05</t>
  </si>
  <si>
    <t>5c</t>
  </si>
  <si>
    <t>" - Montáž čistící zóny " (17,92+2,31)</t>
  </si>
  <si>
    <t>5d</t>
  </si>
  <si>
    <t>" - Dodávka vnitřní čistící kobercové zóny "  (17,92+2,31)*1,05</t>
  </si>
  <si>
    <t>" Vstupní čistící zóna - 1. NP "</t>
  </si>
  <si>
    <t>790999401 SPC</t>
  </si>
  <si>
    <t>D+M Přenosný hasící přístroj práškový - Specifikace dle PD - D.1.1.c.07. VÝPIS OSTATNÍCH VÝROBKŮ - OV3.1</t>
  </si>
  <si>
    <t>" Přenosný hasicí přístroj práškový 6 kg - hasící schopnost 21A. "</t>
  </si>
  <si>
    <t>" Cena vč. držáku a úvodní revize. "</t>
  </si>
  <si>
    <t>D+M Hydrantový systém vestavěný s tvarově stálou hadící D19 - Specifikace dle PD - D.1.1.c.07. VÝPIS OSTATNÍCH VÝROBKŮ  - OV3.2</t>
  </si>
  <si>
    <t>" Hydrantový systém vestavěný s tvarově stálou hadicí D19 délky 30 m.
 Rozměr: 650x650x175 mm. "</t>
  </si>
  <si>
    <t xml:space="preserve">" 1. NP " </t>
  </si>
  <si>
    <t>" V ceně armatury, tvarovky, napojení na požární vodovod, revize"</t>
  </si>
  <si>
    <t>8</t>
  </si>
  <si>
    <t>790999501 SPC</t>
  </si>
  <si>
    <t>D+M Skříňka na hasící přístroj - Specifikace dle PD - D.1.1.c.07. VÝPIS OSTATNÍCH VÝROBKŮ - OV3.3</t>
  </si>
  <si>
    <t>" Korpus - svařovaná konstrukce z ocelového plechu
  Povrch - práškový lak, barva bílá
  Dvířka - z ocelového plechu, plná
  Rozměry - 595x260x210mm "</t>
  </si>
  <si>
    <t>790999502 SPC</t>
  </si>
  <si>
    <t>D+M Skříňka na hasící přístroj dvojitá- Specifikace dle PD - D.1.1.c.07. VÝPIS OSTATNÍCH VÝROBKŮ - OV3.4</t>
  </si>
  <si>
    <t>" Korpus - svařovaná konstrukce z ocelového plechu
  Povrch - práškový lak, barva bílá
  Dvířka - z ocelového plechu, plná
  Rozměry - 595x220x210mm "</t>
  </si>
  <si>
    <t>790999503 SPC</t>
  </si>
  <si>
    <t>D+M Tabulka " Požární evakuační plán" - Specifikace dle PD - D.1.1.c.07. VÝPIS OSTATNÍCH VÝROBKŮ  - OV3.5</t>
  </si>
  <si>
    <t>" Tabulka "Požární evakuační plán" v nerezovém ráměčku s antireflexním zasklením pro zavěšení na stěnu. Formát A4. "</t>
  </si>
  <si>
    <t>" Cena vč. rámečku, zasklení, kotvících prvků a příslušenství dle PD. "</t>
  </si>
  <si>
    <t>790999504 SPC</t>
  </si>
  <si>
    <t>D+M Tabulka " Požární poplachová směrnice" - Specifikace dle PD - D.1.1.c.07. VÝPIS OSTATNÍCH VÝROBKŮ - OV3.6</t>
  </si>
  <si>
    <t>" Tabulka "Požární poplachová směrnice" v nerezovém ráměčku se zasklením pro zavěšení na stěnu. Formát A4. "</t>
  </si>
  <si>
    <t>12</t>
  </si>
  <si>
    <t>790999920 SPC</t>
  </si>
  <si>
    <t>D+M Světlovod Ø350 mm - Specifikace dle PD - D.1.1.c.07. VÝPIS OSTATNÍCH VÝROBKŮ - OV4.1</t>
  </si>
  <si>
    <t>" Světlovod pro ploché střechy. "</t>
  </si>
  <si>
    <t>" Střecha "</t>
  </si>
  <si>
    <t>" Cena vč. kotvících prvků a příslušenství dle PD. "</t>
  </si>
  <si>
    <t>790999930 SPC</t>
  </si>
  <si>
    <t>D+M Výlez na střechu pro otvor 900×600 mm - Specifikace dle PD - D.1.1.c.07. VÝPIS OSTATNÍCH VÝROBKŮ - OV4.2</t>
  </si>
  <si>
    <t>" Systémový výlez na střechu osazen do otvoru 900×600 mm. "</t>
  </si>
  <si>
    <t>790999136 SPC</t>
  </si>
  <si>
    <t>D+M Okenní roleta  - Specifikace dle PD - D.1.1.c.07. VÝPIS OSTATNÍCH VÝROBKŮ - OV4.3</t>
  </si>
  <si>
    <t>" Okenní roleta 700x1200mm "</t>
  </si>
  <si>
    <t>D+M Okenní roleta  - Specifikace dle PD - D.1.1.c.07. VÝPIS OSTATNÍCH VÝROBKŮ - OV4.4</t>
  </si>
  <si>
    <t>" Okenní roleta 1400x1500mm "</t>
  </si>
  <si>
    <t>16</t>
  </si>
  <si>
    <t>D+M Schodový profil - ukončovací - Specifikace dle PD - D.1.1.c.07. VÝPIS OSTATNÍCH VÝROBKŮ - OV5.5</t>
  </si>
  <si>
    <t>" Schodový ukončovací profil. "</t>
  </si>
  <si>
    <t>D+M Schodový profil - vnitřní roh - Specifikace dle PD - D.1.1.c.07. VÝPIS OSTATNÍCH VÝROBKŮ - OV5.6</t>
  </si>
  <si>
    <t>790999509 SPC</t>
  </si>
  <si>
    <t>D+M Ochrana rohů - Specifikace dle PD - D.1.1.c.07. VÝPIS OSTATNÍCH VÝROBKŮ - OV6.1</t>
  </si>
  <si>
    <t>" Kryty rohů s robustním hliníkovým držák a volně plovoucím krytem "</t>
  </si>
  <si>
    <t>790999131 SPC</t>
  </si>
  <si>
    <t>D+M Cedulka objekt střežen kamerovým systémem - Specifikace dle PD - D.1.1.c.07. VÝPIS OSTATNÍCH VÝROBKŮ  - OV7.1</t>
  </si>
  <si>
    <t>" Objekt střežen kamerovým systémem "</t>
  </si>
  <si>
    <t>D+M Stávající cedule školy - Specifikace dle PD - D.1.1.c.07. VÝPIS OSTATNÍCH VÝROBKŮ - OV7.2</t>
  </si>
  <si>
    <t>" Demontáž a zpětná montáž cedulky školy "</t>
  </si>
  <si>
    <t>790999133 SPC</t>
  </si>
  <si>
    <t>D+M Hlavní orientační systém - Specifikace dle PD - D.1.1.c.07. VÝPIS OSTATNÍCH VÝROBKŮ - OV7.3</t>
  </si>
  <si>
    <t>" Hlavní orientační tabule vkládané tabule s tištěným polepem "</t>
  </si>
  <si>
    <t>D+M Hlavní orientační systém patrový - Specifikace dle PD - D.1.1.c.07. VÝPIS OSTATNÍCH VÝROBKŮ - OV7.4</t>
  </si>
  <si>
    <t>" Patrové orientační tabule vkládané tabule s tištěným polepem "</t>
  </si>
  <si>
    <t>D+M Informační systém - Specifikace dle PD - D.1.1.c.07. VÝPIS OSTATNÍCH VÝROBKŮ - OV7.5</t>
  </si>
  <si>
    <t>" Informační systém, rozměry 210x297mm "</t>
  </si>
  <si>
    <t>24</t>
  </si>
  <si>
    <t>D+M Informační systém  - Specifikace dle PD - D.1.1.c.07. VÝPIS OSTATNÍCH VÝROBKŮ - OV7.6</t>
  </si>
  <si>
    <t>" Informační systém, rozměry 210x110mm "</t>
  </si>
  <si>
    <t xml:space="preserve">" 1. PP " </t>
  </si>
  <si>
    <t xml:space="preserve">" 2. NP " </t>
  </si>
  <si>
    <t>25</t>
  </si>
  <si>
    <t>D+M Stávající cedule zákaz kouření  - Specifikace dle PD - D.1.1.c.07. VÝPIS OSTATNÍCH VÝROBKŮ - OV7.7</t>
  </si>
  <si>
    <t>" Demontáž a zpětná montáž cedule "</t>
  </si>
  <si>
    <t>790999003 SPC</t>
  </si>
  <si>
    <t>D+M Stříška na vchodem - Specifikace dle PD - D.1.1.c.07. VÝPIS OSTATNÍCH VÝROBKŮ  - OV8.1</t>
  </si>
  <si>
    <t>" Rovná vchodová skleněná stříška, bezpečnostní sklo tl 12 mm.                                  Kotvení pomoci konzol. "</t>
  </si>
  <si>
    <t xml:space="preserve">" 1. NP 1000x2000mm " </t>
  </si>
  <si>
    <t>790999207 SPC</t>
  </si>
  <si>
    <t>D+M Stojan na dezinfekci - Specifikace dle PD - D.1.1.c.07. VÝPIS OSTATNÍCH VÝROBKŮ - OV9.1</t>
  </si>
  <si>
    <t>" Stojan na dezinfekci s bezdotykovým dávkovačem a odkapávačem. "</t>
  </si>
  <si>
    <t>D+M Stojan na kola - Specifikace dle PD - D.1.1.c.07. VÝPIS OSTATNÍCH VÝROBKŮ - OV9.2</t>
  </si>
  <si>
    <t>" Stojan na kola "</t>
  </si>
  <si>
    <t>D+M Nerezový sloupek na vodu - Specifikace dle PD - D.1.1.c.07. VÝPIS OSTATNÍCH VÝROBKŮ - OV9.3</t>
  </si>
  <si>
    <t>" Zahradní sloupek na vodu čtvercový "</t>
  </si>
  <si>
    <t>D+M Stropní držák na projektor - Specifikace dle PD - D.1.1.c.07. VÝPIS OSTATNÍCH VÝROBKŮ - OV9.4</t>
  </si>
  <si>
    <t>" Stropní držák na projektor "</t>
  </si>
  <si>
    <t>790999943 SPC</t>
  </si>
  <si>
    <t>D+M Háček - Specifikace dle PD - D.1.1.c.07. VÝPIS OSTATNÍCH VÝROBKŮ - H1.1</t>
  </si>
  <si>
    <t>" Háček nástěnný. Rozměry 48x48x30 mm. "</t>
  </si>
  <si>
    <t>32</t>
  </si>
  <si>
    <t>790999950 SPC</t>
  </si>
  <si>
    <t>D+M Dávkovač tekutého mýdla - Specifikace dle PD - D.1.1.c.07. VÝPIS OSTATNÍCH VÝROBKŮ - H2.1</t>
  </si>
  <si>
    <t>" Dávkovač tekutého mýdla. Rozměr 160x105x68 mm. Materiál: nerez. "</t>
  </si>
  <si>
    <t>33</t>
  </si>
  <si>
    <t>790999946 SPC</t>
  </si>
  <si>
    <t>D+M Zásobník papírových ručníků - Specifikace dle PD - D.1.1.c.07. VÝPIS OSTATNÍCH VÝROBKŮ - H2.2</t>
  </si>
  <si>
    <t>" Zásobník na papírové ručníky - nástěnný. Rozměr 270x265x115 mm.
Materiál: nerez "</t>
  </si>
  <si>
    <t>34</t>
  </si>
  <si>
    <t>790999948 SPC</t>
  </si>
  <si>
    <t>D+M Odpadkový koš bez víka - Specifikace dle PD - D.1.1.c.07. VÝPIS OSTATNÍCH VÝROBKŮ - H2.3</t>
  </si>
  <si>
    <t>" Volně stojící odpadkový koš - objem 50 l. Rozměr 614x395x253 mm.
Materiál: nerez. "</t>
  </si>
  <si>
    <t>35</t>
  </si>
  <si>
    <t>790999945 SPC</t>
  </si>
  <si>
    <t>D+M Zásobník na toaletní papír - Specifikace dle PD - D.1.1.c.07. VÝPIS OSTATNÍCH VÝROBKŮ - H2.4</t>
  </si>
  <si>
    <t>" Zásobník toaletního papíru - nástěnný. Rozměr 250x210x115 mm.
Materiál: nerez "</t>
  </si>
  <si>
    <t>36</t>
  </si>
  <si>
    <t>790999949 SPC</t>
  </si>
  <si>
    <t>D+M Zásobník hygienických sáčků - Specifikace dle PD - D.1.1.c.07. VÝPIS OSTATNÍCH VÝROBKŮ - H2.5</t>
  </si>
  <si>
    <t>" Zásobník hygienických sáčků. Rozměr 100x140x25 mm.
Materiál: nerez. "</t>
  </si>
  <si>
    <t>37</t>
  </si>
  <si>
    <t>790999947 SPC</t>
  </si>
  <si>
    <t>D+M Odpadkový koš s víkem - Specifikace dle PD - D.1.1.c.07. VÝPIS OSTATNÍCH VÝROBKŮ - H2.6</t>
  </si>
  <si>
    <t>" Nášlapný hranatý koš - objem 6 l. Rozměr 205x260x290 mm.
Materiál: bílý plast / nerez matný. "</t>
  </si>
  <si>
    <t>38</t>
  </si>
  <si>
    <t>790999960 SPC</t>
  </si>
  <si>
    <t>D+M WC souprava - Specifikace dle PD - D.1.1.c.07. VÝPIS OSTATNÍCH VÝROBKŮ - H2.7</t>
  </si>
  <si>
    <t>" Závěsný WC kartáč s nádobkou a držákem. Rozměr 385×95x120 mm.
Materiál: nerez. "</t>
  </si>
  <si>
    <t>790999961 SPC</t>
  </si>
  <si>
    <t>D+M Dělící stěna mezi pisoáry - Specifikace PD - D.1.1.c.07. VÝPIS OSTATNÍCH VÝROBKŮ - H2.8</t>
  </si>
  <si>
    <t>" Dělící stěna mezi pisoáry. Rozměr 710x410x100mm. "</t>
  </si>
  <si>
    <t>40</t>
  </si>
  <si>
    <t>790999940 SPC</t>
  </si>
  <si>
    <t>D+M Madlo toaletní - pevné - Specifikace dle PD - D.1.1.c.07. VÝPIS OSTATNÍCH VÝROBKŮ - H2.9</t>
  </si>
  <si>
    <t>" Pevné uzavřené madlo. Rozměr 829x250x100 mm. "</t>
  </si>
  <si>
    <t>41</t>
  </si>
  <si>
    <t>790999941 SPC</t>
  </si>
  <si>
    <t>D+M Madlo toaletní - sklopné - Specifikace dle PD - D.1.1.c.07. VÝPIS OSTATNÍCH VÝROBKŮ - H2.10</t>
  </si>
  <si>
    <t>" Sklopné uzavřené madlo. Rozměr 616x250x100 mm. "</t>
  </si>
  <si>
    <t>42</t>
  </si>
  <si>
    <t>790999942 SPC</t>
  </si>
  <si>
    <t>D+M Madlo jednoduché - Specifikace dle PD - D.1.1.c.07. VÝPIS OSTATNÍCH VÝROBKŮ - H2.11</t>
  </si>
  <si>
    <t>" Rovné madlo. Rozměr 380x75x106 mm. "</t>
  </si>
  <si>
    <t>790999955 SPC</t>
  </si>
  <si>
    <t>D+M Nástěnné zrcadlo - rozměr 500x800 mm - Specifikace dle PD - D.1.1.c.07. VÝPIS OSTATNÍCH VÝROBKŮ - H3.1</t>
  </si>
  <si>
    <t>" Nástěnné zrcadlo ohraněno fazetovou hranou. Rozměr 500x800 mm. "</t>
  </si>
  <si>
    <t>D+M Výklopné zrcadlo - rozměr 400x600 mm - Specifikace dle PD - D.1.1.c.07. VÝPIS OSTATNÍCH VÝROBKŮ - H3.2</t>
  </si>
  <si>
    <t>" Výklopné zrcadlo. Rozměr 400x600 mm. "</t>
  </si>
  <si>
    <t>45</t>
  </si>
  <si>
    <t>790999965 SPC</t>
  </si>
  <si>
    <t>D+M Sprchová tyč včetně závěsu - Specifikace dle PD - D.1.1.c.07. VÝPIS OSTATNÍCH VÝROBKŮ - H4.1</t>
  </si>
  <si>
    <t>" Teleskopická tyč na spchový závěs včetně závěs. Rozměr závěsu: 2000x2000mm
Materiál: kov. "</t>
  </si>
  <si>
    <t>46</t>
  </si>
  <si>
    <t>790999963 SPC</t>
  </si>
  <si>
    <t>D+M Policový set - Specifikace dle PD - D.1.1.c.07. VÝPIS OSTATNÍCH VÝROBKŮ - H5.1</t>
  </si>
  <si>
    <t>" Policový set - nástěnný. Rozměr 828×496×320 mm.
Materiál: kov. "</t>
  </si>
  <si>
    <t>47</t>
  </si>
  <si>
    <t>790999962 SPC</t>
  </si>
  <si>
    <t>D+M Věšák úklidového nářadí - Specifikace dle PD - D.1.1.c.07. VÝPIS OSTATNÍCH VÝROBKŮ - H5.2</t>
  </si>
  <si>
    <t>" Nástěnný držák na nářadí vč. 6 výklopných háčků.
Rozměr 405×60×105 mm.
Materiál: plast. "</t>
  </si>
  <si>
    <t>48</t>
  </si>
  <si>
    <t>790999968 SPC</t>
  </si>
  <si>
    <t>D+M Úklidový vozík včetně mopu - Specifikace dle PD - D.1.1.c.07. VÝPIS OSTATNÍCH VÝROBKŮ - H5.3</t>
  </si>
  <si>
    <t>" Úklidový vozík včetně mopu "</t>
  </si>
  <si>
    <t>" Cena vč. příslušenství dle PD. "</t>
  </si>
  <si>
    <t>49</t>
  </si>
  <si>
    <t>998790202 SPC</t>
  </si>
  <si>
    <t>Přesun hmot procentní pro ostatní výrobky v objektech v do 12 m</t>
  </si>
  <si>
    <t>50</t>
  </si>
  <si>
    <t>D.1.1.c.07. VÝPIS OSTATNÍCH VÝROBKŮ</t>
  </si>
  <si>
    <t>Objekt:   D.1.1.c.05. VÝPIS ZÁMEČNICKÝCH VÝROBKŮ</t>
  </si>
  <si>
    <t>767999101 SPC</t>
  </si>
  <si>
    <t>D+M Odnímatelné zábradlí - řetízek - Specifikace dle PD - D.1.c.05 VÝPIS ZÁMEČNICKÝCH VÝROBKŮ - Z1.1</t>
  </si>
  <si>
    <t>kpl</t>
  </si>
  <si>
    <t>" Ukotveno do zdiva a do kce zábradlí ocelového schodiště žárově pozinkovaný řetěz s výškou oka 20mm. Délka 3,3m. "</t>
  </si>
  <si>
    <t xml:space="preserve">" Odnímatelné zábradlí " </t>
  </si>
  <si>
    <t>" V ceně veškerý materiál, práce a příslušenství dle PD. "</t>
  </si>
  <si>
    <t>767999102 SPC</t>
  </si>
  <si>
    <t>D+M Vnější schodišťové madlo - Specifikace dle PD - D.1.c.05 VÝPIS ZÁMEČNICKÝCH VÝROBKŮ - Z1.2</t>
  </si>
  <si>
    <t>" Madlo na zdi - madlo trubka průměru 42,5mm, žárově pozinkováno. "</t>
  </si>
  <si>
    <t>" Madlo " 2,2</t>
  </si>
  <si>
    <t>767999103 SPC</t>
  </si>
  <si>
    <t>D+M Vnější schodišťové madlo - Specifikace dle PD - D.1.c.05 VÝPIS ZÁMEČNICKÝCH VÝROBKŮ - Z1.3</t>
  </si>
  <si>
    <t>" Madlo na zdi - madlo trubka průměru 38mm, žárově pozinkováno. "</t>
  </si>
  <si>
    <t>767999104 SPC</t>
  </si>
  <si>
    <t>D+M Vnitřní schodišťové madlo - Specifikace dle PD - D.1.c.05 VÝPIS ZÁMEČNICKÝCH VÝROBKŮ - Z1.4</t>
  </si>
  <si>
    <t>" Zábradlí prutové - výška madla 1,00m a snížená výška madla 0,6m. "</t>
  </si>
  <si>
    <t>767999105 SPC</t>
  </si>
  <si>
    <t>D+M Vnější zábradlí rampy - Specifikace dle PD - D.1.c.05 VÝPIS ZÁMEČNICKÝCH VÝROBKŮ - Z1.5</t>
  </si>
  <si>
    <t>" Zábradlí prutové - výška madla 0,90m a snížená výška madla 0,6m. "</t>
  </si>
  <si>
    <t>767999106 SPC</t>
  </si>
  <si>
    <t>D+M Zádržný systém - Specifikace dle PD - D.1.c.05 VÝPIS ZÁMEČNICKÝCH VÝROBKŮ - Z3.1</t>
  </si>
  <si>
    <t>" Kotvení kotvících bodů pro betonové desky → přes základní desku 200×200 mm pomocí 4 ks vysokopevnostních chemických kotev.  "</t>
  </si>
  <si>
    <t>6a</t>
  </si>
  <si>
    <t>767881901 SPC</t>
  </si>
  <si>
    <t>6b</t>
  </si>
  <si>
    <t>767881902 SPC</t>
  </si>
  <si>
    <t>" - Nerezové kotvící body pro betonovou desku vč. příslušenství (izolace termostop tl. 20 mm, apod.) - plochá střecha - rohové "</t>
  </si>
  <si>
    <t>6c</t>
  </si>
  <si>
    <t>" - Nerezové kotvící body pro betonovou desku vč. příslušenství (izolace termostop tl. 20 mm, apod.) - plochá střecha - koncové "</t>
  </si>
  <si>
    <t>6d</t>
  </si>
  <si>
    <t>" - Nerezové kotvící body pro betonovou desku vč. příslušenství (izolace termostop tl. 20 mm, apod.) - plochá střecha - průběžné "</t>
  </si>
  <si>
    <t>6e</t>
  </si>
  <si>
    <t>767881903 SPC</t>
  </si>
  <si>
    <t>6f</t>
  </si>
  <si>
    <t>767881904 SPC</t>
  </si>
  <si>
    <t>" - Pevná koncovka k nalisování na nerezové lano vč. napnutí lana a prací s tím související. "</t>
  </si>
  <si>
    <t>6g</t>
  </si>
  <si>
    <t>767881905 SPC</t>
  </si>
  <si>
    <t>6h</t>
  </si>
  <si>
    <t>767881906 SPC</t>
  </si>
  <si>
    <t>" - Kovová skříňka pro uložení příslušenství pro údržbu - celotělový postroj a vázecí lano. "</t>
  </si>
  <si>
    <t>6i</t>
  </si>
  <si>
    <t>767881907 SPC</t>
  </si>
  <si>
    <t>" Celotělový prostroj + vázací lano s tlumičem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</si>
  <si>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</si>
  <si>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</si>
  <si>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767999107 SPC</t>
  </si>
  <si>
    <t>D+M Stávající okenní mříž 1,20x1,80m - Specifikace dle PD - D.1.c.05 VÝPIS ZÁMEČNICKÝCH VÝROBKŮ - Z5.1</t>
  </si>
  <si>
    <t>" Úprava rozměrů stávající mříže dle aktuální širky otvoru "</t>
  </si>
  <si>
    <t>" 1. NP " 3</t>
  </si>
  <si>
    <t>767999108 SPC</t>
  </si>
  <si>
    <t>D+M Stávající okenní mříž 0,54x0,84m - Specifikace dle PD - D.1.c.05 VÝPIS ZÁMEČNICKÝCH VÝROBKŮ - Z5.2</t>
  </si>
  <si>
    <t>" 1. NP " 2</t>
  </si>
  <si>
    <t>767999109 SPC</t>
  </si>
  <si>
    <t>D+M Okování hrany - Specifikace dle PD - D.1.c.05 VÝPIS ZÁMEČNICKÝCH VÝROBKŮ - Z6.1</t>
  </si>
  <si>
    <t>" Ocelový nosník UPE 120, na spodní hraně pásnice je v osovém rozpětí 500mm přivařeno 9 plechů 100x100x8mm "</t>
  </si>
  <si>
    <t>767900110 SPC</t>
  </si>
  <si>
    <t>D+M Pororošt anglického dvorku - Specifikace dle PD - D.1.c.05 VÝPIS ZÁMEČNICKÝCH VÝROBKŮ - Z7.1</t>
  </si>
  <si>
    <t>" Pochozí ocelový rošt. Ocelový rošt lisovaný oka 33x33, nosná páska 40x3mm. Ocel S235 (11 375) "</t>
  </si>
  <si>
    <t>" V ceně veškeré nutné příslušenství a vybavení dle PD. "</t>
  </si>
  <si>
    <t>767900111 SPC</t>
  </si>
  <si>
    <t>D+M Revizní dvířka pro hlavní uzavěr plynu - Specifikace dle PD - D.1.c.05 VÝPIS ZÁMEČNICKÝCH VÝROBKŮ - Z7.2</t>
  </si>
  <si>
    <t>" Exteriérové dvoukřídlé pozinkované revizní dviřka pro HUP, rozměr 400x500mm. Povrchová úprava pozink. "</t>
  </si>
  <si>
    <t>767900112 SPC</t>
  </si>
  <si>
    <t>D+M Revizní poklop - Specifikace dle PD - D.1.c.05 VÝPIS ZÁMEČNICKÝCH VÝROBKŮ - Z7.3</t>
  </si>
  <si>
    <t>" Revizní poklop krytý odnimatelným pozinkovaným ocelovým plechem. Rozměr průhledného otvoru: 400x1200mm.  "</t>
  </si>
  <si>
    <t>767900113 SPC</t>
  </si>
  <si>
    <t>D+M Ocelový sloupek - Specifikace dle PD - D.1.c.05 VÝPIS ZÁMEČNICKÝCH VÝROBKŮ - Z8.1</t>
  </si>
  <si>
    <t>" Ocelový nerezový uravřený profil, obdelníkového tvaru. Rozměr: 80x60x3mm - délka 1,5m. "</t>
  </si>
  <si>
    <t>767900114 SPC</t>
  </si>
  <si>
    <t>D+M Ocelový rám - Specifikace dle PD - D.1.c.05 VÝPIS ZÁMEČNICKÝCH VÝROBKŮ - Z8.2</t>
  </si>
  <si>
    <t>" Ocelový rám z uzavřených profilů, obdelníkového tvaru. Průřez: 100x100x4mm. "</t>
  </si>
  <si>
    <t>767900115 SPC</t>
  </si>
  <si>
    <t>D+M Interiérový parapet - Specifikace dle PD - D.1.c.05 VÝPIS ZÁMEČNICKÝCH VÝROBKŮ - Z9.1</t>
  </si>
  <si>
    <t>" Z nerezové oceli. Délky: 
5,40m - 1ks
0,70m - 1ks
1,40m - 1ks. "</t>
  </si>
  <si>
    <t>767900116 SPC</t>
  </si>
  <si>
    <t>D+M Ochranný plát - Specifikace dle PD - D.1.c.05 VÝPIS ZÁMEČNICKÝCH VÝROBKŮ - Z9.2</t>
  </si>
  <si>
    <t>" Z nerezové oceli. Délky: 
7,65m - 1ks
2,50m - 1ks. "</t>
  </si>
  <si>
    <t>767900117 SPC</t>
  </si>
  <si>
    <t>D+M Stávající interiérové zábradlí - Specifikace dle PD - D.1.c.05 VÝPIS ZÁMEČNICKÝCH VÝROBKŮ - Z9.3</t>
  </si>
  <si>
    <t>" Demontáž a zpětná montáž stávajícího ocelového zabradlí. "</t>
  </si>
  <si>
    <t>767900118 SPC</t>
  </si>
  <si>
    <t>D+M Ocelová kce střešní nástavby - Specifikace dle PD - D.1.c.05 VÝPIS ZÁMEČNICKÝCH VÝROBKŮ - Z9.4</t>
  </si>
  <si>
    <t>" Ocelová konstrukce z pozinkovaných profilů jekl 60x60x4mm a jekl 40x40x3mm. "</t>
  </si>
  <si>
    <t xml:space="preserve">" Střecha " </t>
  </si>
  <si>
    <t>767900119 SPC</t>
  </si>
  <si>
    <t>D+M Ocelová kce střešní nástavby - Specifikace dle PD - D.1.c.05 VÝPIS ZÁMEČNICKÝCH VÝROBKŮ - Z9.5</t>
  </si>
  <si>
    <t xml:space="preserve">" Stavební práce a dodávky spojené s provedením funkčního celku 767 " </t>
  </si>
  <si>
    <t>D.1.1.c.05. VÝPIS ZÁMEČNICKÝCH VÝROBKŮ</t>
  </si>
  <si>
    <t>OBJEKT STRAVOVNY A JÍDELNY</t>
  </si>
  <si>
    <t>D.2.2. AREÁLOVÝ TEPLOVOD</t>
  </si>
  <si>
    <t>D.2.1. TECHNOLOGIE VÝDEJE JÍDEL</t>
  </si>
  <si>
    <t>D.1.4.7. SILNOPROUDÁ ELEKTROTECHNIKA</t>
  </si>
  <si>
    <t>D.1.4.8. ELEKTRONICKÉ KOMUNIKACE</t>
  </si>
  <si>
    <t>D.1.4.6. MĚŘENÍ A REGULACE</t>
  </si>
  <si>
    <t>cena celkem</t>
  </si>
  <si>
    <t>Označení:</t>
  </si>
  <si>
    <t>ENERGETICKÉ USPORY ZŠ U SOUDU - OBJEKT STRAVOVNY A JÍDELNY</t>
  </si>
  <si>
    <t>část:</t>
  </si>
  <si>
    <t>Výkaz Výměr</t>
  </si>
  <si>
    <t xml:space="preserve">Datum: </t>
  </si>
  <si>
    <t>Vytvořil:</t>
  </si>
  <si>
    <t>Šlerka</t>
  </si>
  <si>
    <t>Položka</t>
  </si>
  <si>
    <t>Množství</t>
  </si>
  <si>
    <t>Jednotka</t>
  </si>
  <si>
    <t>Jednotková cena v Kč(bez DPH)</t>
  </si>
  <si>
    <t>Cena celkem v Kč (bez DPH)</t>
  </si>
  <si>
    <t>Dodávka rozvaděčů</t>
  </si>
  <si>
    <t>Rozvaděč RM1</t>
  </si>
  <si>
    <t>1.1</t>
  </si>
  <si>
    <t>Rozvaděčová skříň závěsná, krytí v zavřeném stavu IP55, včetně montážního panelu
rozměr 1.200x800x300</t>
  </si>
  <si>
    <t>ks</t>
  </si>
  <si>
    <t>1.2</t>
  </si>
  <si>
    <t>Vybavení rozvaděčové skříně mimo řídící systém (relé, stykače, jističe, svorky, pojistky, kabelové žlaby, dráty,  … )</t>
  </si>
  <si>
    <t>1.3</t>
  </si>
  <si>
    <t>PXC5.E003: Systémový integrační regulátor PXC5, Modbus RTU/TCP, BACnet MS/TP, KNX PL-Link; BACnet/IP</t>
  </si>
  <si>
    <t>1.4</t>
  </si>
  <si>
    <t>PXC7.E400S: Modulární automatizační stanice PXC7, 100x I/O, Island bus, 1x Modbus RTU/BACnet MS/TP, Modbus TCP, KNX PL-Link; BACnet/IP</t>
  </si>
  <si>
    <t>1.5</t>
  </si>
  <si>
    <t>TXM1.8U: Univerzální modul, 8x UIO</t>
  </si>
  <si>
    <t>1.6</t>
  </si>
  <si>
    <t>TXM1.16D: Modul digitálních vstupů, 16x DI</t>
  </si>
  <si>
    <t>1.7</t>
  </si>
  <si>
    <t>TXM1.6R: Modul digitálních výstupů, 6x DO</t>
  </si>
  <si>
    <t>1.8</t>
  </si>
  <si>
    <t>PXM30.E: Dotykový panel 7", vestavěný BACnet/IP klient a webový server</t>
  </si>
  <si>
    <t>1.9</t>
  </si>
  <si>
    <t>Převodník M-BUS</t>
  </si>
  <si>
    <t>1.10</t>
  </si>
  <si>
    <t>cRSP – Platforma pro vzdálené připojení k technologiím budov - hardware</t>
  </si>
  <si>
    <t>1.11</t>
  </si>
  <si>
    <t>PXA-C1: Kabel 3m pro panel PXM20</t>
  </si>
  <si>
    <t>Rozvaděč RM2</t>
  </si>
  <si>
    <t>1.12</t>
  </si>
  <si>
    <t>PXC5.E24: Kompaktní automatizační stanice PXC5, 24x (80x) I/O, Island bus, Modbus RTU/TCP, BACnet MS/TP, KNX PL-Link; BACnet/IP</t>
  </si>
  <si>
    <t>1.13</t>
  </si>
  <si>
    <t>1.14</t>
  </si>
  <si>
    <t>Montáž rozvaděčů</t>
  </si>
  <si>
    <t>2.1</t>
  </si>
  <si>
    <t>Zapojení rozvaděče podle dílenské dokumentace</t>
  </si>
  <si>
    <t>2.2</t>
  </si>
  <si>
    <t>Montáž rozvaděče na zeď</t>
  </si>
  <si>
    <t>2.3</t>
  </si>
  <si>
    <t>Zapojení kabeláže do rozvaděče, včetně napájení rozvaděče a pomocného pospojování</t>
  </si>
  <si>
    <t>2.4</t>
  </si>
  <si>
    <t>2.5</t>
  </si>
  <si>
    <t>2.6</t>
  </si>
  <si>
    <t>Rozvaděč RM3</t>
  </si>
  <si>
    <t>2.7</t>
  </si>
  <si>
    <t>Rozvaděč RM4</t>
  </si>
  <si>
    <t>2.8</t>
  </si>
  <si>
    <t>Rozvaděč RM5</t>
  </si>
  <si>
    <t>2.9</t>
  </si>
  <si>
    <t>Rozvaděč RM6</t>
  </si>
  <si>
    <t>2.10</t>
  </si>
  <si>
    <t>Rozvaděč RM7</t>
  </si>
  <si>
    <t>2.11</t>
  </si>
  <si>
    <t>Rozvaděč RM8</t>
  </si>
  <si>
    <t>2.12</t>
  </si>
  <si>
    <t>Rozvaděč RM9</t>
  </si>
  <si>
    <t>2.13</t>
  </si>
  <si>
    <t>Rozvaděč RM10</t>
  </si>
  <si>
    <t>2.14</t>
  </si>
  <si>
    <t>Komponenty</t>
  </si>
  <si>
    <t>3.1</t>
  </si>
  <si>
    <t>Servopohon GDB161.1E</t>
  </si>
  <si>
    <t>3.2</t>
  </si>
  <si>
    <t>Servopohon GMA121.1E</t>
  </si>
  <si>
    <t>3.3</t>
  </si>
  <si>
    <t>Servopohon GPC121.1A</t>
  </si>
  <si>
    <t>3.4</t>
  </si>
  <si>
    <t>Servopohon GPC161.1A</t>
  </si>
  <si>
    <t>3.5</t>
  </si>
  <si>
    <t>Servopohon SKC62</t>
  </si>
  <si>
    <t>3.6</t>
  </si>
  <si>
    <t>Prostorové / Venkovní čidlo teploty QAC22</t>
  </si>
  <si>
    <t>3.7</t>
  </si>
  <si>
    <t>Příložné teplotní čidlo QAD22</t>
  </si>
  <si>
    <t>3.8</t>
  </si>
  <si>
    <t>Jímkové teplotní čidlo QAE2120.010</t>
  </si>
  <si>
    <t>3.9</t>
  </si>
  <si>
    <t>Protimrazový termostat QAF81.3</t>
  </si>
  <si>
    <t>3.10</t>
  </si>
  <si>
    <t>Potrubní teplotní čidlo QAM2120.040</t>
  </si>
  <si>
    <t>3.11</t>
  </si>
  <si>
    <t>Čidlo tlaku kapalin QBE2003-P10</t>
  </si>
  <si>
    <t>3.12</t>
  </si>
  <si>
    <t>Čidlo diferenčního tlaku QBM2030-30</t>
  </si>
  <si>
    <t>3.13</t>
  </si>
  <si>
    <t>Diferenční tlakový spínač QBM81-3</t>
  </si>
  <si>
    <t>3.14</t>
  </si>
  <si>
    <t>Diferenční tlakový spínač QBM81-5</t>
  </si>
  <si>
    <t>3.15</t>
  </si>
  <si>
    <t>Prostorový ovladač se snímáním teploty QMX2.P33</t>
  </si>
  <si>
    <t>3.16</t>
  </si>
  <si>
    <t>Prostorový ovladač se snímáním teploty a koncentrace CO2, černý, QMX3.P74-1BSC</t>
  </si>
  <si>
    <t>3.17</t>
  </si>
  <si>
    <t>Čidlo zaplavení SZ-4</t>
  </si>
  <si>
    <t>3.18</t>
  </si>
  <si>
    <t>Hlavní vypínač výměníkové stanice XAL-K178</t>
  </si>
  <si>
    <t>Montáž komponent</t>
  </si>
  <si>
    <t>4.1</t>
  </si>
  <si>
    <t>Montáž a zapojení servopohonu, včetně dodávky instalační krabice pro propojení kabeláže servopohonu s instalační kabeláží</t>
  </si>
  <si>
    <t>4.2</t>
  </si>
  <si>
    <t>Montáž a zapojení prostorového čidla včetně montáže a dodávky instalačního materiálu</t>
  </si>
  <si>
    <t>4.3</t>
  </si>
  <si>
    <t>Montáž a zapojení příložného teplotního čidla</t>
  </si>
  <si>
    <t>4.4</t>
  </si>
  <si>
    <t>Montáž a zapojení jímkového teplotního čidla (montáž jímky profese ÚT)</t>
  </si>
  <si>
    <t>4.5</t>
  </si>
  <si>
    <t xml:space="preserve">Montáž a zapojení protimrazového termostatu, včetně montáže potřebného množství úchytu kapiláry dle montážního návodu </t>
  </si>
  <si>
    <t>4.6</t>
  </si>
  <si>
    <t>Montáž a zapojení potrubního teplotního čidla včetně vyvrtání díry a osazení montážná příruby</t>
  </si>
  <si>
    <t>4.7</t>
  </si>
  <si>
    <t>Montáž a zapojení čidla tlaku pro kapaliny, (připojovací místo G1/2 montáž profese ÚT)</t>
  </si>
  <si>
    <t>4.8</t>
  </si>
  <si>
    <t>Montáž a zapojení diferenčního čidla, včetně montáže sady pro odběr tlaku</t>
  </si>
  <si>
    <t>4.9</t>
  </si>
  <si>
    <t>Montáž a zapojení prostorového ovladače, včetně dodávky a montáže instalační krabice</t>
  </si>
  <si>
    <t>4.10</t>
  </si>
  <si>
    <t>Monotáž a zapojení čidla zaplavení</t>
  </si>
  <si>
    <t>4.11</t>
  </si>
  <si>
    <t>Zapojení Bezpečnostní Armatury Plynu</t>
  </si>
  <si>
    <t>4.12</t>
  </si>
  <si>
    <t>Zapojení čerpadla</t>
  </si>
  <si>
    <t>4.13</t>
  </si>
  <si>
    <t>Zapojení Měřiče spotřeby</t>
  </si>
  <si>
    <t>4.14</t>
  </si>
  <si>
    <t>Zapojení Vodoměru</t>
  </si>
  <si>
    <t>4.15</t>
  </si>
  <si>
    <t>Zapojení Elektroměru</t>
  </si>
  <si>
    <t>4.16</t>
  </si>
  <si>
    <t>Zapojení plynoměru</t>
  </si>
  <si>
    <t>4.17</t>
  </si>
  <si>
    <t>Zapojení ventilátorů ve VZT jednotce</t>
  </si>
  <si>
    <t>4.18</t>
  </si>
  <si>
    <t>Montáž a zapojení ovladačů pro VZT jednotky REMAK, včetně dodávky a montáže instalační krabice</t>
  </si>
  <si>
    <t>4.19</t>
  </si>
  <si>
    <r>
      <t>Montáž a zapojení čidel CO</t>
    </r>
    <r>
      <rPr>
        <vertAlign val="subscript"/>
        <sz val="11"/>
        <color theme="1"/>
        <rFont val="Aptos"/>
        <family val="2"/>
        <charset val="238"/>
      </rPr>
      <t>2</t>
    </r>
    <r>
      <rPr>
        <sz val="11"/>
        <color theme="1"/>
        <rFont val="Aptos"/>
        <family val="2"/>
        <charset val="238"/>
      </rPr>
      <t xml:space="preserve"> pro VZT jednotky REMAK</t>
    </r>
  </si>
  <si>
    <t>4.20</t>
  </si>
  <si>
    <t>Zapojení servopohonů na topných uzlech VZT jednotek, včetně dodávky instalační krabice pro propojení kabeláže servopohonu s instalační kabeláží</t>
  </si>
  <si>
    <t>4.21</t>
  </si>
  <si>
    <t>Zapojení servopohonů na trojcestných ventilech jednotlivých větví, včetně dodávky instalační krabice pro propojení kabeláže servopohonu s instalační kabeláží</t>
  </si>
  <si>
    <t>4.22</t>
  </si>
  <si>
    <t>Zapojení solenoidového ventilu pro dopouštění vody</t>
  </si>
  <si>
    <t>4.23</t>
  </si>
  <si>
    <t>Zapojení servopohonů na přímých ventilech pro regulaci výkonu deskového výměníku, včetně dodávky instalační krabice pro propojení kabeláže servopohonu s instalační kabeláží</t>
  </si>
  <si>
    <t>4.24</t>
  </si>
  <si>
    <t>Asistence a zapojení řízení na kompresorové jednotce VZT</t>
  </si>
  <si>
    <t>4.25</t>
  </si>
  <si>
    <t>Montáž a zapojení hlavního vypínače výměníkové stanice</t>
  </si>
  <si>
    <t>4.26</t>
  </si>
  <si>
    <t>Připojení signalizace chodu/poruchy nucených odtahů</t>
  </si>
  <si>
    <t>4.27</t>
  </si>
  <si>
    <t>Přiojení stykačového vývodu pro nucený odtah</t>
  </si>
  <si>
    <t>Kabelová trasa</t>
  </si>
  <si>
    <t>5.1</t>
  </si>
  <si>
    <t>CXKH-R-J 3×1,5</t>
  </si>
  <si>
    <t>5.2</t>
  </si>
  <si>
    <t>CXKH-R-J 5×1,5</t>
  </si>
  <si>
    <t>5.3</t>
  </si>
  <si>
    <t>CXKH-R-J 5×4</t>
  </si>
  <si>
    <t>5.4</t>
  </si>
  <si>
    <t>CXKH-R-O 2×1,5</t>
  </si>
  <si>
    <t>5.5</t>
  </si>
  <si>
    <t>PRAFlaGuard F 1×2×0,8</t>
  </si>
  <si>
    <t>5.6</t>
  </si>
  <si>
    <t>PRAFlaGuard F 2×2×0,8</t>
  </si>
  <si>
    <t>5.7</t>
  </si>
  <si>
    <t>PRAFlaGuard F 4×2×0,8</t>
  </si>
  <si>
    <t>5.8</t>
  </si>
  <si>
    <t>Žlab MERKUR kabelový 50/50 M2 GZ délka 2m</t>
  </si>
  <si>
    <t>5.9</t>
  </si>
  <si>
    <t>Žlab MERKUR kabelový 100/50 M2 GZ délka 2m</t>
  </si>
  <si>
    <t>5.10</t>
  </si>
  <si>
    <t>KOPOS Trubka pevná 1520 pr.20 320N, barva šedá</t>
  </si>
  <si>
    <t>5.11</t>
  </si>
  <si>
    <t>KOPOS Trubka ohebná 1420 průměr 20 320N</t>
  </si>
  <si>
    <t>5.12</t>
  </si>
  <si>
    <t>WAGO Svorka 221-2411</t>
  </si>
  <si>
    <t>5.13</t>
  </si>
  <si>
    <t>Krabice PFRAD 8585 odbočná na omítku IP55</t>
  </si>
  <si>
    <t>5.14</t>
  </si>
  <si>
    <t xml:space="preserve">Krabice PHSD 6861 do dutých stěn, ø68mm, hloubka 35mm, </t>
  </si>
  <si>
    <t>Montáž kabelové trasy</t>
  </si>
  <si>
    <t>6.1</t>
  </si>
  <si>
    <t>Montáž silového kabelu</t>
  </si>
  <si>
    <t>6.2</t>
  </si>
  <si>
    <t>Montáž kabelu MaR</t>
  </si>
  <si>
    <t>6.3</t>
  </si>
  <si>
    <t>Vizualizace</t>
  </si>
  <si>
    <t>7.1</t>
  </si>
  <si>
    <t>PC včetně monitoru (Min: i7, 16 Gb RAM, 1 TB SSD) 27" Monitor, UHD rozlišení</t>
  </si>
  <si>
    <t>7.2</t>
  </si>
  <si>
    <t>Desigo CC, Základní licence Compact, Building Automation</t>
  </si>
  <si>
    <t>7.3</t>
  </si>
  <si>
    <t>Zpracování vizualizace</t>
  </si>
  <si>
    <t>dB</t>
  </si>
  <si>
    <t>Ostatní</t>
  </si>
  <si>
    <t>8.1</t>
  </si>
  <si>
    <t>Dílenská dokumentace</t>
  </si>
  <si>
    <t>8.2</t>
  </si>
  <si>
    <t>Dokumentace skutečního stavu</t>
  </si>
  <si>
    <t>8.3</t>
  </si>
  <si>
    <t>Revize</t>
  </si>
  <si>
    <t>8.4</t>
  </si>
  <si>
    <t>cRSP – Platforma pro vzdálené připojení k technologiím budov - oživení</t>
  </si>
  <si>
    <t>8.5</t>
  </si>
  <si>
    <t>Integrace vodoměru s dálkovým odečtem (Komunikace Mbus)</t>
  </si>
  <si>
    <t>8.6</t>
  </si>
  <si>
    <t>Integrace plynoměrů s dálkovým odečtem (1 ks) Plynoměry s komunikací MBUS</t>
  </si>
  <si>
    <t>8.7</t>
  </si>
  <si>
    <t>Integrace compaktních VZT (Komunikace BacNet / KNX, Max 17 DB)</t>
  </si>
  <si>
    <t>8.8</t>
  </si>
  <si>
    <t>Integrace elektroměr s dálkovým odečtem (1 ks) komunikace MBUS</t>
  </si>
  <si>
    <t>8.9</t>
  </si>
  <si>
    <t>Integrace zařízení, prostory kuchyně, kom KNX/BacNet</t>
  </si>
  <si>
    <t>8.10</t>
  </si>
  <si>
    <t>Zpracování uživatelských programů, oživení a provedení zkoušek (Desigo PX)</t>
  </si>
  <si>
    <t>8.11</t>
  </si>
  <si>
    <t>Integrace zařízení, prostory jídelny, kom KNX/BacNet</t>
  </si>
  <si>
    <t>D.1.4.4. VYTÁPĚNÍ</t>
  </si>
  <si>
    <t>D.1.4.3. VZDUCHOTECHNIKA</t>
  </si>
  <si>
    <t>D.1.4.1. ZTI</t>
  </si>
  <si>
    <t>D.1.4.2. PLYN</t>
  </si>
  <si>
    <t>Stavba:   Energetické úspory ZŠ U Soudu - Objekt stravovny a jídelny</t>
  </si>
  <si>
    <t>Objekt:   D.1.4.10.2 POZEMNÍ KOMUNIKACE A ZPEVNĚNÉ PLOCHY</t>
  </si>
  <si>
    <t>113</t>
  </si>
  <si>
    <t>Komunikace</t>
  </si>
  <si>
    <t>Ostatní konstrukce a práce</t>
  </si>
  <si>
    <t>D.1.4.10.2 POZEMNÍ KOMUNIKACE A ZPEVNĚNÉ PLOCHY</t>
  </si>
  <si>
    <t>132</t>
  </si>
  <si>
    <t>Trubní vedení</t>
  </si>
  <si>
    <t>Objekt:   D.2.2. AREÁLOVÝ TEPLOVOD</t>
  </si>
  <si>
    <t>D.2.2. AREÁLOVÝ TEPLOVOD - CELKEM</t>
  </si>
  <si>
    <t>Objekt:  D.1.1.c.04. VÝPIS TRUHLÁŘSKÝCH VÝROBKŮ</t>
  </si>
  <si>
    <t>766999104 SPC</t>
  </si>
  <si>
    <t>D+M Kuchyňská linka - Specifikace dle PD - D.1.1.c.04. VÝPIS TRUHLÁŘSKÝCH VÝROBKŮ - T1.1</t>
  </si>
  <si>
    <t>" Kuchyňská linka "</t>
  </si>
  <si>
    <t>766811103 SPC</t>
  </si>
  <si>
    <t>" - Kuchyňská linka bez vybavení a spotřebičů - skříňky, deska, obklad, osvětlení apod. vč. příslušenství. - orientační délka  2,55 m  "</t>
  </si>
  <si>
    <t>" Vybavení a spotřebiče pro kuchyňskou linku "</t>
  </si>
  <si>
    <t>725311901 SPC</t>
  </si>
  <si>
    <t>1c</t>
  </si>
  <si>
    <t>766811201 SPC</t>
  </si>
  <si>
    <t>" - Mikrovlnná trouba. "</t>
  </si>
  <si>
    <t>1d</t>
  </si>
  <si>
    <t>766811101 SPC</t>
  </si>
  <si>
    <t>" - Koš na tříděný odpad. "</t>
  </si>
  <si>
    <t xml:space="preserve">" Včetně spotřebičů / vybavení, nerezového dřezu, nerezových baterií, osvětlení, obkladové desky, těsnících lišt a veškerého příslušenství dle PD. " </t>
  </si>
  <si>
    <t>D+M Kuchyňská linka - Specifikace dle PD - D.1.1.c.04. VÝPIS TRUHLÁŘSKÝCH VÝROBKŮ - T1.2</t>
  </si>
  <si>
    <t>" - Kuchyňská linka bez vybavení a spotřebičů - skříňky, deska, obklad, osvětlení apod. vč. příslušenství. - orientační délka  1,6m  "</t>
  </si>
  <si>
    <t>2c</t>
  </si>
  <si>
    <t>766811301 SPC</t>
  </si>
  <si>
    <t>" - Rychlovarná konvice "</t>
  </si>
  <si>
    <t>2d</t>
  </si>
  <si>
    <t>2e</t>
  </si>
  <si>
    <t>D+M Kuchyňská linka - Specifikace dle PD - D.1.1.c.04. VÝPIS TRUHLÁŘSKÝCH VÝROBKŮ - T1.3</t>
  </si>
  <si>
    <t>" - Kuchyňská linka bez vybavení a spotřebičů - skříňky, deska, obklad, osvětlení apod. vč. příslušenství. - orientační délka  6,98 m  "</t>
  </si>
  <si>
    <t>3c</t>
  </si>
  <si>
    <t>3d</t>
  </si>
  <si>
    <t>3e</t>
  </si>
  <si>
    <t>766811143 SPC</t>
  </si>
  <si>
    <t>" - Vestavěná kombinovaná lednice. "</t>
  </si>
  <si>
    <t>3f</t>
  </si>
  <si>
    <t>766811401 SPC</t>
  </si>
  <si>
    <t>" - Vestavná trouba. "</t>
  </si>
  <si>
    <t>3g</t>
  </si>
  <si>
    <t>766811402 SPC</t>
  </si>
  <si>
    <t>" - Indukční varná deska. "</t>
  </si>
  <si>
    <t>3h</t>
  </si>
  <si>
    <t>766811501 SPC</t>
  </si>
  <si>
    <t>" - Výsuvná digestoř. "</t>
  </si>
  <si>
    <t>3i</t>
  </si>
  <si>
    <t>D+M Kuchyňská linka - Specifikace dle PD - D.1.1.c.04. VÝPIS TRUHLÁŘSKÝCH VÝROBKŮ - T1.4</t>
  </si>
  <si>
    <t>" - Kuchyňská linka bez vybavení a spotřebičů - skříňky, deska, obklad, osvětlení apod. vč. příslušenství. - orientační délka  3,2 m  "</t>
  </si>
  <si>
    <t>766811403 SPC</t>
  </si>
  <si>
    <t>" - Pračka. "</t>
  </si>
  <si>
    <t>4e</t>
  </si>
  <si>
    <t>4f</t>
  </si>
  <si>
    <t>4g</t>
  </si>
  <si>
    <t>4h</t>
  </si>
  <si>
    <t>D+M Kuchyňská linka - Specifikace dle PD - D.1.1.c.04. VÝPIS TRUHLÁŘSKÝCH VÝROBKŮ - T1.5</t>
  </si>
  <si>
    <t>" - Kuchyňská linka bez vybavení a spotřebičů - skříňky, deska, obklad, osvětlení apod. vč. příslušenství. - orientační délka  6,53 m  "</t>
  </si>
  <si>
    <t>5e</t>
  </si>
  <si>
    <t>5f</t>
  </si>
  <si>
    <t>5g</t>
  </si>
  <si>
    <t>5h</t>
  </si>
  <si>
    <t>5i</t>
  </si>
  <si>
    <t>D+M Kuchyňská linka - Specifikace dle PD - D.1.1.c.04. VÝPIS TRUHLÁŘSKÝCH VÝROBKŮ - T1.6</t>
  </si>
  <si>
    <t>" - Kuchyňská linka bez vybavení a spotřebičů - skříňky, deska, obklad, osvětlení apod. vč. příslušenství. - orientační délka  1,8 m  "</t>
  </si>
  <si>
    <t>766999102 SPC</t>
  </si>
  <si>
    <t>D+M Kryty radiatorů - Specifikace dle PD - D.1.1.c.04. VÝPIS TRUHLÁŘSKÝCH VÝROBKŮ - T2.1</t>
  </si>
  <si>
    <t>" Dřevěný kryt na radiátor tl.150mm, výška: 900mm "</t>
  </si>
  <si>
    <t xml:space="preserve">" 1.NP " </t>
  </si>
  <si>
    <t xml:space="preserve">" 2.NP " </t>
  </si>
  <si>
    <t xml:space="preserve">" Včetně všech příslušenství " </t>
  </si>
  <si>
    <t>D.1.1.c.04. VÝPIS TRUHLÁŘSKÝCH VÝROBKŮ</t>
  </si>
  <si>
    <t>Objekt:  D.1.1.c.06. VÝPIS KLEMPÍŘSKÝCH VÝROBKŮ</t>
  </si>
  <si>
    <t>Konstrukce klempířské</t>
  </si>
  <si>
    <t>764</t>
  </si>
  <si>
    <t>764999101 SPC</t>
  </si>
  <si>
    <t>D+M Střešní svod - Specifikace dle PD - D.1.1.c.06. VÝPIS KLEMPÍŘSKÝCH VÝROBKŮ - K1.1</t>
  </si>
  <si>
    <t>" Kulatý střešní svod z pozinkovaného plechu s polyuretanovou povrchovou vrstvou tl.0,55mm. Průměr svodu 110 mm. "</t>
  </si>
  <si>
    <t>" V ceně veškerý nutný kotvící, spojovací a další materiál. "</t>
  </si>
  <si>
    <t>764999102 SPC</t>
  </si>
  <si>
    <t>D+M Střešní svod - Specifikace dle PD - D.1.1.c.06. VÝPIS KLEMPÍŘSKÝCH VÝROBKŮ - K1.2</t>
  </si>
  <si>
    <t>" Hranatý střešní svod z pozinkovaného plechu s polyuretanovou povrchovou vrstvou tl.0,55mm. Průměr svodu 80x80 mm. "</t>
  </si>
  <si>
    <t>764999201 SPC</t>
  </si>
  <si>
    <t>D+M Okapový žlab - Specifikace dle PD - D.1.1.c.06. VÝPIS KLEMPÍŘSKÝCH VÝROBKŮ - K2.1</t>
  </si>
  <si>
    <t>" Podokapní žlab půlkruhový z pozinkovaného plechu s polyuretanovou vrstvou tl. 0,55mm. Průměr žlabu 150mm, RŠ 333mm "</t>
  </si>
  <si>
    <t>" - Podokapní žlab vč. háků, čel, spojek, a veškerého příslušenství. " (1,20*2+9,45*2+11,05*2+41,60+44,00)*1,10</t>
  </si>
  <si>
    <t>764999991 SPC</t>
  </si>
  <si>
    <t>" - Oblý lapač listí z bezkadmiového PVC pro žlab. " (1,20*2+9,45*2+11,05*2+41,60+44,00)*1,10</t>
  </si>
  <si>
    <t>764999202 SPC</t>
  </si>
  <si>
    <t>D+M Okapový žlab - Specifikace dle PD - D.1.1.c.06. VÝPIS KLEMPÍŘSKÝCH VÝROBKŮ - K2.2</t>
  </si>
  <si>
    <t>" Podokapní žlab půlkruhový z pozinkovaného plechu s polyuretanovou vrstvou tl. 0,55mm. Průměr žlabu 125mm, RŠ 333mm "</t>
  </si>
  <si>
    <t>" - Podokapní žlab vč. háků, čel, spojek, a veškerého příslušenství. " (5,05)*1,10</t>
  </si>
  <si>
    <t>764999992 SPC</t>
  </si>
  <si>
    <t>" - Hranatý lapač listí z bezkadmiového PVC pro žlab. " (5,05)*1,10</t>
  </si>
  <si>
    <t>764999301 SPC</t>
  </si>
  <si>
    <t>D+M Oplechování s napojením na fasádu - dilatační, dvoudílné - Specifikace dle PD - D.1.1.c.06. VÝPIS KLEMPÍŘSKÝCH VÝROBKŮ - K3.1</t>
  </si>
  <si>
    <t>" Oplechování z pozinkovaného plechu s polyuretanovou vrstvou, tl. 0,55mm s přítlačnou lištou."</t>
  </si>
  <si>
    <t>764218604 RTO</t>
  </si>
  <si>
    <t>" - Oplechování vrchní části štítu z pozinkovaného ocelového plechu opatřeného polyuretonovou povrchovou vrstvou - RŠ  330 mm " (6,3)*1,1</t>
  </si>
  <si>
    <t>764011419 RTO</t>
  </si>
  <si>
    <t>" - Dilatační připojovací lišta z Pz plechu včetně tmelení rš 200 mm. " ((6,3)*0,19)*1,1</t>
  </si>
  <si>
    <t>" Střecha " (6,3)</t>
  </si>
  <si>
    <t>764999302 SPC</t>
  </si>
  <si>
    <t>D+M Oplechování atiky s napojením na fasádu - Specifikace dle PD - D.1.1.c.06. VÝPIS KLEMPÍŘSKÝCH VÝROBKŮ - K3.2</t>
  </si>
  <si>
    <t>" Oplechování atiky š. 700mm z pozinkovaného plechu s polyuretanovou vrstvou, tl. 0,55mm s přítlačnou lištou."</t>
  </si>
  <si>
    <t>" - Oplechování horních ploch a atik bez rohů z Pz s povrch úpravou mechanicky kotvené rš přes 800 mm cena včetně příplatku za zvýšenou pracnost " (0,7*0,99)*1,1</t>
  </si>
  <si>
    <t>764011408 RTO</t>
  </si>
  <si>
    <t>" - Podkladní plech z PZ plechu pro hřebeny, nároží, úžlabí nebo okapové hrany tl 0,55 mm rš 800 mm. " ((0,7)*0,8)*1,1</t>
  </si>
  <si>
    <t>" - Cementotřísková deska - tl. 18,0 mm " ((0,7)*0,72)*1,1</t>
  </si>
  <si>
    <t>" Střecha " (0,7)</t>
  </si>
  <si>
    <t>764999303 SPC</t>
  </si>
  <si>
    <t>D+M Oplechování s napojením na fasádu - Specifikace dle PD - D.1.1.c.06. VÝPIS KLEMPÍŘSKÝCH VÝROBKŮ - K3.3</t>
  </si>
  <si>
    <t>7a</t>
  </si>
  <si>
    <t>" - Oplechování horních ploch a atik bez rohů z Pz s povrch úpravou mechanicky kotvené rš přes 800 mm cena včetně příplatku za zvýšenou pracnost " (1,8*0,820)*1,1</t>
  </si>
  <si>
    <t>7b</t>
  </si>
  <si>
    <t>764011407 RTO</t>
  </si>
  <si>
    <t>" - Podkladní plech z PZ plechu pro hřebeny, nároží, úžlabí nebo okapové hrany tl 0,55 mm rš 670 mm. " ((1,8)*0,67)*1,1</t>
  </si>
  <si>
    <t>7c</t>
  </si>
  <si>
    <t>" - Cementotřísková deska - tl. 18,0 mm. " ((1,8)*0,55)*1,1</t>
  </si>
  <si>
    <t>" Střecha " (1,8)</t>
  </si>
  <si>
    <t>764999401 SPC</t>
  </si>
  <si>
    <t>D+M Lemování kačírku (zelené střechy) - Specifikace dle PD - D.1.1.c.06. VÝPIS KLEMPÍŘSKÝCH VÝROBKŮ - K4.1</t>
  </si>
  <si>
    <t>" Lišta k zachytávání písku AL 100/80."</t>
  </si>
  <si>
    <t>" Střecha " (321,5)*1,1</t>
  </si>
  <si>
    <t>764999402 SPC</t>
  </si>
  <si>
    <t>D+M Přítlačná lišta - Specifikace dle PD - D.1.1.c.06. VÝPIS KLEMPÍŘSKÝCH VÝROBKŮ - K4.2</t>
  </si>
  <si>
    <t>" Přítlačná lišta z pozinkovaného plechu s polyuretanovou vrstvou. RŠ = 165 mm."</t>
  </si>
  <si>
    <t>" Střecha " (25,0)*1,1</t>
  </si>
  <si>
    <t>764999403 SPC</t>
  </si>
  <si>
    <t>D+M Okapní plech - Specifikace dle PD - D.1.1.c.06. VÝPIS KLEMPÍŘSKÝCH VÝROBKŮ - K4.3</t>
  </si>
  <si>
    <t>" Okapní plech z pozinkovaného plechu s polyuretanovou vrstvou. RŠ = 350 mm."</t>
  </si>
  <si>
    <t>" Střecha " (132,1)*1,1</t>
  </si>
  <si>
    <t>764999501 SPC</t>
  </si>
  <si>
    <t>D+M Oplechování napojení stávající střechy a nové skleněné střechy - Specifikace dle PD - D.1.1.c.06. VÝPIS KLEMPÍŘSKÝCH VÝROBKŮ - K5.1</t>
  </si>
  <si>
    <t>" Oplechování z pozinkovaného plechu s polyuretanovou vrstvou. RŠ = 490 mm. "</t>
  </si>
  <si>
    <t>" Střecha " (5,2)*1,1</t>
  </si>
  <si>
    <t>764999601 SPC</t>
  </si>
  <si>
    <t>D+M Oplechování střešní nástavby - Specifikace dle PD - D.1.1.c.06. VÝPIS KLEMPÍŘSKÝCH VÝROBKŮ - K6.1</t>
  </si>
  <si>
    <t>" Oplechování budníku z pozinkovaného plechu s polyuretanovou vrstvou. RŠ do 1910 mm "</t>
  </si>
  <si>
    <t>12a</t>
  </si>
  <si>
    <t>" - Oplechování horních ploch a atik bez rohů z Pz s povrch úpravou mechanicky kotvené rš přes 800 mm cena včetně příplatku za zvýšenou pracnost - 29,939 m2. " ((1,91*2,85)*5)*1,1</t>
  </si>
  <si>
    <t>12b</t>
  </si>
  <si>
    <t>762511144 RTO</t>
  </si>
  <si>
    <t>" - Podkladová konstrukce z cementotřískových desek - tl. 18,0 mm - 1,78 m2. " ((0,75*1,81)*5)*1,1</t>
  </si>
  <si>
    <t>" Součástí je také lemování 5×1 ks prostupu pro lemování VZT a svetlovodu:
Součást: plechová základna, plechová manžeta, krycí lemování, spojovací a kotevní materiál, nerezové stahovací pásky, apod. "</t>
  </si>
  <si>
    <t>12d</t>
  </si>
  <si>
    <t>7643146198 SPC</t>
  </si>
  <si>
    <t>" - Lemování prostupu VZT s světlovodu vč. veškerého nutného příslušenství, zajištění napojení, apod. "</t>
  </si>
  <si>
    <t>" Střecha " (2,85)*5</t>
  </si>
  <si>
    <t>Přesun hmot procentní pro konstrukce klempířské v objektech v přes 6 do 12 m</t>
  </si>
  <si>
    <t>HZS2151</t>
  </si>
  <si>
    <t>Hodinová zúčtovací sazba klempíř</t>
  </si>
  <si>
    <t xml:space="preserve">" Stavební práce a dodávky spojené s provedením funkčního celku 764 " </t>
  </si>
  <si>
    <t>D.1.1.c.06. VÝPIS KLEMPÍŘSKÝCH VÝROBKŮ</t>
  </si>
  <si>
    <t>" - Ocelová konstrukce venkovní rampa vč. zastřešení  z oceli S235 - 1 250kg "</t>
  </si>
  <si>
    <t>" - Ocelová konstrukce venkovního schodiště  z oceli S460 - 400kg "</t>
  </si>
  <si>
    <t>" - Ocelová konstrukce akustické zástěny na střeše  z oceli S460 - 1 400kg "</t>
  </si>
  <si>
    <t>Objekt:   D.1.4.7. SILNOPROUDÁ ELEKTROTECHNIKA</t>
  </si>
  <si>
    <t xml:space="preserve">  </t>
  </si>
  <si>
    <t>Elektromontážní práce - Svítidla</t>
  </si>
  <si>
    <t>741999101 SPC</t>
  </si>
  <si>
    <t xml:space="preserve">CS ÚRS 2024 01 </t>
  </si>
  <si>
    <t>HZS2231</t>
  </si>
  <si>
    <t>Hodinová zúčtovací sazba elektrikář</t>
  </si>
  <si>
    <t xml:space="preserve">" Stavební práce a dodávky spojené s provedením funkčního celku 741. " </t>
  </si>
  <si>
    <t xml:space="preserve">" Zednická výpomoc,doplňkové práce,kompletace,zřízení prostupů,zapravení prostupů, apod. " </t>
  </si>
  <si>
    <t>Elektromontážní práce - Přístroje</t>
  </si>
  <si>
    <t>" Včetně instalace, napojení, rámečku, krytu a instalačních krabic. "</t>
  </si>
  <si>
    <t>Elektromontážní práce - Kabely a vodiče</t>
  </si>
  <si>
    <t>741999301 SPC</t>
  </si>
  <si>
    <t>741999302 SPC</t>
  </si>
  <si>
    <t>741999303 SPC</t>
  </si>
  <si>
    <t>741999304 SPC</t>
  </si>
  <si>
    <t>Elektromontážní práce - Rozvaděče</t>
  </si>
  <si>
    <t>741999401 SPC</t>
  </si>
  <si>
    <t>" Včetně vystrojení, skříně, montážního materiálu, montáže, zapojení a veškerého nutného příslušenství a prácí nutných pro správnou funkci. "</t>
  </si>
  <si>
    <t>Elektromontážní práce - Zemnění</t>
  </si>
  <si>
    <t>741999506 SPC</t>
  </si>
  <si>
    <t>D+M Proměření + revizní zpráva - Specifikace dle PD</t>
  </si>
  <si>
    <t>Elektromontážní práce - Hromosvod</t>
  </si>
  <si>
    <t>741999601 SPC</t>
  </si>
  <si>
    <t>741999608 SPC</t>
  </si>
  <si>
    <t>Elektromontážní práce - Ostatní</t>
  </si>
  <si>
    <t>741999701 SPC</t>
  </si>
  <si>
    <t>D+M Úložný materiál - Specifikace dle PD</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</si>
  <si>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</si>
  <si>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</si>
  <si>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741999702 SPC</t>
  </si>
  <si>
    <t>D+M Pomocný materiál - Specifikace dle PD</t>
  </si>
  <si>
    <t>" Veškerý pomocný materiál pro zajištění vedení silnoproudu - spojovací a připevňovací materiál, hmoždinky, vruty, sádra, popisové štítky, apod. "</t>
  </si>
  <si>
    <t>" V ceně ochranné trubky, lišty, žlaby, parapetní vedení, a další veškerý materiál nutný pro vedení elektroinstalace vč. Veškerého nutného příslušenství - krytů, koncovek, přepážek, apod. "</t>
  </si>
  <si>
    <t>741999703 SPC</t>
  </si>
  <si>
    <t>D+M Případné vysekání rýh a prostupů pro vedení instalací v konstrukcích - Specifikace dle PD</t>
  </si>
  <si>
    <t>" Případné vysekání rýh ve zdivu, omítce, pro vedení elektroinstalace. "</t>
  </si>
  <si>
    <t>" V ceně vysekání rýh a drážek, případných prostupů pro vedení instalaace v konstrukcích a omítce, vč, odvozu a likvidace suti. "</t>
  </si>
  <si>
    <t>741999704 SPC</t>
  </si>
  <si>
    <t>D+M Protipožární prvky prostupy konstrukcemi požárních úseků - Specifikace dle PBŘ</t>
  </si>
  <si>
    <t>" Zajištění prostupů potrubí chlazení mezi jednotlivými požárními úseky protipožárními prvky - ucpávkami, tmely, pěny, disky, apod. - požadované požární odolnosti. "</t>
  </si>
  <si>
    <t>" Protipožární ucpávky,, manžety, tmely, apod. pro potrubí do chrániček, prostupů. "</t>
  </si>
  <si>
    <t>741999705 SPC</t>
  </si>
  <si>
    <t>D+M Proměření + výchozí revizní zpráva elektroinstalace - Specifikace dle PD.</t>
  </si>
  <si>
    <t>741999706 SPC</t>
  </si>
  <si>
    <t>D+M Zařízení a práce nespecifikované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</si>
  <si>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</si>
  <si>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Odstranění bednění základových desek</t>
  </si>
  <si>
    <t>111</t>
  </si>
  <si>
    <t>181999901 SPC</t>
  </si>
  <si>
    <t>338171901 SPC</t>
  </si>
  <si>
    <t>Vybourání stávajícího oplocení</t>
  </si>
  <si>
    <t>Objekt:   D.1.4.2. ODBĚRNÁ PLYNOVÁ ZAŘÍZENÍ</t>
  </si>
  <si>
    <t>Zdravotně technické instalace budov - Vnitřní plynovod</t>
  </si>
  <si>
    <t>Potrubí ocelové hladké černé bezešvé spojované svařováním tvářené za tepla D 28x2,6 mm</t>
  </si>
  <si>
    <t>" Ocelové potrubí plynovodu " (18,0)*1,1</t>
  </si>
  <si>
    <t xml:space="preserve">" V ceně veškeré příslušenství, tvarovky,kotvící prvky (vč. konzol) a spojovací materiál. " </t>
  </si>
  <si>
    <t>723150306 RTO</t>
  </si>
  <si>
    <t>Potrubí ocelové hladké černé bezešvé spojované svařováním tvářené za tepla D 44,5x2,6 mm</t>
  </si>
  <si>
    <t>" Ocelové potrubí plynovodu " (0,8)*1,1</t>
  </si>
  <si>
    <t>723170118 SPC</t>
  </si>
  <si>
    <t>Chránička D 44,5x3,2 mm</t>
  </si>
  <si>
    <t>" Plastová chránička pro potrubí plynovodu " (4,00)*1,1</t>
  </si>
  <si>
    <t>721</t>
  </si>
  <si>
    <t>723170226 RTO</t>
  </si>
  <si>
    <t>Ochrana plynového potrubí korugovanými trubkami D 40</t>
  </si>
  <si>
    <t xml:space="preserve">" Ochrana plynovodního potrubí korugavanou plynotěsnou chráničkou D 40. " </t>
  </si>
  <si>
    <t>" Okorugovaná plynotěsná chránička " (4,00)*1,1</t>
  </si>
  <si>
    <t>723999105 SPC</t>
  </si>
  <si>
    <t xml:space="preserve">D+M Plynový filtr DN 20 - Specifikace dle PD </t>
  </si>
  <si>
    <t>" V ceně veškeré příslušenství a montážní materiál. "</t>
  </si>
  <si>
    <t>723229301 SPC</t>
  </si>
  <si>
    <t>D+M Automatický bezpečnostní elektromagnetický ventil DN 20 - Specifikace dle PD</t>
  </si>
  <si>
    <t>" Automatický bezpečnostní elektromagnetický ventil pro planná paliva (BAP) - DN 20. "</t>
  </si>
  <si>
    <t>" Bezpečnostní ventil pro plyn "</t>
  </si>
  <si>
    <t>" V ceně veškeré příslušenství a montážní materiál, zajištění napojení, prokabelování, odzkoušení. "</t>
  </si>
  <si>
    <t>D+M Případné pásky na potrubí - Specifikace dle PD</t>
  </si>
  <si>
    <t>" Pásky na potrubí ve vzdálenostech 150 - 500 mm od strojních zařízení, armatur, potrubních křižovatek, překážek, stěn, apod. "</t>
  </si>
  <si>
    <t>723999901 SPC</t>
  </si>
  <si>
    <t>" Zajištění prostupů potrubí plynovodu mezi jednotlivými požárními úseky protipožárními prvky - ucpávkami, tmely, pěny, disky, apod. - požadované požární odolnosti. "</t>
  </si>
  <si>
    <t>723999302 SPC</t>
  </si>
  <si>
    <t>D+M Bezpečnostní štítky pro označení zařízení PLYN - Specifikace dle PD</t>
  </si>
  <si>
    <t>" Bezpečnostní štítky pro označení armatur, ventilů, druhu média, směru proudění, apod. "</t>
  </si>
  <si>
    <t>723999991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</si>
  <si>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</si>
  <si>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</si>
  <si>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</si>
  <si>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Přesun hmot procentní pro vnitřní plynovod v objektech v přes 6 do 12 m</t>
  </si>
  <si>
    <t>HZS2211</t>
  </si>
  <si>
    <t>Hodinová zúčtovací sazba instalatér</t>
  </si>
  <si>
    <t>" Stavební práce a dodávky spojené s provedením funkčního celku 723 "</t>
  </si>
  <si>
    <t xml:space="preserve">" Zednická výpomoc,doplňkové práce,kompletace, vytvoření a zapravení prostupů apod." </t>
  </si>
  <si>
    <t>Základní antikorozní jednonásobný syntetický nátěr armatur DN do 100 mm</t>
  </si>
  <si>
    <t xml:space="preserve">" Nátěr nutných částí všech armatur " </t>
  </si>
  <si>
    <t>" Plynový filtr DN20 " 1</t>
  </si>
  <si>
    <t>" Automatický ventil DN 20 " 1</t>
  </si>
  <si>
    <t>Základní antikorozní jednonásobný syntetický potrubí DN do 50 mm</t>
  </si>
  <si>
    <t xml:space="preserve">" Nátěr plynovodního potrubí " </t>
  </si>
  <si>
    <t>" Nátěr plynovodního potrubí - D 28,0×2,6 (DN 20) " 18,0</t>
  </si>
  <si>
    <t>" Nátěr plynovodního potrubí - D 44,5×2,6 (DN 40) " 0,8</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</si>
  <si>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</si>
  <si>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</si>
  <si>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</si>
  <si>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</si>
  <si>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28,0×2,6 (DN 20) " 18,0</t>
  </si>
  <si>
    <t>" Mezinátěr plynovodního potrubí - D 44,5×2,6 (DN 40) " 0,8</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</si>
  <si>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</si>
  <si>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</si>
  <si>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</si>
  <si>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</si>
  <si>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28,0×2,6 (DN 20) " 18,0</t>
  </si>
  <si>
    <t>" Krycí nátěr plynovodního potrubí - D 44,5×2,6 (DN 40) " 0,8</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</si>
  <si>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</si>
  <si>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</si>
  <si>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</si>
  <si>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</si>
  <si>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</si>
  <si>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</si>
  <si>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28,0×2,6 (DN 20) " </t>
  </si>
  <si>
    <t xml:space="preserve">" Zkouška těsnosti plynovodního potrubí - příprava - D 44,5×2,6 (DN 40) " </t>
  </si>
  <si>
    <t>Tlakové zkoušky těsnosti potrubí - zkouška DN do 40</t>
  </si>
  <si>
    <t xml:space="preserve">" Zkouška těsnosti plynovodního potrubí " </t>
  </si>
  <si>
    <t>" Zkouška těsnosti plynovodního potrubí - D 28,0×2,6 (DN 20) " 18,0</t>
  </si>
  <si>
    <t>" Zkouška těsnosti plynovodního potrubí - D 44,5×2,6 (DN 40) " 0,8</t>
  </si>
  <si>
    <t>Čištění potrubí DN 200</t>
  </si>
  <si>
    <t xml:space="preserve">" Čištění plynovodního potrubí " </t>
  </si>
  <si>
    <t>" Čištění plynovodního potrubí - D 28,0×2,6 (DN 20) " 18,0</t>
  </si>
  <si>
    <t>" Čištění plynovodního potrubí - D 44,5×2,6 (DN 40) " 0,8</t>
  </si>
  <si>
    <t>721999801 SPC</t>
  </si>
  <si>
    <t>D+M Armatury, prvky a vybavení pro rozvody kanalizace</t>
  </si>
  <si>
    <t>" Armatury, prvky a vybavení pro rozvody plynovodu nutné pro zajištění prací, uvedené v PD, či nutné pro zajištění správné funkčnosti, ale nespecifikované v soupise prací. "</t>
  </si>
  <si>
    <t>D.1.4.2. ODBĚRNÁ PLYNOVÁ ZAŘÍZENÍ</t>
  </si>
  <si>
    <t>Objekt:   D.1.4.8. ELEKTRONICKÉ KOMUNIKACE</t>
  </si>
  <si>
    <t>742998101 SPC</t>
  </si>
  <si>
    <t>" V ceně také zapojení, odzkoušení. "</t>
  </si>
  <si>
    <t>742998151 SPC</t>
  </si>
  <si>
    <t>D+M Kabeláž pro prvky el. komunikace - strukturovaná kabeláž - Specifikace dle PD</t>
  </si>
  <si>
    <t xml:space="preserve">" Kabeláž pro prvky elektrických komunikací - strukturovaná kabeláž. " </t>
  </si>
  <si>
    <t>" V ceně veškerá nutná kabeláž pro napojen prvků el. komunikace, a dalších elektrických zařízení. V ceně veškeré nutné prvky, kotvící materiál, ukončující prvky, zapojení apod. "</t>
  </si>
  <si>
    <t>742998191 SPC</t>
  </si>
  <si>
    <t>" Veškerý úložný materiál pro vedení instalace el. komunikace "</t>
  </si>
  <si>
    <t>" V ceně ochranné trubky, lišty, žlaby, parapetní vedení, a další veškerý materiál nutný pro vedení elektroinstalace vč. veškerého nutného příslušenství - krytů, koncovek, přepážek, úchytek, apod. "</t>
  </si>
  <si>
    <t>742998192 SPC</t>
  </si>
  <si>
    <t>" Veškerý pomocný materiál pro zajištění vedení e. komunikace - spojovací a připevňovací materiál, hmoždinky, vruty, sádra, popisové štítky, apod. "</t>
  </si>
  <si>
    <t xml:space="preserve">" Stavební práce a dodávky spojené s provedením funkčního celku 742. " </t>
  </si>
  <si>
    <t xml:space="preserve">" Zednická výpomoc,doplňkové práce,kompletace apod. " </t>
  </si>
  <si>
    <t>Elektromontážní práce - Přístupový systém (ACS)</t>
  </si>
  <si>
    <t>742998201 SPC</t>
  </si>
  <si>
    <t>742998251 SPC</t>
  </si>
  <si>
    <t>D+M Kabeláž pro prvky el. komunikace - přístupový systém - Specifikace dle PD</t>
  </si>
  <si>
    <t xml:space="preserve">" Kabeláž pro prvky elektrických komunikací - přístupový systém. " </t>
  </si>
  <si>
    <t>742998291 SPC</t>
  </si>
  <si>
    <t>742998292 SPC</t>
  </si>
  <si>
    <t>Elektromontážní práce - Kamerový systém (CCTV)</t>
  </si>
  <si>
    <t>742998301 SPC</t>
  </si>
  <si>
    <t>D+M Kabeláž pro prvky el. komunikace - kamerový systém - Specifikace dle PD</t>
  </si>
  <si>
    <t xml:space="preserve">" Kabeláž pro prvky elektrických komunikací - kamerový systém. " </t>
  </si>
  <si>
    <t>742998391 SPC</t>
  </si>
  <si>
    <t>742998392 SPC</t>
  </si>
  <si>
    <t>742998401 SPC</t>
  </si>
  <si>
    <t>742998451 SPC</t>
  </si>
  <si>
    <t xml:space="preserve">" Kabeláž pro prvky elektrických komunikací - PZTS. " </t>
  </si>
  <si>
    <t>742998491 SPC</t>
  </si>
  <si>
    <t>742998492 SPC</t>
  </si>
  <si>
    <t>Elektromontážní práce - AV technika</t>
  </si>
  <si>
    <t>742998701 SPC</t>
  </si>
  <si>
    <t>D+M Kabeláž pro prvky el. komunikace - AV technika - Specifikace dle PD</t>
  </si>
  <si>
    <t xml:space="preserve">" Kabeláž pro prvky elektrických komunikací - AV technika. " </t>
  </si>
  <si>
    <t>742998791 SPC</t>
  </si>
  <si>
    <t>742998792 SPC</t>
  </si>
  <si>
    <t>742998793 SPC</t>
  </si>
  <si>
    <t>Elektromontážní práce - Systém jednotného času</t>
  </si>
  <si>
    <t>742998801 SPC</t>
  </si>
  <si>
    <t>D+M Prvky systému jendotného času - Specfikace dle PD</t>
  </si>
  <si>
    <t>742998851 SPC</t>
  </si>
  <si>
    <t>742998591 SPC</t>
  </si>
  <si>
    <t>742998892 SPC</t>
  </si>
  <si>
    <t>742998893 SPC</t>
  </si>
  <si>
    <t>742998901 SPC</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</si>
  <si>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</si>
  <si>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D+M Areálový rozvod elektro</t>
  </si>
  <si>
    <t>742999104 SPC</t>
  </si>
  <si>
    <t>D.1.4.1.b.10 ODLUČOVAČE TUKU</t>
  </si>
  <si>
    <t>Objekt:       D.1.4.3. VZDUCHOTECHNIKA</t>
  </si>
  <si>
    <t>Vzduchotechnika - Zařízení - VZT jednotky / Ventilátory</t>
  </si>
  <si>
    <t>751991101 SPC</t>
  </si>
  <si>
    <t>" V ceně také veškeré nutné komponenty a práce pro MaR, vč. regulace. "</t>
  </si>
  <si>
    <t>751</t>
  </si>
  <si>
    <t>751991901 SPC</t>
  </si>
  <si>
    <t>" Veškeré nutná zařízení VZT nespecifikovaná a nespecifikovaná příslušenství pro jednotky a ventilátory  - např. vany, protimrzné krabice pro VZT jednotky pro UT, apod. "</t>
  </si>
  <si>
    <t>" V ceně montáž, osazení, kotvící a spojovací prvky, apod. "</t>
  </si>
  <si>
    <t>Přesun hmot procentní pro vzduchotechniku v objektech v do 12 m</t>
  </si>
  <si>
    <t xml:space="preserve">HZS3211 </t>
  </si>
  <si>
    <t>Hodinová zúčtovací sazba montér vzduchotechniky a chlazení</t>
  </si>
  <si>
    <t xml:space="preserve">" Stavební práce a dodávky spojené s provedením funkčního celku 751. " </t>
  </si>
  <si>
    <t xml:space="preserve">" Zednická výpomoc, doplňkové práce, kompletace, zřízení a zapravení prostupů,vysekání a zapravení drážek, překlady nad prostupy apod." </t>
  </si>
  <si>
    <t>Vzduchotechnika - Potrubí</t>
  </si>
  <si>
    <t>" V ceně veškeré příslušenství, tvarovky, regulační plechy, náběhové plechy, tlumící vložky, kotvící prvky a spojovací materiál. "</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</si>
  <si>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</si>
  <si>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</si>
  <si>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</si>
  <si>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</si>
  <si>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</si>
  <si>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Vzduchotechnika</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</si>
  <si>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</si>
  <si>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</si>
  <si>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</si>
  <si>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</si>
  <si>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</si>
  <si>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</si>
  <si>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</si>
  <si>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</si>
  <si>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</si>
  <si>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</si>
  <si>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Objekt:   D.1.4.4. VYTÁPĚNÍ</t>
  </si>
  <si>
    <t>Ústřední vytápění - Kotelny</t>
  </si>
  <si>
    <t>731</t>
  </si>
  <si>
    <t>731999101 SPC</t>
  </si>
  <si>
    <t>D+M Výměníková stanice -Specifikace dle PD - VS1</t>
  </si>
  <si>
    <t>" Tlakově nezávislá stanice. Cena vč. pohonu. "</t>
  </si>
  <si>
    <t>" Včetně prokabelování, zprovoznění, napojení a veškerého příslušenství. dle PD "</t>
  </si>
  <si>
    <t>" V ceně jsou započítány všechny armatury jako např. kohouty, teploměry, foltry, ventily, izolace atd. "</t>
  </si>
  <si>
    <t>731999102 SPC</t>
  </si>
  <si>
    <t>D+M Výměníková stanice -Specifikace dle PD - VS2</t>
  </si>
  <si>
    <t>731999103 SPC</t>
  </si>
  <si>
    <t>D+M Hlavní kombinovaný Rozdělovač / Sběrač - Specifikace dle PD - R/S</t>
  </si>
  <si>
    <t>" Hlavní kombinovaný rozdělovač / sběrač s vnitřní izolací mezi rozdělovací a sběrnou částí. V ceně veškeré nutné příslušenství, armatury, šroubení, ... a veškeré práce pro zajištění funkčnosti celku. "</t>
  </si>
  <si>
    <t>731999301 SPC</t>
  </si>
  <si>
    <t>D+M Oběhové čerpadlo s regulovatelnými otáčkami - Specifikace dle PD - OČ01</t>
  </si>
  <si>
    <t>" Oběhové čerpadlo s regulovatelnými otáčkami pro VĚTEV 1, m = 0,837 m3/h, H = 60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</si>
  <si>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</si>
  <si>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</si>
  <si>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</si>
  <si>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m = 1,178 m3/h, H = 65 kPa, 230 V. "</t>
  </si>
  <si>
    <t>731999303 SPC</t>
  </si>
  <si>
    <t>D+M Oběhové čerpadlo s regulovatelnými otáčkami - Specifikace dle PD - OČ03</t>
  </si>
  <si>
    <t>" Oběhové čerpadlo s regulovatelnými otáčkami pro VĚTEV 3, m = 2,412 m3/h, H = 75 kPa, 230 V. "</t>
  </si>
  <si>
    <t>731999304 SPC</t>
  </si>
  <si>
    <t>D+M Oběhové čerpadlo s regulovatelnými otáčkami - Specifikace dle PD - OČ04</t>
  </si>
  <si>
    <t>" Oběhové čerpadlo s regulovatelnými otáčkami pro VZT č. 1, m = 0,129 m3/h, H = 40 kPa, 230 V. "</t>
  </si>
  <si>
    <t>731999305 SPC</t>
  </si>
  <si>
    <t>D+M Oběhové čerpadlo s regulovatelnými otáčkami - Specifikace dle PD - OČ05</t>
  </si>
  <si>
    <t>" Oběhové čerpadlo s regulovatelnými otáčkami pro VZT č. 2, m = 2,283 m3/h, H = 75 kPa, 230 V. "</t>
  </si>
  <si>
    <t>731999306 SPC</t>
  </si>
  <si>
    <t>D+M Oběhové čerpadlo s regulovatelnými otáčkami pro cirkulaci - Specifikace dle PD - OČ06</t>
  </si>
  <si>
    <t>" Oběhové čerpadlo s regulovatelnými otáčkami pro nabíjecí čerpadlo akumulace, Q = 1,68 m3/h, H = 75 kPa, 230 V. "</t>
  </si>
  <si>
    <t>731999307 SPC</t>
  </si>
  <si>
    <t>D+M Oběhové čerpadlo s regulovatelnými otáčkami - Specifikace dle PD - CČ01</t>
  </si>
  <si>
    <t>" Oběhové čerpadlo s regulovatelnými otáčkami pro cirkulaci, m = 0,788 m3/h, H = 55 kPa, 230 V. "</t>
  </si>
  <si>
    <t>731999402 SPC</t>
  </si>
  <si>
    <t>D+M Kompresorový automat - Specifikace dle PD - EX-T</t>
  </si>
  <si>
    <t>" Kompresorový automat s membránovou expanzí pro topení. "</t>
  </si>
  <si>
    <t>" Včetně prokabelování, měření a regulace, zprovoznění, napojení a veškerého příslušenství "</t>
  </si>
  <si>
    <t>731999403 SPC</t>
  </si>
  <si>
    <t>D+M Expanzní nádoba s membránou - Specifikace dle PD - EX-V</t>
  </si>
  <si>
    <t>" Expanzní nádoba s membránou pro rozvody pitné vody. "</t>
  </si>
  <si>
    <t>731999404 SPC</t>
  </si>
  <si>
    <t>D+M Odplyňovací automat - podtlakový - Specifikace dle PD - OA-P</t>
  </si>
  <si>
    <t>" Odplyňovací automat. "</t>
  </si>
  <si>
    <t>731999405 SPC</t>
  </si>
  <si>
    <t>D+M Nerezový zásobníkový ohřívač TV - Specifikace dle PD - Z1</t>
  </si>
  <si>
    <t>" Nerezový zásobníkový ohřívač TV bez vnitřních výměníku - bez elektrické patrony. "</t>
  </si>
  <si>
    <t>731999406 SPC</t>
  </si>
  <si>
    <t>D+M Automatické změkčovací zařízení - Specifikace dle PD - AZZ</t>
  </si>
  <si>
    <t>" Automatické změkčovací zařízení. "</t>
  </si>
  <si>
    <t>731999407 SPC</t>
  </si>
  <si>
    <t>D+M Automatické doplňovací zařízení - Specifikace dle PD - ADZ</t>
  </si>
  <si>
    <t>" Automatické doplňovací zařízení. "</t>
  </si>
  <si>
    <t>Přesun hmot procentní pro kotelny v objektech v přes 6 do 12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</si>
  <si>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</si>
  <si>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</si>
  <si>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</si>
  <si>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</si>
  <si>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</si>
  <si>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866181901 SPC</t>
  </si>
  <si>
    <t>D+M Předizolované plastové potrubí do DN 100 - Specifikace dle PD</t>
  </si>
  <si>
    <t>" DN90 " (13,5)*1,1</t>
  </si>
  <si>
    <t>" DN100 " (1,00)*1,1</t>
  </si>
  <si>
    <t>" V ceně veškeré potřebné tvarovky, příslušenství, apod. "</t>
  </si>
  <si>
    <t>871999501 SPC</t>
  </si>
  <si>
    <t>D+M Systém podpory potrubí vedeného v kolektoru - Specifikace dle PD</t>
  </si>
  <si>
    <t>" Podpůrný systém pro vedení potrubí v kolektoru. " (13,5+1,00)</t>
  </si>
  <si>
    <t>" Ocelová rámová konstrukce pro ukotvění ke stropu či do podlahy pro instalaci / konzoly pro upevnění na stěny, vč veškerého příslušenství a dalších nutných věcí - kotvícího, spojovacího, těsnícího, aj. materiálu, apod, pro zajištění vedení potrubí v kolektoru. "</t>
  </si>
  <si>
    <t>" POZN: Systém podpory uvažován pro obě potrubí přívodní a vratné dohromady. "</t>
  </si>
  <si>
    <t>733121101 SPC</t>
  </si>
  <si>
    <t xml:space="preserve">D+M Potrubí ocelové DN 10 + TI tl. 40 mm - Specifikace dle PD </t>
  </si>
  <si>
    <t>" Součástí izolační pouzdra z minerální vlny s polepem z hliníkové fólie vyztužené mřížkou ze skelných vláken (ALS). Pouzdro na podélném spoji opatřeno přesahem fólie se samolepící páskou. Izolace v celé délce potrubí včetně kolen a odboček "</t>
  </si>
  <si>
    <t>" Ocelové potrubí pro vytápění " (12,25+237,89+158,24)*1,1</t>
  </si>
  <si>
    <t>" V ceně veškeré příslušenství, tvarovky,kotvící prvky a spojovací materiál, výměra včetně ztratného "</t>
  </si>
  <si>
    <t>733121102 SPC</t>
  </si>
  <si>
    <t xml:space="preserve">D+M Potrubí ocelové DN 15 + TI tl. 40 mm - Specifikace dle PD </t>
  </si>
  <si>
    <t>" Ocelové potrubí pro vytápění " (25,75+63,99)*1,1</t>
  </si>
  <si>
    <t>733121103 SPC</t>
  </si>
  <si>
    <t xml:space="preserve">D+M Potrubí ocelové DN 20 + TI tl. 40 mm - Specifikace dle PD </t>
  </si>
  <si>
    <t>" Ocelové potrubí pro vytápění " (54,65+0,57)*1,1</t>
  </si>
  <si>
    <t>733121104 SPC</t>
  </si>
  <si>
    <t xml:space="preserve">D+M Potrubí ocelové DN 25 + TI tl. 40 mm - Specifikace dle PD </t>
  </si>
  <si>
    <t>" Ocelové potrubí pro vytápění " (16,06)*1,1</t>
  </si>
  <si>
    <t>733121105 SPC</t>
  </si>
  <si>
    <t xml:space="preserve">D+M Potrubí ocelové DN 32 + TI tl. 50 mm - Specifikace dle PD </t>
  </si>
  <si>
    <t>" Ocelové potrubí pro vytápění " (50,50)*1,1</t>
  </si>
  <si>
    <t>733121106 SPC</t>
  </si>
  <si>
    <t xml:space="preserve">D+M Potrubí ocelové DN 40 + TI tl. 50 mm - Specifikace dle PD </t>
  </si>
  <si>
    <t>" Ocelové potrubí pro vytápění " (43,28)*1,1</t>
  </si>
  <si>
    <t>733121107 SPC</t>
  </si>
  <si>
    <t xml:space="preserve">D+M Potrubí ocelové DN 50 + TI tl. 50 mm - Specifikace dle PD </t>
  </si>
  <si>
    <t>" Ocelové potrubí pro vytápění " (45,59)*1,1</t>
  </si>
  <si>
    <t>733121108 SPC</t>
  </si>
  <si>
    <t xml:space="preserve">D+M Potrubí ocelové DN 100 + TI tl. 80 mm - Specifikace dle PD </t>
  </si>
  <si>
    <t>" Ocelové potrubí pro vytápění " (14,30)*1,1</t>
  </si>
  <si>
    <t>733190225 SPC</t>
  </si>
  <si>
    <t>Zkouška těsnosti potrubí ocelové hladké D do 133x5,0</t>
  </si>
  <si>
    <t xml:space="preserve">" Zkoušky těsnosti měděných potrubí " </t>
  </si>
  <si>
    <t>" Zkouška těsnosti potrubí " (14,30+45,59+43,28+50,50+16,06+54,65+0,57+25,75+63,99+12,25+237,89+158,24)</t>
  </si>
  <si>
    <t>733391001 SPC</t>
  </si>
  <si>
    <t xml:space="preserve">D+M Potrubí plastové s kyslíkovou bariérou do PE-Xb/AL/PE-Xb D 57,0×2,9 + TI tl. 9 mm - Specifikace dle PD </t>
  </si>
  <si>
    <t>" Součástí izolační pouzdra z PE laminované zesílenou hliníkovou fólií. Pozdro na podélném a příčném spoji přilepeno chloroprenovým kaučukovým lepidlem, popř. obaleno plastovou páskou. Izolace v celé délce potrubí včetně kolen a odboček. "</t>
  </si>
  <si>
    <t xml:space="preserve">" Přípojné potrubí pro podlahové vytápění. " </t>
  </si>
  <si>
    <t>" DN20 " (24,18)*1,1</t>
  </si>
  <si>
    <t>" DN25 " (26,05)*1,1</t>
  </si>
  <si>
    <t>" DN32 " (68,15)*1,1</t>
  </si>
  <si>
    <t>" DN40 " (6,58)*1,1</t>
  </si>
  <si>
    <t>" DN50 " (0,13)*1,1</t>
  </si>
  <si>
    <t>" V ceně zkoušky těsnosti potrubí. "</t>
  </si>
  <si>
    <t>733391102 SPC</t>
  </si>
  <si>
    <t>Zkouška těsnosti potrubí plastové D přes 32x3 do 50x4,6</t>
  </si>
  <si>
    <t>" Zkouška potrubí plastového " (24,18+26,05+68,15+6,58+0,13)</t>
  </si>
  <si>
    <t>733999301 SPC</t>
  </si>
  <si>
    <t>D+M Napojení potrubí na VZT jednotky - Specifikace dle PD</t>
  </si>
  <si>
    <t xml:space="preserve">" Napojení potrubí na VZT jednotky. " </t>
  </si>
  <si>
    <t>" Zajištění napojení potrubí UT na VZT. V ceně veškeré nutné tvarovky (redukce), armatury, těsnící profily a další nutné věci, příslušenství. "</t>
  </si>
  <si>
    <t>" POZN: Sadou je myšleno dopojení na všechna potrubí. "</t>
  </si>
  <si>
    <t>733999401 SPC</t>
  </si>
  <si>
    <t>Provedení napojení nového potrubí pro vytápění na stávající stoupací - Specifikace dle PD</t>
  </si>
  <si>
    <t>" Provedení napojení nového potrubí vytápění na stávající . "</t>
  </si>
  <si>
    <t>" Napojení potrubí stávající stoupací " 1</t>
  </si>
  <si>
    <t>"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t>
  </si>
  <si>
    <t>" V ceně také případný přesun suti.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</si>
  <si>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</si>
  <si>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</si>
  <si>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</si>
  <si>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6 do 12 m</t>
  </si>
  <si>
    <t>" Stavební práce a dodávky spojené s provedením funkčního celku 733 "</t>
  </si>
  <si>
    <t>734</t>
  </si>
  <si>
    <t>Ústřední vytápění - Armatury</t>
  </si>
  <si>
    <t>734991101 SPC</t>
  </si>
  <si>
    <t>D+M Kohout kulový uzavírací DN 10 - Specifikace dle PD - KK</t>
  </si>
  <si>
    <t xml:space="preserve">" Koulový kohout vytápení - DN 10 " </t>
  </si>
  <si>
    <t xml:space="preserve">" Tělo : Mosaz-chromovaná, Koule : Mosaz-chromované, ocelová páčka potažená plastem. Profilované těsnění se sníženým třením. " </t>
  </si>
  <si>
    <t>734991102 SPC</t>
  </si>
  <si>
    <t>D+M Kohout kulový uzavírací DN 15 - Specifikace dle PD - KK</t>
  </si>
  <si>
    <t xml:space="preserve">" Koulový kohout vytápení - DN 15 " </t>
  </si>
  <si>
    <t>734991103 SPC</t>
  </si>
  <si>
    <t>D+M Kohout kulový uzavírací DN 20 - Specifikace dle PD - KK</t>
  </si>
  <si>
    <t xml:space="preserve">" Koulový kohout vytápení - DN 20 " </t>
  </si>
  <si>
    <t>734991104 SPC</t>
  </si>
  <si>
    <t>D+M Kohout kulový uzavírací DN 25 - Specifikace dle PD - KK</t>
  </si>
  <si>
    <t xml:space="preserve">" Koulový kohout vytápení - DN 25 " </t>
  </si>
  <si>
    <t>734991105 SPC</t>
  </si>
  <si>
    <t>D+M Kohout kulový uzavírací DN 32 - Specifikace dle PD - KK</t>
  </si>
  <si>
    <t xml:space="preserve">" Koulový kohout vytápení - DN 32 " </t>
  </si>
  <si>
    <t>734991106 SPC</t>
  </si>
  <si>
    <t>D+M Kohout kulový uzavírací DN 40 - Specifikace dle PD - KK</t>
  </si>
  <si>
    <t>" Koulový kohout vytápení - DN 40 "</t>
  </si>
  <si>
    <t>734991107 SPC</t>
  </si>
  <si>
    <t>D+M Kohout kulový uzavírací DN 50 - Specifikace dle PD - KK</t>
  </si>
  <si>
    <t xml:space="preserve">" Koulový kohout vytápení - DN 50 " </t>
  </si>
  <si>
    <t>734991201 SPC</t>
  </si>
  <si>
    <t>D+M Vypouštěcí ventil s hadicovým připojením DN 15 - Specifikace dle PD - VVT</t>
  </si>
  <si>
    <t xml:space="preserve">" Vypouštěcí venti ls hadicovým připojením - DN 15 " </t>
  </si>
  <si>
    <t xml:space="preserve">" Tělo : Mosaz-choromované. Ovládání: ocelová páčka potažená plastem. " </t>
  </si>
  <si>
    <t>734991202 SPC</t>
  </si>
  <si>
    <t>D+M Vypouštěcí ventil s hadicovým připojením DN 25 - Specifikace dle PD - VVT</t>
  </si>
  <si>
    <t xml:space="preserve">" Vypouštěcí venti ls hadicovým připojením - DN 25 " </t>
  </si>
  <si>
    <t>734991301 SPC</t>
  </si>
  <si>
    <t>D+M Zpětná klapka závitová DN 15 - Specifikace dle PD - ZKZ</t>
  </si>
  <si>
    <t xml:space="preserve">" Zpětná klapka závitová - DN 15 " </t>
  </si>
  <si>
    <t xml:space="preserve">" Tělo : Nerez ocel-závitové, těsnění PTFE. " </t>
  </si>
  <si>
    <t>734991302 SPC</t>
  </si>
  <si>
    <t>D+M Zpětná klapka závitová DN 20 - Specifikace dle PD - ZKZ</t>
  </si>
  <si>
    <t xml:space="preserve">" Zpětná klapka závitová - DN 20 " </t>
  </si>
  <si>
    <t>734991303 SPC</t>
  </si>
  <si>
    <t>D+M Zpětná klapka závitová DN 25 - Specifikace dle PD - ZKZ</t>
  </si>
  <si>
    <t>" Zpětná klapka závitová - DN 25 "</t>
  </si>
  <si>
    <t>734991304 SPC</t>
  </si>
  <si>
    <t>D+M Zpětná klapka závitová DN 32 - Specifikace dle PD - ZKZ</t>
  </si>
  <si>
    <t>" Zpětná klapka závitová - DN 32 "</t>
  </si>
  <si>
    <t>734991305 SPC</t>
  </si>
  <si>
    <t>D+M Zpětná klapka závitová DN 40 - Specifikace dle PD - ZKZ</t>
  </si>
  <si>
    <t xml:space="preserve">" Zpětná klapka závitová - DN 40 " </t>
  </si>
  <si>
    <t>734991401 SPC</t>
  </si>
  <si>
    <t>D+M Filtr závitový DN 15 - Specifikace dle PD - FZ</t>
  </si>
  <si>
    <t xml:space="preserve">" Zavitový filtr - DN 15 " </t>
  </si>
  <si>
    <t xml:space="preserve">" Tělo : Nerez ocel-závitové. Sítko : Nerezové děrované filtrační. Těsnění PTFE. " </t>
  </si>
  <si>
    <t>734991402 SPC</t>
  </si>
  <si>
    <t>D+M Filtr závitový DN 20 - Specifikace dle PD - FZ</t>
  </si>
  <si>
    <t xml:space="preserve">" Zavitový filtr - DN 20 " </t>
  </si>
  <si>
    <t>734991403 SPC</t>
  </si>
  <si>
    <t>D+M Filtr závitový DN 25 - Specifikace dle PD - FZ</t>
  </si>
  <si>
    <t>" Zavitový filtr - DN 25 "</t>
  </si>
  <si>
    <t>734991404 SPC</t>
  </si>
  <si>
    <t>D+M Filtr závitový DN 32 - Specifikace dle PD - FZ</t>
  </si>
  <si>
    <t xml:space="preserve">" Zavitový filtr - DN 32 " </t>
  </si>
  <si>
    <t>734991405 SPC</t>
  </si>
  <si>
    <t>D+M Filtr závitový DN 40 - Specifikace dle PD - FZ</t>
  </si>
  <si>
    <t xml:space="preserve">" Zavitový filtr - DN 40 " </t>
  </si>
  <si>
    <t>734991501 SPC</t>
  </si>
  <si>
    <t>D+M Automatický odvzdušňovací ventil horní se zpětnou klapkou DN 15 - Specifikace dle PD - AOV</t>
  </si>
  <si>
    <t xml:space="preserve">" Automatický odvzdušňovací ventil - DN 15 " </t>
  </si>
  <si>
    <t xml:space="preserve">" Tělo : Mosaz, Pružina : Nerez. Připojení 3/8" (DN 10), Těsnění : EPDM. Max. provozní tlak 10 bar. Max. provozní teplota: +115 °C " </t>
  </si>
  <si>
    <t>734991601 SPC</t>
  </si>
  <si>
    <t>D+M Teploměr DN 15 - Specifikace dle PD - T</t>
  </si>
  <si>
    <t xml:space="preserve">" Teploměr - DN 15 " </t>
  </si>
  <si>
    <t xml:space="preserve">" Připojení : Zadní, centrické. Tělo : Nerez." </t>
  </si>
  <si>
    <t>734991602 SPC</t>
  </si>
  <si>
    <t>D+M Tlakový manometr DN 15 - Specifikace dle PD - M</t>
  </si>
  <si>
    <t xml:space="preserve">" Tlakový manometr - DN 15 " </t>
  </si>
  <si>
    <t xml:space="preserve">" Šroubení : G 1/2" (DN 15), Připojení : Zadní, excentrické. " </t>
  </si>
  <si>
    <t>734991701 SPC</t>
  </si>
  <si>
    <t>D+M Ruční vyvažovací ventil závitový DN 15 - Specifikace dle PD - RVV</t>
  </si>
  <si>
    <t>" Ruční vyvažovací ventil závitový - DN 15 "</t>
  </si>
  <si>
    <t xml:space="preserve">" Tělo: Litina. Těsnění: EPDM. Ovládání: Ruční, plynulé přednastavení. Maximální teplota +120°C. Maximální provozní tlak: PN 16. Kvs: dle přiřazeného DN. " </t>
  </si>
  <si>
    <t>734991702 SPC</t>
  </si>
  <si>
    <t>D+M Ruční vyvažovací ventil závitový DN 20 - Specifikace dle PD - RVV</t>
  </si>
  <si>
    <t>" Ruční vyvažovací ventil závitový - DN 20 "</t>
  </si>
  <si>
    <t>734991703 SPC</t>
  </si>
  <si>
    <t>D+M Ruční vyvažovací ventil závitový DN 25 - Specifikace dle PD - RVV</t>
  </si>
  <si>
    <t xml:space="preserve">" Ruční vyvažovací ventil závitový - DN 25 " </t>
  </si>
  <si>
    <t>734991704 SPC</t>
  </si>
  <si>
    <t>D+M Ruční vyvažovací ventil závitový DN 32 - Specifikace dle PD - RVV</t>
  </si>
  <si>
    <t>" Ruční vyvažovací ventil závitový - DN 32 "</t>
  </si>
  <si>
    <t>734991705 SPC</t>
  </si>
  <si>
    <t>D+M Ruční vyvažovací ventil závitový DN 40 - Specifikace dle PD - RVV</t>
  </si>
  <si>
    <t xml:space="preserve">" Ruční vyvažovací ventil závitový - DN 40 " </t>
  </si>
  <si>
    <t>734991901 SPC</t>
  </si>
  <si>
    <t>D+M Jímka pro čidlo - Specifikace dle PD - JČ</t>
  </si>
  <si>
    <t xml:space="preserve">" Jímka pro čidlo. " </t>
  </si>
  <si>
    <t>734999221 SPC</t>
  </si>
  <si>
    <t>D+M Potrubní oddělovač DN 32 - Specifikace dle PD - PO</t>
  </si>
  <si>
    <t>" Potrubní oddělovač "</t>
  </si>
  <si>
    <t>734999111 SPC</t>
  </si>
  <si>
    <t>D+M Pojistný ventil pro topení DN 15 - Specifikace dle PD - PV</t>
  </si>
  <si>
    <t xml:space="preserve">" Pojistný ventil topení - DN 15 " </t>
  </si>
  <si>
    <t xml:space="preserve">" Tělo: Litina, pružina: nerez, chráněno membránou. Max. provozní tlak 10 bar. Max. provozní teplota + 120 °C " </t>
  </si>
  <si>
    <t>734999112 SPC</t>
  </si>
  <si>
    <t>D+M Pojistný ventil pro topení DN 25 - Specifikace dle PD - PV</t>
  </si>
  <si>
    <t>" Pojistný ventil topení - DN 25 "</t>
  </si>
  <si>
    <t>734999113 SPC</t>
  </si>
  <si>
    <t>D+M Vodoměr DN 20 - Specifikace dle PD - W</t>
  </si>
  <si>
    <t>" Vodoměr - DN 20 "</t>
  </si>
  <si>
    <t>734999101 SPC</t>
  </si>
  <si>
    <t>D+M Čidlo venkovní teploty - Specifikace dle PD - ČVT1</t>
  </si>
  <si>
    <t>" Včetně prokabelování, napojení na elektro. "</t>
  </si>
  <si>
    <t>734999102 SPC</t>
  </si>
  <si>
    <t>D+M Havarijní tlačítko - Specifikace dle PD - HT1</t>
  </si>
  <si>
    <t>734999103 SPC</t>
  </si>
  <si>
    <t>D+M Čidlo teploty v předávající stanici - Specifikace dle PD - ČT1</t>
  </si>
  <si>
    <t>734999104 SPC</t>
  </si>
  <si>
    <t>D+M Čidlo záplavové - Specifikace dle PD - ČZ1</t>
  </si>
  <si>
    <t>734999105 SPC</t>
  </si>
  <si>
    <t>D+M Snímač tlaku v otopné soustavě - Specifikace dle PD - P1</t>
  </si>
  <si>
    <t>734999106 SPC</t>
  </si>
  <si>
    <t>D+M Snímač tlaku ve vodovodní soustavě - Specifikace dle PD - P2</t>
  </si>
  <si>
    <t>734999107 SPC</t>
  </si>
  <si>
    <t>D+M Teplotní čidlo - teplota teplé vody na výstupu z deskového výměníku - Specifikace dle PD - T1</t>
  </si>
  <si>
    <t>734999108 SPC</t>
  </si>
  <si>
    <t>D+M Teplotní čidlo - teplota otopné vody pro větev 1 - otopná tělesa - Specifikace dle PD - T2</t>
  </si>
  <si>
    <t>734999109 SPC</t>
  </si>
  <si>
    <t>D+M Teplotní čidlo - teplota otopné vody pro větev 2 - otopná tělesa - Specifikace dle PD - T3</t>
  </si>
  <si>
    <t>734999110 SPC</t>
  </si>
  <si>
    <t>D+M Teplotní čidlo - teplota otopné vody pro větev 3 - VZT - Specifikace dle PD - T4</t>
  </si>
  <si>
    <t>D+M Teplotní čidlo - teplota teplé vody v zásobníku Z1 - Specifikace dle PD - T5</t>
  </si>
  <si>
    <t>D+M Teplotní čidlo - teplota teplé vody nejdelšího rozvodu na konci rozvodu teplé vody - Specifikace dle PD - T6</t>
  </si>
  <si>
    <t>D+M Teplotní čidlo - teplota teplé vody na vstupu do výměníkové stanice VS2 - Specifikace dle PD - T7</t>
  </si>
  <si>
    <t>734999114 SPC</t>
  </si>
  <si>
    <t>D+M Teplotní čidlo - teplota teplé vody na výstupu do výměníkové stanice VS2 - Specifikace dle PD - T8</t>
  </si>
  <si>
    <t>734999115 SPC</t>
  </si>
  <si>
    <t>D+M Snímač tlaku v otopné soustavě - Specifikace dle PD - P3</t>
  </si>
  <si>
    <t>734999116 SPC</t>
  </si>
  <si>
    <t>D+M Snímač tlaku v soustavě teplé vody ZTI - ohřev TV - Specifikace dle PD - P4</t>
  </si>
  <si>
    <t>734992201 SPC</t>
  </si>
  <si>
    <t>D+M Třícestný regulační směšovací ventil DN 20 - Speifikace dle PD - TSV01</t>
  </si>
  <si>
    <t>" Třícestný regulační směšovací ventil pro VĚTEV 1, DN 20, kvs = 4,0 m3/h, dp = 3,9 kPa, 24 V. Cena vč. pohonu. "</t>
  </si>
  <si>
    <t>734992202 SPC</t>
  </si>
  <si>
    <t>D+M Třícestný regulační směšovací ventil DN 25 - Speifikace dle PD - TSV02</t>
  </si>
  <si>
    <t>" Třícestný regulační směšovací ventil pro VĚTEV 2, DN 25, kvs = 6,3 m3/h, dp = 3,6 kPa, 24 V. Cena vč. pohonu. "</t>
  </si>
  <si>
    <t>734992203 SPC</t>
  </si>
  <si>
    <t>D+M Dvoucestný regulační směšovací ventil DN 10 - Speifikace dle PD - TNRV-S01</t>
  </si>
  <si>
    <t>" Dvoucestný regulační ventil pro VZT č.1, DN 10, nastavení 1,4; kv = 0,37 m3/h, dp = 15,2 kPa, 24 V. Cena vč. pohonu. "</t>
  </si>
  <si>
    <t>734992204 SPC</t>
  </si>
  <si>
    <t>D+M Dvoucestný regulační směšovací ventil DN 25 - Speifikace dle PD - TNRV-S02</t>
  </si>
  <si>
    <t>" Dvoucestný regulační ventil pro VZT č.2, DN 25, nastavení 2,5; kv = 5,3 m3/h, dp = 18,7 kPa, 24 V. Cena vč. pohonu. "</t>
  </si>
  <si>
    <t>73499901 SPC</t>
  </si>
  <si>
    <t>D+M Armatury, prvky a vybavení pro rozvody vytápění více nespecifikované</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</si>
  <si>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</si>
  <si>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</si>
  <si>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Přesun hmot procentní pro armatury v objektech v přes 6 do 12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</si>
  <si>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</si>
  <si>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</si>
  <si>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</si>
  <si>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</si>
  <si>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</si>
  <si>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</si>
  <si>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</si>
  <si>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</si>
  <si>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</si>
  <si>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</si>
  <si>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</si>
  <si>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</si>
  <si>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</si>
  <si>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</si>
  <si>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</si>
  <si>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</si>
  <si>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1500/600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</si>
  <si>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</si>
  <si>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</si>
  <si>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</si>
  <si>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735999103 SPC</t>
  </si>
  <si>
    <t>D+M Otopné těleso trubkové KLMM výška/délka 1500/450 mm - Specifikace dle PD</t>
  </si>
  <si>
    <t>735999201 SPC</t>
  </si>
  <si>
    <t>D+M Otopné těleso deskové, typ 22 , výška / délka 600/400 mm - Specifikace dle PD</t>
  </si>
  <si>
    <t xml:space="preserve">" Deskové otopné těleso které umožňuje spodní pravé/levé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</si>
  <si>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</si>
  <si>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</si>
  <si>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typ 22 , výška / délka 600/500 mm - Specifikace dle PD</t>
  </si>
  <si>
    <t>735999203 SPC</t>
  </si>
  <si>
    <t>D+M Otopné těleso deskové, typ 22 , výška / délka 600/600 mm - Specifikace dle PD</t>
  </si>
  <si>
    <t>735999204 SPC</t>
  </si>
  <si>
    <t>D+M Otopné těleso deskové, typ 22 , výška / délka 600/700 mm - Specifikace dle PD</t>
  </si>
  <si>
    <t>735999205 SPC</t>
  </si>
  <si>
    <t>D+M Otopné těleso deskové, typ 22 , výška / délka 600/800 mm - Specifikace dle PD</t>
  </si>
  <si>
    <t>735999206 SPC</t>
  </si>
  <si>
    <t>D+M Otopné těleso deskové, typ 22 , výška / délka 600/900 mm - Specifikace dle PD</t>
  </si>
  <si>
    <t>735999207 SPC</t>
  </si>
  <si>
    <t>D+M Otopné těleso deskové, typ 22 , výška / délka 600/1000 mm - Specifikace dle PD</t>
  </si>
  <si>
    <t>735999208 SPC</t>
  </si>
  <si>
    <t>D+M Otopné těleso deskové, typ 22 , výška / délka 600/1100 mm - Specifikace dle PD</t>
  </si>
  <si>
    <t>735999209 SPC</t>
  </si>
  <si>
    <t>D+M Otopné těleso deskové, typ 22 , výška / délka 600/1200 mm - Specifikace dle PD</t>
  </si>
  <si>
    <t>735999210 SPC</t>
  </si>
  <si>
    <t>D+M Otopné těleso deskové, typ 22 , výška / délka 600/1400 mm - Specifikace dle PD</t>
  </si>
  <si>
    <t>735999211 SPC</t>
  </si>
  <si>
    <t>D+M Otopné těleso deskové, typ 22 , výška / délka 600/1600 mm - Specifikace dle PD</t>
  </si>
  <si>
    <t>735999212 SPC</t>
  </si>
  <si>
    <t>D+M Otopné těleso deskové, typ 22 , výška / délka 700/700 mm - Specifikace dle PD</t>
  </si>
  <si>
    <t>735999213 SPC</t>
  </si>
  <si>
    <t>D+M Otopné těleso deskové, typ 33 výška / délka 600/1200 mm - Specifikace dle PD</t>
  </si>
  <si>
    <t>735999214 SPC</t>
  </si>
  <si>
    <t>D+M Otopné těleso deskové, typ 33 výška / délka 900/1200 mm - Specifikace dle PD</t>
  </si>
  <si>
    <t xml:space="preserve">" 1.PP " </t>
  </si>
  <si>
    <t>735999901 SPC</t>
  </si>
  <si>
    <t>D+M Ostatní práce spojené s úpravou UT - Specifikace dle PD</t>
  </si>
  <si>
    <t>" Ostatní práce spojení s potrubím vytápění při části rekonstrukce / napojení na stávající rozvody. "</t>
  </si>
  <si>
    <t>"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</si>
  <si>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735999991 SPC</t>
  </si>
  <si>
    <t>D+M Bezpečnostní štítky pro označení zařízení UT  - Specifikace dle PD</t>
  </si>
  <si>
    <t>Přesun hmot procentní pro otopná tělesa v objektech v přes 6 do 12 m</t>
  </si>
  <si>
    <t>" Stavební práce a dodávky spojené s provedením funkčního celku 735 "</t>
  </si>
  <si>
    <t>Objekt:   D.1.4.1. ZTI</t>
  </si>
  <si>
    <t>" Příplatek - 3 % " (121,48+80,99)*0,03</t>
  </si>
  <si>
    <t>Vykopávky v uzavřených prostorech v hornině třídy těžitelnosti I skupiny 1 až 3 ručně</t>
  </si>
  <si>
    <t xml:space="preserve">" Vykopávky uvnitř objektu pro svodné kanalizační potrubí v horninách třídy těžitelnosti I - 60 % z celkové kubatury. " </t>
  </si>
  <si>
    <t>" Hloubení rýh pro svodné potrubí splaškové kanalizace " ((28,44*1,5)*0,8)*0,6</t>
  </si>
  <si>
    <t>" Hloubení rýh pro svodné potrubí splaškové kanalizace u napojení na stavající prostup " ((22,72*2,7)*0,8)*0,6</t>
  </si>
  <si>
    <t>" Hloubení rýh pro svodné potrubí tukové kanalizace u napojení na stávající prostup " ((10,26*2,7)*0,8)*0,6</t>
  </si>
  <si>
    <t>" Hloubení rýh pro svodné potrubí tukové kanalizace " ((80,92*1,5)*0,8)*0,6</t>
  </si>
  <si>
    <t>" POZN: Jedná se o předpokládanou délku pro výkop pro nové svodné potrubí. Přesná délka bude určena až během realizace. "</t>
  </si>
  <si>
    <t>" POZN: Neuvažován přesun zeminy na očasnou skládku a z dočasné skládky. Uvažováno s uložením zeminy v místě výkopu pro zpětný zásyp. "</t>
  </si>
  <si>
    <t>Vykopávky v uzavřených prostorech v hornině třídy těžitelnosti II skupiny 4 až 5 ručně</t>
  </si>
  <si>
    <t xml:space="preserve">" Vykopávky uvnitř objektu pro svodné kanalizační potrubí v horninách třídy těžitelnosti I - 40 % z celkové kubatury. " </t>
  </si>
  <si>
    <t>" Hloubení rýh pro svodné potrubí splaškové kanalizace " ((28,44*1,5)*0,8)*0,4</t>
  </si>
  <si>
    <t>" Hloubení rýh pro svodné potrubí splaškové kanalizace u napojení na stavající prostup " ((22,72*2,7)*0,8)*0,4</t>
  </si>
  <si>
    <t>" Hloubení rýh pro svodné potrubí tukové kanalizace u napojení na stávající prostup " ((10,26*2,7)*0,8)*0,4</t>
  </si>
  <si>
    <t>" Hloubení rýh pro svodné potrubí tukové kanalizace " ((80,92*1,5)*0,8)*0,4</t>
  </si>
  <si>
    <t>Zřízení příložného pažení a rozepření stěn rýh hl do 2 m</t>
  </si>
  <si>
    <t>" Pažení rýh pro svodné potrubí kanalizace - 50 % z celkové plochy "</t>
  </si>
  <si>
    <t>" Hloubení rýh pro svodné potrubí splaškové kanalizace " ((28,44*1,5)*2)*0,5</t>
  </si>
  <si>
    <t>" Hloubení rýh pro svodné potrubí tukové kanalizace " ((80,92*1,5)*2)*0,5</t>
  </si>
  <si>
    <t>Zřízení příložného pažení a rozepření stěn rýh hl přes 2 do 4 m</t>
  </si>
  <si>
    <t>" Hloubení rýh pro svodné potrubí splaškové kanalizace u napojení na stavající prostup " ((22,72*2,7)*2)*0,5</t>
  </si>
  <si>
    <t>" Hloubení rýh pro svodné potrubí tukové kanalizace u napojení na stávající prostup " ((10,26*2,7)*2)*0,5</t>
  </si>
  <si>
    <t>Odstranění příložného pažení a rozepření stěn rýh hl do 2 m</t>
  </si>
  <si>
    <t>Odstranění příložného pažení a rozepření stěn rýh hl přes 2 do 4 m</t>
  </si>
  <si>
    <t>Vodorovné přemístění do 10 m nošením výkopku z horniny třídy těžitelnosti I skupiny 1 až 3</t>
  </si>
  <si>
    <t>" Přesun zeminy z objektu z 1. PP - přebytečná zemina pro odvoz na skládku. "  (121,48)</t>
  </si>
  <si>
    <t>" V ceně také vyprázdnění na hromadu. "</t>
  </si>
  <si>
    <t xml:space="preserve">" POZN: Pro zpětný zásyp uvažováno se zeminou třídy těžitelnosti I v množství 100 %.  " </t>
  </si>
  <si>
    <t>Vodorovné přemístění do 10 m nošením výkopku z horniny třídy těžitelnosti II skupiny 4 a 5</t>
  </si>
  <si>
    <t>" Přesun zeminy z objektu z 1. PP - přebytečná zemina pro odvoz na skládku. "  (80,99)</t>
  </si>
  <si>
    <t>Příplatek k vodorovnému přemístění nošením za každých dalších 10 m nošení výkopku z horniny třídy těžitelnosti I skupiny 1 až 3</t>
  </si>
  <si>
    <t>" Přesun zeminy z objektu ven - příplatek za vzdálenost od 10 do max. 100 m " (121,48)*9</t>
  </si>
  <si>
    <t>" POZN: Uvažováno do vzdálenosti 100 m - vzdálenost dočasné skládky. Následné naložení pro odvoz naceněno v položce č. 30. "</t>
  </si>
  <si>
    <t>Příplatek k vodorovnému přemístění nošením za každých dalších 10 m nošení výkopku z horniny třídy těžitelnosti II skupiny 4 a 5</t>
  </si>
  <si>
    <t>" Přesun zeminy z objektu ven - příplatek za vzdálenost od 10 do max. 100 m " (80,99)*9</t>
  </si>
  <si>
    <t>" Zásyp svodného potrubí kanalizace vykopanou zeminou - potrubí v místě stávajícího objektu "  (22,75*0,95)+(18,18*2,15)+(8,21*2,15)+(64,74*0,95)</t>
  </si>
  <si>
    <t>Obsypání potrubí ručně sypaninou bez prohození, uloženou do 3 m</t>
  </si>
  <si>
    <t>" Obsyp potrubí štěrkem pro kanalizaci "</t>
  </si>
  <si>
    <t>" Obsyp svodného potrubí kanalizace štěrkem - potrubí v místě stávajícího objektu - tl. 400 mm "  113,87*0,4</t>
  </si>
  <si>
    <t>kamenivo drcené hrubé frakce 8/16</t>
  </si>
  <si>
    <t>" Obsyp svodného potrubí kanalizace štěrkem - potrubí v místě stávajícího objektu " (45,55)*2,0</t>
  </si>
  <si>
    <t>" Odvoz zeminy z výkopových prací - rýhy pro svodné potrubí a úpravu šachet " (121,48)</t>
  </si>
  <si>
    <t>" Odečet zeminy určený pro zpětný zásyp " -(139,85*0,6)</t>
  </si>
  <si>
    <t>" Odvoz zeminy z výkopových prací - rýhy pro svodné potrubí a úpravu šachet " (80,99)</t>
  </si>
  <si>
    <t>" Odečet zeminy určený pro zpětný zásyp " -(139,85*0,4)</t>
  </si>
  <si>
    <t>" - Nakládání výkopku z hornin třídy těžitelnosti I skupiny 1 až 3 do 100 m3 "</t>
  </si>
  <si>
    <t>" - Nakládání výkopku z hornin třídy těžitelnosti II skupiny 4 a 5 do 100 m3 "</t>
  </si>
  <si>
    <t>" - Vodorovné přemístění do 10000 m výkopku/sypaniny z horniny třídy těžitelnosti I, skupiny 1 až 3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</si>
  <si>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</si>
  <si>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 xml:space="preserve">Lože pod potrubí otevřený výkop z písku a štěrkopísku </t>
  </si>
  <si>
    <t>" Lože z písku pro svodné kanalizační potrubí - potrubí v místě stávajícího objektu - tl. 150 mm "  (28,44+22,72+10,26+80,92)*0,8*0,15</t>
  </si>
  <si>
    <t>871999701 SPC</t>
  </si>
  <si>
    <t xml:space="preserve">D+M Prostup potrubí kanalizace základy - Specifikace dle PD </t>
  </si>
  <si>
    <t>" Prostup potrubí základy "</t>
  </si>
  <si>
    <t>" V ceně chránička, kotvení chráničky, vytvoření a zapravení prostupů, systémové utěsnění prostupu, napojení na svislou hydroizolaci.vč. přesunu hmot "</t>
  </si>
  <si>
    <t>899999101 SPC</t>
  </si>
  <si>
    <t>D+M Označovací štítky pro prvky kanalizace a napojení - Specifikace dle PD</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</si>
  <si>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</si>
  <si>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</si>
  <si>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</si>
  <si>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t>271</t>
  </si>
  <si>
    <t>998276101 SPC</t>
  </si>
  <si>
    <t>Přesun hmot pro trubní vedení z trub z plastických hmot otevřený výkop</t>
  </si>
  <si>
    <t xml:space="preserve">" Přesun hmot pro kanalizaci - část v původním objektu " </t>
  </si>
  <si>
    <t>26</t>
  </si>
  <si>
    <t>998276124 RTO</t>
  </si>
  <si>
    <t>Příplatek k přesunu hmot pro trubní vedení z trub z plastických hmot za zvětšený přesun do 200 m ručně nebo kolečkem</t>
  </si>
  <si>
    <t>" Příplatek za přesun hmot pro kanalizaci - vzdálenost do 200 m ručně nebo kolečkem. " (0,017+12,8+4,538)</t>
  </si>
  <si>
    <t>HZS1291</t>
  </si>
  <si>
    <t>Hodinová zúčtovací sazba pomocný stavební dělník</t>
  </si>
  <si>
    <t>Zdravotně technické instalace budov - Vnitřní kanalizace</t>
  </si>
  <si>
    <t>Potrubí kanalizační z PVC SN 4 svodné DN 110</t>
  </si>
  <si>
    <t>" Potrubí KG PVC, SN4 hrdlové. "</t>
  </si>
  <si>
    <t>" Jídelna " (59,2)*1,1</t>
  </si>
  <si>
    <t>" V ceně veškeré příslušenství, tvarovky,kotvící prvky a spojovací materiál. "</t>
  </si>
  <si>
    <t>Potrubí kanalizační z PVC SN 4 svodné DN 125</t>
  </si>
  <si>
    <t>" Jídelna " (86,72)*1,1</t>
  </si>
  <si>
    <t>Potrubí kanalizační z PVC SN 4 svodné DN 160</t>
  </si>
  <si>
    <t>" Jídelna " (12,7)*1,1</t>
  </si>
  <si>
    <t>Potrubí kanalizační z PP připojovací DN 40</t>
  </si>
  <si>
    <t>" Potrubí HT PP, hrdlové. "</t>
  </si>
  <si>
    <t>" Jídelna " (17,0)*1,1</t>
  </si>
  <si>
    <t>Potrubí kanalizační z PP připojovací DN 50</t>
  </si>
  <si>
    <t>" Jídelna " (49,7)*1,1</t>
  </si>
  <si>
    <t>Potrubí kanalizační z PP připojovací DN 75</t>
  </si>
  <si>
    <t>" Jídelna " (4,3)*1,1</t>
  </si>
  <si>
    <t>Potrubí kanalizační z PP připojovací DN 110</t>
  </si>
  <si>
    <t>" Jídelna " (12,9)*1,1</t>
  </si>
  <si>
    <t>Potrubí kanalizační z PP odpadní odhlučněné třívrstvé DN 75</t>
  </si>
  <si>
    <t>" Potrubí odhlučněné z PP. "</t>
  </si>
  <si>
    <t>" Jídelna " (57,7)*1,1</t>
  </si>
  <si>
    <t>Potrubí kanalizační z PP odpadní odhlučněné třívrstvé DN 110</t>
  </si>
  <si>
    <t>" Jídelna " (44,2)*1,1</t>
  </si>
  <si>
    <t>722175901 SPC</t>
  </si>
  <si>
    <t xml:space="preserve">D+M Potrubí pro odvod kondenzátu, Systém PPR PN10, D 25x2,3 mm - Specifikace dle PD </t>
  </si>
  <si>
    <t>" Vrstvené potrubí pro odvod kondenzátu s hliníkovou vložkou . "</t>
  </si>
  <si>
    <t>" Jídelna " (19,2)*1,1</t>
  </si>
  <si>
    <t>" V ceně veškeré příslušenství, tvarovky, kotvící prvky a spojovací materiál. "</t>
  </si>
  <si>
    <t>722175902 SPC</t>
  </si>
  <si>
    <t xml:space="preserve">D+M Potrubí pro odvod kondenzátu, Systém PPR PN10, D 32x2,9 mm - Specifikace dle PD </t>
  </si>
  <si>
    <t>" Jídelna " (32,4)*1,1</t>
  </si>
  <si>
    <t>722175903 SPC</t>
  </si>
  <si>
    <t xml:space="preserve">D+M Potrubí pro odvod kondenzátu, Systém PPR PN10, D 40x3,7 mm - Specifikace dle PD </t>
  </si>
  <si>
    <t>721211901 SPC</t>
  </si>
  <si>
    <t>D+M Podlahová vpusť - plast - Specifikace dle PD - VP</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</si>
  <si>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</si>
  <si>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vpusť pro kanalizaci " </t>
  </si>
  <si>
    <t>" VP1 "</t>
  </si>
  <si>
    <t>" VP2 "</t>
  </si>
  <si>
    <t>" VP3 "</t>
  </si>
  <si>
    <t>" Cena zahrnuje náklady na osazovaný předmět, včetně jeho osazení, upevnění a napojení, přípojné potrubí (kanalizační), včetně tvarovek, montážní materiál a zednické výpomoci. "</t>
  </si>
  <si>
    <t>721273901 SPC</t>
  </si>
  <si>
    <t>D+M Větrací hlavice - Specifikace dle PD - VH</t>
  </si>
  <si>
    <t>" Plastová větrací hlavice na kanalizačním potrubí. Délka 500 mm. "</t>
  </si>
  <si>
    <t>" VH1 "</t>
  </si>
  <si>
    <t>" VH2 "</t>
  </si>
  <si>
    <t>" V ceně napojení na potrubí, a veškeré těsnící a další prvky. "</t>
  </si>
  <si>
    <t>721241901 SPC</t>
  </si>
  <si>
    <t>D+M Lapač střešních splavenin - plastový - Specifikace dle PD - LSS</t>
  </si>
  <si>
    <t>" Lapač střešních splavenim - plastová "</t>
  </si>
  <si>
    <t>" Lapač střešních splavenin s vyjímatelným košem a veškerým nutným příslušenstvím.</t>
  </si>
  <si>
    <t>" Cena zahrnuje náklady na osazovaný předmět, včetně jeho osazení, upevnění a napojení, přípojné potrubí (kanalizační), včetně tvarovek, protizápachové uzávěrky,  montážní materiál a zednické výpomoci."</t>
  </si>
  <si>
    <t>Zkouška těsnosti potrubí kanalizace vodou do DN 125</t>
  </si>
  <si>
    <t>" Zkouška těsnosti kanalizace - potrubí odvodu kondenzátu - D 25×2,3  " (19,2)</t>
  </si>
  <si>
    <t>" Zkouška těsnosti kanalizace - potrubí odvodu kondenzátu - D 32×2,9  " (32,4)</t>
  </si>
  <si>
    <t>" Zkouška těsnosti kanalizace - potrubí odvodu kondenzátu - D 40×3,7  " (4,3)</t>
  </si>
  <si>
    <t>" Zkouška těsnosti kanalizace - DN 40  " (17)</t>
  </si>
  <si>
    <t>" Zkouška těsnosti kanalizace - DN 50  " (49,7)</t>
  </si>
  <si>
    <t>" Zkouška těsnosti kanalizace - DN 75  " (57,7+4,3)</t>
  </si>
  <si>
    <t>" Zkouška těsnosti kanalizace - DN 110  " (44,2+12,9+59,2)</t>
  </si>
  <si>
    <t>" Zkouška těsnosti kanalizace - DN 125  " (86,72)</t>
  </si>
  <si>
    <t>Zkouška těsnosti potrubí kanalizace vodou DN 150/DN 200</t>
  </si>
  <si>
    <t>" Zkouška těsnosti kanalizace - DN 160 " (12,7)</t>
  </si>
  <si>
    <t>721299101 SPC</t>
  </si>
  <si>
    <t>D+M Čistící kus kanalizačního potrubí DN 75 - Specifikace dle PD</t>
  </si>
  <si>
    <t>" Čistící kusy na potrubí "kanalizace - třívrstvé odhlučněné. "</t>
  </si>
  <si>
    <t xml:space="preserve">" Jídelna " </t>
  </si>
  <si>
    <t>721299102 SPC</t>
  </si>
  <si>
    <t>D+M Čistící kus kanalizačního potrubí DN 110 - Specifikace dle PD</t>
  </si>
  <si>
    <t>721299103 SPC</t>
  </si>
  <si>
    <t>D+M Čistící kus kanalizačního potrubí DN 125 - Specifikace dle PD</t>
  </si>
  <si>
    <t>721299201 SPC</t>
  </si>
  <si>
    <t>D+M Kondenzační sifon pro odvod kondenzátu - Specifikace dle PD</t>
  </si>
  <si>
    <t xml:space="preserve">" Kondenzační sifon pro odvod kondenzátu. " </t>
  </si>
  <si>
    <t>" V ceně napojení, veškerý kotvící a spojovací materiál, apod. "</t>
  </si>
  <si>
    <t>721299601 SPC</t>
  </si>
  <si>
    <t>D+M Revizní dvířka 200×200 mm - do SDK konstrukce  - Specifikace dle PD</t>
  </si>
  <si>
    <t xml:space="preserve">" Revizní dvířka pro kanalizaci do SDK stěny / příčky " </t>
  </si>
  <si>
    <t>" V ceně také úprava konstrukce po osazení dvířek. "</t>
  </si>
  <si>
    <t>721999101 SPC</t>
  </si>
  <si>
    <t>D+M Napojení potrubí kanalizace na jednotky profesí - Specifikace dle PD</t>
  </si>
  <si>
    <t xml:space="preserve">" Napojení potrubí kanalizace na VZT jednotky " </t>
  </si>
  <si>
    <t xml:space="preserve">" V ceně veškerý nutný materiál (potrubí, příslušenství, veškeré nutné tvarovky vč, případné redukce, kotvící, těsnící a spojovací prvky, …) a práce související s napojením potrubí. " </t>
  </si>
  <si>
    <t>721999701 SPC</t>
  </si>
  <si>
    <t>D+M Prostupy potrubí včetně chrániček - Specifikace dle PD</t>
  </si>
  <si>
    <t>" Případné nutné prostupy pro potrubí kanalizace skrze konstrukce vč. chrániček - např. pro napojení. "</t>
  </si>
  <si>
    <t>" V ceně případné vytvoření prostupu, zapravení prostupu, chránička potrubí, nasunutí potrubí do chráničky, utěsnění potrubí, manžety apod. "</t>
  </si>
  <si>
    <t>" Armatury, prvky a vybavení pro rozvody kanalizace nutné pro zajištění prací, uvedené v PD, či nutné pro zajištění správné funkčnosti, ale nespecifikované v soupise prací. "</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</si>
  <si>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</si>
  <si>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721999802 SPC</t>
  </si>
  <si>
    <t>D+M Ostatní práce spojené s kanalizací - Specifikace dle PD</t>
  </si>
  <si>
    <t>" Ostatní práce spojení s kanalizačním potrubím při části rekonstrukce / napojení na stávající rozvody. "</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</si>
  <si>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</si>
  <si>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721999901 SPC</t>
  </si>
  <si>
    <t>" Zajištění prostupů potrubí kanalizace mezi jednotlivými požárními úseky protipožárními prvky - ucpávkami, tmely, pěny, disky, apod. - požadované požární odolnosti. "</t>
  </si>
  <si>
    <t>" Předpokládané protipožární prvky</t>
  </si>
  <si>
    <t>721999991 SPC</t>
  </si>
  <si>
    <t>Přesun hmot procentní pro vnitřní kanalizaci v objektech v přes 6 do 12 m</t>
  </si>
  <si>
    <t xml:space="preserve">" Stavební práce a dodávky spojené s provedením funkčního celku 721. " </t>
  </si>
  <si>
    <t>Zdravotně technické instalace budov - Vnitřní vodovod</t>
  </si>
  <si>
    <t>Potrubí vodovodní ocelové závitové pozinkované svařované běžné DN 25</t>
  </si>
  <si>
    <t>" Potrubí ocelové pro rozvod požární vody "</t>
  </si>
  <si>
    <t>" Požární voda - DN 25 (D 31,8×2,6) " (20,30)*1,1</t>
  </si>
  <si>
    <t>Potrubí vodovodní ocelové závitové pozinkované svařované běžné DN 32</t>
  </si>
  <si>
    <t>" Požární voda - DN 32 (D 38,0×2,6) " (9,80)*1,1</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</si>
  <si>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</si>
  <si>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</si>
  <si>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</si>
  <si>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(273,60)*1,1</t>
  </si>
  <si>
    <t>" - Ochrana vodovodního potrubí přilepenými termoizolačními trubicemi z PE tl přes 6 do 9 mm DN do 22 mm " (273,60)*1,1</t>
  </si>
  <si>
    <t>" Studená voda " 273,60</t>
  </si>
  <si>
    <t>722175002 RT1</t>
  </si>
  <si>
    <t>D+M Potrubí vodovodní plastové Systém Stabi Plus, D 20x2,8 mm + TI tl. 40 mm - Specifikace dle PD</t>
  </si>
  <si>
    <t>" Vrstvené potrubí vodovodní plastové s hliníkovou vložkou + Izolace návlekovou izolační hadicí z minerální vlny tl. 40 mm v celé délce potrubí včetně kolen a odboček  "</t>
  </si>
  <si>
    <t>" - Potrubí vodovodní plastové Systém Stabi Plus, D 20x2,8 mm " (277,80)*1,1</t>
  </si>
  <si>
    <t xml:space="preserve">" - Montáž izolace tepelné potrubí potrubními pouzdry s Al fólií staženými Al páskou 1x D do 50 mm " </t>
  </si>
  <si>
    <t>63154570 RTO</t>
  </si>
  <si>
    <t>" - pouzdro izolační potrubní z minerální vlny s Al fólií, TI tl. 40mm " (277,80)*1,1</t>
  </si>
  <si>
    <t>" Teplá a cirkulační voda " (277,80)</t>
  </si>
  <si>
    <t>722175003 RTO</t>
  </si>
  <si>
    <t xml:space="preserve">D+M Potrubí vodovodní plastové Systém Stabi Plus, D 25x3,5 mm + TI tl. 9 mm - Specifikace dle PD </t>
  </si>
  <si>
    <t>" - Potrubí vodovodní plastové Systém Stabi Plus, D 25x3,5 mm " (86,90)*1,1</t>
  </si>
  <si>
    <t>" - Ochrana vodovodního potrubí přilepenými termoizolačními trubicemi z PE tl přes 6 do 9 mm DN do 22 mm " (86,90)*1,1</t>
  </si>
  <si>
    <t>" Studená voda " 86,90</t>
  </si>
  <si>
    <t>722175003 RT1</t>
  </si>
  <si>
    <t xml:space="preserve">D+M Potrubí vodovodní plastové Systém Stabi Plus, D 25x3,5 mm + TI tl. 40 mm - Specifikace dle PD </t>
  </si>
  <si>
    <t>" - Potrubí vodovodní plastové Systém Stabi Plus, D 25x3,5 mm " (90,10)*1,1</t>
  </si>
  <si>
    <t>63154571 RTO</t>
  </si>
  <si>
    <t>" - pouzdro izolační potrubní z minerální vlny s Al fólií, TI tl. 40mm " (90,10)*1,1</t>
  </si>
  <si>
    <t>" Teplá a cirkulační voda " (90,10)</t>
  </si>
  <si>
    <t>722175004 RTO</t>
  </si>
  <si>
    <t xml:space="preserve">D+M Potrubí vodovodní plastové Systém Stabi Plus, D 32x4,4 mm + TI tl. 9 mm - Specifikace dle PD </t>
  </si>
  <si>
    <t>" - Potrubí vodovodní plastové Systém Stabi Plus, D 32x4,4 mm " (79,80)*1,1</t>
  </si>
  <si>
    <t>" - Ochrana vodovodního potrubí přilepenými termoizolačními trubicemi z PE tl přes 6 do 9 mm DN přes 22 do 45 mm " (79,80)*1,1</t>
  </si>
  <si>
    <t>" Studená voda " (79,80)</t>
  </si>
  <si>
    <t>722175004 RT1</t>
  </si>
  <si>
    <t xml:space="preserve">D+M Potrubí vodovodní plastové Systém Stabi Plus, D 32x4,4 mm + TI tl. 50 mm - Specifikace dle PD </t>
  </si>
  <si>
    <t>" Vrstvené potrubí vodovodní plastové s hliníkovou vložkou + Izolace návlekovou izolační hadicí z minerální vlny tl. 50 mm v celé délce potrubí včetně kolen a odboček  "</t>
  </si>
  <si>
    <t>" - Potrubí vodovodní plastové Systém Stabi Plus, D 34x4,4 mm " (38,50)*1,1</t>
  </si>
  <si>
    <t>63154602 RTO</t>
  </si>
  <si>
    <t>" - pouzdro izolační potrubní z minerální vlny s Al fólií, TI tl. 50mm " (38,50)*1,1</t>
  </si>
  <si>
    <t>" Teplá a cirkulační voda " (38,50)</t>
  </si>
  <si>
    <t>722175005 RTO</t>
  </si>
  <si>
    <t xml:space="preserve">D+M Potrubí vodovodní plastové Systém Stabi Plus, D 40x5,5 mm + TI tl. 9 mm - Specifikace dle PD </t>
  </si>
  <si>
    <t>" - Potrubí vodovodní plastové Systém Stabi Plus, D 40x5,5 mm " (74,90)*1,1</t>
  </si>
  <si>
    <t>" - Ochrana vodovodního potrubí přilepenými termoizolačními trubicemi z PE tl přes 6 do 9 mm DN přes 22 do 45 mm " (74,90)*1,1</t>
  </si>
  <si>
    <t>" Studená voda " (74,90)</t>
  </si>
  <si>
    <t>722174005 RT1</t>
  </si>
  <si>
    <t xml:space="preserve">D+M Potrubí vodovodní plastové Systém Stabi Plus, D 40x5,5 mm + TI tl. 50 mm - Specifikace dle PD </t>
  </si>
  <si>
    <t>" - Potrubí vodovodní plastové Systém Stabi Plus, D 40x5,5 mm " (29,90)*1,1</t>
  </si>
  <si>
    <t>63154603 RTO</t>
  </si>
  <si>
    <t>" - pouzdro izolační potrubní z minerální vlny s Al fólií, TI tl. 50mm " (29,90)*1,1</t>
  </si>
  <si>
    <t>" Teplá a cirkulační voda " (29,90)</t>
  </si>
  <si>
    <t>Zkoušky těsnosti vodovodního potrubí závitového do DN 50</t>
  </si>
  <si>
    <t xml:space="preserve">" Tlaková zkouška a konečná tlaková zkouška " </t>
  </si>
  <si>
    <t xml:space="preserve">" Potrubí požární vody " </t>
  </si>
  <si>
    <t>" Potrubí D 31,8×2,6 (DN 25) " (20,30)*2</t>
  </si>
  <si>
    <t>" Potrubí D D 38,0×2,6 (DN 32) " (9,80)*2</t>
  </si>
  <si>
    <t xml:space="preserve">" Potrubí studené vody " </t>
  </si>
  <si>
    <t>" Potrubí D 20×2,8 (DN 15) " (273,60)*2</t>
  </si>
  <si>
    <t>" Potrubí D 25×3,5 (DN 20) " (86,90)*2</t>
  </si>
  <si>
    <t>" Potrubí D 32×4,4 (DN 25) " (79,80)*2</t>
  </si>
  <si>
    <t>" Potrubí D 40×5,5 (DN 32) " (74,90)*2</t>
  </si>
  <si>
    <t xml:space="preserve">" Potrubí teplé a cirkulační vody " </t>
  </si>
  <si>
    <t>" Potrubí D 20×2,8 (DN 15) " (277,80)*2</t>
  </si>
  <si>
    <t>" Potrubí D 25×3,5 (DN 20) " (90,10)*2</t>
  </si>
  <si>
    <t>" Potrubí D 32×4,4 (DN 25) " (38,50)*2</t>
  </si>
  <si>
    <t>" Potrubí D 40×5,5 (DN 32) " (29,90)*2</t>
  </si>
  <si>
    <t>Proplach a dezinfekce vodovodního potrubí do DN 80</t>
  </si>
  <si>
    <t>722232062 RTO</t>
  </si>
  <si>
    <t>D+M Kulový kohout plnoprůtokový s vypouštěním DN 20 - Specifikace dle PD - KKV</t>
  </si>
  <si>
    <t xml:space="preserve">" Kulový kohout vodovodu s vypouštěním - DN 20 " </t>
  </si>
  <si>
    <t xml:space="preserve">" Vodoměrná soustava " </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</si>
  <si>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</si>
  <si>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</si>
  <si>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</si>
  <si>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</si>
  <si>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722232064 RTO</t>
  </si>
  <si>
    <t>D+M Kulový kohout plnoprůtokový s vypouštěním DN 32 - Specifikace dle PD - KKV</t>
  </si>
  <si>
    <t xml:space="preserve">" Kulový kohout vodovodu s vypouštěním - DN 32 " </t>
  </si>
  <si>
    <t>" Vodoměrná sestava "</t>
  </si>
  <si>
    <t>722999101 SPC</t>
  </si>
  <si>
    <t xml:space="preserve">D+M Kulový kohout nezámrzný s připojením na hadici DN 15 - Specifikace dle PD - KKH </t>
  </si>
  <si>
    <t xml:space="preserve">" Nezámrzný ventil s připojením na hadici " </t>
  </si>
  <si>
    <t xml:space="preserve">" Tělo : Mosaz-choromované, Koule : Mosaz-chromované, Ovládání : ocelová páčka potažená plastem. Profilované těsnění se sníženým třením. " </t>
  </si>
  <si>
    <t>722239102 RTO</t>
  </si>
  <si>
    <t>D+M Automatický termostatický vyvažovací ventil DN 20 - Specifikace dle PD - AVV</t>
  </si>
  <si>
    <t xml:space="preserve">" Automatický termostatický vyvažovací ventil - DN 20 " </t>
  </si>
  <si>
    <t xml:space="preserve">" Tělo : Kovaná mosaz, Těsnění : EPDM, součástí ventilu jsou pevné koncové členy pro měření, Ovládání : Ručně - nastavení podle teploty. " </t>
  </si>
  <si>
    <t>75</t>
  </si>
  <si>
    <t>722262309 SPC</t>
  </si>
  <si>
    <t>D+M Vodoměr DN 20 - Specifikace dle PD</t>
  </si>
  <si>
    <t xml:space="preserve">" Vodoměr - teplá voda - Q = 2,5 m3/h. " </t>
  </si>
  <si>
    <t>" Vodoměr ve vodoměrné sestavě na potrubí "</t>
  </si>
  <si>
    <t>" Včetně zařízení na dálkový odečet, prokabelování, připojení na elektro. "</t>
  </si>
  <si>
    <t>76</t>
  </si>
  <si>
    <t>722262308 SPC</t>
  </si>
  <si>
    <t>D+M Podružný vodoměr pro teplou vodu- Specifikace dle PD</t>
  </si>
  <si>
    <t xml:space="preserve">" Vodoměr - teplá voda. " </t>
  </si>
  <si>
    <t>" Podružný vodoměr ve vodoměrné sestavě na potrubí "</t>
  </si>
  <si>
    <t>77</t>
  </si>
  <si>
    <t>722232101 SPC</t>
  </si>
  <si>
    <t>D+M Rohový kulový kohout KK DN32 - Specifikace dle PD</t>
  </si>
  <si>
    <t>" Rohový KK ve vodoměrné sestavě na potrubí "</t>
  </si>
  <si>
    <t>722225314 SPC</t>
  </si>
  <si>
    <t>D+M Přechodka závit / nerez - Specifikace dle PD</t>
  </si>
  <si>
    <t>" Přechodka ve vodoměrné sestavě pro napojení rozvodů teplé a studené vody. "</t>
  </si>
  <si>
    <t>" Přechodka ocel / nerez "</t>
  </si>
  <si>
    <t>" V ceně veškeré nutné příslušenství - těsnící a upevňovací materiál. "</t>
  </si>
  <si>
    <t>722232044 RTO</t>
  </si>
  <si>
    <t xml:space="preserve">" Koulový kohout vodovodu - DN 20 " </t>
  </si>
  <si>
    <t xml:space="preserve">" Tělo : Mosaz-choromované, Koule : Mosaz-chromované, ocelová páčka potažená plastem. Profilované těsnění se sníženým třením. " </t>
  </si>
  <si>
    <t>722231073 RTO</t>
  </si>
  <si>
    <t>D+M Zpětná klapka závitová DN 20 - Specifikace dle PD</t>
  </si>
  <si>
    <t xml:space="preserve">" Zpětná klapka - vodoměrná sestava " </t>
  </si>
  <si>
    <t>722231074 RTO</t>
  </si>
  <si>
    <t>D+M Zpětná klapka závitová DN 32 - Specifikace dle PD</t>
  </si>
  <si>
    <t xml:space="preserve">" Zpětná klapka závitová - DN 32 " </t>
  </si>
  <si>
    <t>722239901 SPC</t>
  </si>
  <si>
    <t>D+M Technologie využití dešťové vody - Specifikace dle PD</t>
  </si>
  <si>
    <t xml:space="preserve">" Technologie využití dešťové vody. " </t>
  </si>
  <si>
    <t xml:space="preserve">" V ceně: " </t>
  </si>
  <si>
    <t xml:space="preserve">" Zemní nádrž s biologickým separátorem DN150 uvnitř nádrže. " </t>
  </si>
  <si>
    <t xml:space="preserve">" Automatická domácí vodárna s frekvečním měničem. " </t>
  </si>
  <si>
    <t xml:space="preserve">" Plovoucí sací sada. " </t>
  </si>
  <si>
    <t xml:space="preserve">" Filtr s pláštěm z nerezoví oceli, filtr pískového zařízení, filtr s manualním zpětným proplachem, náplňový filtr atd. " </t>
  </si>
  <si>
    <t xml:space="preserve">" Pískové zařízení. " </t>
  </si>
  <si>
    <t xml:space="preserve">" Plováčkový průtokoměr DN25. " </t>
  </si>
  <si>
    <t xml:space="preserve">" Sklepní nádrž 1000l. " </t>
  </si>
  <si>
    <t xml:space="preserve">" Průchodka PVC- U 2" a průchodka stěnou PVC 50mm s těsněním. " </t>
  </si>
  <si>
    <t xml:space="preserve">" Vodárna s frekvenčním měničem. " </t>
  </si>
  <si>
    <t xml:space="preserve">" Nizkotaká UV jednotka. " </t>
  </si>
  <si>
    <t xml:space="preserve">" Řídící systém úpravny vody. " </t>
  </si>
  <si>
    <t>" V ceně dopravy, veškeré práce, materiál a příslušenství.  "</t>
  </si>
  <si>
    <t>722999601 SPC</t>
  </si>
  <si>
    <t>D+M Provedení napojení nového vodovodního potrubí na stávající vodovod - Specifikace dle PD</t>
  </si>
  <si>
    <t>" Napojení nového potrubí na stávající ležaté či stoupací. "</t>
  </si>
  <si>
    <t>" Napojení nového potrubí na stávající vodovod " 1</t>
  </si>
  <si>
    <t>D+M Armatury, prvky a vybavení pro rozvody vodovodu</t>
  </si>
  <si>
    <t>" Armatury, prvky a vybavení pro rozvody vodovodu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</si>
  <si>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kanalizace. "</t>
  </si>
  <si>
    <t>722999802 SPC</t>
  </si>
  <si>
    <t>D+M Ostatní práce spojené s vodovodem - Specifikace dle PD</t>
  </si>
  <si>
    <t>" Ostatní práce spojené s vodovodním potrubím při části rekonstrukce / napojení na stávající rozvody. "</t>
  </si>
  <si>
    <t>" Zajištění prostupů potrubí vodovodu mezi jednotlivými požárními úseky protipožárními prvky - ucpávkami, tmely, pěny, disky, apod. - požadované požární odolnosti. "</t>
  </si>
  <si>
    <t>Přesun hmot procentní pro vnitřní vodovod v objektech v přes 6 do 12 m</t>
  </si>
  <si>
    <t xml:space="preserve">" Stavební práce a dodávky spojené s provedením funkčního celku 722." </t>
  </si>
  <si>
    <t>Zdravotně technické instalace - Zařizovací předměty</t>
  </si>
  <si>
    <t>725999101 SPC</t>
  </si>
  <si>
    <t>D+M Automatická pračka - Příprava napojení ZTI - Specifikace dle PD - AP</t>
  </si>
  <si>
    <t>" Součástí příslušenství viz. Specifikace dle PD. "</t>
  </si>
  <si>
    <t>" Cena zahrnuje náklady na osazovaný předmět, včetně jeho osazení, upevnění a napojení, přípojné potrubí (vodovodní i kanalizační), včetně tvarovek, armatur, montážní materiál a zednické výpomoci. "</t>
  </si>
  <si>
    <t>725999102 SPC</t>
  </si>
  <si>
    <t>D+M Dřez jednoduchý zápustný s okapem - Příprava napojení ZTI - Specifikace dle PD - D1</t>
  </si>
  <si>
    <t>725999103 SPC</t>
  </si>
  <si>
    <t>D+M Dřez dvojitý zápustný - Příprava napojení ZTI - Specifikace dle PD - D2</t>
  </si>
  <si>
    <t>725999104 SPC</t>
  </si>
  <si>
    <t>D+M Dřez jednoduchý zápustný - Příprava napojení ZTI - Specifikace dle PD - D3</t>
  </si>
  <si>
    <t>725999105 SPC</t>
  </si>
  <si>
    <t>D+M Umyvadlo závěsné - keramické - Specifikace dle PD - U1</t>
  </si>
  <si>
    <t>725999106 SPC</t>
  </si>
  <si>
    <t>D+M Umyvadlo závěsné - keramické - Specifikace dle PD - U2</t>
  </si>
  <si>
    <t>725999107 SPC</t>
  </si>
  <si>
    <t>D+M Umyvadlo zdravotní závěsné pro vozíčkáře - keramické - Specifikace dle PD - UZ</t>
  </si>
  <si>
    <t>725999108 SPC</t>
  </si>
  <si>
    <t>D+M Bidet závěsný - keramické - Specifikace dle PD - B</t>
  </si>
  <si>
    <t>725999109 SPC</t>
  </si>
  <si>
    <t>D+M Závěsný klozet - keramický - bez oplachového kruhu - Specifikace dle PD - K</t>
  </si>
  <si>
    <t>725999110SPC</t>
  </si>
  <si>
    <t>D+M Závěsný klozet zdravotní určený pro vozíčkáře - keramický - bez oplachového kruhu - Specifikace dle PD - KZ</t>
  </si>
  <si>
    <t>725999111 SPC</t>
  </si>
  <si>
    <t>D+M Závěsná výlevka s nástěnnou směšovací baterií - Specifikace dle PD - VY</t>
  </si>
  <si>
    <t>725999112 SPC</t>
  </si>
  <si>
    <t>D+M Pisoár závěsný - keramický - Specifikace dle PD - P1</t>
  </si>
  <si>
    <t>725999113 SPC</t>
  </si>
  <si>
    <t>D+M Pisoár závěsný - keramický - Specifikace dle PD - P2</t>
  </si>
  <si>
    <t>725999114 SPC</t>
  </si>
  <si>
    <t>D+M Sprchový kout - sprchový žlab d900 - Specifikace dle PD - SK</t>
  </si>
  <si>
    <t>725999115 SPC</t>
  </si>
  <si>
    <t>D+M Příprava pro napojení hydrantu - Specifikace dle PD - H</t>
  </si>
  <si>
    <t>725999201 SPC</t>
  </si>
  <si>
    <t>D+M Příprava pro napojení ZP - konvektomat - Specifikace dle PD - S1</t>
  </si>
  <si>
    <t>" Příprava pro napojení na zařízovací předmět - konvektomat. "</t>
  </si>
  <si>
    <t>" Cena zahrnuje náklady na přípojné potrubí (vodovodní (SV), kanalizační) včetně tvarovek,ventilů, odpadu, podomítkového sifonu, montážního materiálu a zednické výpomoci. "</t>
  </si>
  <si>
    <t>725999202 SPC</t>
  </si>
  <si>
    <t>D+M Příprava pro napojení ZP - dřez mycí stůl - Specifikace dle PD - S2</t>
  </si>
  <si>
    <t>" Příprava pro napojení na zařízovací předmět - dřez mycí stůl. "</t>
  </si>
  <si>
    <t>" Cena zahrnuje náklady na přípojné potrubí (vodovodní (SV+TV), kanalizační) včetně tvarovek,ventilů, odpadu, podomítkového sifonu, montážního materiálu a zednické výpomoci. "</t>
  </si>
  <si>
    <t>725999203 SPC</t>
  </si>
  <si>
    <t>D+M Příprava pro napojení ZP - myčka - Specifikace dle PD - S3</t>
  </si>
  <si>
    <t>" Příprava pro napojení na zařizovací předmět - myčka. "</t>
  </si>
  <si>
    <t>725999204 SPC</t>
  </si>
  <si>
    <t>D+M Příprava pro napojení ZP - pracovní stůl - Specifikace dle PD - S4</t>
  </si>
  <si>
    <t>" Příprava pro napojení na zařizovací předmět - pracovní stůl. "</t>
  </si>
  <si>
    <t>725999205 SPC</t>
  </si>
  <si>
    <t>D+M Příprava pro napojení ZP - umyvadlo - Specifikace dle PD - S5</t>
  </si>
  <si>
    <t>" Příprava pro napojení na zařizovací předmět - umyvadlo. "</t>
  </si>
  <si>
    <t>725999206 SPC</t>
  </si>
  <si>
    <t>D+M Příprava pro napojení ZP - čajovar - Specifikace dle PD - S6</t>
  </si>
  <si>
    <t>" Příprava pro napojení na zařizovací předmět - čajovar. "</t>
  </si>
  <si>
    <t>725999207 SPC</t>
  </si>
  <si>
    <t>D+M Příprava pro napojení ZP - pánev - Specifikace dle PD - S7</t>
  </si>
  <si>
    <t>" Příprava pro napojení na zařizovací předmět - pánev. "</t>
  </si>
  <si>
    <t>725999208 SPC</t>
  </si>
  <si>
    <t>D+M Příprava pro napojení ZP - kotel - Specifikace dle PD - S8</t>
  </si>
  <si>
    <t>" Příprava pro napojení na zařizovací předmět - kotel. "</t>
  </si>
  <si>
    <t>" Cena zahrnuje náklady na přípojné potrubí (vodovodní (SV)) včetně tvarovek,ventilů, odpadu, podomítkového sifonu, montážního materiálu a zednické výpomoci. "</t>
  </si>
  <si>
    <t>725999209 SPC</t>
  </si>
  <si>
    <t>D+M Příprava pro napojení ZP - výlevka - Specifikace dle PD - S9</t>
  </si>
  <si>
    <t>" Příprava pro napojení na zařizovací předmět - výlevka. "</t>
  </si>
  <si>
    <t>725999210 SPC</t>
  </si>
  <si>
    <t>D+M Příprava pro napojení ZP - škrabka brambory - Specifikace dle PD - S10</t>
  </si>
  <si>
    <t>" Příprava pro napojení na zařizovací předmět - škrabka brambory. "</t>
  </si>
  <si>
    <t>725999211 SPC</t>
  </si>
  <si>
    <t>D+M Příprava pro napojení ZP - odpad, voda myčka - Specifikace dle PD - S11</t>
  </si>
  <si>
    <t>" Příprava pro napojení na zařizovací předmět - odpad, voda myčka. "</t>
  </si>
  <si>
    <t>725999212 SPC</t>
  </si>
  <si>
    <t>D+M Příprava pro napojení ZP - mycí buben - Specifikace dle PD - S13</t>
  </si>
  <si>
    <t>" Příprava pro napojení na zařizovací předmět - mycí buben. "</t>
  </si>
  <si>
    <t>" Cena zahrnuje náklady na přípojné potrubí (vodovodní (SV+TV)) včetně tvarovek,ventilů, odpadu, podomítkového sifonu, montážního materiálu a zednické výpomoci. "</t>
  </si>
  <si>
    <t>725999213 SPC</t>
  </si>
  <si>
    <t>D+M Příprava pro napojení ZP - úprava vody pro S7 pánve a S8 kotle - Specifikace dle PD - S14</t>
  </si>
  <si>
    <t>" Příprava pro napojení na zařizovací předmět - úprava vody pro S7 pánve a S8 kotle. "</t>
  </si>
  <si>
    <t>725999801 SPC</t>
  </si>
  <si>
    <t>D+M Konstrukce pro uchycení umyvadel do SDK konstrukce - Specifikace dle PD</t>
  </si>
  <si>
    <t>" Případná konstrukce pro uchycení umyvadel v SDK konstrukci. "</t>
  </si>
  <si>
    <t>" Konstrukce pro umyvadla U1, U2, UZ " (9+19+1)</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</si>
  <si>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</si>
  <si>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</si>
  <si>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</si>
  <si>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Přesun hmot procentní pro zařizovací předměty v objektech v do 6 m</t>
  </si>
  <si>
    <t xml:space="preserve">" Stavební práce a dodávky spojené s provedením funkčního celku 725. " </t>
  </si>
  <si>
    <t xml:space="preserve">D.1.4.1. ZTI </t>
  </si>
  <si>
    <t>723999902 SPC</t>
  </si>
  <si>
    <t>SOUPIS PRACÍ</t>
  </si>
  <si>
    <t>Část:   BOURACÍ PRÁCE</t>
  </si>
  <si>
    <t xml:space="preserve">" 40% v hornině sk. 3. " </t>
  </si>
  <si>
    <t>" Výkopy "</t>
  </si>
  <si>
    <t>((46,56*1,53)+(18,92*1,99)+(719,86*0,6))*0,4</t>
  </si>
  <si>
    <t>Hloubení nezapažených jam v nesoudržných horninách třídy těžitelnosti II skupiny 4 ručně</t>
  </si>
  <si>
    <t xml:space="preserve">" 45% v hornině sk. 4. " </t>
  </si>
  <si>
    <t>((46,56*1,53)+(18,92*1,99)+(719,86*0,6))*0,45</t>
  </si>
  <si>
    <t>Hloubení nezapažených jam v nesoudržných horninách třídy těžitelnosti II skupiny 5 ručně</t>
  </si>
  <si>
    <t xml:space="preserve">" 15% v hornině sk. 5. " </t>
  </si>
  <si>
    <t>((46,56*1,53)+(18,92*1,99)+(719,86*0,6))*0,15</t>
  </si>
  <si>
    <t>Vodorovné přemístění do 10 m nošením výkopku z horniny třídy těžitelnosti I, skupiny 1 až 3</t>
  </si>
  <si>
    <t>" Přesun zeminy z výkopu okolo základů " (216,32)</t>
  </si>
  <si>
    <t>" Přesun zeminy z výkopu okolo základů " (243,36+81,12)</t>
  </si>
  <si>
    <t>162</t>
  </si>
  <si>
    <t>Příplatek k vodorovnému přemístění nošením ZKD 10 m nošení výkopku z horniny třídy těžitelnosti I, skupiny 1 až 3</t>
  </si>
  <si>
    <t>" Přesun zeminy z výkopu do kontejneru / na hromadu - vzdálenost max. 100 m. " (216,32)*9</t>
  </si>
  <si>
    <t>" Přesun zeminy z výkopu - vzdálenost max. 100 m. " (243,36+81,12)*9</t>
  </si>
  <si>
    <t>181</t>
  </si>
  <si>
    <t xml:space="preserve">" Odvoz zeminy z výkopových prací " </t>
  </si>
  <si>
    <t>" Odvoz zeminy z výkopových prací  " (216,32)</t>
  </si>
  <si>
    <t>" Odvoz zeminy z výkopových prací  " (243,36)+(81,12)</t>
  </si>
  <si>
    <t>14a</t>
  </si>
  <si>
    <t xml:space="preserve">" - Nakládání výkopku z hornin třídy těžitelnosti I, skupiny 1 až 3 do 100 m3 " </t>
  </si>
  <si>
    <t>14b</t>
  </si>
  <si>
    <t xml:space="preserve">" - Nakládání výkopku z hornin třídy těžitelnosti II, skupiny 4 až 5 do 100 m3 " </t>
  </si>
  <si>
    <t>14c</t>
  </si>
  <si>
    <t xml:space="preserve">" - Vodorovné přemístění do 10000 m výkopku/sypaniny z horniny třídy těžitelnosti I, skupiny 1 až 3 " </t>
  </si>
  <si>
    <t>14d</t>
  </si>
  <si>
    <t>14e</t>
  </si>
  <si>
    <t>14f</t>
  </si>
  <si>
    <t>317</t>
  </si>
  <si>
    <t>317999901 SPC</t>
  </si>
  <si>
    <t>D+M Ocelový překlad s valcovanými nosníky, 4x I č. 100 dl. 1,7 m - Specifikace dle PD - P05</t>
  </si>
  <si>
    <t>" Ocelové profily včetně maltového lože, spojení nosníků při spodním povrchu pásovou ocelí a jejich vzájemného svaření. "</t>
  </si>
  <si>
    <t xml:space="preserve">" Překlad 1. PP. " </t>
  </si>
  <si>
    <t>317999902 SPC</t>
  </si>
  <si>
    <t>D+M Ocelový překlad s valcovanými nosníky, 6x I č. 120 dl. 1,8 m - Specifikace dle PD - P06</t>
  </si>
  <si>
    <t>317999903 SPC</t>
  </si>
  <si>
    <t>D+M Ocelový překlad s valcovanými nosníky, 4x I č. 100 dl. 1,0 m - Specifikace dle PD - P07</t>
  </si>
  <si>
    <t>317999904 SPC</t>
  </si>
  <si>
    <t>D+M Ocelový překlad s valcovanými nosníky, 2x I č. 100 dl. 1,4 m - Specifikace dle PD - P01</t>
  </si>
  <si>
    <t xml:space="preserve">" Překlad 1. NP. " </t>
  </si>
  <si>
    <t>317999905 SPC</t>
  </si>
  <si>
    <t>D+M Ocelový překlad s valcovanými nosníky, 2x I č. 100 dl. 1,55 m - Specifikace dle PD - P02</t>
  </si>
  <si>
    <t>317999906 SPC</t>
  </si>
  <si>
    <t>D+M Ocelový překlad s valcovanými nosníky, 4x I č. 120 dl. 1,8 m - Specifikace dle PD - P03</t>
  </si>
  <si>
    <t>317999907 SPC</t>
  </si>
  <si>
    <t>D+M Ocelový překlad s valcovanými nosníky, 4x I č. 100, dl. 1,55 m - Specifikace dle PD - P04</t>
  </si>
  <si>
    <t>317999908 SPC</t>
  </si>
  <si>
    <t>D+M Ocelový překlad s valcovanými nosníky, 2x I č. 100, dl. 1,3 m - Specifikace dle PD - P08</t>
  </si>
  <si>
    <t xml:space="preserve">" Překlad 2. NP. " </t>
  </si>
  <si>
    <t>619</t>
  </si>
  <si>
    <t>Obalení konstrukcí a prvků fólií přilepenou lepící páskou</t>
  </si>
  <si>
    <t>" Ochrana ponechaných oken a dveří před poškozením při bouracích pracích "</t>
  </si>
  <si>
    <t>" Odhadované množství - 50 m2 "</t>
  </si>
  <si>
    <t>" V ceně také odstranění ochrany. "</t>
  </si>
  <si>
    <t>Ochrana konstrukcí nebo samostatných prvků obalením geotextilií</t>
  </si>
  <si>
    <t>D+M Dočasná ochrana, zakrytí, zajištění, úprava, případná demontáž a zpětná montáž stávajících dveří - Specifikace dle PD</t>
  </si>
  <si>
    <t>" Ochrana stávajících dveří uvnitř objektu během stavebních prací před poškozením např. pomocí geotextílií, fólií, apod. "</t>
  </si>
  <si>
    <t>941</t>
  </si>
  <si>
    <t>Montáž lešení řadového trubkového lehkého s podlahami zatížení do 200 kg/m2 š do 1,5 m v do 25 m</t>
  </si>
  <si>
    <t>" Venkovní lešení - Jídelna " (42,00+43,200+2,00+19,700)*9,00</t>
  </si>
  <si>
    <t>Příplatek k lešení řadovému trubkovému lehkému s podlahami š 1,5 m v 25 m za první a ZKD den použití</t>
  </si>
  <si>
    <t>" Pronájem lešení - hl. objekt - odhad 5 měsíců " (962,10)*150</t>
  </si>
  <si>
    <t>Demontáž lešení řadového trubkového lehkého s podlahami zatížení do 200 kg/m2 š do 1,5 m v do 25 m</t>
  </si>
  <si>
    <t>944</t>
  </si>
  <si>
    <t>" Montáž ochranné sítě pro použité lešení - hl. objekt  "  (42,00+43,200+2,00+19,700)*9,00</t>
  </si>
  <si>
    <t>" Pronájem sítě - hl. objekt - odhad 5 měsíců " (962,10)*150</t>
  </si>
  <si>
    <t>Montáž záchytné stříšky š do 2,5 m</t>
  </si>
  <si>
    <t>" Montáž stříšky v místě vchodů - Jídelna " (2,00+1,00)</t>
  </si>
  <si>
    <t>Příplatek k záchytné stříšce š do 2,5 m za první a ZKD den použití</t>
  </si>
  <si>
    <t>" Pronájem stříšky - Jídelna - odhad 5 měsíců " (3,00)*150</t>
  </si>
  <si>
    <t>Demontáž záchytné stříšky š do 2,5 m</t>
  </si>
  <si>
    <t>949</t>
  </si>
  <si>
    <t>" Pomocné lešení pro objekty při bouracích pracích "</t>
  </si>
  <si>
    <t>" Vnitřní lešení 1. PP " (16,70+7,98+11,82+1,08+2,17+3,93+5,21+15,55+6,68+20,76+88,98)</t>
  </si>
  <si>
    <t>" Vnitřní lešení 1. NP - pro m. sv. do 4,0 m " (5,52+6,84+11,15+5,50+1,08+0,78+24,21+15,78+12,83+20,64+13,58+12,35+3,12+4,25+12,80+12,85+3,13+2,41+1,44+3,58+84,54+192,71+9,24+15,05+9,80+4,34+5,09+3,15+2,24+3,15+6,02+43,03+38,25+17,25+65,26+9,22+23,03+9,09)</t>
  </si>
  <si>
    <t>" Vnitřní lešení 2. NP - pro m. sv. do 4,0 m " (5,91+88,00+22,26+64,47+2,24+6,74+6,18+1,40+5,96+5,29+3,36+77,13+22,94+31,05+66,77+4,33+4,96+4,75+1,96+2,65+3,68+1,36+12,71+9,93+58,68+66,77+56,95+70,10)</t>
  </si>
  <si>
    <t>" V ceně náklady na dopravu, montáž, opotřebení, doby pronájmu lešení a demontáž lešení. "</t>
  </si>
  <si>
    <t>952</t>
  </si>
  <si>
    <t>" Vyčištění místnosti po bouracích pracích "</t>
  </si>
  <si>
    <t>" Čistý úklid 1. PP " (16,70+7,98+11,82+1,08+2,17+3,93+5,21+15,55+6,68+20,76+88,98)</t>
  </si>
  <si>
    <t>" Čistý úklid 1. NP " (5,52+6,84+11,15+5,50+1,08+0,78+24,21+15,78+12,83+20,64+13,58+12,35+3,12+4,25+12,80+12,85+3,13+2,41+1,44+3,58+84,54+192,71+9,24+15,05+9,80+4,34+5,09+3,15+2,24+3,15+6,02+43,03+38,25+17,25+65,26+9,22+23,03+9,09)</t>
  </si>
  <si>
    <t>" Čistý úklid 2. NP " (5,91+88,00+22,26+64,47+2,24+6,74+6,18+1,40+5,96+5,29+3,36+77,13+22,94+31,05+66,77+4,33+4,96+4,75+1,96+2,65+3,68+1,36+12,71+9,93+58,68+66,77+56,95+70,10)</t>
  </si>
  <si>
    <t>961</t>
  </si>
  <si>
    <t>Bourání základů z betonu prostého</t>
  </si>
  <si>
    <t>" Bourání podkladní desky tl. 80mm v 1.PP " (8,28)*0,08</t>
  </si>
  <si>
    <t>" Bourání podkladní desky tl. 100mm v 1.NP " ((15,78+12,83+20,64+13,58+3,12+4,25+12,80+12,85+3,13+2,41+1,44+3,58+192,71+65,26)+(84,54+9,24+15,05+9,80))*0,10</t>
  </si>
  <si>
    <t>Bourání základů ze ŽB</t>
  </si>
  <si>
    <t>" Bourání základového pásu " 0,77</t>
  </si>
  <si>
    <t>" Bourání základového pásu pod agregát VZT " 0,323</t>
  </si>
  <si>
    <t>Bourání základů cihelných na MV nebo MVC</t>
  </si>
  <si>
    <t>" Bourání základového pásu 1.PP " (1,008+12,553+3,456)</t>
  </si>
  <si>
    <t>Bourání základů cihelných na MC</t>
  </si>
  <si>
    <t>" Bourání základového pásu 1.PP " (6,610)</t>
  </si>
  <si>
    <t>962</t>
  </si>
  <si>
    <t>Bourání zdiva z cihel pálených nebo vápenopískových na MV nebo MVC do 1 m3</t>
  </si>
  <si>
    <t>" Bourání zdiva 1.NP " (0,360)</t>
  </si>
  <si>
    <t>" Bourání zdiva 2.NP " (0,908)</t>
  </si>
  <si>
    <t>Bourání zdiva z cihel pálených nebo vápenopískových na MV nebo MVC přes 1 m3</t>
  </si>
  <si>
    <t>" Bourání zdivo 1.NP " (8,612)</t>
  </si>
  <si>
    <t>Bourání zdiva z cihel pálených nebo vápenopískových na MC do 1 m3</t>
  </si>
  <si>
    <t>" Bourání zdivo 1.NP " (0,153)</t>
  </si>
  <si>
    <t>Bourání zdiva z cihel pálených nebo vápenopískových na MC přes 1 m3</t>
  </si>
  <si>
    <t>" Bourání zdivo 1.NP " (37,27)</t>
  </si>
  <si>
    <t>" Bourání zdivo 2.NP " (20,640)</t>
  </si>
  <si>
    <t>Bourání zdiva nadzákladového ze ŽB do 1 m3</t>
  </si>
  <si>
    <t>" Bourání stěn " 0,160</t>
  </si>
  <si>
    <t>Bourání příček ze skleněných tvárnic tl do 100 mm</t>
  </si>
  <si>
    <t>" Vybourání luxfer - 1. NP " (3,619)</t>
  </si>
  <si>
    <t>963</t>
  </si>
  <si>
    <t>9630429001 SPC</t>
  </si>
  <si>
    <t>Bourání schodišťových stupňů/ ramen</t>
  </si>
  <si>
    <t>CS ÚRS/ TEO 2024 01</t>
  </si>
  <si>
    <t>" Bourání schodišť z teracových desek - půdorysná plocha - hlavní přístupové schodiště "</t>
  </si>
  <si>
    <t xml:space="preserve">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</si>
  <si>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9630429002 SPC</t>
  </si>
  <si>
    <t>Bourání stropů z ŽB desek vč. podchycení kcí</t>
  </si>
  <si>
    <t>" Bourání stropů v 1.PP" ((1,175*0,30)+(1,25*0,30))*0,25</t>
  </si>
  <si>
    <t>" Bourání stropů v 1.NP" ((0,5*0,225)+(0,225*0,25)+(0,85*0,225))*0,25</t>
  </si>
  <si>
    <t>" Bourání stropů v 2.NP " ((0,4*0,4*7)+(1,32*0,40)+(0,9*0,4*5))*0,25</t>
  </si>
  <si>
    <t xml:space="preserve">" V ceně: podchycení stropu ocelovými nosníky, průřezu I 100 vč. vyklínování " </t>
  </si>
  <si>
    <t>9630429003 SPC</t>
  </si>
  <si>
    <t>Bourání zaklopení kanálu</t>
  </si>
  <si>
    <t>" Bourání zaklopení kanálu "</t>
  </si>
  <si>
    <t>964</t>
  </si>
  <si>
    <t>964011901 SPC</t>
  </si>
  <si>
    <t>Vybourání / odstranění stávajících překladů nade dveřmi / okny při rozšiřování / zvýšení otvorů / bourání celé konstrukce - Specifikace dle PD</t>
  </si>
  <si>
    <t>" Odstranění všech stávajících překladů - cihelných, ŽB, ocelových, monolitických, ... "</t>
  </si>
  <si>
    <t>" 1.PP výtah "</t>
  </si>
  <si>
    <t>" 2.NP "</t>
  </si>
  <si>
    <t>" V ceně také vysekání kapsy s uložením, odvoz a likvidace suti, a veškeré dalšíá práce související s provedení odstranění stávajících překladů vč. odstranění veškerých podkladních, úložných a výplňových prvků. "</t>
  </si>
  <si>
    <t>965</t>
  </si>
  <si>
    <t>Odstranění násypů pod podlahami tl do 200 mm pl do 2 m2</t>
  </si>
  <si>
    <t>" 1.NP na terénu " (1,44)</t>
  </si>
  <si>
    <t>Odstranění násypů pod podlahami tl do 200 mm pl přes 2 m2</t>
  </si>
  <si>
    <t>" 1.NP na terénu " (15,78+12,83+20,64+13,58+3,12+4,25+12,80+12,85+3,13+2,41+3,58+192,71+65,26)</t>
  </si>
  <si>
    <t>Bourání potěrů cementových nebo pískocementových tl do 50 mm pl do 4 m2</t>
  </si>
  <si>
    <t>" 1.PP v místě kanalizace tl. 5mm " (8,28)</t>
  </si>
  <si>
    <t>Bourání podkladů pod dlažby nebo mazanin betonových nebo z litého asfaltu tl do 100 mm pl do 4 m2</t>
  </si>
  <si>
    <t>" 1.PP mazanina 70mm" (8,28)*0,07</t>
  </si>
  <si>
    <t>" 1.NP mazanina 70mm" ((5,52+6,84+11,15+5,50+1,08+0,78+24,21+4,34+5,09+3,15+2,24+3,15+6,02+43,03+38,25+17,25+9,22+23,03)+(15,78+12,83+20,64+13,58+3,12+4,25+12,80+12,85+3,13+2,41+1,44+3,58+192,71+65,26)+(84,54+9,24+15,05+9,80))*0,07</t>
  </si>
  <si>
    <t>" 2.NP mazanina 40mm" (2,24+6,74+6,18+1,40+5,96+5,29+3,36+4,96+4,75+1,96+2,65+3,68+1,36)*0,04</t>
  </si>
  <si>
    <t>Bourání podkladů pod dlažby nebo mazanin betonových nebo z litého asfaltu tl do 100 mm pl přes 4 m2</t>
  </si>
  <si>
    <t>" 1.NP " (5,50+15,05+9,80)*0,10</t>
  </si>
  <si>
    <t>Bourání podkladů pod dlažby nebo mazanin betonových nebo z litého asfaltu tl přes 100 mm pl přes 4 m2</t>
  </si>
  <si>
    <t>" Rampa " (5,650*2,250)*0,12</t>
  </si>
  <si>
    <t>Bourání podlah z dlaždic keramických nebo xylolitových tl přes 10 mm plochy přes 1 m2</t>
  </si>
  <si>
    <t xml:space="preserve">" Odstranění nášlapné vrstvy z keramické dlažby " </t>
  </si>
  <si>
    <t>" 1. NP " (5,52+6,84+11,15+24,21+15,78+12,83+20,64+13,58+3,12+2,41+1,44+3,58+84,54+5,09+3,15+2,24+3,15+6,02+43,03+38,25+17,25+9,09)</t>
  </si>
  <si>
    <t>" 2. NP " (2,24+6,74+6,18+1,40+5,96+5,29+3,36+4,96+4,75+1,96+2,65+3,68+1,36)</t>
  </si>
  <si>
    <t>968072356 RTO</t>
  </si>
  <si>
    <t>Vybourání oken ocelových / plastových / dřevěných vč. křídel - Specifikace dle PD</t>
  </si>
  <si>
    <t>" Vybourání oken - 1. PP " (0,9*0,6*4)</t>
  </si>
  <si>
    <t>" Vybourání oken - 1. NP " (2,4*1,8*12)+(0,9*1,8*3)+(1,2*1,8*3)+(2,4*2,1*9)+(0,9*2,1*4)+(1,2*2,1*4)</t>
  </si>
  <si>
    <t>" Vybourání oken - 2. NP " (2,4*2,1*12)+(0,90*2,1*5)+(1,2*2,1*4)+(2,4*2,1*10)</t>
  </si>
  <si>
    <t>" V položce zahrnuto vyvěšení okenních křídel, demontáž vnitřního a vnějšího parapetu, vybourání rámu oken, demontáž žaluzíí, sítí proti hmyzu apod. V ceně také nutné přisekání / řezání ostění a odstranění potěrů pod parapety "</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</si>
  <si>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</si>
  <si>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968072456 RTO</t>
  </si>
  <si>
    <t>Vybourání dveřních zárubní a rámů včetně křídla - Specifikace dle PD</t>
  </si>
  <si>
    <t>" Vybourání dveří - 1. NP " (1,65*1,97)+(0,8*1,970)+(0,60*1,970*12)+(0,80*1,970*15)+(0,90*1,970*2)+((0,90+0,615)*2,10)+(1,450*1,970)+(1,25*1,970*7)+(1,650*1,970)</t>
  </si>
  <si>
    <t>" Vybourání dveří - 2. NP " (0,6*1,970*10)+(0,80*1,970*2)+(1,25*1,97)</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</si>
  <si>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</si>
  <si>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974</t>
  </si>
  <si>
    <t>Vysekání rýh ve zdivu cihelném pro vtahování nosníků hl do 150 mm v do 150 mm</t>
  </si>
  <si>
    <t>" Vysekání rýh pro překlady - nové zobrazené na výkresech bouracích prácí. "</t>
  </si>
  <si>
    <t>974031901 SPC</t>
  </si>
  <si>
    <t>Vysekání rýh ve zdivu / omítkách stropů pro vedení veškerých instalací a kabeláže + vybourání prostupů - Specifikace dle PD</t>
  </si>
  <si>
    <t>" Vysekání rýh ve stávajícím zdivu pro vedení veškerých instalací a kabeláže. Rýhy potřebných šířek a hloubek. 
Vybourání prostupů pro vedení instalací  - jádrovými vrty. "</t>
  </si>
  <si>
    <t>" Předpokládané maximální množství - 8 000 m "</t>
  </si>
  <si>
    <t>" V ceně provedení vysekání rýhy vč. případného řezání, odvozu a likvidace suti a dalších nutných prací souvisejících s provedením rýh a drážek + prostupů prováděnými vrty pro vedení instalací. "</t>
  </si>
  <si>
    <t>978</t>
  </si>
  <si>
    <t>978015321 SPC</t>
  </si>
  <si>
    <t>Otlučení (osekání) vnější vápenné nebo vápenocementové omítky stupně členitosti 1 a 2 v rozsahu do 10 % + odstranění rabica</t>
  </si>
  <si>
    <t>" Schodiště 1.NP" (12,63)</t>
  </si>
  <si>
    <t>Otlučení (osekání) vnitřní vápenné nebo vápenocementové omítky stropů v rozsahu přes 10 do 30 %</t>
  </si>
  <si>
    <t>" Oklepání omítek stropů v 1.PP" ((1,175*0,30)+(1,25*0,30))</t>
  </si>
  <si>
    <t>" Oklepání omítek stropů v 1.NP" ((0,5*0,225)+(0,225*0,25)+(0,85*0,225))</t>
  </si>
  <si>
    <t>" Oklepání omítek stropů v 2.NP " ((0,4*0,4*7)+(1,32*0,40)+(0,9*0,4*5))</t>
  </si>
  <si>
    <t>Otlučení (osekání) vnitřní vápenné nebo vápenocementové omítky stěn v rozsahu přes 10 do 30 %</t>
  </si>
  <si>
    <t>" Oklepání omítek stěn 1.PP " (3,54)</t>
  </si>
  <si>
    <t>" Oklepání omítek stěn 1.NP " (379,386+1139,98)</t>
  </si>
  <si>
    <t>" Oklepání omítek stěn 2.NP " (282,823)</t>
  </si>
  <si>
    <t>113311121 SPC</t>
  </si>
  <si>
    <t>Odstranění geotextilie na střeše</t>
  </si>
  <si>
    <t>" Mansarda "</t>
  </si>
  <si>
    <t>988</t>
  </si>
  <si>
    <t>988999101 SPC</t>
  </si>
  <si>
    <t>Vyklizení objektu před započetím rekonstrukce objektu včetně případného opětovného nastěhování - Specifikace dle PD</t>
  </si>
  <si>
    <t>" Odstranění / vyklizení veškerých zařizovacích předmětů, technologického zařízení, hasících přístrojů, interiérových žaluzií, nábytku, spotřebičů, vybavení šaten, vybavení sociálních zázemí (dávkovače, zásobníky, háčky, madla apod.), zrcadel apod. "</t>
  </si>
  <si>
    <t>" V ceně případné opětovné nastěhování po rekonstrukci. "</t>
  </si>
  <si>
    <t>" Vyklizení 1.PP " (16,70+7,98+11,82+1,08+2,17+3,93+5,21+15,55+6,72+20,76+89,06)</t>
  </si>
  <si>
    <t>" Vyklizení 1.NP " (5,52+6,84+11,15+5,50+1,08+0,78+24,21+15,78+12,83+20,64+13,58+12,43+3,12+4,25+12,80+12,85+3,13+2,41+1,44+3,58+84,54+192,71+9,24+15,05+9,80+4,34+5,09+3,15+2,24+3,15+6,02+43,03+38,25+17,25+65,26+9,22+23,03+9,09)</t>
  </si>
  <si>
    <t>" Vyklizení 2.NP " (5,91+88,00+22,26+64,47+2,24+6,74+6,18+1,40+5,96+5,29+3,36+77,13+22,94+31,05+66,77+4,33+4,96+4,75+1,96+2,65+3,68+1,36+12,71+9,93+58,68+66,77+56,95+70,10)</t>
  </si>
  <si>
    <t xml:space="preserve">" Součástí také případná výměna poškozených či nevhodných prvků, doplňků, apod. " </t>
  </si>
  <si>
    <t>978999103 SPC</t>
  </si>
  <si>
    <t>Demontáž, úprava a zpětná montáž prvků na fasádě - Specifikace dle PD</t>
  </si>
  <si>
    <t>" Demontáž a případná úprava, očištění, nátěr a zpětná montáž prvků na fasádě - osvětlení, větracích mřížek, revizních dvířek, plechových sříní, vypínačů, zvonků, telekomunikačního zařízení, kamerového systému, čidel, záchytných konzol, držáků, čistících rohoží, pamětní desky, apod."</t>
  </si>
  <si>
    <t xml:space="preserve">" Zpětné připevnění na fasádu pomocí systémových prvků, šroubovacích hmoždinek nebo chemických kotev přes systémové podložky " </t>
  </si>
  <si>
    <r>
      <t xml:space="preserve">" </t>
    </r>
    <r>
      <rPr>
        <b/>
        <sz val="8"/>
        <color indexed="12"/>
        <rFont val="Arial CE"/>
        <family val="2"/>
        <charset val="238"/>
      </rPr>
      <t>Předpokládané prvky na zpětnou montáž:</t>
    </r>
    <r>
      <rPr>
        <sz val="8"/>
        <color indexed="12"/>
        <rFont val="Arial CE"/>
        <family val="2"/>
        <charset val="238"/>
      </rPr>
      <t xml:space="preserve">
 - nápisy - 3 ks;
 - nástěnka - 1 ks" </t>
    </r>
  </si>
  <si>
    <r>
      <t xml:space="preserve">" </t>
    </r>
    <r>
      <rPr>
        <b/>
        <sz val="8"/>
        <color indexed="12"/>
        <rFont val="Arial CE"/>
        <family val="2"/>
        <charset val="238"/>
      </rPr>
      <t>Předpokládané prvky na trvalou demontáž vč. likvidace:</t>
    </r>
    <r>
      <rPr>
        <sz val="8"/>
        <color indexed="12"/>
        <rFont val="Arial CE"/>
        <family val="2"/>
        <charset val="238"/>
      </rPr>
      <t xml:space="preserve">
 - svítidlo na fasádě - 4 ks;
 - podélná svítidla - 3 ks;
 - svítidla na pohybové čidlo - 1 ks;
 - prvky elektra - 3 ks;
 - kryty - 4 ks;
 - mřížky - 2 ks;
 - bezpečnostní kamery - 2 ks;
 - kohout vodovodu - 2 ks. " </t>
    </r>
  </si>
  <si>
    <t>997</t>
  </si>
  <si>
    <t>997999901 SPC</t>
  </si>
  <si>
    <t>" Likvidace vybouraného materiálu " (1002,773)</t>
  </si>
  <si>
    <t>69a</t>
  </si>
  <si>
    <t>69b</t>
  </si>
  <si>
    <t>" - Odvoz suti a vybouraných hmot na skládku nebo meziskládku do 1 km se složením "</t>
  </si>
  <si>
    <t>69c</t>
  </si>
  <si>
    <t>" - Příplatek k odvozu suti a vybouraných hmot na skládku ZKD 1 km přes 1 km - uvažována skládka ve vzdálenosti do 10 km "</t>
  </si>
  <si>
    <t>69d</t>
  </si>
  <si>
    <t>" - Poplatek za uložení na skládce (skládkovné) stavebního odpadu směsného kód odpadu 17 09 04 "</t>
  </si>
  <si>
    <t>997999902 SPC</t>
  </si>
  <si>
    <t>" Likvidace vybouraného materiálu " (3,623+0,362)</t>
  </si>
  <si>
    <t>70a</t>
  </si>
  <si>
    <t>70b</t>
  </si>
  <si>
    <t>70c</t>
  </si>
  <si>
    <t>70d</t>
  </si>
  <si>
    <t>" - Poplatek za uložení na skládce (skládkovné) stavebního odpadu ze skla kód odpadu 17 02 02 "</t>
  </si>
  <si>
    <t>997999903 SPC</t>
  </si>
  <si>
    <t>" Likvidace vybouraného materiálu " (0,320+20,709+16,752+10,569)</t>
  </si>
  <si>
    <t>71a</t>
  </si>
  <si>
    <t>71b</t>
  </si>
  <si>
    <t>997013501 RTO</t>
  </si>
  <si>
    <t>" - Odvoz suti a vybouraných hmot do spalovny / na skládku nebo meziskládku do 1 km se složením "</t>
  </si>
  <si>
    <t>71c</t>
  </si>
  <si>
    <t>997013509 RTO</t>
  </si>
  <si>
    <t>" - Příplatek k odvozu suti a vybouraných hmot do spalovny / na skládku ZKD 1 km přes 1 km - uvažována spalovna ve vzdálenosti do 90 km "</t>
  </si>
  <si>
    <t>71d</t>
  </si>
  <si>
    <t>997013631 RTO</t>
  </si>
  <si>
    <t>" - Poplatek za odstranění odpadu ve spalovně stavebního odpadu dřevěného kód odpadu 17 02 01 "</t>
  </si>
  <si>
    <t>" POZN: Z důvodu nemožnosti ukládání dřeva ze stavreb pod kódy 17 02 01, 15 01 03, apod. na uvažované skládce, je v soupise prací uvažováno s odvozem stavebního dřeva do spalovny. "</t>
  </si>
  <si>
    <t>997999904 SPC</t>
  </si>
  <si>
    <t>" Likvidace vybouraného materiálu " (0,158+0,104+0,432)</t>
  </si>
  <si>
    <t>72a</t>
  </si>
  <si>
    <t>72b</t>
  </si>
  <si>
    <t>72c</t>
  </si>
  <si>
    <t>72d</t>
  </si>
  <si>
    <t>997221699 SPC</t>
  </si>
  <si>
    <t>997999905 SPC</t>
  </si>
  <si>
    <t>" Likvidace vybouraného materiálu " (0,47+0,677+0,553+1,745+0,10+0,003)</t>
  </si>
  <si>
    <t>73a</t>
  </si>
  <si>
    <t>73b</t>
  </si>
  <si>
    <t>73c</t>
  </si>
  <si>
    <t>73d</t>
  </si>
  <si>
    <t>" - Poplatek za uložení na skládce (skládkovné) stavebního odpadu izolací kód odpadu 17 06 04 "</t>
  </si>
  <si>
    <t>Přesun hmot s omezením mechanizace pro budovy v do 12 m</t>
  </si>
  <si>
    <t>Odstranění izolace proti zemní vlhkosti vodorovné</t>
  </si>
  <si>
    <t>" Hydroizolace 1.NP terén " ((5,52+6,84+11,15+5,50+1,08+0,78+24,21+4,34+5,09+3,15+2,24+3,15+6,02+43,03+38,25+17,25+9,22+23,03))*2</t>
  </si>
  <si>
    <t>" Hydroizolace 1.PP " (8,28)*2</t>
  </si>
  <si>
    <t>Odstranění povlakové krytiny střech do 10° z pásů uložených na sucho AIP nebo NAIP</t>
  </si>
  <si>
    <t>" Střecha " (838,59)</t>
  </si>
  <si>
    <t xml:space="preserve">" Stavební práce a dodávky spojené s provedením funkčního celku 712 " </t>
  </si>
  <si>
    <t>713110821 SPC</t>
  </si>
  <si>
    <t>Odstranění kročejové izolace stropů volně kladené z polystyrenu suchého tl do 100 mm</t>
  </si>
  <si>
    <t>" Odstranění kročejové izolace " (2,24+6,74+6,18+1,40+5,96+5,29+3,36+4,96+4,75+1,96+2,65+3,68+1,36)</t>
  </si>
  <si>
    <t xml:space="preserve">" Stavební práce a dodávky spojené s provedením funkčního celku 713 " </t>
  </si>
  <si>
    <t>Akustická a protiotřesová opatření</t>
  </si>
  <si>
    <t>Demontáž akustických obkladů podkladového roštu</t>
  </si>
  <si>
    <t>" 1.NP - uvažován rošt po vzdálenosti 0,5m " 14*19,5+(39*7)</t>
  </si>
  <si>
    <t>Demontáž akustických obkladů z dřevěných akustických lamelových obkladů ukotvených na rošt z latí</t>
  </si>
  <si>
    <t>" 1.NP " (137,00+19,5)</t>
  </si>
  <si>
    <t>Zdravotechnika - Vnitřní kanalizace</t>
  </si>
  <si>
    <t>85</t>
  </si>
  <si>
    <t>Odstranění stávajících rozvodů kanalizace splaškové + dešťové vč. příslušenství, včetně zapravení prostupů - svodné potrubí - Specifikace dle PD</t>
  </si>
  <si>
    <t>" Ostranění stávajících rozvodů svodného potrubí kanalizace vč. veškerých tvarovek, veškrých prvků (chrániček, kotvících, úložných podpůrných, ucpávek, …), izolace vč. odpojení a vypouštění, vyčištění, odčerpání. "</t>
  </si>
  <si>
    <t>" V ceně také případné zaslepení potrubí, případné vybourání podlahy a zpětné provedení (přístupu k odstraňovaným potrubím), zapravení prostupů skrze podlahu apod. "</t>
  </si>
  <si>
    <t>86</t>
  </si>
  <si>
    <t>721999102 SPC</t>
  </si>
  <si>
    <t>Odstranění stávajících rozvodů kanalizace splaškové + dešťové vč. příslušenství, včetně zapravení prostupů - odpadní (svislé) potrubí - Specifikace dle PD</t>
  </si>
  <si>
    <t>" Ostranění stávajících rozvodů odpadního (svislého) potrubí kanalizace vč. veškerých tvarovek, veškrých prvků (chrániček, kotvících, úložných podpůrných, ucpávek, …) a izolace vč. odpojení a vypouštění, vyčištění, odčerpání. "</t>
  </si>
  <si>
    <t>" V ceně také případné zaslepení potrubí, případná demontáž a zpětná montáž podhledů, předstěn (přístupu k odstraňovaným potrubím), zapravení prostupů, zdiva a povrchových úprav. "</t>
  </si>
  <si>
    <t>87</t>
  </si>
  <si>
    <t>721999103 SPC</t>
  </si>
  <si>
    <t>Odstranění stávajících rozvodů kanalizace splaškové + dešťové vč. příslušenství, včetně zapravení prostupů - připojovací potrubí vč. potrubí na odvod kondenzátu - Specifikace dle PD</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</si>
  <si>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</si>
  <si>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88</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</si>
  <si>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</si>
  <si>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</si>
  <si>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</si>
  <si>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xml:space="preserve">" Ostatní náklady na demontáž, odstranění apod. mj.s vazbou na stávající okolní konstrukce. " </t>
  </si>
  <si>
    <t>722</t>
  </si>
  <si>
    <t>Zdravotechnika - Vnitřní vodovod</t>
  </si>
  <si>
    <t>90</t>
  </si>
  <si>
    <t>Odstranění stávajících rozvodů teplé + cirkulační vody vč. veškerých tvarovek a případné izolace, včetně zapravení prostupů - Specifikace dle PD</t>
  </si>
  <si>
    <t>" Ostranění stávajících rozvodů teplé a cirkulační vody vč. veškerých tvarovek, veškrých prvků (chrániček, kotvících, úložných podpůrných, ucpávek, …) a izolace vč. odpojení a vypouštění. "</t>
  </si>
  <si>
    <t>" Předpokládané maximální množství - 500,0 m "</t>
  </si>
  <si>
    <t>91</t>
  </si>
  <si>
    <t>722999102 SPC</t>
  </si>
  <si>
    <t>Odstranění stávajících rozvodů studené vody vč. veškerých tvarovek a případné izolace, včetně zapravení prostupů - Specifikace dle PD</t>
  </si>
  <si>
    <t>" Ostranění stávajících rozvodů studené vody vč. veškerých tvarovek, veškrých prvků (chrániček, kotvících, úložných podpůrných, ucpávek, …) a případné izolace vč. odpojení a vypouštění. "</t>
  </si>
  <si>
    <t>" Předpokládané maximální množství - 550,0 m "</t>
  </si>
  <si>
    <t>92</t>
  </si>
  <si>
    <t>722999103 SPC</t>
  </si>
  <si>
    <t>Odstranění stávajících rozvodů požární vody vč. veškerých tvarovek a případné izolace, včetně zapravení prostupů - Specifikace dle PD</t>
  </si>
  <si>
    <t>" Ostranění stávajících rozvodů požární vody vč. veškerých tvarovek, veškrých prvků (chrániček, kotvících, úložných podpůrných, ucpávek, …) a případné izolace vč. odpojení a vypouštění. "</t>
  </si>
  <si>
    <t>" Předpokládané maximální množství - 40,0 m "</t>
  </si>
  <si>
    <t>93</t>
  </si>
  <si>
    <t>722999104 SPC</t>
  </si>
  <si>
    <t>Odstranění veškerých armatur vodovodu vč. příslušenství - Specifikace dle PD</t>
  </si>
  <si>
    <t>" Odstranění veškerých armatur vodovodu vč. příslušenství - např. kulové kohouty, vypouštěcí ventily, vyvažovací ventily, odvzdušňovací ventily, vodoměry, revizní dvířka apod.  "</t>
  </si>
  <si>
    <t>" Předpokládané maximální množství - 70,0 ks "</t>
  </si>
  <si>
    <t>722999105 SPC</t>
  </si>
  <si>
    <t>Demontáž hydrantů - Specifikace dle PD</t>
  </si>
  <si>
    <t>" Odstranění hydrantových skříní včetně vystrojení a zapravení / doplnění zdiva, odstranění armatur a tvarovek na vodovodním potrubí. "</t>
  </si>
  <si>
    <t>" Předpokládané maximální množství - 2,0 ks "</t>
  </si>
  <si>
    <t xml:space="preserve">" Stavební práce a dodávky spojené s provedením funkčního celku 722. " </t>
  </si>
  <si>
    <t>Zdravotechnika - Vnitřní plynovod</t>
  </si>
  <si>
    <t>723999101 SPC</t>
  </si>
  <si>
    <t>Odstranění stávajících rozvodů plynovodu, včetně zapravení prostupů - Specifikace dle PD</t>
  </si>
  <si>
    <t>" Součástí ceny je odkrytí potrubí, odpojení, vypuštění a demontáž. Zaslepení stávajícího potrubí. Demontáž potrubí včetně armatur a tvarovek. V ceně také zapravení prostupů, zdiva a povrchových úprav. "</t>
  </si>
  <si>
    <t>" Předpokládané maximální množství - 25,0 m "</t>
  </si>
  <si>
    <t xml:space="preserve">"Stavební práce a dodávky spojené s provedením funkčního celku 723" </t>
  </si>
  <si>
    <t xml:space="preserve">"Ostatní náklady na demontáž, odstranění apod. mj.s vazbou na stávající okolní konstrukce" </t>
  </si>
  <si>
    <t>725</t>
  </si>
  <si>
    <t>Zdravotechnika - Zařizovací předměty</t>
  </si>
  <si>
    <t>Demontáž klozetů splachovací s nádrží</t>
  </si>
  <si>
    <t>soubor</t>
  </si>
  <si>
    <t>" 1.NP " (4)</t>
  </si>
  <si>
    <t>" 2.NP " (7)</t>
  </si>
  <si>
    <t>Demontáž pisoárových stání s nádrží jednodílných</t>
  </si>
  <si>
    <t>" 1.NP " (2)</t>
  </si>
  <si>
    <t>" 2.NP " (3)</t>
  </si>
  <si>
    <t>Demontáž umyvadel bez výtokových armatur</t>
  </si>
  <si>
    <t>" 1.NP " (12)</t>
  </si>
  <si>
    <t>" 2.NP " (18)</t>
  </si>
  <si>
    <t>Demontáž bidetů diturvitových</t>
  </si>
  <si>
    <t>" 2.NP " (1)</t>
  </si>
  <si>
    <t>Demontáž dřez jednoduchý vestavěný v kuchyňských sestavách bez výtokových armatur</t>
  </si>
  <si>
    <t>Demontáž dřez dvojitý vestavěný v kuchyňských sestavách bez výtokových armatur</t>
  </si>
  <si>
    <t>Demontáž výlevka diturvitová</t>
  </si>
  <si>
    <t>" 1.NP " (1)</t>
  </si>
  <si>
    <t>Demontáž baterie stojánkové do jednoho otvoru</t>
  </si>
  <si>
    <t>" 1.NP + 2.NP - umyvadlo " (30)</t>
  </si>
  <si>
    <t>" 1.NP + 2.NP - výlevka " (1)</t>
  </si>
  <si>
    <t>" 1.NP + 2.NP - dřez " (11+1)</t>
  </si>
  <si>
    <t>Demontáž ventilů odpadních</t>
  </si>
  <si>
    <t>Demontáž uzávěrů zápachu jednoduchých</t>
  </si>
  <si>
    <t>721210813 SPC</t>
  </si>
  <si>
    <t>Demontáž vpustí podlahových - Specifikace dle PD</t>
  </si>
  <si>
    <t>" V ceně vybourání, odstranění, případné řezání, odvoz a likvidace suti. "</t>
  </si>
  <si>
    <t xml:space="preserve">" Stavební práce a dodávky spojené s provedením funkčního celku 725 " </t>
  </si>
  <si>
    <t>733</t>
  </si>
  <si>
    <t>Ústřední vytápění - potrubí</t>
  </si>
  <si>
    <t>110</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</si>
  <si>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</si>
  <si>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</si>
  <si>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 Předpokládané maximální množství - 820,0 m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</si>
  <si>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</si>
  <si>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</si>
  <si>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</si>
  <si>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112</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</si>
  <si>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</si>
  <si>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</si>
  <si>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 Předpokládané maximální množství - 150,0 ks "</t>
  </si>
  <si>
    <t xml:space="preserve">" Stavební práce a dodávky spojené s provedením funkčního celku 733. " </t>
  </si>
  <si>
    <t>Elektromontážní práce</t>
  </si>
  <si>
    <t>114</t>
  </si>
  <si>
    <t>741</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</si>
  <si>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</si>
  <si>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</si>
  <si>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 Předpokládané maximální množství - 180 ks "</t>
  </si>
  <si>
    <t>115</t>
  </si>
  <si>
    <t>741999102 SPC</t>
  </si>
  <si>
    <t>Demontáž koncových prvků vč. veškerého příslušenství - rámů, krabice, krytů, apod.  - Specifikace dle PD</t>
  </si>
  <si>
    <t>" Odstranění koncových prvků (zásuvek, vypínáčů, tlačítek, apod.), rozvaděčů a dalších veškerých nutných prvků elektroinstalace. "</t>
  </si>
  <si>
    <t>" Předpokládané maximální množství - 290 ks "</t>
  </si>
  <si>
    <t>" V ceně případné zapravení prostupů, zdiva, povrchových úprav a podlah do původního stavu. "</t>
  </si>
  <si>
    <t>116</t>
  </si>
  <si>
    <t>741999103 SPC</t>
  </si>
  <si>
    <t>Demontáž silnoproudých rozvodů včetně případného zapravení prostupů a drážek - Specifikace dle PD</t>
  </si>
  <si>
    <t>" Odstranění kabeláže včetně úložného materiálu (lišt, ochranný trubek, apod. ) "</t>
  </si>
  <si>
    <t>" Předpokládané maximální množství - 10 000 m "</t>
  </si>
  <si>
    <t>117</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</si>
  <si>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</si>
  <si>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</si>
  <si>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</si>
  <si>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 Předpokládané maximální množství -  730,0 m "</t>
  </si>
  <si>
    <t>" Stavební práce a dodávky spojené s provedením funkčního celku 741 "</t>
  </si>
  <si>
    <t>Chlazení</t>
  </si>
  <si>
    <t>750</t>
  </si>
  <si>
    <t>750999101 SPC</t>
  </si>
  <si>
    <t xml:space="preserve">Odstranění stávajících rozvodů chlazení vč. veškerého příslušenství a zapravení prostupů - Specifikace dle PD </t>
  </si>
  <si>
    <t>" Součástí ceny je odkrytí potrubí, odpojení, vypuštění a demontáž. Odstranění těles, armatur a příslušenství chlazení objektu. V ceně také zaslepení potrubí vč materiálu a přesunu hmot. "</t>
  </si>
  <si>
    <t>" V ceně zapravení prostupů, zdiva, povrchových úprav do původního stavu. "</t>
  </si>
  <si>
    <t>" Předpokládané maximální množství -  200,0 m "</t>
  </si>
  <si>
    <t>HZS3211</t>
  </si>
  <si>
    <t xml:space="preserve">" Stavební práce a dodávky spojené s provedením funkčního celku 750. " </t>
  </si>
  <si>
    <t>751999101 SPC</t>
  </si>
  <si>
    <t xml:space="preserve">Demontáž vzduchotechnických zařízení včetně zapravení prostupů - Specifikace dle PD </t>
  </si>
  <si>
    <t>" Součástí ceny je odkrytí potrubí, odpojení a demontáž potrubí včetně tepelné izolace. Odstranění vzduchotechnických jednotek, podpůrných konstrukcí jednotek, ventilátorů, koncových prvků, potrubních elementů, ventilačních komínků na střeše včetně hlavic a veškerého příslušenství. "</t>
  </si>
  <si>
    <t>" Předpokládané maximální množství -  300,0 m "</t>
  </si>
  <si>
    <t>Konstrukce tesařské</t>
  </si>
  <si>
    <t>123</t>
  </si>
  <si>
    <t>762</t>
  </si>
  <si>
    <t>Demontáž vázaných kcí krovů k dalšímu použití z hranolů průřezové pl do 120 cm2</t>
  </si>
  <si>
    <t>" Zavětrování - Z1 "</t>
  </si>
  <si>
    <t>124</t>
  </si>
  <si>
    <t>Demontáž vázaných kcí krovů k dalšímu použití z hranolů průřezové pl přes 120 do 224 cm2</t>
  </si>
  <si>
    <t>" Roznášecí hranol - RH "</t>
  </si>
  <si>
    <t>" Pozedníce - P "</t>
  </si>
  <si>
    <t>" Sloupek - S1 "</t>
  </si>
  <si>
    <t>" Nárožní krokev - NK "</t>
  </si>
  <si>
    <t>" Vaznice - V "</t>
  </si>
  <si>
    <t>" Krokev - K "</t>
  </si>
  <si>
    <t>125</t>
  </si>
  <si>
    <t>Demontáž bednění střech z prken</t>
  </si>
  <si>
    <t>" Stavební práce a dodávky spojené s provedením funkčního celku 762. "</t>
  </si>
  <si>
    <t>127</t>
  </si>
  <si>
    <t>Demontáž závětrné lišty do suti</t>
  </si>
  <si>
    <t>128</t>
  </si>
  <si>
    <t>Demontáž oplechování parapetů do suti</t>
  </si>
  <si>
    <t>" Mansarda okna "</t>
  </si>
  <si>
    <t>129</t>
  </si>
  <si>
    <t>764004821 RTO</t>
  </si>
  <si>
    <t>Demontáž nástřešního žlabu do suti vč. háků</t>
  </si>
  <si>
    <t>" Žlaby po obvodě střechy "</t>
  </si>
  <si>
    <t>130</t>
  </si>
  <si>
    <t>Demontáž svodu do suti</t>
  </si>
  <si>
    <t>131</t>
  </si>
  <si>
    <t>764004001 SPC</t>
  </si>
  <si>
    <t>Demontáž střešního poklopu</t>
  </si>
  <si>
    <t>" Poklop na střeše "</t>
  </si>
  <si>
    <t>Konstrukce pokrývačské</t>
  </si>
  <si>
    <t>133</t>
  </si>
  <si>
    <t>765</t>
  </si>
  <si>
    <t>Demontáž krytiny bitumenové ze šindelů do suti</t>
  </si>
  <si>
    <t xml:space="preserve">" Stavební práce a dodávky spojené s provedením funkčního celku 765 " </t>
  </si>
  <si>
    <t>135</t>
  </si>
  <si>
    <t>Demontáž truhlářského obložení stěn z panelů plochy do 1,5 m2</t>
  </si>
  <si>
    <t>" Stěna u schodiště "</t>
  </si>
  <si>
    <t>" 1.PP dřevěný obklad "</t>
  </si>
  <si>
    <t>136</t>
  </si>
  <si>
    <t>766411001 SPC</t>
  </si>
  <si>
    <t>Demontáž obložení z desek dřevotřískových laminovaných</t>
  </si>
  <si>
    <t>" Obložení  1.NP "</t>
  </si>
  <si>
    <t>138</t>
  </si>
  <si>
    <t>767000501 SPC</t>
  </si>
  <si>
    <t>Demontáž nákladního výtahu na jídlo</t>
  </si>
  <si>
    <t>" Nákladní výtah "</t>
  </si>
  <si>
    <t>139</t>
  </si>
  <si>
    <t>767161821 SPC</t>
  </si>
  <si>
    <t>Demontáž schodišťového zábradlí</t>
  </si>
  <si>
    <t>" Zábradlí "</t>
  </si>
  <si>
    <t>140</t>
  </si>
  <si>
    <t>767161001 SPC</t>
  </si>
  <si>
    <t>Demontáž revizních dvířek</t>
  </si>
  <si>
    <t>" Revizní dvířka"</t>
  </si>
  <si>
    <t>141</t>
  </si>
  <si>
    <t>767161002 SPC</t>
  </si>
  <si>
    <t>Demontáž okování hrany schodiště 50x50mm</t>
  </si>
  <si>
    <t>" Okování hrany "</t>
  </si>
  <si>
    <t>143</t>
  </si>
  <si>
    <t>776</t>
  </si>
  <si>
    <t>Demontáž lepených povlakových podlah s podložkou ručně</t>
  </si>
  <si>
    <t>" 1.NP " (0,78+4,25+12,80+12,85+3,13+192,71+9,24+4,34+65,26+9,22+23,03)</t>
  </si>
  <si>
    <t>" 2.NP " (5,91+88,00+64,47+77,13+22,94+31,05+66,77+4,33+12,71+9,93+58,68+66,77+56,95+70,10)</t>
  </si>
  <si>
    <t>144</t>
  </si>
  <si>
    <t>Demontáž povlakových podlahovin volně položených podlepených páskou</t>
  </si>
  <si>
    <t>" 2.NP " (22,26)</t>
  </si>
  <si>
    <t>145</t>
  </si>
  <si>
    <t>776000810 SPC</t>
  </si>
  <si>
    <t>Demontáž obkladů z lamina</t>
  </si>
  <si>
    <t>" 1.NP " (57,456)</t>
  </si>
  <si>
    <t>" 2.NP " (5,176)</t>
  </si>
  <si>
    <t xml:space="preserve">" Stavební práce a dodávky spojené s provedením funkčního celku 776 " </t>
  </si>
  <si>
    <t>147</t>
  </si>
  <si>
    <t>Demontáž obkladů z obkladaček keramických kladených do malty</t>
  </si>
  <si>
    <t>" 1.NP " (280,781)</t>
  </si>
  <si>
    <t>" 2.NP " (148,795)</t>
  </si>
  <si>
    <t xml:space="preserve">" Stavební práce a dodávky spojené s provedením funkčního celku 781 " </t>
  </si>
  <si>
    <t>149</t>
  </si>
  <si>
    <t>783</t>
  </si>
  <si>
    <t>Odstranění nátěrů z omítek oškrábáním</t>
  </si>
  <si>
    <t>" 1.NP " (170,348)</t>
  </si>
  <si>
    <t>" 2.NP " (17,439)</t>
  </si>
  <si>
    <t xml:space="preserve">" Stavební práce a dodávky spojené s provedením funkčního celku 783 " </t>
  </si>
  <si>
    <t>151</t>
  </si>
  <si>
    <t>Oškrabání malby v místnostech v do 3,80 m</t>
  </si>
  <si>
    <t>" 1.PP " (5,664)</t>
  </si>
  <si>
    <t>" 1.NP " (1024,641)</t>
  </si>
  <si>
    <t>" 2.NP " (153,439)</t>
  </si>
  <si>
    <t xml:space="preserve">" Stavební práce a dodávky spojené s provedením funkčního celku 784 " </t>
  </si>
  <si>
    <t>Zasklívání</t>
  </si>
  <si>
    <t>787</t>
  </si>
  <si>
    <t>Vysklívání oken a dveří plochy do 3 m2 skla plochého</t>
  </si>
  <si>
    <t>" Vysklívání dveří, dveřních sestav, oken plochy do 3 m2 "</t>
  </si>
  <si>
    <t>" Vysklívání oken "</t>
  </si>
  <si>
    <t>" Vysklívání oken - 1. PP " (0,9*0,6*4)</t>
  </si>
  <si>
    <t>" Vysklívání oken - 1. NP " (2,4*1,8*12)+(0,9*1,8*3)+(1,2*1,8*3)+(2,4*2,1*9)+(0,9*2,1*4)+(1,2*2,1*4)</t>
  </si>
  <si>
    <t>" Vysklívání oken - 2. NP " (2,4*2,1*12)+(0,90*2,1*5)+(1,2*2,1*4)+(2,4*2,1*10)</t>
  </si>
  <si>
    <t xml:space="preserve">" Stavební práce a dodávky spojené s provedením funkčního celku 787 " </t>
  </si>
  <si>
    <t>D.1.1. ASŘ - BOURACÍ PRÁCE - Energetické úspory ZŠ U soudu - objekt stravovny a jídelny</t>
  </si>
  <si>
    <t>D+M VZT jednotka - Specifikace dle PD - Z. Č. 1 - JÍDELNA</t>
  </si>
  <si>
    <t xml:space="preserve">" Centrální VZT jednotka - 1.NP.
Průtok 4 800 / 4 800 m3/h.
Ohřev - 3,0 kW; Chlazení - příprava. " </t>
  </si>
  <si>
    <t>" 100 % výměna vzduchu.
Hmotnost: 561 kg.
Efektivní elektrický příkon: 5,4 kW.
Hladina akustického výkonu: 69 dBA. "</t>
  </si>
  <si>
    <t>" V ceně veškeré nutné příslušenství a vybavení - např..filtrace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</si>
  <si>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Včetně konstrukce pro uložení na podlahu,kotvících prvků, zprovoznění, odzkoušení, čidel, prokabelování a veškeré příslušenství dle PD. "</t>
  </si>
  <si>
    <t>751991102 SPC</t>
  </si>
  <si>
    <t>D+M VZT jednotka - Specifikace dle PD - Z. Č. 2 - KUCHYŇ</t>
  </si>
  <si>
    <t xml:space="preserve">" Centrální VZT jednotka - 1.PP.
Průtok 11 600 / 11 600 m3/h.
Ohřev - 53,1 kW; Chlazení 43,7 kW. " </t>
  </si>
  <si>
    <t>" 100 % výměna vzduchu.
Hmotnost: 3 100 kg.
Efektivní elektrický příkon: 32,6 kW.
Hladina akustického výkonu: 68 dBA. "</t>
  </si>
  <si>
    <t>751991103 SPC</t>
  </si>
  <si>
    <t>D+M VZT jednotka - Specifikace dle PD - Z. Č. 3.1 - 3.4 - KUCHYŇ</t>
  </si>
  <si>
    <t xml:space="preserve">" Centrální VZT jednotka - 2.NP.
Průtok 425 / 425 m3/h.
Ohřev - 1,8 kW; Chlazení  - příprava. " </t>
  </si>
  <si>
    <t>" 100 % výměna vzduchu.
Hmotnost: 129 kg.
Efektivní elektrický příkon: 0,465 kW.
Hladina akustického výkonu: 58 dBA. "</t>
  </si>
  <si>
    <t>751991104 SPC</t>
  </si>
  <si>
    <t>D+M VZT jednotka - Specifikace dle PD - Z. Č. 4.1 - 4.3 - TŘÍDY</t>
  </si>
  <si>
    <t xml:space="preserve">" Centrální VZT jednotka - 2.NP.
Průtok 550 / 550 m3/h.
Ohřev - 1,8 kW; Chlazení  - příprava. " </t>
  </si>
  <si>
    <t>" 100 % výměna vzduchu.
Hmotnost: 129 kg.
Efektivní elektrický příkon: 0,594 kW.
Hladina akustického výkonu: 58 dBA. "</t>
  </si>
  <si>
    <t>751991105 SPC</t>
  </si>
  <si>
    <t>D+M VZT jednotka - Specifikace dle PD - Z. Č. 5.1. - TŘÍDY</t>
  </si>
  <si>
    <t xml:space="preserve">" Centrální VZT jednotka - 2.NP.
Průtok 750 / 750 m3/h.
Ohřev - 1,8 kW; Chlazení  - příprava. " </t>
  </si>
  <si>
    <t>" 100 % výměna vzduchu.
Hmotnost: 129 kg.
Efektivní elektrický příkon: 0,686 kW.
Hladina akustického výkonu: 66 dBA. "</t>
  </si>
  <si>
    <t>751991351 SPC</t>
  </si>
  <si>
    <t>D+M Nucený odtah 240 m3/h, el. příkon 0,5 kW - Specifikace dle PD - Z.Č. N.O1.1.</t>
  </si>
  <si>
    <t>" Ventilátor vč. zpětné klapky a tlumiče hluku - do kruhového potrubí D 160. "</t>
  </si>
  <si>
    <t>" Nucený odtah - 240 m3/h, elektrický příkon 0,5 kW. "</t>
  </si>
  <si>
    <t>" Včetně prokabelování a veškerého příslušenství (čidel, tlačítek, řídící jednotky, apod.), napojení na potrubí, měření a regulace. "</t>
  </si>
  <si>
    <t>751991352 SPC</t>
  </si>
  <si>
    <t>D+M Nucený odtah 370 m3/h, el. příkon 0,5 kW - Specifikace dle PD - Z.Č. N.O1.2.</t>
  </si>
  <si>
    <t>" Ventilátor vč. zpětné klapky a tlumiče hluku - do kruhového potrubí D 200. "</t>
  </si>
  <si>
    <t>" Nucený odtah - 370 m3/h, elektrický příkon 0,5 kW. "</t>
  </si>
  <si>
    <t>751991353 SPC</t>
  </si>
  <si>
    <t>D+M Nucený odtah 200 m3/h, el. příkon 0,5 kW - Specifikace dle PD - Z.Č. N.O1.3.</t>
  </si>
  <si>
    <t>" Nucený odtah - 200 m3/h, elektrický příkon 0,5 kW. "</t>
  </si>
  <si>
    <t>751991354 SPC</t>
  </si>
  <si>
    <t>D+M Nucený odtah 265 m3/h, el. příkon 0,5 kW - Specifikace dle PD - Z.Č. N.O1.4.</t>
  </si>
  <si>
    <t>" Nucený odtah - 265 m3/h, elektrický příkon 0,5 kW. "</t>
  </si>
  <si>
    <t>751991355 SPC</t>
  </si>
  <si>
    <t>D+M Nucený odtah 240 m3/h, el. příkon 0,5 kW - Specifikace dle PD - Z.Č. N.O1.5.</t>
  </si>
  <si>
    <t>751991361 SPC</t>
  </si>
  <si>
    <t>D+M Digestoř - Specifikace dle PD - 1</t>
  </si>
  <si>
    <t>" Digestoř 1 "</t>
  </si>
  <si>
    <t>" Včetně prokabelování a veškerého příslušenství, napojení na potrubí. "</t>
  </si>
  <si>
    <t>751991362 SPC</t>
  </si>
  <si>
    <t>D+M Digestoř - Specifikace dle PD - 2</t>
  </si>
  <si>
    <t>" Digestoř 2 "</t>
  </si>
  <si>
    <t>751991363 SPC</t>
  </si>
  <si>
    <t>D+M Digestoř - Specifikace dle PD - 3</t>
  </si>
  <si>
    <t>" Digestoř 3 "</t>
  </si>
  <si>
    <t>751991364 SPC</t>
  </si>
  <si>
    <t>D+M Digestoř - Specifikace dle PD - 4</t>
  </si>
  <si>
    <t>" Digestoř 4 "</t>
  </si>
  <si>
    <t>751991365 SPC</t>
  </si>
  <si>
    <t>D+M Digestoř - Specifikace dle PD - 5</t>
  </si>
  <si>
    <t>" Digestoř 5 "</t>
  </si>
  <si>
    <t>D+M Ostatní zařízení VZT nespecifikované či jiných dimenzí</t>
  </si>
  <si>
    <t>751992101 SPC</t>
  </si>
  <si>
    <t xml:space="preserve">D+M Potrubí pozink kruhové D 100 mm, spirálně vinuté + TI tl. 40 mm - Specifikace dle PD  </t>
  </si>
  <si>
    <t>" Pozinkované kruhové potrubí D 100 vč. TI tl. 40 mm. "</t>
  </si>
  <si>
    <t xml:space="preserve">" Včetně tepelné izolace z desek (rohože) z kamenné vlny s polepem hliníkovou fólií se skleněnou mřížkou tl. 40 mm. " </t>
  </si>
  <si>
    <t>" Kruhové potrubí D 100 " (9,8)</t>
  </si>
  <si>
    <t>751992102 SPC</t>
  </si>
  <si>
    <t xml:space="preserve">D+M Potrubí pozink kruhové D 125 mm, spirálně vinuté + TI tl. 40 mm - Specifikace dle PD  </t>
  </si>
  <si>
    <t>" Pozinkované kruhové potrubí D 125 vč. TI tl. 40 mm. "</t>
  </si>
  <si>
    <t>" Kruhové potrubí D 125 " (46,8)</t>
  </si>
  <si>
    <t>751992103 SPC</t>
  </si>
  <si>
    <t xml:space="preserve">D+M Potrubí pozink kruhové D 160 mm, spirálně vinuté + TI tl. 40 mm - Specifikace dle PD  </t>
  </si>
  <si>
    <t>" Pozinkované kruhové potrubí D 160 vč. TI tl. 40 mm. "</t>
  </si>
  <si>
    <t>" Kruhové potrubí D 160 " (68,5)</t>
  </si>
  <si>
    <t>751992104 SPC</t>
  </si>
  <si>
    <t xml:space="preserve">D+M Potrubí pozink kruhové D 200 mm, spirálně vinuté + TI tl. 40 mm - Specifikace dle PD  </t>
  </si>
  <si>
    <t>" Pozinkované kruhové potrubí D 200 vč. TI tl. 40 mm. "</t>
  </si>
  <si>
    <t>" Kruhové potrubí D 200 " (201,3)</t>
  </si>
  <si>
    <t>751992105 SPC</t>
  </si>
  <si>
    <t xml:space="preserve">D+M Potrubí pozink kruhové D 250 mm, spirálně vinuté + TI tl. 40 mm - Specifikace dle PD  </t>
  </si>
  <si>
    <t>" Pozinkované kruhové potrubí D 250 vč. TI tl. 40 mm. "</t>
  </si>
  <si>
    <t>" Kruhové potrubí D 250 " (13,4)</t>
  </si>
  <si>
    <t>751992106 SPC</t>
  </si>
  <si>
    <t xml:space="preserve">D+M Potrubí pozink čtyřhranné 225×75 mm + TI tl. 40 mm - Specifikace dle PD  </t>
  </si>
  <si>
    <t>" Pozinkované čtyřhranné potrubí 225×75 mm vč. TI tl. 40 mm. "</t>
  </si>
  <si>
    <t>" Čtyřhranné potrubí VZT - 225×75 mm " (5,9)</t>
  </si>
  <si>
    <t>751992107 SPC</t>
  </si>
  <si>
    <t xml:space="preserve">D+M Potrubí pozink čtyřhranné 250×200 mm + TI tl. 40 mm - Specifikace dle PD  </t>
  </si>
  <si>
    <t>" Pozinkované čtyřhranné potrubí 250×200 mm vč. TI tl. 40 mm. "</t>
  </si>
  <si>
    <t>" Čtyřhranné potrubí VZT - 250×200 mm " (1,5)</t>
  </si>
  <si>
    <t>751992108 SPC</t>
  </si>
  <si>
    <t xml:space="preserve">D+M Potrubí pozink čtyřhranné 250×250 mm + TI tl. 40 mm - Specifikace dle PD  </t>
  </si>
  <si>
    <t>" Pozinkované čtyřhranné potrubí 250×250 mm vč. TI tl. 40 mm. "</t>
  </si>
  <si>
    <t>751992109 SPC</t>
  </si>
  <si>
    <t xml:space="preserve">D+M Potrubí pozink čtyřhranné 300×100 mm + TI tl. 40 mm - Specifikace dle PD  </t>
  </si>
  <si>
    <t>" Pozinkované čtyřhranné potrubí 300×100 mm vč. TI tl. 40 mm. "</t>
  </si>
  <si>
    <t>" Čtyřhranné potrubí VZT - 300×100 mm " (1,7)</t>
  </si>
  <si>
    <t>751992110 SPC</t>
  </si>
  <si>
    <t xml:space="preserve">D+M Potrubí pozink čtyřhranné 350×250 mm + TI tl. 40 mm - Specifikace dle PD  </t>
  </si>
  <si>
    <t>" Pozinkované čtyřhranné potrubí 350×250 mm vč. TI tl. 40 mm. "</t>
  </si>
  <si>
    <t>" Čtyřhranné potrubí VZT - 350×250 mm " (2,2)</t>
  </si>
  <si>
    <t>751992111 SPC</t>
  </si>
  <si>
    <t xml:space="preserve">D+M Potrubí pozink čtyřhranné 600×700 mm + TI tl. 40 mm - Specifikace dle PD  </t>
  </si>
  <si>
    <t>" Pozinkované čtyřhranné potrubí 600×700 mm vč. TI tl. 40 mm. "</t>
  </si>
  <si>
    <t>" Čtyřhranné potrubí VZT - 600×700 mm " (1,3)</t>
  </si>
  <si>
    <t>751992112 SPC</t>
  </si>
  <si>
    <t xml:space="preserve">D+M Potrubí pozink čtyřhranné 630×200 mm + TI tl. 40 mm - Specifikace dle PD  </t>
  </si>
  <si>
    <t>" Pozinkované čtyřhranné potrubí 630×200 mm vč. TI tl. 40 mm. "</t>
  </si>
  <si>
    <t>" Čtyřhranné potrubí VZT - 630×200 mm " (11,0)</t>
  </si>
  <si>
    <t>751992201 SPC</t>
  </si>
  <si>
    <t xml:space="preserve">D+M Potrubí nerez kruhové D 100 mm, spirálně vinuté + TI tl. 40 mm - GASTRO - Specifikace dle PD  </t>
  </si>
  <si>
    <t>" Nerezové kruhové potrubí D 100 vč. TI tl. 40 mm. "</t>
  </si>
  <si>
    <t>" Kruhové potrubí D 100 " (9,5+1,6)</t>
  </si>
  <si>
    <t>751992202 SPC</t>
  </si>
  <si>
    <t xml:space="preserve">D+M Potrubí nerez kruhové D 125 mm, spirálně vinuté + TI tl. 40 mm - GASTRO - Specifikace dle PD  </t>
  </si>
  <si>
    <t>" Nerezové kruhové potrubí D 125 vč. TI tl. 40 mm. "</t>
  </si>
  <si>
    <t>" Kruhové potrubí D 125 " (1,5+3,0)</t>
  </si>
  <si>
    <t>751992203 SPC</t>
  </si>
  <si>
    <t xml:space="preserve">D+M Potrubí nerez kruhové D 160 mm, spirálně vinuté + TI tl. 40 mm - GASTRO - Specifikace dle PD  </t>
  </si>
  <si>
    <t>" Nerezové kruhové potrubí D 160 vč. TI tl. 40 mm. "</t>
  </si>
  <si>
    <t>" Kruhové potrubí D 160 " (7,9+12,8)</t>
  </si>
  <si>
    <t>751992204 SPC</t>
  </si>
  <si>
    <t xml:space="preserve">D+M Potrubí nerez kruhové D 200 mm, spirálně vinuté + TI tl. 40 mm - GASTRO - Specifikace dle PD  </t>
  </si>
  <si>
    <t>" Nerezové kruhové potrubí D 200 vč. TI tl. 40 mm. "</t>
  </si>
  <si>
    <t>" Kruhové potrubí D 200 " (20,1+11,5)</t>
  </si>
  <si>
    <t>751992205 SPC</t>
  </si>
  <si>
    <t xml:space="preserve">D+M Potrubí nerez kruhové D 280 mm, spirálně vinuté + TI tl. 40 mm - GASTRO - Specifikace dle PD  </t>
  </si>
  <si>
    <t>" Nerezové kruhové potrubí D 280 vč. TI tl. 40 mm. "</t>
  </si>
  <si>
    <t>" Kruhové potrubí D 280 " (2,3+1,6)</t>
  </si>
  <si>
    <t>751992206 SPC</t>
  </si>
  <si>
    <t xml:space="preserve">D+M Potrubí nerez kruhové D 315 mm, spirálně vinuté + TI tl. 40 mm - GASTRO - Specifikace dle PD  </t>
  </si>
  <si>
    <t>" Nerezové kruhové potrubí D 315 vč. TI tl. 40 mm. "</t>
  </si>
  <si>
    <t>" Kruhové potrubí D 315 " (6,2+2,9)</t>
  </si>
  <si>
    <t>751992207 SPC</t>
  </si>
  <si>
    <t xml:space="preserve">D+M Potrubí nerez kruhové D 400 mm, spirálně vinuté + TI tl. 40 mm - GASTRO - Specifikace dle PD  </t>
  </si>
  <si>
    <t>" Nerezové kruhové potrubí D 400 vč. TI tl. 40 mm. "</t>
  </si>
  <si>
    <t>" Kruhové potrubí D 400 " (2,0+2,0)</t>
  </si>
  <si>
    <t>751992208 SPC</t>
  </si>
  <si>
    <t xml:space="preserve">D+M Potrubí nerez čtyřhranné 200×200 mm + TI tl. 40 mm - GASTRO - Specifikace dle PD  </t>
  </si>
  <si>
    <t>" Nerezové čtyřhranné potrubí 200×200 mm vč. TI tl. 40 mm. "</t>
  </si>
  <si>
    <t>" Čtyřhranné potrubí VZT - 200×200 mm " (9,1+1,5)</t>
  </si>
  <si>
    <t>751992209 SPC</t>
  </si>
  <si>
    <t xml:space="preserve">D+M Potrubí nerez čtyřhranné 225×200 mm + TI tl. 40 mm - GASTRO - Specifikace dle PD  </t>
  </si>
  <si>
    <t>" Nerezové čtyřhranné potrubí 225×200 mm vč. TI tl. 40 mm. "</t>
  </si>
  <si>
    <t>" Čtyřhranné potrubí VZT - 225×200 mm " (1,5)</t>
  </si>
  <si>
    <t>751992210 SPC</t>
  </si>
  <si>
    <t xml:space="preserve">D+M Potrubí nerez čtyřhranné 300×1000 mm + TI tl. 40 mm - GASTRO - Specifikace dle PD  </t>
  </si>
  <si>
    <t>" Nerezové čtyřhranné potrubí 300×1000 mm vč. TI tl. 40 mm. "</t>
  </si>
  <si>
    <t>" Čtyřhranné potrubí VZT - 300×1000 mm " (1,8)</t>
  </si>
  <si>
    <t>751992211 SPC</t>
  </si>
  <si>
    <t xml:space="preserve">D+M Potrubí nerez čtyřhranné 315×200 mm + TI tl. 40 mm - GASTRO - Specifikace dle PD  </t>
  </si>
  <si>
    <t>" Nerezové čtyřhranné potrubí 315×200 mm vč. TI tl. 40 mm. "</t>
  </si>
  <si>
    <t>" Čtyřhranné potrubí VZT - 315×200 mm " (9,0)</t>
  </si>
  <si>
    <t>751992212 SPC</t>
  </si>
  <si>
    <t xml:space="preserve">D+M Potrubí nerez čtyřhranné 355×200 mm + TI tl. 40 mm - GASTRO - Specifikace dle PD  </t>
  </si>
  <si>
    <t>" Nerezové čtyřhranné potrubí 355×200 mm vč. TI tl. 40 mm. "</t>
  </si>
  <si>
    <t>" Čtyřhranné potrubí VZT - 355×200 mm " (21,1)</t>
  </si>
  <si>
    <t>751992213 SPC</t>
  </si>
  <si>
    <t xml:space="preserve">D+M Potrubí nerez čtyřhranné 355×800 mm + TI tl. 40 mm - GASTRO - Specifikace dle PD  </t>
  </si>
  <si>
    <t>" Nerezové čtyřhranné potrubí 355×800 mm vč. TI tl. 40 mm. "</t>
  </si>
  <si>
    <t>" Čtyřhranné potrubí VZT - 355×800 mm " (1,5)</t>
  </si>
  <si>
    <t>751992214 SPC</t>
  </si>
  <si>
    <t xml:space="preserve">D+M Potrubí nerez čtyřhranné 400×200 mm + TI tl. 40 mm - GASTRO - Specifikace dle PD  </t>
  </si>
  <si>
    <t>" Nerezové čtyřhranné potrubí 400×200 mm vč. TI tl. 40 mm. "</t>
  </si>
  <si>
    <t>" Čtyřhranné potrubí VZT - 400×200 mm " (4,3)</t>
  </si>
  <si>
    <t>751992215 SPC</t>
  </si>
  <si>
    <t xml:space="preserve">D+M Potrubí nerez čtyřhranné 500×200 mm + TI tl. 40 mm - GASTRO - Specifikace dle PD  </t>
  </si>
  <si>
    <t>" Nerezové čtyřhranné potrubí 500×200 mm vč. TI tl. 40 mm. "</t>
  </si>
  <si>
    <t>" Čtyřhranné potrubí VZT - 500×200 mm " (5,4)</t>
  </si>
  <si>
    <t>751992216 SPC</t>
  </si>
  <si>
    <t xml:space="preserve">D+M Potrubí nerez čtyřhranné 500×250 mm + TI tl. 40 mm - GASTRO - Specifikace dle PD  </t>
  </si>
  <si>
    <t>" Nerezové čtyřhranné potrubí 500×250 mm vč. TI tl. 40 mm. "</t>
  </si>
  <si>
    <t>" Čtyřhranné potrubí VZT - 500×250 mm " (7,2)</t>
  </si>
  <si>
    <t>751992217 SPC</t>
  </si>
  <si>
    <t xml:space="preserve">D+M Potrubí nerez čtyřhranné 500×500 mm + TI tl. 40 mm - GASTRO - Specifikace dle PD  </t>
  </si>
  <si>
    <t>" Nerezové čtyřhranné potrubí 500×500 mm vč. TI tl. 40 mm. "</t>
  </si>
  <si>
    <t>" Čtyřhranné potrubí VZT - 500×500 mm " (1,9)</t>
  </si>
  <si>
    <t>751992218 SPC</t>
  </si>
  <si>
    <t xml:space="preserve">D+M Potrubí nerez čtyřhranné 560×900 mm + TI tl. 40 mm - GASTRO - Specifikace dle PD  </t>
  </si>
  <si>
    <t>" Nerezové čtyřhranné potrubí 560×900 mm vč. TI tl. 40 mm. "</t>
  </si>
  <si>
    <t>" Čtyřhranné potrubí VZT - 560×900 mm " (22,4)</t>
  </si>
  <si>
    <t>751992219 SPC</t>
  </si>
  <si>
    <t xml:space="preserve">D+M Potrubí nerez čtyřhranné 630×315 mm + TI tl. 40 mm - GASTRO - Specifikace dle PD  </t>
  </si>
  <si>
    <t>" Nerezové čtyřhranné potrubí 630×315 mm vč. TI tl. 40 mm. "</t>
  </si>
  <si>
    <t>" Čtyřhranné potrubí VZT - 630×315 mm " (2,5)</t>
  </si>
  <si>
    <t>751992220 SPC</t>
  </si>
  <si>
    <t xml:space="preserve">D+M Potrubí nerez čtyřhranné 630×400 mm + TI tl. 40 mm - GASTRO - Specifikace dle PD  </t>
  </si>
  <si>
    <t>" Nerezové čtyřhranné potrubí 630×400 mm vč. TI tl. 40 mm. "</t>
  </si>
  <si>
    <t>" Čtyřhranné potrubí VZT - 630×400 mm " (1,5)</t>
  </si>
  <si>
    <t>751992221 SPC</t>
  </si>
  <si>
    <t xml:space="preserve">D+M Potrubí nerez čtyřhranné 700×560 mm + TI tl. 40 mm - GASTRO - Specifikace dle PD  </t>
  </si>
  <si>
    <t>" Nerezové čtyřhranné potrubí 700×560 mm vč. TI tl. 40 mm. "</t>
  </si>
  <si>
    <t>" Čtyřhranné potrubí VZT - 700×560 mm " (1,6)</t>
  </si>
  <si>
    <t>751992222 SPC</t>
  </si>
  <si>
    <t xml:space="preserve">D+M Potrubí nerez čtyřhranné 710×200 mm + TI tl. 40 mm - GASTRO - Specifikace dle PD  </t>
  </si>
  <si>
    <t>" Nerezové čtyřhranné potrubí 710×200 mm vč. TI tl. 40 mm. "</t>
  </si>
  <si>
    <t>" Čtyřhranné potrubí VZT - 710×200 mm " (8,3)</t>
  </si>
  <si>
    <t>751992223 SPC</t>
  </si>
  <si>
    <t xml:space="preserve">D+M Potrubí nerez čtyřhranné 710×400 mm + TI tl. 40 mm - GASTRO - Specifikace dle PD  </t>
  </si>
  <si>
    <t>" Nerezové čtyřhranné potrubí 710×400 mm vč. TI tl. 40 mm. "</t>
  </si>
  <si>
    <t>" Čtyřhranné potrubí VZT - 710×400 mm " (2,6)</t>
  </si>
  <si>
    <t>751992224 SPC</t>
  </si>
  <si>
    <t xml:space="preserve">D+M Potrubí nerez čtyřhranné 710×560 mm + TI tl. 40 mm - GASTRO - Specifikace dle PD  </t>
  </si>
  <si>
    <t>" Nerezové čtyřhranné potrubí 710×560 mm vč. TI tl. 40 mm. "</t>
  </si>
  <si>
    <t>" Čtyřhranné potrubí VZT - 710×560 mm " (2,5)</t>
  </si>
  <si>
    <t>751992225 SPC</t>
  </si>
  <si>
    <t xml:space="preserve">D+M Potrubí nerez čtyřhranné 720×400 mm + TI tl. 40 mm - GASTRO - Specifikace dle PD  </t>
  </si>
  <si>
    <t>" Nerezové čtyřhranné potrubí 720×400 mm vč. TI tl. 40 mm. "</t>
  </si>
  <si>
    <t>" Čtyřhranné potrubí VZT - 720×400 mm " (2,5)</t>
  </si>
  <si>
    <t>751992226 SPC</t>
  </si>
  <si>
    <t xml:space="preserve">D+M Potrubí nerez čtyřhranné 800×315 mm + TI tl. 40 mm - GASTRO - Specifikace dle PD  </t>
  </si>
  <si>
    <t>" Nerezové čtyřhranné potrubí 800×315 mm vč. TI tl. 40 mm. "</t>
  </si>
  <si>
    <t>" Čtyřhranné potrubí VZT - 800×315 mm " (8,5+2,4)</t>
  </si>
  <si>
    <t>751992227 SPC</t>
  </si>
  <si>
    <t xml:space="preserve">D+M Potrubí nerez čtyřhranné 800×355 mm + TI tl. 40 mm - GASTRO - Specifikace dle PD  </t>
  </si>
  <si>
    <t>" Nerezové čtyřhranné potrubí 800×355 mm vč. TI tl. 40 mm. "</t>
  </si>
  <si>
    <t>" Čtyřhranné potrubí VZT - 800×355 mm " (2,2)</t>
  </si>
  <si>
    <t>751992228 SPC</t>
  </si>
  <si>
    <t xml:space="preserve">D+M Potrubí nerez čtyřhranné 900×560 mm + TI tl. 40 mm - GASTRO - Specifikace dle PD  </t>
  </si>
  <si>
    <t>" Nerezové čtyřhranné potrubí 900×560 mm vč. TI tl. 40 mm. "</t>
  </si>
  <si>
    <t>" Čtyřhranné potrubí VZT - 900×560 mm " (32,2)</t>
  </si>
  <si>
    <t>751992229 SPC</t>
  </si>
  <si>
    <t xml:space="preserve">D+M Potrubí nerez čtyřhranné 900×630 mm + TI tl. 40 mm - GASTRO - Specifikace dle PD  </t>
  </si>
  <si>
    <t>" Nerezové čtyřhranné potrubí 900×630 mm vč. TI tl. 40 mm. "</t>
  </si>
  <si>
    <t>" Čtyřhranné potrubí VZT - 900×630 mm " (2,5)</t>
  </si>
  <si>
    <t>751992230 SPC</t>
  </si>
  <si>
    <t xml:space="preserve">D+M Potrubí nerez čtyřhranné 900×710 mm + TI tl. 40 mm - GASTRO - Specifikace dle PD  </t>
  </si>
  <si>
    <t>" Nerezové čtyřhranné potrubí 900×710 mm vč. TI tl. 40 mm. "</t>
  </si>
  <si>
    <t>" Čtyřhranné potrubí VZT - 900×710 mm " (1,4)</t>
  </si>
  <si>
    <t>751992231 SPC</t>
  </si>
  <si>
    <t xml:space="preserve">D+M Potrubí nerez čtyřhranné 1120×200 mm + TI tl. 40 mm - GASTRO - Specifikace dle PD  </t>
  </si>
  <si>
    <t>" Nerezové čtyřhranné potrubí 1120×200 mm vč. TI tl. 40 mm. "</t>
  </si>
  <si>
    <t>" Čtyřhranné potrubí VZT - 1120×200 mm " (17,7)</t>
  </si>
  <si>
    <t>751992232 SPC</t>
  </si>
  <si>
    <t xml:space="preserve">D+M Potrubí nerez čtyřhranné 1120×400 mm + TI tl. 40 mm - GASTRO - Specifikace dle PD  </t>
  </si>
  <si>
    <t>" Nerezové čtyřhranné potrubí 1120×400 mm vč. TI tl. 40 mm. "</t>
  </si>
  <si>
    <t>" Čtyřhranné potrubí VZT - 1120×400 mm " (1,5)</t>
  </si>
  <si>
    <t>751992233 SPC</t>
  </si>
  <si>
    <t xml:space="preserve">D+M Potrubí nerez čtyřhranné 1525×1170 mm + TI tl. 40 mm - GASTRO - Specifikace dle PD  </t>
  </si>
  <si>
    <t>" Nerezové čtyřhranné potrubí 1525×1170 mm vč. TI tl. 40 mm. "</t>
  </si>
  <si>
    <t>" Čtyřhranné potrubí VZT - 1525×1170 mm " (1,7)</t>
  </si>
  <si>
    <t>751992301 SPC</t>
  </si>
  <si>
    <t>D+M Příplatek pro potrubí VZT vedeného v exteriéru - Specifikace dle PD</t>
  </si>
  <si>
    <t>" Příplatek za potrubí vedené ve venkovním prostoru - na střeše, terase, apod. za vyšší tl. izolace (TI 100 mm) a oplechování z nerez plechu v tl. min 1 mm. "</t>
  </si>
  <si>
    <t xml:space="preserve">" Příplatek k VZT potrubí vedeného v exteriéru. " </t>
  </si>
  <si>
    <t>" Hranaté potrubí 250x250 - střecha."</t>
  </si>
  <si>
    <t>" Oplechování tl. 1 mm." (8,985)*2 = 17,97 m2</t>
  </si>
  <si>
    <t>" Kruhové potrubí DN 125 - střecha."</t>
  </si>
  <si>
    <t>" TI tl. 100 mm." ((1,383)*3)*1,1 = 4,563 m2</t>
  </si>
  <si>
    <t>" Oplechování tl. 1 mm."  4,563 m2</t>
  </si>
  <si>
    <t>" Kruhové potrubí DN 200 - střecha."</t>
  </si>
  <si>
    <t>" TI tl. 100 mm." ((2,388)*3)*1,1 = 7,881 m2</t>
  </si>
  <si>
    <t>" Oplechování tl. 1 mm."  7,881 m2</t>
  </si>
  <si>
    <t>" V ceně dodávka a montáž TI, provedení oplechování, plech, zajištění napojení, kotvící, upevňovací a těsnící materiál a veškeré další nutné příslušenství a práce související s provedením potrubí vedeného v exteriéru . "</t>
  </si>
  <si>
    <t>" POZN: Jedná se o záměnu izolací z výše zmíněných potrubí vedených uvnitře z tl. TI 40 mm na TI tl. 100 mm a oplechování. "</t>
  </si>
  <si>
    <t>751992302 SPC</t>
  </si>
  <si>
    <t>D+M Příplatek pro VZT potrubí za požární izolaci a vyšší tl. TI  vedeného uvnitř - Specifikace dle PD</t>
  </si>
  <si>
    <t>" Příplatek za potrubí vedené uvnitř objektu za vyšší tl. izolace (TI 100 mm) či změnu TI za PI. "</t>
  </si>
  <si>
    <t xml:space="preserve">" Příplatek k VZT potrubí vedeného v interiéru. " </t>
  </si>
  <si>
    <t>" Hranaté potrubí - 1.PP."</t>
  </si>
  <si>
    <t>" TI tl. 100 mm." (39,917)*1,1 = 43,908 m2</t>
  </si>
  <si>
    <t>" V ceně dodávka a montáž Izolace, zajištění napojení, kotvící, upevňovací a těsnící materiál a veškeré další nutné příslušenství a práce související s provedením potrubí vedeného v interiéru . "</t>
  </si>
  <si>
    <t>751992401 SPC</t>
  </si>
  <si>
    <t>" Zajištění prostupů potrubí vzduchotechniky mezi jednotlivými požárními úseky protipožárními prvky - ucpávkami, tmely, pěny, disky, apod. - požadované požární odolnosti. "</t>
  </si>
  <si>
    <t>751992501 SPC</t>
  </si>
  <si>
    <t>POLOŽKA ZRUŠENA</t>
  </si>
  <si>
    <t>751993101 SPC</t>
  </si>
  <si>
    <t>D+M Talířový ventil D 100 - Specifikace dle PD - TVP</t>
  </si>
  <si>
    <t>" Talířový ventil na potrubí. "</t>
  </si>
  <si>
    <t>" Včetně napojení potrubí, zaregulování "</t>
  </si>
  <si>
    <t>751993102 SPC</t>
  </si>
  <si>
    <t>D+M Talířový ventil D 125 - Specifikace dle PD - TVP</t>
  </si>
  <si>
    <t>" 1. NP " (2)</t>
  </si>
  <si>
    <t>751993103 SPC</t>
  </si>
  <si>
    <t>D+M Talířový ventil D 125 - Specifikace dle PD - TVO</t>
  </si>
  <si>
    <t>" 1. NP " (12)</t>
  </si>
  <si>
    <t>" 2. NP " (6)</t>
  </si>
  <si>
    <t>751993104 SPC</t>
  </si>
  <si>
    <t>D+M Talířový ventil D 160 - Specifikace dle PD - TVP</t>
  </si>
  <si>
    <t>70e</t>
  </si>
  <si>
    <t>751993105 SPC</t>
  </si>
  <si>
    <t>D+M Talířový ventil D 160 - Specifikace dle PD - TVO</t>
  </si>
  <si>
    <t>" 2. NP " (2)</t>
  </si>
  <si>
    <t>70f</t>
  </si>
  <si>
    <t>751993106 SPC</t>
  </si>
  <si>
    <t>D+M Talířový ventil D 200 - Specifikace dle PD - TVO</t>
  </si>
  <si>
    <t>70g</t>
  </si>
  <si>
    <t>751993201 SPC</t>
  </si>
  <si>
    <t>D+M Stropní difusor pro kruhové potrubí přívodní / odvodní - RS14 - 100 - Specifikace dle PD - RS</t>
  </si>
  <si>
    <t>" Stropní difusor pro kruhové potrubí - RS14 - 100. "</t>
  </si>
  <si>
    <t>" 1. NP " (3)</t>
  </si>
  <si>
    <t>" Včetně napojení potrubí, zaregulování, boxu a veškerého nutného příslušenství a prací. "</t>
  </si>
  <si>
    <t>70h</t>
  </si>
  <si>
    <t>751993202 SPC</t>
  </si>
  <si>
    <t>D+M Stropní difusor pro kruhové potrubí přívodní / odvodní - RS14 - 160 - Specifikace dle PD - RS</t>
  </si>
  <si>
    <t>" Stropní difusor pro kruhové potrubí - RS14 - 160. "</t>
  </si>
  <si>
    <t>" 1. NP " (15)</t>
  </si>
  <si>
    <t>70i</t>
  </si>
  <si>
    <t>751993203 SPC</t>
  </si>
  <si>
    <t>D+M Stropní difusor pro kruhové potrubí přívodní / odvodní - RS15 - 100 - Specifikace dle PD - RS</t>
  </si>
  <si>
    <t>" Stropní difusor pro kruhové potrubí - RS15 - 100. "</t>
  </si>
  <si>
    <t>70j</t>
  </si>
  <si>
    <t>751993204 SPC</t>
  </si>
  <si>
    <t>D+M Stropní difusor pro kruhové potrubí přívodní / odvodní - RS15 - 160 - Specifikace dle PD - RS</t>
  </si>
  <si>
    <t>" Stropní difusor pro kruhové potrubí - RS15 - 160. "</t>
  </si>
  <si>
    <t>" 1. NP " (5)</t>
  </si>
  <si>
    <t>70k</t>
  </si>
  <si>
    <t>751993205 SPC</t>
  </si>
  <si>
    <t>D+M Stropní difusor pro kruhové potrubí přívodní / odvodní - RS15 - 200 - Specifikace dle PD - RS</t>
  </si>
  <si>
    <t>" Stropní difusor pro kruhové potrubí - RS15 - 200. "</t>
  </si>
  <si>
    <t>" 2. NP " (4)</t>
  </si>
  <si>
    <t>70l</t>
  </si>
  <si>
    <t>751993206 SPC</t>
  </si>
  <si>
    <t>D+M Stropní difusor pro kruhové potrubí přívodní / odvodní - RS16 - 315 - Specifikace dle PD - RS</t>
  </si>
  <si>
    <t>" Stropní difusor pro kruhové potrubí - RS16 - 315. "</t>
  </si>
  <si>
    <t>70m</t>
  </si>
  <si>
    <t>751993207 SPC</t>
  </si>
  <si>
    <t>D+M Stěnový difusor pro kruhové potrubí přívodní / odvodní - DR24 - 100 - Specifikace dle PD - DR</t>
  </si>
  <si>
    <t>" Stěnový difusor pro kruhové potrubí - DR24 - 100. "</t>
  </si>
  <si>
    <t>70n</t>
  </si>
  <si>
    <t>751993301 SPC</t>
  </si>
  <si>
    <t>D+M Mřížová výustka s regulací 300×100 mm - odvodní - Specifikace dle PD - MVO</t>
  </si>
  <si>
    <t>" Mřížová výustka pro potrubí "</t>
  </si>
  <si>
    <t>" 2. NP " (15)</t>
  </si>
  <si>
    <t>" Včetně napojení potrubí, osazovacího rámečku a veškerého nutního příslušenství a prací. "</t>
  </si>
  <si>
    <t>70o</t>
  </si>
  <si>
    <t>751993302 SPC</t>
  </si>
  <si>
    <t>D+M Mřížová výustka s regulací 400×200 mm - přívodní - Specifikace dle PD - MVP</t>
  </si>
  <si>
    <t>" 1. NP " (9)</t>
  </si>
  <si>
    <t>70p</t>
  </si>
  <si>
    <t>751993303 SPC</t>
  </si>
  <si>
    <t>D+M Mřížová výustka s regulací 400×200 mm - odvodní - Specifikace dle PD - MVO</t>
  </si>
  <si>
    <t>70q</t>
  </si>
  <si>
    <t>751993304 SPC</t>
  </si>
  <si>
    <t>D+M Mřížová výustka s regulací 500×300 mm - odvodní - Specifikace dle PD - MVO</t>
  </si>
  <si>
    <t>" 1. NP " (4)</t>
  </si>
  <si>
    <t>70r</t>
  </si>
  <si>
    <t>751993305 SPC</t>
  </si>
  <si>
    <t>D+M Mřížová výustka s klapkou 225×75 mm - Specifikace dle PD - MV</t>
  </si>
  <si>
    <t>" 1. PP " (1)</t>
  </si>
  <si>
    <t>70s</t>
  </si>
  <si>
    <t>751993306 SPC</t>
  </si>
  <si>
    <t>D+M Mřížová výustka 225×75 mm - Specifikace dle PD - MV</t>
  </si>
  <si>
    <t>" 1. PP " (3)</t>
  </si>
  <si>
    <t>" 2. NP " (1)</t>
  </si>
  <si>
    <t>70t</t>
  </si>
  <si>
    <t>751993307 SPC</t>
  </si>
  <si>
    <t>D+M Mřížová výustka 300×100 mm - Specifikace dle PD - MV</t>
  </si>
  <si>
    <t>70u</t>
  </si>
  <si>
    <t>751993308 SPC</t>
  </si>
  <si>
    <t>D+M Mřížová výustka 300×100 mm - Specifikace dle PD - EW</t>
  </si>
  <si>
    <t>" Mřížová výustka pro potrubí - protipožární "</t>
  </si>
  <si>
    <t>" 1. PP " (2)</t>
  </si>
  <si>
    <t>70v</t>
  </si>
  <si>
    <t>751993401 SPC</t>
  </si>
  <si>
    <t>D+M Protidešťová žaluzie 720×400 mm - Specifikace dle PD - PDZ</t>
  </si>
  <si>
    <t>" Protidešťová želuzie 720×400 mm. "</t>
  </si>
  <si>
    <t>" Protidešťová žaluzie v antikorozním provedení, tepelně izolovaná, se síťkou. V ceně osazení a dodání žaluzie, upevňovacího rámečku,síta proti  hmyzu a kotvících prvků,včetně zapravení a utěsnění (tepelně) prostupu  ".</t>
  </si>
  <si>
    <t>70w</t>
  </si>
  <si>
    <t>751993402 SPC</t>
  </si>
  <si>
    <t>D+M Protidešťová žaluzie 225×75 mm - Specifikace dle PD - PDZ</t>
  </si>
  <si>
    <t>" Protidešťová želuzie 225×75 mm. "</t>
  </si>
  <si>
    <t>70x</t>
  </si>
  <si>
    <t>751993403 SPC</t>
  </si>
  <si>
    <t>D+M Protidešťová žaluzie 250×400 mm - Specifikace dle PD - PDZ</t>
  </si>
  <si>
    <t>" Protidešťová želuzie 250×400 mm. "</t>
  </si>
  <si>
    <t>70y</t>
  </si>
  <si>
    <t>751993404 SPC</t>
  </si>
  <si>
    <t>70z</t>
  </si>
  <si>
    <t>751993405 SPC</t>
  </si>
  <si>
    <t>D+M Protidešťová žaluzie 900×630 mm - Specifikace dle PD - PDZ</t>
  </si>
  <si>
    <t>" Protidešťová želuzie 900×630 mm. "</t>
  </si>
  <si>
    <t>70aa</t>
  </si>
  <si>
    <t>751993501 SPC</t>
  </si>
  <si>
    <t xml:space="preserve">D+M Regulační klapka pro kruhové potrubí Ø 100 mm, ruční, těsná - Specifikace dle PD - RK   </t>
  </si>
  <si>
    <t>" Regulační klapka pro kruhové potrubí Ø100 mm - manuální ovládání. "</t>
  </si>
  <si>
    <t>" V ceně zapojení, umístění, utěsnění a veškeré další nutné příslušenství a materiál pro zajištění správné funkce. "</t>
  </si>
  <si>
    <t>70ab</t>
  </si>
  <si>
    <t>751993502 SPC</t>
  </si>
  <si>
    <t xml:space="preserve">D+M Regulační klapka pro kruhové potrubí Ø 125 mm, ruční, těsná - Specifikace dle PD - RK   </t>
  </si>
  <si>
    <t>" Regulační klapka pro kruhové potrubí Ø125 mm - manuální ovládání. "</t>
  </si>
  <si>
    <t>70ac</t>
  </si>
  <si>
    <t>751993503 SPC</t>
  </si>
  <si>
    <t xml:space="preserve">D+M Regulační klapka pro kruhové potrubí Ø 160 mm, ruční, těsná - Specifikace dle PD - RK   </t>
  </si>
  <si>
    <t>" Regulační klapka pro kruhové potrubí Ø160 mm - manuální ovládání. "</t>
  </si>
  <si>
    <t>" 2. NP " (9)</t>
  </si>
  <si>
    <t>70ad</t>
  </si>
  <si>
    <t>751993504 SPC</t>
  </si>
  <si>
    <t xml:space="preserve">D+M Regulační klapka pro kruhové potrubí Ø 200 mm, ruční, těsná - Specifikace dle PD - RK   </t>
  </si>
  <si>
    <t>" Regulační klapka pro kruhové potrubí Ø200 mm - manuální ovládání. "</t>
  </si>
  <si>
    <t>" 2. NP " (21)</t>
  </si>
  <si>
    <t>70ae</t>
  </si>
  <si>
    <t>751993551 SPC</t>
  </si>
  <si>
    <t xml:space="preserve">D+M Regulační klapka se servopohonem pro kruhové potrubí Ø 250 mm - Specifikace dle PD - RKS   </t>
  </si>
  <si>
    <t>" Regulační klapka pro kruhové potrubí Ø 250 mm - ovládání pomocí servopohonu. "</t>
  </si>
  <si>
    <t>" 2. NP " (8)</t>
  </si>
  <si>
    <t>" V ceně servopohon, zapojení, umístění, utěsnění, prokabelování, napojení na elektro a veškeré další nutné příslušenství a materiál pro zajištění správné funkce. "</t>
  </si>
  <si>
    <t>70af</t>
  </si>
  <si>
    <t>751993552 SPC</t>
  </si>
  <si>
    <t xml:space="preserve">D+M Regulační klapka se servopohonem pro čtyřhranné potrubí 250×250 mm - Specifikace dle PD - RKS   </t>
  </si>
  <si>
    <t>" Regulační klapka pro čtyřhranné potrubí 250×250 mm - ovládání pomocí servopohonu. "</t>
  </si>
  <si>
    <t>70ag</t>
  </si>
  <si>
    <t>751993601 SPC</t>
  </si>
  <si>
    <t xml:space="preserve">D+M Regulátor konstantního průtoku vzduchu pro kruhové potrubí DN 100, ruční ovládaní - Specifikace dle PD - CAV   </t>
  </si>
  <si>
    <t>" Regulátor konstantního průtoku vzduchu pro kruhové potrubí D 100. 
Ovládaní ruční. "</t>
  </si>
  <si>
    <t>70ah</t>
  </si>
  <si>
    <t>751993602 SPC</t>
  </si>
  <si>
    <t xml:space="preserve">D+M Regulátor konstantního průtoku vzduchu pro kruhové potrubí DN 125, ruční ovládaní - Specifikace dle PD - CAV   </t>
  </si>
  <si>
    <t>" Regulátor konstantního průtoku vzduchu pro kruhové potrubí D 125. 
Ovládaní ruční. "</t>
  </si>
  <si>
    <t>70ai</t>
  </si>
  <si>
    <t>751993603 SPC</t>
  </si>
  <si>
    <t xml:space="preserve">D+M Regulátor konstantního průtoku vzduchu pro kruhové potrubí DN 160, ruční ovládaní - Specifikace dle PD - CAV   </t>
  </si>
  <si>
    <t>" Regulátor konstantního průtoku vzduchu pro kruhové potrubí D 160. 
Ovládaní ruční. "</t>
  </si>
  <si>
    <t>70aj</t>
  </si>
  <si>
    <t>751993604 SPC</t>
  </si>
  <si>
    <t xml:space="preserve">D+M Regulátor konstantního průtoku vzduchu pro kruhové potrubí DN 200, ruční ovládaní - Specifikace dle PD - CAV   </t>
  </si>
  <si>
    <t>" Regulátor konstantního průtoku vzduchu pro kruhové potrubí D 200. 
Ovládaní ruční. "</t>
  </si>
  <si>
    <t>70ak</t>
  </si>
  <si>
    <t>751993605 SPC</t>
  </si>
  <si>
    <t xml:space="preserve">D+M Regulátor konstantního průtoku vzduchu pro kruhové potrubí DN 280, ruční ovládaní - Specifikace dle PD - CAV   </t>
  </si>
  <si>
    <t>" Regulátor konstantního průtoku vzduchu pro kruhové potrubí D 280. 
Ovládaní ruční. "</t>
  </si>
  <si>
    <t>70al</t>
  </si>
  <si>
    <t>751993606 SPC</t>
  </si>
  <si>
    <t xml:space="preserve">D+M Regulátor konstantního průtoku vzduchu pro kruhové potrubí DN 315, ruční ovládaní - Specifikace dle PD - CAV   </t>
  </si>
  <si>
    <t>" Regulátor konstantního průtoku vzduchu pro kruhové potrubí D 315. 
Ovládaní ruční. "</t>
  </si>
  <si>
    <t>70am</t>
  </si>
  <si>
    <t>751993607 SPC</t>
  </si>
  <si>
    <t xml:space="preserve">D+M Regulátor konstantního průtoku vzduchu pro kruhové potrubí DN 400, ruční ovládaní - Specifikace dle PD - CAV   </t>
  </si>
  <si>
    <t>" Regulátor konstantního průtoku vzduchu pro kruhové potrubí D 400. 
Ovládaní ruční. "</t>
  </si>
  <si>
    <t>70an</t>
  </si>
  <si>
    <t>751993608 SPC</t>
  </si>
  <si>
    <t xml:space="preserve">D+M Regulátor konstantního průtoku vzduchu pro čtyřhranné potrubí 200×200 mm, ruční ovládaní - Specifikace dle PD - CAV   </t>
  </si>
  <si>
    <t>" Regulátor konstantního průtoku vzduchu pro čtyřhranné potrubí 200×200 mm.
Ovládaní ruční. "</t>
  </si>
  <si>
    <t>70ao</t>
  </si>
  <si>
    <t>751993609 SPC</t>
  </si>
  <si>
    <t xml:space="preserve">D+M Regulátor konstantního průtoku vzduchu pro čtyřhranné potrubí 500×200 mm, ruční ovládaní - Specifikace dle PD - CAV   </t>
  </si>
  <si>
    <t>" Regulátor konstantního průtoku vzduchu pro čtyřhranné potrubí 500×200 mm.
Ovládaní ruční. "</t>
  </si>
  <si>
    <t>70ap</t>
  </si>
  <si>
    <t>751993651 SPC</t>
  </si>
  <si>
    <t>70aq</t>
  </si>
  <si>
    <t>751993652 SPC</t>
  </si>
  <si>
    <t>70ar</t>
  </si>
  <si>
    <t>751993653 SPC</t>
  </si>
  <si>
    <t>70as</t>
  </si>
  <si>
    <t>751993654 SPC</t>
  </si>
  <si>
    <t>70at</t>
  </si>
  <si>
    <t>751993655 SPC</t>
  </si>
  <si>
    <t>70au</t>
  </si>
  <si>
    <t>751993701 SPC</t>
  </si>
  <si>
    <t>D+M Požární klapka se servopohonem pro čtyřhranné potrubí 200×200 mm - Specifikace dle PD - PK</t>
  </si>
  <si>
    <t>" Požární klapka se servopohonem pro čtyřhranné potrubí 200×200 mm. "</t>
  </si>
  <si>
    <t>70av</t>
  </si>
  <si>
    <t>751993702 SPC</t>
  </si>
  <si>
    <t>D+M Požární klapka se servopohonem pro čtyřhranné potrubí 900×560 mm - Specifikace dle PD - PK</t>
  </si>
  <si>
    <t>" Požární klapka se servopohonem pro čtyřhranné potrubí 900×560 mm. "</t>
  </si>
  <si>
    <t>70aw</t>
  </si>
  <si>
    <t>751993801 SPC</t>
  </si>
  <si>
    <t>D+M Tlumič hluku do kruhového potrubí  D 160 mm, s TI tl. 50 mm, délka 300 mm - Specifikace dle PD - TH</t>
  </si>
  <si>
    <t>" Tlumič hluku do kruhového potrubí D 160 mm. "</t>
  </si>
  <si>
    <t>" Včetně montáže, zapojení, izolace a veškerého nutného příslušenství. "</t>
  </si>
  <si>
    <t>70ax</t>
  </si>
  <si>
    <t>751993802 SPC</t>
  </si>
  <si>
    <t>D+M Tlumič hluku do kruhového potrubí  D 160 mm, s TI tl. 50 mm, délka 600 mm - Specifikace dle PD - TH</t>
  </si>
  <si>
    <t>70ay</t>
  </si>
  <si>
    <t>751993803 SPC</t>
  </si>
  <si>
    <t>D+M Tlumič hluku do kruhového potrubí  D 160 mm, s TI tl. 50 mm, délka 900 mm - Specifikace dle PD - TH</t>
  </si>
  <si>
    <t>70az</t>
  </si>
  <si>
    <t>751993804 SPC</t>
  </si>
  <si>
    <t>D+M Tlumič hluku do kruhového potrubí  D 160 mm, s TI tl. 50 mm, délka 1000 mm - Specifikace dle PD - TH</t>
  </si>
  <si>
    <t>70ba</t>
  </si>
  <si>
    <t>751993805 SPC</t>
  </si>
  <si>
    <t>D+M Tlumič hluku do kruhového potrubí  D 200 mm, s TI tl. 50 mm, délka 600 mm - Specifikace dle PD - TH</t>
  </si>
  <si>
    <t>" Tlumič hluku do kruhového potrubí D 200 mm. "</t>
  </si>
  <si>
    <t>" 2. NP " (14)</t>
  </si>
  <si>
    <t>70bb</t>
  </si>
  <si>
    <t>751993806 SPC</t>
  </si>
  <si>
    <t>D+M Tlumič hluku do kruhového potrubí  D 200 mm, s TI tl. 50 mm, délka 1 000 mm - Specifikace dle PD - TH</t>
  </si>
  <si>
    <t>" 2. NP " (16)</t>
  </si>
  <si>
    <t>70bc</t>
  </si>
  <si>
    <t>751993851 SPC</t>
  </si>
  <si>
    <t>D+M Tlumič hluku do čtyřhranného potrubí 250×250 mm, s TI tl. 50 mm, délka 1 250 mm - Specifikace dle PD - TH</t>
  </si>
  <si>
    <t>" Tlumič hluku do čtyřhranného potrubí 250×250 mm. "</t>
  </si>
  <si>
    <t>70bd</t>
  </si>
  <si>
    <t>751993901 SPC</t>
  </si>
  <si>
    <t>D+M Výfuková hlavice pro kruhové potrubí D 125 - Specifikace dle PD</t>
  </si>
  <si>
    <t>" Výfuková hlavice u kruhového potrubí D 125, vč. zpětná klapka + síťka proti hmyzu. "</t>
  </si>
  <si>
    <t>" Střecha " (3)</t>
  </si>
  <si>
    <t>70be</t>
  </si>
  <si>
    <t>751993902 SPC</t>
  </si>
  <si>
    <t>D+M Výfuková hlavice pro kruhové potrubí D 200 - Specifikace dle PD</t>
  </si>
  <si>
    <t>" Výfuková hlavice u kruhového potrubí D 200, vč. zpětná klapka + síťka proti hmyzu. "</t>
  </si>
  <si>
    <t>" Střecha " (2)</t>
  </si>
  <si>
    <t>D+M LED svítidlo, 37,7 W - Specifikace dle PD - A</t>
  </si>
  <si>
    <t>" LED svítidlo 1198×114 mm, 37,7 W. "</t>
  </si>
  <si>
    <t>" Včetně montáže, zapojení, zdroje a veškerého příslušenství. "</t>
  </si>
  <si>
    <t>D+M LED svítidlo s nouzovým prvkem, 3 W - Specifikace dle PD - BN</t>
  </si>
  <si>
    <t>" LED svítidlo s nouzovým prvkem 1160×62 mm, 3 W. "</t>
  </si>
  <si>
    <t>D+M LED svítidlo, 60 W - Specifikace dle PD - C</t>
  </si>
  <si>
    <t>" LED svítidlo 1460×62 mm, 60 W. "</t>
  </si>
  <si>
    <t>D+M LED svítidlo s nouzovým prvkem, 4 W - Specifikace dle PD - CN</t>
  </si>
  <si>
    <t>" LED svítidlo s nouzovým prvkem 1460×62 mm, 4 W. "</t>
  </si>
  <si>
    <t>741999106 SPC</t>
  </si>
  <si>
    <t>D+M LED svítidlo, 52,7 W - Specifikace dle PD - D1</t>
  </si>
  <si>
    <t>" LED svítidlo 1100×92 mm, 52,7 W.. "</t>
  </si>
  <si>
    <t>741999107 SPC</t>
  </si>
  <si>
    <t>D+M LED svítidlo, 52,7 W - Specifikace dle PD - D2</t>
  </si>
  <si>
    <t>" LED svítidlo 1600×92 mm, 52,7 W. "</t>
  </si>
  <si>
    <t>741999108 SPC</t>
  </si>
  <si>
    <t>D+M LED svítidlo, 15,3 W - Specifikace dle PD - E</t>
  </si>
  <si>
    <t>" LED svítidlo Ø 181 mm, 15,3 W. "</t>
  </si>
  <si>
    <t>741999110 SPC</t>
  </si>
  <si>
    <t>D+M LED svítidlo, 36 W - Specifikace dle PD - F</t>
  </si>
  <si>
    <t>" LED svítidlo 596×596 mm, 36 W. "</t>
  </si>
  <si>
    <t>741999111 SPC</t>
  </si>
  <si>
    <t>D+M LED svítidlo, 36 W - Specifikace dle PD - F1</t>
  </si>
  <si>
    <t>741999112 SPC</t>
  </si>
  <si>
    <t>D+M LED svítidlo, 20 W - Specifikace dle PD - G</t>
  </si>
  <si>
    <t>" LED svítidlo Ø 300 mm, 20,0 W. "</t>
  </si>
  <si>
    <t>741999113 SPC</t>
  </si>
  <si>
    <t>D+M LED svítidlo, 15,4 W - Specifikace dle PD - H</t>
  </si>
  <si>
    <t>" LED svítidlo 381×196 mm, 15,4 W. "</t>
  </si>
  <si>
    <t>741999114 SPC</t>
  </si>
  <si>
    <t>D+M LED svítidlo, 39,2 W - Specifikace dle PD - I</t>
  </si>
  <si>
    <t>" LED svítidlo 596×596 mm, 39,2 W. "</t>
  </si>
  <si>
    <t>741999115 SPC</t>
  </si>
  <si>
    <t>D+M LED svítidlo s nouzovým prvkem, 39,2 W - Specifikace dle PD - IN</t>
  </si>
  <si>
    <t>741999116 SPC</t>
  </si>
  <si>
    <t>D+M LED svítidlo, 12 W - Specifikace dle PD - J</t>
  </si>
  <si>
    <t>" LED svítidlo 600×59 mm, 12 W. "</t>
  </si>
  <si>
    <t>741999117 SPC</t>
  </si>
  <si>
    <t>D+M LED svítidlo, 42 W - Specifikace dle PD - K</t>
  </si>
  <si>
    <t>" LED svítidlo Ø 500 mm, 42 W. "</t>
  </si>
  <si>
    <t>741999118 SPC</t>
  </si>
  <si>
    <t>D+M Venkovní svítidlo - Specifikace dle PD</t>
  </si>
  <si>
    <t>" Venkovní svítidlo. "</t>
  </si>
  <si>
    <t>741999151 SPC</t>
  </si>
  <si>
    <t>D+M LED nouzové svítidlo nástěnné, se stupněm krytí IP 65 - Specifikace dle PD - N1</t>
  </si>
  <si>
    <t>" LED nouzové svítidlo nástěnné, s IP 65. "</t>
  </si>
  <si>
    <t>741999152 SPC</t>
  </si>
  <si>
    <t>D+M LED nouzové svítidlo stropní, se stupněm krytí IP 40 - Specifikace dle PD - N2</t>
  </si>
  <si>
    <t>" LED nouzové svítidlo stropní, IP 40. "</t>
  </si>
  <si>
    <t>741999153 SPC</t>
  </si>
  <si>
    <t>D+M LED nouzové svítidlo stropní, se stupněm krytí IP 40 - Specifikace dle PD - N3</t>
  </si>
  <si>
    <t>741999154 SPC</t>
  </si>
  <si>
    <t>D+M LED nouzové svítidlo stropní, se stupněm krytí IP 20_IP 40 - Specifikace dle PD - N4</t>
  </si>
  <si>
    <t>" LED nouzové svítidlo stropní, IP 20_IP 40. "</t>
  </si>
  <si>
    <t>741999155 SPC</t>
  </si>
  <si>
    <t>D+M LED nouzové svítidlo stropní, se stupněm krytí IP 20_IP 40 - Specifikace dle PD - N5</t>
  </si>
  <si>
    <t>741999156 SPC</t>
  </si>
  <si>
    <t>D+M LED nouzové svítidlo stropní, se stupněm krytí IP 20_IP 40 - Specifikace dle PD - N6</t>
  </si>
  <si>
    <t>741999157 SPC</t>
  </si>
  <si>
    <t>D+M Luminiscenční tabulka - Specifikace dle PD - N13</t>
  </si>
  <si>
    <t>" Luminiscenční tabulka. "</t>
  </si>
  <si>
    <t>" Včetně montáže a veškerého příslušenství. "</t>
  </si>
  <si>
    <t>Přesun hmot procentní pro silnoproud ruční v objektech v přes 6 do 12 m</t>
  </si>
  <si>
    <t>741999201 SPC</t>
  </si>
  <si>
    <t>D+M Zásuvka 230 V - Specifikace dle PD</t>
  </si>
  <si>
    <t>" Zásuvka 230 V. "</t>
  </si>
  <si>
    <t>" Včetně instalace, napojení, rámečku, instalační krabice, záslepky.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</si>
  <si>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</si>
  <si>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</si>
  <si>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</si>
  <si>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</si>
  <si>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</si>
  <si>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</si>
  <si>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</si>
  <si>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Dvojzásuvka 230 V - Specifikace dle PD</t>
  </si>
  <si>
    <t>" Dvojzásuvka 230 V. "</t>
  </si>
  <si>
    <t>741999205 SPC</t>
  </si>
  <si>
    <t>D+M Kabelový vývod 230 V - Specifikace dle PD</t>
  </si>
  <si>
    <t>" Kabelový vývod pro 230 V tvořený krabicí pro pozdější napojení prvků  "</t>
  </si>
  <si>
    <t>" Včetně krabice s příslušenstvím, uchycení a zapojení. "</t>
  </si>
  <si>
    <t>741999206 SPC</t>
  </si>
  <si>
    <t>D+M Kabelový vývod 400 V - Specifikace dle PD</t>
  </si>
  <si>
    <t>" Kabelový vývod pro 400 V tvořený krabicí pro pozdější napojení prvků  "</t>
  </si>
  <si>
    <t>741999207 SPC</t>
  </si>
  <si>
    <t>D+M Žaluziový spínač - Specfikace dle PD</t>
  </si>
  <si>
    <t>" Žaluziový spínač. "</t>
  </si>
  <si>
    <t>741999208 SPC</t>
  </si>
  <si>
    <t>D+M Tlačítko "Total STOP" - Specifikace dle PD</t>
  </si>
  <si>
    <t>" Tlačítko "Total STOP". "</t>
  </si>
  <si>
    <t>741999251 SPC</t>
  </si>
  <si>
    <t>D+M Vypínač řaz. 1 - Specfikace dle PD</t>
  </si>
  <si>
    <t>" Jednopólový vypínač. "</t>
  </si>
  <si>
    <t>741999252 SPC</t>
  </si>
  <si>
    <t>D+M Vypínač řaz. 1 se stupněm krytí IP 44 - specifikace dle PD</t>
  </si>
  <si>
    <t>" Jednopólový vypínač, s IP 44. "</t>
  </si>
  <si>
    <t>741999253 SPC</t>
  </si>
  <si>
    <t>D+M Vypínač řaz. 6 - Specfikace dle PD</t>
  </si>
  <si>
    <t>" Střídavý přepínač. "</t>
  </si>
  <si>
    <t>741999254 SPC</t>
  </si>
  <si>
    <t>D+M Vypínač řaz. 6 se stupněm krytí IP 44 - Specfikace dle PD</t>
  </si>
  <si>
    <t>" Střídavý přepínač, s IP 44. "</t>
  </si>
  <si>
    <t>741999255 SPC</t>
  </si>
  <si>
    <t>D+M Vypínač řaz. 7 - Specfikace dle PD</t>
  </si>
  <si>
    <t>" Křížový přepínač. "</t>
  </si>
  <si>
    <t>741999256 SPC</t>
  </si>
  <si>
    <t>D+M Vypínač řaz. 7, IP44 - Specfikace dle PD</t>
  </si>
  <si>
    <t>" Křížový přepínač, IP44. "</t>
  </si>
  <si>
    <t>741999257 SPC</t>
  </si>
  <si>
    <t>D+M Vypínač třípólový - Specfikace dle PD</t>
  </si>
  <si>
    <t>" Vypínač třípólový. "</t>
  </si>
  <si>
    <t>D+M CHKE-R 3×1,5 - Specifikace dle PD</t>
  </si>
  <si>
    <t xml:space="preserve">" Kabeláž silnoproudu " </t>
  </si>
  <si>
    <t>" Včetně uložení (montáže a nasunutí do chrániček), zapojení, případného protažení a ukončení "</t>
  </si>
  <si>
    <t>D+M CHKE-R 3×2,5 - Specifikace dle PD</t>
  </si>
  <si>
    <t>D+M CHKE-R 5×1,5 - Specifikace dle PD</t>
  </si>
  <si>
    <t>D+M CHKE-R 5×2,5 - Specifikace dle PD</t>
  </si>
  <si>
    <t>741999305 SPC</t>
  </si>
  <si>
    <t>D+M CHKE-R 5×4 - Specifikace dle PD</t>
  </si>
  <si>
    <t>741999306 SPC</t>
  </si>
  <si>
    <t>D+M CHKE-R 5×16 - Specifikace dle PD</t>
  </si>
  <si>
    <t>741999308 SPC</t>
  </si>
  <si>
    <t>D+M Vodiče pro provedení uzemnění kovových prvků a konstrukcí - Specifikace dle PD</t>
  </si>
  <si>
    <t>" Kabelové vodiče (CY / CYA / H05V / H07V, apod.) pro provedení uzemnění veškerých kovových konstrukcí a prvků objektu. "</t>
  </si>
  <si>
    <t>"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</si>
  <si>
    <t>51</t>
  </si>
  <si>
    <t>D+M Rozvaděč R0.1 - Specifikace dle PD</t>
  </si>
  <si>
    <t>" Nový rozvaděč - R0.1 "</t>
  </si>
  <si>
    <t>741999402 SPC</t>
  </si>
  <si>
    <t>D+M Rozvaděč R1.1. - Specifikace dle PD</t>
  </si>
  <si>
    <t>" Nový rozvaděč - R1.1. "</t>
  </si>
  <si>
    <t>741999403 SPC</t>
  </si>
  <si>
    <t>D+M Rozvaděč R-G. - Specifikace dle PD</t>
  </si>
  <si>
    <t>" Nový rozvaděč - R-G "</t>
  </si>
  <si>
    <t>741999404 SPC</t>
  </si>
  <si>
    <t>D+M Rozvaděč RH. - Specifikace dle PD</t>
  </si>
  <si>
    <t>" Nový rozvaděč - RH "</t>
  </si>
  <si>
    <t>" Včetně vystrojení, skříně, montážního materiálu, montáže, zapojení a veškerého nutného příslušenství a prácí nutných pro správnou funkci vč. propojení z HDS. "</t>
  </si>
  <si>
    <t>741999405 SPC</t>
  </si>
  <si>
    <t>D+M Rozvaděč R2.1. - Specifikace dle PD</t>
  </si>
  <si>
    <t>" Nový rozvaděč - R2.1. "</t>
  </si>
  <si>
    <t>741999406 SPC</t>
  </si>
  <si>
    <t>D+M Rozvaděč R2.2. - Specifikace dle PD</t>
  </si>
  <si>
    <t>" Nový rozvaděč - R2.2. "</t>
  </si>
  <si>
    <t>741999407 SPC</t>
  </si>
  <si>
    <t>D+M Rozvaděč R2.3. - Specifikace dle PD</t>
  </si>
  <si>
    <t>" Nový rozvaděč - R2.3. "</t>
  </si>
  <si>
    <t>741999408 SPC</t>
  </si>
  <si>
    <t>D+M Rozvaděč R2.4. - Specifikace dle PD</t>
  </si>
  <si>
    <t>" Nový rozvaděč - R2.4. "</t>
  </si>
  <si>
    <t>60</t>
  </si>
  <si>
    <t>61</t>
  </si>
  <si>
    <t>741999501 SPC</t>
  </si>
  <si>
    <t>D+M Pásek FeZn 30/4 - Specifikace dle PD</t>
  </si>
  <si>
    <t>" Zemnící pásek pro zemnění objektu. "</t>
  </si>
  <si>
    <t>" Zemnící pásek " (160,0)*1,1</t>
  </si>
  <si>
    <t>" Včetně uložení a napojení "</t>
  </si>
  <si>
    <t>741999502 SPC</t>
  </si>
  <si>
    <t>D+M Drát FeZn Ø 10 - Specifikace dle PD</t>
  </si>
  <si>
    <t>" Svislé vedení pod terén k zemnícímu pásku. "</t>
  </si>
  <si>
    <t>" Svislé vedení zemnění " (31,5)*1,1</t>
  </si>
  <si>
    <t>741999503 SPC</t>
  </si>
  <si>
    <t>D+M Svorky SK, SS, SR - Specifikace dle PD</t>
  </si>
  <si>
    <t>" Svorky pro zemnění. "</t>
  </si>
  <si>
    <t>741999504 SPC</t>
  </si>
  <si>
    <t>D+M Antikorozní ochrana spojů - Specifikace dle PD</t>
  </si>
  <si>
    <t>" Antikorozní ochrana spojů - např. páskou. "</t>
  </si>
  <si>
    <t>" V ceně prvek pro ochranu spojů zemnícího pásku - např. páskou a další veškeré příslušenství pro zajištění spoje. "</t>
  </si>
  <si>
    <t>741999505 SPC</t>
  </si>
  <si>
    <t>D+M Podružný materiál pro uložení zemnění - Specifikace dle PD</t>
  </si>
  <si>
    <t>" Hlavní ochranné pospojování a ostatní podružný materiál. "</t>
  </si>
  <si>
    <t>68</t>
  </si>
  <si>
    <t>69</t>
  </si>
  <si>
    <t>D+M Jímací vedení AlMgSi 8 - Specifikace dle PD</t>
  </si>
  <si>
    <t>" Jímací vedení z AlMgSi Ø 8 mm. "</t>
  </si>
  <si>
    <t>" Jímací vedení - vedení na střeše. " (320)*1,1</t>
  </si>
  <si>
    <t>" Včetně podpěr, uložení a napojení a veškerého nutného příslušenství. "</t>
  </si>
  <si>
    <t>741999602 SPC</t>
  </si>
  <si>
    <t>D+M Vysokonapěťově izolovaný svodový vodič - izolovaný svod - Specifikace dle PD</t>
  </si>
  <si>
    <t>" Vysokonapěťově izolovaný svodový vodič s možností instalace do fasády, vč.zakončení a upevnění do stavby. "</t>
  </si>
  <si>
    <t>" Svodové vedení z vysokonapěťového izolovaného vodiče - HVI " (250,0)*1,1</t>
  </si>
  <si>
    <t>" Včetně veškerého nutného příslušenství. "</t>
  </si>
  <si>
    <t>D+M Svorky (SS,SK,SP) - Specifikace dle PD</t>
  </si>
  <si>
    <t xml:space="preserve">" Svorky pro hromosvod " </t>
  </si>
  <si>
    <t>741999604 SPC</t>
  </si>
  <si>
    <t>D+M Ochranný úhelník - Specifikace dle PD</t>
  </si>
  <si>
    <t>" Ochranný úhelník svodů "</t>
  </si>
  <si>
    <t>" Včetně uchycení, kotvících a upevňovacích prvků a veškerého nutného příslušenství. "</t>
  </si>
  <si>
    <t>741999605 SPC</t>
  </si>
  <si>
    <t>D+M Označovací štítek - Specifikace dle PD</t>
  </si>
  <si>
    <t>" Označovací štítek pro označení svodů hromosvodů "</t>
  </si>
  <si>
    <t>741999606 SPC</t>
  </si>
  <si>
    <t>D+M Jímací tyč dl. 1 m - Specifikace dle PD</t>
  </si>
  <si>
    <t>" Jímací tyč délky 1,0 m "</t>
  </si>
  <si>
    <t>" Včetně uchycení, kotvících a upevňovacích prvků (vč. případného stojanu) a veškerého nutného příslušenství. "</t>
  </si>
  <si>
    <t>741999607 SPC</t>
  </si>
  <si>
    <t>D+M Jímací tyč dl. 2 m - Specifikace dle PD</t>
  </si>
  <si>
    <t>" Jímací tyč délky 2,0 m "</t>
  </si>
  <si>
    <t>D+M Ochranná krabice se zkušební svorkou - Specifikace dle PD</t>
  </si>
  <si>
    <t>" Ochranná krabice + zkušební svorka. "</t>
  </si>
  <si>
    <t>" Včetně ochranné krabice, ocelové destičky, tří křížové svorky, napojení, umístění "</t>
  </si>
  <si>
    <t>741999609 SPC</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</si>
  <si>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</si>
  <si>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</si>
  <si>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</si>
  <si>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</si>
  <si>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80</t>
  </si>
  <si>
    <t>81</t>
  </si>
  <si>
    <t>82</t>
  </si>
  <si>
    <t>83</t>
  </si>
  <si>
    <t>84</t>
  </si>
  <si>
    <t>89</t>
  </si>
  <si>
    <t>Elektromontážní práce - Strukturovaná kabeláž (SK)</t>
  </si>
  <si>
    <t>742</t>
  </si>
  <si>
    <t xml:space="preserve">D+M Datový rozvaděč RACK - Specifikace dle PD </t>
  </si>
  <si>
    <t>" Datovový rozvaděč 800/800 47U. "</t>
  </si>
  <si>
    <t>" Včetně pasivních prvků, patch panelů, optické vany, převodníků a veškerého dalšího nutného vybavení a příslušenství vč. štítků pro popis, switche.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</si>
  <si>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</si>
  <si>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</si>
  <si>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</si>
  <si>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</si>
  <si>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</si>
  <si>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</si>
  <si>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</si>
  <si>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742998150 SPC</t>
  </si>
  <si>
    <t>D+M Kabel HDMI - Specifikace dle PD</t>
  </si>
  <si>
    <t xml:space="preserve">" Kabeláž slaboproudu - strukturované kabeláže " </t>
  </si>
  <si>
    <t>" Včetně uložení (montáže a nasunutí do chrániček), zapojení, případného protažení a ukončení kotvích, spojovacích prvků a veškerého příslušenství. "</t>
  </si>
  <si>
    <t>742998199 SPC</t>
  </si>
  <si>
    <t>Přesun hmot procentní pro slaboproud ruční v objektech v do 12 m</t>
  </si>
  <si>
    <t xml:space="preserve">D+M Čtečka karet, čipů  - Specifikace dle PD </t>
  </si>
  <si>
    <t>" Čtečka karet a čipů vč. montáže a zapojení. "</t>
  </si>
  <si>
    <t>" V ceně také čipy / karty pro čtečky. "</t>
  </si>
  <si>
    <t>742998202 SPC</t>
  </si>
  <si>
    <t>D+M Čipy / karty pro zajištění přístupu - Specifikace dle PD</t>
  </si>
  <si>
    <t>" Čipy / karty pro zajištění přístupu. "</t>
  </si>
  <si>
    <t xml:space="preserve">" 1. PP - 2. NP " </t>
  </si>
  <si>
    <t>" Čipy / karty pro přístupový systém.
Počet ks, dle požadavků investora. Předpoklad do 100 ks. 
Druh musí být kompatibilní se stávajícím systémem. "</t>
  </si>
  <si>
    <t>742998203 SPC</t>
  </si>
  <si>
    <t>D+M Zvonkové tablo - Specifikace dle PD</t>
  </si>
  <si>
    <t>" Zvonkové tablo přístupového systému. "</t>
  </si>
  <si>
    <t>" Včetně instalace a zapojení, rámečku, kamery, hlasového modulu, krytu a veškerého nutného příslušenství. "</t>
  </si>
  <si>
    <t>742998204 SPC</t>
  </si>
  <si>
    <t>D+M Domovní videotelefon - Specifikace dle PD</t>
  </si>
  <si>
    <t>" Domovní videotelefon "</t>
  </si>
  <si>
    <t>742998205 SPC</t>
  </si>
  <si>
    <t>D+M Řídící jednotka pro přístupový systém - Specifikace dle PD</t>
  </si>
  <si>
    <t>" Řídící jednotka přístupového systému ke kontrole vstupu vč. příslušenství. "</t>
  </si>
  <si>
    <t xml:space="preserve">" Včetně instalace a zapojení, naprogramování, odzkoušení a veškerých nutných prací a příslušenství. " </t>
  </si>
  <si>
    <t>742998206 SPC</t>
  </si>
  <si>
    <t>D+M Software pro přístupový systém dveří - Specifikace dle PD</t>
  </si>
  <si>
    <t>" Software pro přístupový systém dveří. "</t>
  </si>
  <si>
    <t>" Včetně instalace, odzkoušení, zprovoznění a veškerého nutného příslušenství. "</t>
  </si>
  <si>
    <t>742998299 SPC</t>
  </si>
  <si>
    <t>Elektromontážní práce - Poplachový zabezpečovací a tísňový systém (PZTS)</t>
  </si>
  <si>
    <t>D+M Ústředna PZTS - Specifikace dle PD</t>
  </si>
  <si>
    <t>" Ústředna PZTS. "</t>
  </si>
  <si>
    <t>" Včetně montáže, zapojení, nastavení a naprogramování, zprovoznění, odzkoušení, vystrojení. "</t>
  </si>
  <si>
    <t>742998302 SPC</t>
  </si>
  <si>
    <t>D+M Klávesnice - Specifikace dle PD</t>
  </si>
  <si>
    <t>" Klávesnice. "</t>
  </si>
  <si>
    <t>" Včetně montáže, zapojení a vškerého nutného příslušenství. "</t>
  </si>
  <si>
    <t>742998303 SPC</t>
  </si>
  <si>
    <t>D+M Pohybové čidlo - Specifikace dle PD</t>
  </si>
  <si>
    <t>" Pohybové (PIR) čidlo. "</t>
  </si>
  <si>
    <t>742998304 SPC</t>
  </si>
  <si>
    <t>D+M Magnetický kontakt - Specifikace dle PD</t>
  </si>
  <si>
    <t>" Magnetický kontakt. "</t>
  </si>
  <si>
    <t>742998305 SPC</t>
  </si>
  <si>
    <t>D+M Detektor tříštění skla - Specifikace dle PD</t>
  </si>
  <si>
    <t>" Detektor tříštění skla. "</t>
  </si>
  <si>
    <t>742998306 SPC</t>
  </si>
  <si>
    <t>Případná integrace nových prvků systému PZTS do stávajícího systému</t>
  </si>
  <si>
    <t>" Případné zajištění integrace prvků poplachového zabezpečovacího a tísňového systému do stávajícího systému nemocnice. "</t>
  </si>
  <si>
    <t>" V ceně provedení případné instalace, zajištění začlenění do stávajícího systému, zprovoznění, odzkoušení, a další veškeré nutné práce a materiál související s integrací prvků PZTS do stávajícího systému nemocnice. "</t>
  </si>
  <si>
    <t>742998399 SPC</t>
  </si>
  <si>
    <t>D+M Kamera vnitřní - Specifikace dle PD</t>
  </si>
  <si>
    <t>" Vnitřní kamera. "</t>
  </si>
  <si>
    <t>" Včetně držáku, montáže, zapojení, vyzkoušení, krytu a veškerého nutného příslušenství. "</t>
  </si>
  <si>
    <t>742998402 SPC</t>
  </si>
  <si>
    <t>D+M Kamera venkovní - Specifikace dle PD</t>
  </si>
  <si>
    <t>" Venkovní kamera. "</t>
  </si>
  <si>
    <t>742998411 SPC</t>
  </si>
  <si>
    <t>D+M Video server - Specifikace dle PD</t>
  </si>
  <si>
    <t>" Včetně diskového pole, SW, licence, vzdáleného přístupu "</t>
  </si>
  <si>
    <t>742998499 SPC</t>
  </si>
  <si>
    <t>Elektromontážní práce - Rozhlas</t>
  </si>
  <si>
    <t>742998501 SPC</t>
  </si>
  <si>
    <t>D+M Stanice hlasatele - Specifikace dle PD</t>
  </si>
  <si>
    <t>" Ústředna hlasatele vč. vybavení. "</t>
  </si>
  <si>
    <t>" Včetně veškerého nutného příslušenství nutného pro správnou funkci. "</t>
  </si>
  <si>
    <t>742998502 SPC</t>
  </si>
  <si>
    <t>D+M Reproduktor nástěnný - Specifikace dle PD</t>
  </si>
  <si>
    <t>" Reproduktor nástěnný. "</t>
  </si>
  <si>
    <t>" Včetně montáže, zapojení,  vyzkoušení, příslušenství. "</t>
  </si>
  <si>
    <t>742998551 SPC</t>
  </si>
  <si>
    <t>D+M Kabeláž pro prvky el. komunikace - rozhlas - Specifikace dle PD</t>
  </si>
  <si>
    <t xml:space="preserve">" Kabeláž pro prvky elektrických komunikací - rozhlas. " </t>
  </si>
  <si>
    <t>D+M Zajištění bezdrátového připojení se školou</t>
  </si>
  <si>
    <t>" Zajištění bezdrátového připojení se školou "</t>
  </si>
  <si>
    <t>" V ceně veškeré nutné práce a materiál související se zajištěním bezdrátového propojení rozhlasu mezi školou a jídelnou. "</t>
  </si>
  <si>
    <t>742998592 SPC</t>
  </si>
  <si>
    <t>742998599 SPC</t>
  </si>
  <si>
    <t>Elektromontážní práce - Signalizační systém</t>
  </si>
  <si>
    <t>742999601 SPC</t>
  </si>
  <si>
    <t>D+M Nouzové tlačítko s tahovým prvkem - Specifikace dle PD</t>
  </si>
  <si>
    <t>" Nouzové tlačítko s tahovým prvkem. "</t>
  </si>
  <si>
    <t>742999602 SPC</t>
  </si>
  <si>
    <t>D+M Signalizační panel - Specifikace dle PD</t>
  </si>
  <si>
    <t>" Signalizační panel, tablo. "</t>
  </si>
  <si>
    <t>" Včetně montáže, zapojení  a vyzkoušení. "</t>
  </si>
  <si>
    <t>742998651 SPC</t>
  </si>
  <si>
    <t>D+M Kabeláž pro prvky el. komunikace - signalizační systém - Specifikace dle PD</t>
  </si>
  <si>
    <t xml:space="preserve">" Kabeláž pro prvky elektrických komunikací - signalizační systém. " </t>
  </si>
  <si>
    <t>742998691 SPC</t>
  </si>
  <si>
    <t>742998692 SPC</t>
  </si>
  <si>
    <t>742998699 SPC</t>
  </si>
  <si>
    <t>742998702 SPC</t>
  </si>
  <si>
    <t>D+M Objednávkový systém gastra - Specifikace dle PD</t>
  </si>
  <si>
    <t>" Objednávkový systém gastra "</t>
  </si>
  <si>
    <t>" V ceně zařízení objednávkového systému gastra. Jedná se např. o:
 - 2× nástěnné tablo;
 - 3× monutor pro výdej;
 - 1× PC gastro stanice;
 - 1× PC gastro server pro výdej jídla;
 - systémové řešení serveru - software pro zprovoznění, apod. 
 - další veškerý nutný materiál a práce související s objednávkovým systémem gastra vč. propojení, kabeláže, naprogramování, odzkoušení, kotvících a spojovacích prvkům, apod. "</t>
  </si>
  <si>
    <t>" POZN: Počítačová síť pro stravovací systém je součástí počítačové sítě objektu. "</t>
  </si>
  <si>
    <t>742998802 SPC</t>
  </si>
  <si>
    <t>D+M Nástěnné hodiny jendotného času - Specifikace dle PD</t>
  </si>
  <si>
    <t>" Nástěnné hodiny jendotného času "</t>
  </si>
  <si>
    <t>742998804 SPC</t>
  </si>
  <si>
    <t>D+M Přijímač synchronizovaného signálu - Specifikace dle PD</t>
  </si>
  <si>
    <t>" Přijímač synchronizovaného signálu jendotného času "</t>
  </si>
  <si>
    <t>" V ceně hodiny, čidla, routery, zvonky, vybavení rovaděčů, SW, instalace, zprovoznění a další veškeré nutné příslušenství a materiál pro systém jednotného času. "</t>
  </si>
  <si>
    <t>D+M Kabeláž pro prvky el. komunikace - systém jednotného času - Specifikace dle PD</t>
  </si>
  <si>
    <t xml:space="preserve">" Kabeláž pro prvky elektrických komunikací - systém jendotného času. " </t>
  </si>
  <si>
    <t>D+M Ostatní nutný materiál pro jednotlivé části - Specifikace dle PD</t>
  </si>
  <si>
    <t>" Veškerý nutný materiál pro jednotlivé části k propojení, ukončení, doplnění, apod. nikde nespecifikované, ale potřebné pro provedení prací a zajištění správné funkce. "</t>
  </si>
  <si>
    <t>" V ceně např. optické vany vč. příslušenství, LC konektroy, různé koncovky, pigtaily, apod. "</t>
  </si>
  <si>
    <t>742998902 SPC</t>
  </si>
  <si>
    <t>D+M Požární ucpávky, uzávěry, manžety - Specifikace dle PBŘ</t>
  </si>
  <si>
    <t>" Zajištění prostupů kabeláže mezi jednotlivými požárními úseky protipožárními prvky - ucpávkami, tmely, pěny, disky, apod. - požadované požární odolnosti. "</t>
  </si>
  <si>
    <t>742998903 SPC</t>
  </si>
  <si>
    <t>41a</t>
  </si>
  <si>
    <t>Ukotvení příček montážní polyuretanovou pěnou tl příčky do 100 mm</t>
  </si>
  <si>
    <t>" 1. NP " 2,25+7,6+1,8*3+4,5+10,0+2,25+3,5+3,5+2,85+2,85+5,9+2,25+0,45+13,9+6,3+2,4+3,8+2,7+1,8+2,2+1,8+4,6+2,3+1,6+6,3</t>
  </si>
  <si>
    <t>" 2. NP " 2,1+1,0+1,65*2+1,4+3,95+0,6+4,1+4,4*2+2,2+0,45</t>
  </si>
  <si>
    <t>41b</t>
  </si>
  <si>
    <t>Ukotvení příček montážní polyuretanovou pěnou tl příčky přes 100 mm</t>
  </si>
  <si>
    <t>" 1. NP " 1,65+2,1+0,9+1,2+1,8+2,3+2,6+1,55+1,85+0,6+0,9</t>
  </si>
  <si>
    <t>" 2. NP " 7,7+1,7+2,6+2,1+1,8+7,7+1,7+1,5+3,3</t>
  </si>
  <si>
    <t>" Nové omítky stropů - 1.PP." (179,3)*1,1</t>
  </si>
  <si>
    <t>" Nové omítky stropů - 1.NP." (67,9)*1,1</t>
  </si>
  <si>
    <t>" Nové omítky stropů - 2.NP." (681,6)*1,1</t>
  </si>
  <si>
    <r>
      <t xml:space="preserve">" V ceně příplatky za tloušťku, </t>
    </r>
    <r>
      <rPr>
        <sz val="8"/>
        <color rgb="FFFF00FF"/>
        <rFont val="Arial CE"/>
        <family val="2"/>
        <charset val="238"/>
      </rPr>
      <t>protiplísňové přípravky</t>
    </r>
    <r>
      <rPr>
        <sz val="8"/>
        <color indexed="12"/>
        <rFont val="Arial CE"/>
        <family val="2"/>
        <charset val="238"/>
      </rPr>
      <t>, penetrační nátěry, podomítkové rohovníky, příprava před omítkou(oprášení,ometení, atd)."</t>
    </r>
  </si>
  <si>
    <t>" Předpokládaná maximální plocha pro zához - 115,0 m2 "</t>
  </si>
  <si>
    <t>60a</t>
  </si>
  <si>
    <t>968999003 SPC</t>
  </si>
  <si>
    <t>Oprava podezdívky vstupního schodiště</t>
  </si>
  <si>
    <t>" Podezdívka vstupního schodiště " (3,5)</t>
  </si>
  <si>
    <t>" V ceně oprava podezdívky, nahrazení rozvolněných části cihelnými doplňky, spáry proškrábnout a doplnit cementovou maltou."</t>
  </si>
  <si>
    <r>
      <t>" Cena zahrnuje také penetraci</t>
    </r>
    <r>
      <rPr>
        <sz val="8"/>
        <color rgb="FFFF00FF"/>
        <rFont val="Arial CE"/>
        <family val="2"/>
        <charset val="238"/>
      </rPr>
      <t>, vyrovnání podkladu,</t>
    </r>
    <r>
      <rPr>
        <sz val="8"/>
        <color rgb="FF0000FF"/>
        <rFont val="Arial CE"/>
        <family val="2"/>
        <charset val="238"/>
      </rPr>
      <t xml:space="preserve"> šroubovací hmoždinky s kompozitovým šroubem s povrchovou montáží, upevnění desek minerálním tmelem, dilatační a zakončovací lišty, rohový a lemovací systém, vyplnění spár mezi deskami pomocí jednosložkové polyuretanové pěny. "</t>
    </r>
  </si>
  <si>
    <r>
      <t xml:space="preserve">" V ceně lepící materiál, </t>
    </r>
    <r>
      <rPr>
        <sz val="8"/>
        <color rgb="FFFF00FF"/>
        <rFont val="Arial CE"/>
        <family val="2"/>
        <charset val="238"/>
      </rPr>
      <t>vyrovnání podkladu</t>
    </r>
    <r>
      <rPr>
        <sz val="8"/>
        <color indexed="12"/>
        <rFont val="Arial CE"/>
        <family val="2"/>
        <charset val="238"/>
      </rPr>
      <t>. "</t>
    </r>
  </si>
  <si>
    <t>93a</t>
  </si>
  <si>
    <t>SDK příčka ukončení ve volném prostoru</t>
  </si>
  <si>
    <t>" Ukončení SDK konstrukce ve volném prostoru."</t>
  </si>
  <si>
    <t>" 1.NP " (23,1)</t>
  </si>
  <si>
    <t>" 2.NP " ( 13,48)</t>
  </si>
  <si>
    <t>93b</t>
  </si>
  <si>
    <t>SDK příčka zalomení</t>
  </si>
  <si>
    <t>" Zalomení SDK konstrukce."</t>
  </si>
  <si>
    <t>" 1.NP " (26,4)</t>
  </si>
  <si>
    <t>" 2.NP " (16,85)</t>
  </si>
  <si>
    <t>112a</t>
  </si>
  <si>
    <t>766411901 SPC</t>
  </si>
  <si>
    <t>Demontáž a zpětná montáž truhlářského obložení stěn</t>
  </si>
  <si>
    <t>" 1.PP " (2,8*1,1)</t>
  </si>
  <si>
    <t>" Demontáž stávajícího dřevěného obkladu, vč. opravy, nátěru lazurovacím lakem a zpětné montáže, ukotvení a práce a doplňky spojené s provedením obkladu.</t>
  </si>
  <si>
    <t>112b</t>
  </si>
  <si>
    <t>Oprava dveřních křídel z tvrdého dřeva - seříznutí křídla</t>
  </si>
  <si>
    <t>" Seříznutí dveřních křídel o 20 mm."</t>
  </si>
  <si>
    <t>" 1.PP " (2)</t>
  </si>
  <si>
    <t>112c</t>
  </si>
  <si>
    <t>112d</t>
  </si>
  <si>
    <t xml:space="preserve">" Stavební práce a dodávky spojené s provedením funkčního celku 766. " </t>
  </si>
  <si>
    <r>
      <t xml:space="preserve">" Předpokládané maximální množství nátěru vnitřních konstrukcí je </t>
    </r>
    <r>
      <rPr>
        <b/>
        <sz val="8"/>
        <color rgb="FFFF00FF"/>
        <rFont val="Arial CE"/>
        <family val="2"/>
        <charset val="238"/>
      </rPr>
      <t>100,0 m2</t>
    </r>
    <r>
      <rPr>
        <sz val="8"/>
        <color rgb="FFFF00FF"/>
        <rFont val="Arial CE"/>
        <family val="2"/>
        <charset val="238"/>
      </rPr>
      <t>. 
Jedná se o nátěr ponechaných madel a zábradlí schodišť, ocelových zárubní ponechaných dveří, stávajících ocelových dveřních křídel, … ."</t>
    </r>
  </si>
  <si>
    <r>
      <t xml:space="preserve">" Předpokládané maximální množství nátěru venkovních konstrukcí je </t>
    </r>
    <r>
      <rPr>
        <b/>
        <sz val="8"/>
        <color rgb="FFFF00FF"/>
        <rFont val="Arial CE"/>
        <family val="2"/>
        <charset val="238"/>
      </rPr>
      <t>35,0 m2</t>
    </r>
    <r>
      <rPr>
        <sz val="8"/>
        <color rgb="FFFF00FF"/>
        <rFont val="Arial CE"/>
        <family val="2"/>
        <charset val="238"/>
      </rPr>
      <t>. 
Jedná se o nátěr ponechaných madel a zábradlí schodišť, skříněk a dveří pro plyn a elektro, ponechané oplocení, … ."</t>
    </r>
  </si>
  <si>
    <t>" Výmalba stropů "</t>
  </si>
  <si>
    <t>" Výmalba 1.PP." (179,3)*1,1</t>
  </si>
  <si>
    <t>" Výmalba 1.NP." (67,9)*1,1</t>
  </si>
  <si>
    <t>" Výmalba 2.NP." (1,6)*1,1</t>
  </si>
  <si>
    <t>148a</t>
  </si>
  <si>
    <t>784211901 SPC</t>
  </si>
  <si>
    <t>Příplatek k cenám maleb za barevnou malbu</t>
  </si>
  <si>
    <t>" Příplatek " (2631,77)</t>
  </si>
  <si>
    <t>150a</t>
  </si>
  <si>
    <t>D+M Bezpečnostní označení prvního a posledního schodišťového stupně - Specifikace dle PD</t>
  </si>
  <si>
    <t>" Schodiště z 1.PP do 1.NP " (2+2+2+2+2+2+2+2)*0,2</t>
  </si>
  <si>
    <t>" Schodiště z 1.NP do 2.NP " (2+2+2+2+2+2)*0,2</t>
  </si>
  <si>
    <t xml:space="preserve">" Abrazivní samolepící protiskluzná páska - bílá - 25×200 mm " </t>
  </si>
  <si>
    <r>
      <t xml:space="preserve">" - Nerezový dřez s odkapem vč. </t>
    </r>
    <r>
      <rPr>
        <sz val="8"/>
        <color rgb="FFFF00FF"/>
        <rFont val="Arial CE"/>
        <family val="2"/>
        <charset val="238"/>
      </rPr>
      <t>plastového</t>
    </r>
    <r>
      <rPr>
        <sz val="8"/>
        <color indexed="12"/>
        <rFont val="Arial CE"/>
        <family val="2"/>
        <charset val="238"/>
      </rPr>
      <t xml:space="preserve"> sifonu, nerezové pákové baterie a příslušenství. "</t>
    </r>
  </si>
  <si>
    <t>1ca</t>
  </si>
  <si>
    <t>1da</t>
  </si>
  <si>
    <t>" - LED pásek vč. hliníkového profilu, trafa (zdroje), konektoru pro napájení, zapojení a veškerého nutného příslušenství. " (2,55)*1,05</t>
  </si>
  <si>
    <t>2da</t>
  </si>
  <si>
    <t>766811302 SPC</t>
  </si>
  <si>
    <t>" - Nízká vestavná lednice "</t>
  </si>
  <si>
    <t>2ea</t>
  </si>
  <si>
    <t>" - LED pásek vč. hliníkového profilu, trafa (zdroje), konektoru pro napájení, zapojení a veškerého nutného příslušenství. " (1,6)*1,05</t>
  </si>
  <si>
    <r>
      <t xml:space="preserve">" - Nerezový dřez s odkapem vč. </t>
    </r>
    <r>
      <rPr>
        <sz val="8"/>
        <color rgb="FFFF00FF"/>
        <rFont val="Arial CE"/>
        <family val="2"/>
        <charset val="238"/>
      </rPr>
      <t xml:space="preserve">plastový </t>
    </r>
    <r>
      <rPr>
        <sz val="8"/>
        <color indexed="12"/>
        <rFont val="Arial CE"/>
        <family val="2"/>
        <charset val="238"/>
      </rPr>
      <t>sifonu, nerezové pákové baterie a příslušenství. "</t>
    </r>
  </si>
  <si>
    <t>3ia</t>
  </si>
  <si>
    <t>" - LED pásek vč. hliníkového profilu, trafa (zdroje), konektoru pro napájení, zapojení a veškerého nutného příslušenství. " (6,98)*1,05</t>
  </si>
  <si>
    <t>4ha</t>
  </si>
  <si>
    <t>" - LED pásek vč. hliníkového profilu, trafa (zdroje), konektoru pro napájení, zapojení a veškerého nutného příslušenství. " (3,2)*1,05</t>
  </si>
  <si>
    <t>5ia</t>
  </si>
  <si>
    <t>" - LED pásek vč. hliníkového profilu, trafa (zdroje), konektoru pro napájení, zapojení a veškerého nutného příslušenství. " (6,53)*1,05</t>
  </si>
  <si>
    <t>6ca</t>
  </si>
  <si>
    <t>6da</t>
  </si>
  <si>
    <t>" - LED pásek vč. hliníkového profilu, trafa (zdroje), konektoru pro napájení, zapojení a veškerého nutného příslušenství. " (1,8)*1,05</t>
  </si>
  <si>
    <t>D+M Kryt radiatorů - Specifikace dle PD - D.1.1.c.04. VÝPIS TRUHLÁŘSKÝCH VÝROBKŮ - T2.2</t>
  </si>
  <si>
    <t>" Dřevěný kryt na radiátor d.1900 mm, výška: 900mm "</t>
  </si>
  <si>
    <t xml:space="preserve">D+M Regulátor variabilního průtoku vzduchu pro kruhové potrubí DN 100, ovládání servopohonem - Specifikace dle PD - VAV   </t>
  </si>
  <si>
    <t xml:space="preserve">D+M Regulátor variabilního průtoku vzduchu pro kruhové potrubí DN 160, ovládání servopohonem - Specifikace dle PD - VAV   </t>
  </si>
  <si>
    <t xml:space="preserve">D+M Regulátor variabilního průtoku vzduchu pro kruhové potrubí DN 200, ovládání servopohonem - Specifikace dle PD - VAV   </t>
  </si>
  <si>
    <t xml:space="preserve">D+M Regulátor variabilního průtoku vzduchu pro čtyřhranné potrubí 500×200 mm, ovládání servopohonem - Specifikace dle PD - VAV   </t>
  </si>
  <si>
    <t xml:space="preserve">D+M Regulátor variabilního průtoku vzduchu pro čtyřhranné potrubí 630×200 mm, ovládání servopohonem - Specifikace dle PD - VAV   </t>
  </si>
  <si>
    <t>" Regulátor variabilního průtoku vzduchu pro kruhové potrubí D 100. 
Ovládání servopohonem. "</t>
  </si>
  <si>
    <t>" Regulátor variabilního průtoku vzduchu pro kruhové potrubí D 160. 
Ovládání servopohonem. "</t>
  </si>
  <si>
    <t>" Regulátor variabilního průtoku vzduchu pro kruhové potrubí D 200. 
Ovládání servopohonem. "</t>
  </si>
  <si>
    <t>" Regulátor variabilního průtoku vzduchu pro čtyřhranné potrubí 500×200 mm.
Ovládání servopohonem. "</t>
  </si>
  <si>
    <t>" Regulátor variabilního průtoku vzduchu pro čtyřhranné potrubí 630×200 mm.
Ovládání servopohonem. "</t>
  </si>
  <si>
    <t>82a</t>
  </si>
  <si>
    <t>D+M Zařízení pro úpravnu šedé vody - Zemní nádrž - Specifikace dle PD</t>
  </si>
  <si>
    <t>" Zemní nádrž s biologickým separátorem uvnitř nádrže. "</t>
  </si>
  <si>
    <t>" Zemní nádrž "</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</si>
  <si>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</si>
  <si>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82b</t>
  </si>
  <si>
    <t>D+M Zařízení pro úpravnu šedé vody - Automatická domácí vodárna s frekvenčním měničem - Specifikace dle PD</t>
  </si>
  <si>
    <t>" Automatická domácí vodárna s frekvenčním měničem. "</t>
  </si>
  <si>
    <t>" Automatická vodárna. "</t>
  </si>
  <si>
    <t>82c</t>
  </si>
  <si>
    <t>D+M Zařízení pro úpravnu šedé vody - Plovoucí sací sada - Specifikace dle PD</t>
  </si>
  <si>
    <t>" Plovoucí sací sada. "</t>
  </si>
  <si>
    <t>82d</t>
  </si>
  <si>
    <t>D+M Zařízení pro úpravnu šedé vody - Filtr - Specifikace dle PD</t>
  </si>
  <si>
    <t>" Filtr s pláštěm z nerezové oceli. Vybaven manometry a vypouštěcím ventilem. "</t>
  </si>
  <si>
    <t>" Filtr. "</t>
  </si>
  <si>
    <t>82e</t>
  </si>
  <si>
    <t>D+M Zařízení pro úpravnu šedé vody - Pískové zařízení - Specifikace dle PD</t>
  </si>
  <si>
    <t>" Plně automatický, časově řízený jednoduchý pískový filtr pro filtraci užitkové nebo pitné vody. "</t>
  </si>
  <si>
    <t>" Pískové zařízení. "</t>
  </si>
  <si>
    <t>82f</t>
  </si>
  <si>
    <t>722999106 SPC</t>
  </si>
  <si>
    <t>D+M Zařízení pro úpravnu šedé vody - Plováčkový průtokoměr - Specifikace dle PD</t>
  </si>
  <si>
    <t>" Plováčkový průtokoměr - rotametr 0,25 - 2,5m3/hod. "</t>
  </si>
  <si>
    <t>" Plováčkový průtokoměr. "</t>
  </si>
  <si>
    <t>82g</t>
  </si>
  <si>
    <t>722999107 SPC</t>
  </si>
  <si>
    <t>D+M Zařízení pro úpravnu šedé vody - Sklepní nádrž - Specifikace dle PD</t>
  </si>
  <si>
    <t>" Sklepní nádrž 1000l. "</t>
  </si>
  <si>
    <t>" Nádrž "</t>
  </si>
  <si>
    <t>82h</t>
  </si>
  <si>
    <t>722999108 SPC</t>
  </si>
  <si>
    <t>D+M Zařízení pro úpravnu šedé vody - Průchodka PVC - Specifikace dle PD</t>
  </si>
  <si>
    <t>" Průchodka PVC. "</t>
  </si>
  <si>
    <t>" Průchodka. "</t>
  </si>
  <si>
    <t>82i</t>
  </si>
  <si>
    <t>722999109 SPC</t>
  </si>
  <si>
    <t>D+M Zařízení pro úpravnu šedé vody - Průchodka stěnou PVC - Specifikace dle PD</t>
  </si>
  <si>
    <t>" Průchodka stěnou PVC 50mm s těsněním. "</t>
  </si>
  <si>
    <t>82j</t>
  </si>
  <si>
    <t>722999110 SPC</t>
  </si>
  <si>
    <t>D+M Zařízení pro úpravnu šedé vody - Vodárna s frekvenčním měničem - Specifikace dle PD</t>
  </si>
  <si>
    <t>" Vodárna s frekvenčním měničem "</t>
  </si>
  <si>
    <t>" Vodárna. "</t>
  </si>
  <si>
    <t>82k</t>
  </si>
  <si>
    <t>722999111 SPC</t>
  </si>
  <si>
    <t>D+M Zařízení pro úpravnu šedé vody - Filtr s manuálním zpětným proplachem - Specifikace dle PD</t>
  </si>
  <si>
    <t>" Filtr s manuálním zpětným proplachem. "</t>
  </si>
  <si>
    <t>82l</t>
  </si>
  <si>
    <t>722999112 SPC</t>
  </si>
  <si>
    <t>D+M Zařízení pro úpravnu šedé vody - Nízkotlaká UV jednotka - Specifikace dle PD</t>
  </si>
  <si>
    <t>" Nízkotlaká UV jednotka. "</t>
  </si>
  <si>
    <t>82m</t>
  </si>
  <si>
    <t>722999113 SPC</t>
  </si>
  <si>
    <t>D+M Zařízení pro úpravnu šedé vody - Řídící systém úpravny vody - Specifikace dle PD</t>
  </si>
  <si>
    <t>" Řídící systém úpravny vody. "</t>
  </si>
  <si>
    <t>82n</t>
  </si>
  <si>
    <t>722999114 SPC</t>
  </si>
  <si>
    <t>" Zařízení 75l speciální náplňový filtr pro odstranování huminových látek. "</t>
  </si>
  <si>
    <t>" Ochranný filtr. "</t>
  </si>
  <si>
    <t>82o</t>
  </si>
  <si>
    <t>722999115 SPC</t>
  </si>
  <si>
    <t>D+M Zařízení pro úpravnu šedé vody - Práce technika - Specifikace dle PD</t>
  </si>
  <si>
    <t>" Práce technika. "</t>
  </si>
  <si>
    <t>" Technik. "</t>
  </si>
  <si>
    <t>82p</t>
  </si>
  <si>
    <t>722999116 SPC</t>
  </si>
  <si>
    <t>D+M Zařízení pro úpravnu šedé vody - Doprava a čas na cestě - Specifikace dle PD</t>
  </si>
  <si>
    <t>" Doprava a čas na cestě. "</t>
  </si>
  <si>
    <r>
      <t>" V ceně:
 - přerušení dodávky vody před napojením nového potrubí na stávající</t>
    </r>
    <r>
      <rPr>
        <sz val="8"/>
        <color rgb="FFFF00FF"/>
        <rFont val="Arial CE"/>
        <family val="2"/>
        <charset val="238"/>
      </rPr>
      <t xml:space="preserve"> - v místě za vodoměrem;</t>
    </r>
    <r>
      <rPr>
        <sz val="8"/>
        <color indexed="12"/>
        <rFont val="Arial CE"/>
        <family val="2"/>
        <charset val="238"/>
      </rPr>
      <t xml:space="preserve">
 - proplach a desinfekce stávajícího potrubí po napojení a opětovném zprovoznění - </t>
    </r>
    <r>
      <rPr>
        <sz val="8"/>
        <color rgb="FFFF00FF"/>
        <rFont val="Arial CE"/>
        <family val="2"/>
        <charset val="238"/>
      </rPr>
      <t>předpoklad od vodoměru po napojení potrubí na řad - uvažována délka 22,0 m;</t>
    </r>
    <r>
      <rPr>
        <sz val="8"/>
        <color indexed="12"/>
        <rFont val="Arial CE"/>
        <family val="2"/>
        <charset val="238"/>
      </rPr>
      <t xml:space="preserve">
 - napojení potrubí na zařízení a potrubí jiných profesí </t>
    </r>
    <r>
      <rPr>
        <sz val="8"/>
        <color rgb="FFFF00FF"/>
        <rFont val="Arial CE"/>
        <family val="2"/>
        <charset val="238"/>
      </rPr>
      <t>- uvažována zajištění napojení zásobník TUV / potrubí ze zásobníku - 3 ks;</t>
    </r>
    <r>
      <rPr>
        <sz val="8"/>
        <color indexed="12"/>
        <rFont val="Arial CE"/>
        <family val="2"/>
        <charset val="238"/>
      </rPr>
      <t xml:space="preserve">
 - další potřebné dodávky a práce na stávajícím vodovodním systému spojené s přerušením vedení a napojením na stávající rozvody potrubí. "</t>
    </r>
  </si>
  <si>
    <t>ŘEŠENO SAMOSTATNOU DOKUMENTACÍ</t>
  </si>
  <si>
    <t>D+M Zařízení pro úpravnu šedé vody - Zařízení pro odstranění huminových látek - Specifikace dle PD</t>
  </si>
  <si>
    <t>21a</t>
  </si>
  <si>
    <t>21b</t>
  </si>
  <si>
    <t>21c</t>
  </si>
  <si>
    <t>21d</t>
  </si>
  <si>
    <t>21e</t>
  </si>
  <si>
    <t>21f</t>
  </si>
  <si>
    <t>REKAPITULACE CELKOVÁ</t>
  </si>
  <si>
    <t>Stavba:  Energetické úspory ZŠ U Soudu - Objekt stravovny a jídelny</t>
  </si>
  <si>
    <t>Objekt:  D.1.4.1 ZTI</t>
  </si>
  <si>
    <t>Část: D.1.4.1.b.08. AREÁLOVÁ KANALIZACE</t>
  </si>
  <si>
    <t>JKSO: 828.73</t>
  </si>
  <si>
    <r>
      <t xml:space="preserve">Cena celkem                     </t>
    </r>
    <r>
      <rPr>
        <sz val="8"/>
        <rFont val="Arial CE"/>
        <family val="2"/>
        <charset val="238"/>
      </rPr>
      <t xml:space="preserve">                            </t>
    </r>
  </si>
  <si>
    <t>D.1.4.1.b.08. AREÁLOVÁ KANALIZACE</t>
  </si>
  <si>
    <t>D.1.4.1.b.08. AREÁLOVÁ KANALIZACE - BOURÁNÍ STÁVAJÍCÍ KANALIZACE</t>
  </si>
  <si>
    <t>D.1.4.1.b.08. AREÁLOVÁ KANALIZACE - CELKEM</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</si>
  <si>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</si>
  <si>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</si>
  <si>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</si>
  <si>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</si>
  <si>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</si>
  <si>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</si>
  <si>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</si>
  <si>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</si>
  <si>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</si>
  <si>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Hloubení zapažených rýh šířky do 2000 mm v nesoudržných horninách třídy těžitelnosti I skupiny 3 ručně</t>
  </si>
  <si>
    <t xml:space="preserve">" Hloubení rýhy pro areálovou kanalizaci - splaškovou - 10 % z celkové kubatury " </t>
  </si>
  <si>
    <t>" Hloubení rýhy pro areálovou kanalizaci - splaškovou - úsek V1 - RŠ4 " (5,2*1,2*1,65)*0,1</t>
  </si>
  <si>
    <t>" Hloubení rýhy pro areálovou kanalizaci - splaškovou - úsek V2 - RŠ9 " (1,0*1,2*1,15)*0,1</t>
  </si>
  <si>
    <t>" Hloubení rýhy pro areálovou kanalizaci - splaškovou - úsek RŠ9 - RŠ5 " (4,2*1,2*1,15)*0,1</t>
  </si>
  <si>
    <t xml:space="preserve">" Hloubení rýhy pro areálovou kanalizaci - jednotnou - 10 % z celkové kubatury " </t>
  </si>
  <si>
    <t>" Hloubení rýhy pro areálovou kanalizaci - jednotnou - úsek žlab - RŠ8 " (2,9*1,2*1,35)*0,1</t>
  </si>
  <si>
    <t>" Hloubení rýhy pro areálovou kanalizaci - jednotnou - úsek RŠ8 - RŠ7 " (19,3*1,2*1,25)*0,1</t>
  </si>
  <si>
    <t>" Hloubení rýhy pro areálovou kanalizaci - jednotnou - úsek LŽ - RŠ7 " (4,9*1,2*1,1)*0,1</t>
  </si>
  <si>
    <t>" Hloubení rýhy pro areálovou kanalizaci - jednotnou - úsek RŠ7 - RŠ6 " (10,4*1,2*1,15)*0,1</t>
  </si>
  <si>
    <t>" Hloubení rýhy pro areálovou kanalizaci - jednotnou - úsek RŠ6 - RŠ5 " (8,7*1,2*1,15)*0,1</t>
  </si>
  <si>
    <t>" Hloubení rýhy pro areálovou kanalizaci - jednotnou - úsek RŠ5 - RŠ4 " (8,8*1,2*1,4)*0,1</t>
  </si>
  <si>
    <t>" Hloubení rýhy pro areálovou kanalizaci - jednotnou - úsek RŠ4 - RŠ3 " (5,0*1,2*1,8)*0,1</t>
  </si>
  <si>
    <t>" Hloubení rýhy pro areálovou kanalizaci - jednotnou - úsek RŠ3 - RŠ2 " (18,4*1,2*1,75)*0,1</t>
  </si>
  <si>
    <t>" Hloubení rýhy pro areálovou kanalizaci - jednotnou - úsek RŠ2 - RŠ1 " (7,6*1,2*1,5)*0,1</t>
  </si>
  <si>
    <t>" Hloubení rýhy pro areálovou kanalizaci - jednotnou - úsek RŠ1 - Š1 " (1,9*1,2*1,4)*0,1</t>
  </si>
  <si>
    <t>" Hloubení rýhy pro areálovou kanalizaci - jednotnou - úsek Š1 - N1 " (4,8*1,2*1,4)*0,1</t>
  </si>
  <si>
    <t>" Hloubení rýhy pro areálovou kanalizaci - jednotnou - úsek AN - Š1 " (1,7*1,2*1,4)*0,1</t>
  </si>
  <si>
    <t>" Hloubení rýhy pro areálovou kanalizaci - jednotnou - úsek RŠ2 - RŠ9 " (5,0*1,2*1,5)*0,1</t>
  </si>
  <si>
    <t>" Hloubení rýhy pro areálovou kanalizaci - jednotnou - úsek RŠ9 - žlab " (21,4*1,2*1,35)*0,1</t>
  </si>
  <si>
    <t>" Hloubení rýhy pro areálovou kanalizaci - jednotnou - úsek V3 - RŠ6 " (3,6*1,2*1,15)*0,1</t>
  </si>
  <si>
    <t xml:space="preserve">" Hloubení rýhy pro areálovou kanalizaci - dešťovou - 10 % z celkové kubatury " </t>
  </si>
  <si>
    <t>" Hloubení rýhy pro areálovou kanalizaci - dešťovou - úsek V7 - RŠ17 " (1,5*1,2*1,15)*0,1</t>
  </si>
  <si>
    <t>" Hloubení rýhy pro areálovou kanalizaci - dešťovou - úsek RŠ17 - RŠ16 " (18,2*1,2*1,3)*0,1</t>
  </si>
  <si>
    <t>" Hloubení rýhy pro areálovou kanalizaci - dešťovou - úsek RŠ16 - RŠ15 " (5,8*1,2*1,4)*0,1</t>
  </si>
  <si>
    <t>" Hloubení rýhy pro areálovou kanalizaci - dešťovou - úsek RŠ15 - RŠ14 " (15,1*1,2*1,2)*0,1</t>
  </si>
  <si>
    <t>" Hloubení rýhy pro areálovou kanalizaci - dešťovou - úsek RŠ14 - RŠ13 " (9,5*1,2*1,25)*0,1</t>
  </si>
  <si>
    <t>" Hloubení rýhy pro areálovou kanalizaci - dešťovou - úsek RŠ13 - RŠ12 " (3,9*1,2*1,6)*0,1</t>
  </si>
  <si>
    <t>" Hloubení rýhy pro areálovou kanalizaci - dešťovou - úsek RŠ12 - RŠ11 " (11,4*1,2*1,65)*0,1</t>
  </si>
  <si>
    <t>" Hloubení rýhy pro areálovou kanalizaci - dešťovou - úsek RŠ11 - RŠ10 " (8,4*1,2*1,75)*0,1</t>
  </si>
  <si>
    <t>" Hloubení rýhy pro areálovou kanalizaci - dešťovou - úsek RŠ10 - AN " (1,0*1,2*1,8)*0,1</t>
  </si>
  <si>
    <t>" Hloubení rýhy pro areálovou kanalizaci - dešťovou - úsek RŠ10 - RŠ18 " (7,8*1,2*1,6)*0,1</t>
  </si>
  <si>
    <t>" Hloubení rýhy pro areálovou kanalizaci - dešťovou - úsek RŠ18 - RŠ19 " (19,7*1,2*1,35)*0,1</t>
  </si>
  <si>
    <t>" Hloubení rýhy pro areálovou kanalizaci - dešťovou - úsek RŠ19 - RŠ20 " (25,0*1,2*1,35)*0,1</t>
  </si>
  <si>
    <t>" Hloubení rýhy pro areálovou kanalizaci - dešťovou - úsek V8 - RŠ20 " (2,1*1,2*1,35)*0,1</t>
  </si>
  <si>
    <t>" Hloubení rýhy pro areálovou kanalizaci - dešťovou - úsek V9 - RŠ20-RŠ19 " (2,5*1,2*1,35)*0,1</t>
  </si>
  <si>
    <t>" Hloubení rýhy pro areálovou kanalizaci - dešťovou - úsek V4 - RŠ11 " (4,6*1,2*1,65)*0,1</t>
  </si>
  <si>
    <t>" Hloubení rýhy pro areálovou kanalizaci - dešťovou - úsek V5 - RŠ14-RŠ13 " (6,2*1,2*1,0)*0,1</t>
  </si>
  <si>
    <t>" Hloubení rýhy pro areálovou kanalizaci - dešťovou - úsek V6 - RŠ15 " (3,2*1,2*1,35)*0,1</t>
  </si>
  <si>
    <t>" Hloubení rýh pro kanalizační šachty z PP - 10 % z celkové kubatury "</t>
  </si>
  <si>
    <t>" Hloubení rýhy pro kanalizační šachtu z PP - RŠ1 " (1,6*1,6*1,35)*0,1</t>
  </si>
  <si>
    <t>" Hloubení rýhy pro kanalizační šachtu z PP - RŠ2 " (1,6*1,6*1,6)*0,1</t>
  </si>
  <si>
    <t>" Hloubení rýhy pro kanalizační šachtu z PP - RŠ3 " (1,6*1,6*1,9)*0,1</t>
  </si>
  <si>
    <t>" Hloubení rýhy pro kanalizační šachtu z PP - RŠ4 " (1,6*1,6*1,65)*0,1</t>
  </si>
  <si>
    <t>" Hloubení rýhy pro kanalizační šachtu z PP - RŠ5 " (1,6*1,6*1,15)*0,1</t>
  </si>
  <si>
    <t>" Hloubení rýhy pro kanalizační šachtu z PP - RŠ6 " (1,6*1,6*1,15)*0,1</t>
  </si>
  <si>
    <t>" Hloubení rýhy pro kanalizační šachtu z PP - RŠ7 " (1,6*1,6*1,1)*0,1</t>
  </si>
  <si>
    <t>" Hloubení rýhy pro kanalizační šachtu z PP - RŠ8 " (1,6*1,6*1,35)*0,1</t>
  </si>
  <si>
    <t>" Hloubení rýhy pro kanalizační šachtu z PP - RŠ9 - jednotná kanalizace " (1,6*1,6*1,35)*0,1</t>
  </si>
  <si>
    <t>" Hloubení rýhy pro kanalizační šachtu z PP - RŠ9 - splašková kanalizace " (1,6*1,6*1,15)*0,1</t>
  </si>
  <si>
    <t>" Hloubení rýhy pro kanalizační šachtu z PP - RŠ10 " (1,6*1,6*1,8)*0,1</t>
  </si>
  <si>
    <t>" Hloubení rýhy pro kanalizační šachtu z PP - RŠ11 " (1,6*1,6*1,65)*0,1</t>
  </si>
  <si>
    <t>" Hloubení rýhy pro kanalizační šachtu z PP - RŠ12 " (1,6*1,6*1,65)*0,1</t>
  </si>
  <si>
    <t>" Hloubení rýhy pro kanalizační šachtu z PP - RŠ13 " (1,6*1,6*1,5)*0,1</t>
  </si>
  <si>
    <t>" Hloubení rýhy pro kanalizační šachtu z PP - RŠ14 " (1,6*1,6*1,0)*0,1</t>
  </si>
  <si>
    <t>" Hloubení rýhy pro kanalizační šachtu z PP - RŠ15 " (1,6*1,6*1,35)*0,1</t>
  </si>
  <si>
    <t>" Hloubení rýhy pro kanalizační šachtu z PP - RŠ16 " (1,6*1,6*1,4)*0,1</t>
  </si>
  <si>
    <t>" Hloubení rýhy pro kanalizační šachtu z PP - RŠ17 " (1,6*1,6*1,15)*0,1</t>
  </si>
  <si>
    <t>" Hloubení rýhy pro kanalizační šachtu z PP - RŠ18 " (1,6*1,6*1,35)*0,1</t>
  </si>
  <si>
    <t>" Hloubení rýhy pro kanalizační šachtu z PP - RŠ19 " (1,6*1,6*1,35)*0,1</t>
  </si>
  <si>
    <t>" Hloubení rýhy pro kanalizační šachtu z PP - RŠ20 " (1,6*1,6*1,35)*0,1</t>
  </si>
  <si>
    <t>" Hloubení rýh pro betonové kanalizační šachty - 10 % z celkové kubatury "</t>
  </si>
  <si>
    <t>" Hloubení rýhy pro betonovou kanalizační šachtu - Š1 " (2,0*2,0*1,65)*0,1</t>
  </si>
  <si>
    <t>" V ceně zohledněno svislé přemístění zeminy, naložení výkopku nebo uložení ve vzdálenosti do 3,0 m od rýhy, lepivost a případné urovnání dna. "</t>
  </si>
  <si>
    <t>Hloubení zapažených rýh š do 2000 mm v hornině třídy těžitelnosti I skupiny 3 objem do 500 m3</t>
  </si>
  <si>
    <t xml:space="preserve">" Hloubení rýhy pro areálovou kanalizaci - splaškovou - 50 % z celkové kubatury " </t>
  </si>
  <si>
    <t>" Hloubení rýhy pro areálovou kanalizaci - splaškovou - úsek V1 - RŠ4 " (5,2*1,2*1,65)*0,5</t>
  </si>
  <si>
    <t>" Hloubení rýhy pro areálovou kanalizaci - splaškovou - úsek V2 - RŠ9 " (1,0*1,2*1,15)*0,5</t>
  </si>
  <si>
    <t>" Hloubení rýhy pro areálovou kanalizaci - splaškovou - úsek RŠ9 - RŠ5 " (4,2*1,2*1,15)*0,5</t>
  </si>
  <si>
    <t xml:space="preserve">" Hloubení rýhy pro areálovou kanalizaci - jednotnou - 50 % z celkové kubatury " </t>
  </si>
  <si>
    <t>" Hloubení rýhy pro areálovou kanalizaci - jednotnou - úsek žlab - RŠ8 " (2,9*1,2*1,35)*0,5</t>
  </si>
  <si>
    <t>" Hloubení rýhy pro areálovou kanalizaci - jednotnou - úsek RŠ8 - RŠ7 " (19,3*1,2*1,25)*0,5</t>
  </si>
  <si>
    <t>" Hloubení rýhy pro areálovou kanalizaci - jednotnou - úsek LŽ - RŠ7 " (4,9*1,2*1,1)*0,5</t>
  </si>
  <si>
    <t>" Hloubení rýhy pro areálovou kanalizaci - jednotnou - úsek RŠ7 - RŠ6 " (10,4*1,2*1,15)*0,5</t>
  </si>
  <si>
    <t>" Hloubení rýhy pro areálovou kanalizaci - jednotnou - úsek RŠ6 - RŠ5 " (8,7*1,2*1,15)*0,5</t>
  </si>
  <si>
    <t>" Hloubení rýhy pro areálovou kanalizaci - jednotnou - úsek RŠ5 - RŠ4 " (8,8*1,2*1,4)*0,5</t>
  </si>
  <si>
    <t>" Hloubení rýhy pro areálovou kanalizaci - jednotnou - úsek RŠ4 - RŠ3 " (5,0*1,2*1,8)*0,5</t>
  </si>
  <si>
    <t>" Hloubení rýhy pro areálovou kanalizaci - jednotnou - úsek RŠ3 - RŠ2 " (18,4*1,2*1,75)*0,5</t>
  </si>
  <si>
    <t>" Hloubení rýhy pro areálovou kanalizaci - jednotnou - úsek RŠ2 - RŠ1 " (7,6*1,2*1,5)*0,5</t>
  </si>
  <si>
    <t>" Hloubení rýhy pro areálovou kanalizaci - jednotnou - úsek RŠ1 - Š1 " (1,9*1,2*1,4)*0,5</t>
  </si>
  <si>
    <t>" Hloubení rýhy pro areálovou kanalizaci - jednotnou - úsek Š1 - N1 " (4,8*1,2*1,4)*0,5</t>
  </si>
  <si>
    <t>" Hloubení rýhy pro areálovou kanalizaci - jednotnou - úsek AN - Š1 " (1,7*1,2*1,4)*0,5</t>
  </si>
  <si>
    <t>" Hloubení rýhy pro areálovou kanalizaci - jednotnou - úsek RŠ2 - RŠ9 " (5,0*1,2*1,5)*0,5</t>
  </si>
  <si>
    <t>" Hloubení rýhy pro areálovou kanalizaci - jednotnou - úsek RŠ9 - žlab " (21,4*1,2*1,35)*0,5</t>
  </si>
  <si>
    <t>" Hloubení rýhy pro areálovou kanalizaci - jednotnou - úsek V3 - RŠ6 " (3,6*1,2*1,15)*0,5</t>
  </si>
  <si>
    <t xml:space="preserve">" Hloubení rýhy pro areálovou kanalizaci - dešťovou - 50 % z celkové kubatury " </t>
  </si>
  <si>
    <t>" Hloubení rýhy pro areálovou kanalizaci - dešťovou - úsek V7 - RŠ17 " (1,5*1,2*1,15)*0,5</t>
  </si>
  <si>
    <t>" Hloubení rýhy pro areálovou kanalizaci - dešťovou - úsek RŠ17 - RŠ16 " (18,2*1,2*1,3)*0,5</t>
  </si>
  <si>
    <t>" Hloubení rýhy pro areálovou kanalizaci - dešťovou - úsek RŠ16 - RŠ15 " (5,8*1,2*1,4)*0,5</t>
  </si>
  <si>
    <t>" Hloubení rýhy pro areálovou kanalizaci - dešťovou - úsek RŠ15 - RŠ14 " (15,1*1,2*1,2)*0,5</t>
  </si>
  <si>
    <t>" Hloubení rýhy pro areálovou kanalizaci - dešťovou - úsek RŠ14 - RŠ13 " (9,5*1,2*1,25)*0,5</t>
  </si>
  <si>
    <t>" Hloubení rýhy pro areálovou kanalizaci - dešťovou - úsek RŠ13 - RŠ12 " (3,9*1,2*1,6)*0,5</t>
  </si>
  <si>
    <t>" Hloubení rýhy pro areálovou kanalizaci - dešťovou - úsek RŠ12 - RŠ11 " (11,4*1,2*1,65)*0,5</t>
  </si>
  <si>
    <t>" Hloubení rýhy pro areálovou kanalizaci - dešťovou - úsek RŠ11 - RŠ10 " (8,4*1,2*1,75)*0,5</t>
  </si>
  <si>
    <t>" Hloubení rýhy pro areálovou kanalizaci - dešťovou - úsek RŠ10 - AN " (1,0*1,2*1,8)*0,5</t>
  </si>
  <si>
    <t>" Hloubení rýhy pro areálovou kanalizaci - dešťovou - úsek RŠ10 - RŠ18 " (7,8*1,2*1,6)*0,5</t>
  </si>
  <si>
    <t>" Hloubení rýhy pro areálovou kanalizaci - dešťovou - úsek RŠ18 - RŠ19 " (19,7*1,2*1,35)*0,5</t>
  </si>
  <si>
    <t>" Hloubení rýhy pro areálovou kanalizaci - dešťovou - úsek RŠ19 - RŠ20 " (25,0*1,2*1,35)*0,5</t>
  </si>
  <si>
    <t>" Hloubení rýhy pro areálovou kanalizaci - dešťovou - úsek V8 - RŠ20 " (2,1*1,2*1,35)*0,5</t>
  </si>
  <si>
    <t>" Hloubení rýhy pro areálovou kanalizaci - dešťovou - úsek V9 - RŠ20-RŠ19 " (2,5*1,2*1,35)*0,5</t>
  </si>
  <si>
    <t>" Hloubení rýhy pro areálovou kanalizaci - dešťovou - úsek V4 - RŠ11 " (4,6*1,2*1,65)*0,5</t>
  </si>
  <si>
    <t>" Hloubení rýhy pro areálovou kanalizaci - dešťovou - úsek V5 - RŠ14-RŠ13 " (6,2*1,2*1,0)*0,5</t>
  </si>
  <si>
    <t>" Hloubení rýhy pro areálovou kanalizaci - dešťovou - úsek V6 - RŠ15 " (3,2*1,2*1,35)*0,5</t>
  </si>
  <si>
    <t>" Hloubení rýh pro kanalizační šachty z PP - 50 % z celkové kubatury "</t>
  </si>
  <si>
    <t>" Hloubení rýhy pro kanalizační šachtu z PP - RŠ1 " (1,6*1,6*1,35)*0,5</t>
  </si>
  <si>
    <t>" Hloubení rýhy pro kanalizační šachtu z PP - RŠ2 " (1,6*1,6*1,6)*0,5</t>
  </si>
  <si>
    <t>" Hloubení rýhy pro kanalizační šachtu z PP - RŠ3 " (1,6*1,6*1,9)*0,5</t>
  </si>
  <si>
    <t>" Hloubení rýhy pro kanalizační šachtu z PP - RŠ4 " (1,6*1,6*1,65)*0,5</t>
  </si>
  <si>
    <t>" Hloubení rýhy pro kanalizační šachtu z PP - RŠ5 " (1,6*1,6*1,15)*0,5</t>
  </si>
  <si>
    <t>" Hloubení rýhy pro kanalizační šachtu z PP - RŠ6 " (1,6*1,6*1,15)*0,5</t>
  </si>
  <si>
    <t>" Hloubení rýhy pro kanalizační šachtu z PP - RŠ7 " (1,6*1,6*1,1)*0,5</t>
  </si>
  <si>
    <t>" Hloubení rýhy pro kanalizační šachtu z PP - RŠ8 " (1,6*1,6*1,35)*0,5</t>
  </si>
  <si>
    <t>" Hloubení rýhy pro kanalizační šachtu z PP - RŠ9 - jednotná kanalizace " (1,6*1,6*1,35)*0,5</t>
  </si>
  <si>
    <t>" Hloubení rýhy pro kanalizační šachtu z PP - RŠ9 - splašková kanalizace " (1,6*1,6*1,15)*0,5</t>
  </si>
  <si>
    <t>" Hloubení rýhy pro kanalizační šachtu z PP - RŠ10 " (1,6*1,6*1,8)*0,5</t>
  </si>
  <si>
    <t>" Hloubení rýhy pro kanalizační šachtu z PP - RŠ11 " (1,6*1,6*1,65)*0,5</t>
  </si>
  <si>
    <t>" Hloubení rýhy pro kanalizační šachtu z PP - RŠ12 " (1,6*1,6*1,65)*0,5</t>
  </si>
  <si>
    <t>" Hloubení rýhy pro kanalizační šachtu z PP - RŠ13 " (1,6*1,6*1,5)*0,5</t>
  </si>
  <si>
    <t>" Hloubení rýhy pro kanalizační šachtu z PP - RŠ14 " (1,6*1,6*1,0)*0,5</t>
  </si>
  <si>
    <t>" Hloubení rýhy pro kanalizační šachtu z PP - RŠ15 " (1,6*1,6*1,35)*0,5</t>
  </si>
  <si>
    <t>" Hloubení rýhy pro kanalizační šachtu z PP - RŠ16 " (1,6*1,6*1,4)*0,5</t>
  </si>
  <si>
    <t>" Hloubení rýhy pro kanalizační šachtu z PP - RŠ17 " (1,6*1,6*1,15)*0,5</t>
  </si>
  <si>
    <t>" Hloubení rýhy pro kanalizační šachtu z PP - RŠ18 " (1,6*1,6*1,35)*0,5</t>
  </si>
  <si>
    <t>" Hloubení rýhy pro kanalizační šachtu z PP - RŠ19 " (1,6*1,6*1,35)*0,5</t>
  </si>
  <si>
    <t>" Hloubení rýhy pro kanalizační šachtu z PP - RŠ20 " (1,6*1,6*1,35)*0,5</t>
  </si>
  <si>
    <t>" Hloubení rýh pro betonové kanalizační šachty - 50 % z celkové kubatury "</t>
  </si>
  <si>
    <t>" Hloubení rýhy pro betonovou kanalizační šachtu - Š1 " (2,0*2,0*1,65)*0,5</t>
  </si>
  <si>
    <t>Hloubení zapažených rýh šířky do 2000 mm v nesoudržných horninách třídy těžitelnosti II skupiny 4 ručně</t>
  </si>
  <si>
    <t xml:space="preserve">" Hloubení rýhy pro areálovou kanalizaci - splaškovou - 5 % z celkové kubatury " </t>
  </si>
  <si>
    <t>" Hloubení rýhy pro areálovou kanalizaci - splaškovou - úsek V1 - RŠ4 " (5,2*1,2*1,65)*0,05</t>
  </si>
  <si>
    <t>" Hloubení rýhy pro areálovou kanalizaci - splaškovou - úsek V2 - RŠ9 " (1,0*1,2*1,15)*0,05</t>
  </si>
  <si>
    <t>" Hloubení rýhy pro areálovou kanalizaci - splaškovou - úsek RŠ9 - RŠ5 " (4,2*1,2*1,15)*0,05</t>
  </si>
  <si>
    <t xml:space="preserve">" Hloubení rýhy pro areálovou kanalizaci - jednotnou - 5 % z celkové kubatury " </t>
  </si>
  <si>
    <t>" Hloubení rýhy pro areálovou kanalizaci - jednotnou - úsek žlab - RŠ8 " (2,9*1,2*1,35)*0,05</t>
  </si>
  <si>
    <t>" Hloubení rýhy pro areálovou kanalizaci - jednotnou - úsek RŠ8 - RŠ7 " (19,3*1,2*1,25)*0,05</t>
  </si>
  <si>
    <t>" Hloubení rýhy pro areálovou kanalizaci - jednotnou - úsek LŽ - RŠ7 " (4,9*1,2*1,1)*0,05</t>
  </si>
  <si>
    <t>" Hloubení rýhy pro areálovou kanalizaci - jednotnou - úsek RŠ7 - RŠ6 " (10,4*1,2*1,15)*0,05</t>
  </si>
  <si>
    <t>" Hloubení rýhy pro areálovou kanalizaci - jednotnou - úsek RŠ6 - RŠ5 " (8,7*1,2*1,15)*0,05</t>
  </si>
  <si>
    <t>" Hloubení rýhy pro areálovou kanalizaci - jednotnou - úsek RŠ5 - RŠ4 " (8,8*1,2*1,4)*0,05</t>
  </si>
  <si>
    <t>" Hloubení rýhy pro areálovou kanalizaci - jednotnou - úsek RŠ4 - RŠ3 " (5,0*1,2*1,8)*0,05</t>
  </si>
  <si>
    <t>" Hloubení rýhy pro areálovou kanalizaci - jednotnou - úsek RŠ3 - RŠ2 " (18,4*1,2*1,75)*0,05</t>
  </si>
  <si>
    <t>" Hloubení rýhy pro areálovou kanalizaci - jednotnou - úsek RŠ2 - RŠ1 " (7,6*1,2*1,5)*0,05</t>
  </si>
  <si>
    <t>" Hloubení rýhy pro areálovou kanalizaci - jednotnou - úsek RŠ1 - Š1 " (1,9*1,2*1,4)*0,05</t>
  </si>
  <si>
    <t>" Hloubení rýhy pro areálovou kanalizaci - jednotnou - úsek Š1 - N1 " (4,8*1,2*1,4)*0,05</t>
  </si>
  <si>
    <t>" Hloubení rýhy pro areálovou kanalizaci - jednotnou - úsek AN - Š1 " (1,7*1,2*1,4)*0,05</t>
  </si>
  <si>
    <t>" Hloubení rýhy pro areálovou kanalizaci - jednotnou - úsek RŠ2 - RŠ9 " (5,0*1,2*1,5)*0,05</t>
  </si>
  <si>
    <t>" Hloubení rýhy pro areálovou kanalizaci - jednotnou - úsek RŠ9 - žlab " (21,4*1,2*1,35)*0,05</t>
  </si>
  <si>
    <t>" Hloubení rýhy pro areálovou kanalizaci - jednotnou - úsek V3 - RŠ6 " (3,6*1,2*1,15)*0,05</t>
  </si>
  <si>
    <t xml:space="preserve">" Hloubení rýhy pro areálovou kanalizaci - dešťovou - 5 % z celkové kubatury " </t>
  </si>
  <si>
    <t>" Hloubení rýhy pro areálovou kanalizaci - dešťovou - úsek V7 - RŠ17 " (1,5*1,2*1,15)*0,05</t>
  </si>
  <si>
    <t>" Hloubení rýhy pro areálovou kanalizaci - dešťovou - úsek RŠ17 - RŠ16 " (18,2*1,2*1,3)*0,05</t>
  </si>
  <si>
    <t>" Hloubení rýhy pro areálovou kanalizaci - dešťovou - úsek RŠ16 - RŠ15 " (5,8*1,2*1,4)*0,05</t>
  </si>
  <si>
    <t>" Hloubení rýhy pro areálovou kanalizaci - dešťovou - úsek RŠ15 - RŠ14 " (15,1*1,2*1,2)*0,05</t>
  </si>
  <si>
    <t>" Hloubení rýhy pro areálovou kanalizaci - dešťovou - úsek RŠ14 - RŠ13 " (9,5*1,2*1,25)*0,05</t>
  </si>
  <si>
    <t>" Hloubení rýhy pro areálovou kanalizaci - dešťovou - úsek RŠ13 - RŠ12 " (3,9*1,2*1,6)*0,05</t>
  </si>
  <si>
    <t>" Hloubení rýhy pro areálovou kanalizaci - dešťovou - úsek RŠ12 - RŠ11 " (11,4*1,2*1,65)*0,05</t>
  </si>
  <si>
    <t>" Hloubení rýhy pro areálovou kanalizaci - dešťovou - úsek RŠ11 - RŠ10 " (8,4*1,2*1,75)*0,05</t>
  </si>
  <si>
    <t>" Hloubení rýhy pro areálovou kanalizaci - dešťovou - úsek RŠ10 - AN " (1,0*1,2*1,8)*0,05</t>
  </si>
  <si>
    <t>" Hloubení rýhy pro areálovou kanalizaci - dešťovou - úsek RŠ10 - RŠ18 " (7,8*1,2*1,6)*0,05</t>
  </si>
  <si>
    <t>" Hloubení rýhy pro areálovou kanalizaci - dešťovou - úsek RŠ18 - RŠ19 " (19,7*1,2*1,35)*0,05</t>
  </si>
  <si>
    <t>" Hloubení rýhy pro areálovou kanalizaci - dešťovou - úsek RŠ19 - RŠ20 " (25,0*1,2*1,35)*0,05</t>
  </si>
  <si>
    <t>" Hloubení rýhy pro areálovou kanalizaci - dešťovou - úsek V8 - RŠ20 " (2,1*1,2*1,35)*0,05</t>
  </si>
  <si>
    <t>" Hloubení rýhy pro areálovou kanalizaci - dešťovou - úsek V9 - RŠ20-RŠ19 " (2,5*1,2*1,35)*0,05</t>
  </si>
  <si>
    <t>" Hloubení rýhy pro areálovou kanalizaci - dešťovou - úsek V4 - RŠ11 " (4,6*1,2*1,65)*0,05</t>
  </si>
  <si>
    <t>" Hloubení rýhy pro areálovou kanalizaci - dešťovou - úsek V5 - RŠ14-RŠ13 " (6,2*1,2*1,0)*0,05</t>
  </si>
  <si>
    <t>" Hloubení rýhy pro areálovou kanalizaci - dešťovou - úsek V6 - RŠ15 " (3,2*1,2*1,35)*0,05</t>
  </si>
  <si>
    <t>" Hloubení rýh pro kanalizační šachty z PP - 5 % z celkové kubatury "</t>
  </si>
  <si>
    <t>" Hloubení rýhy pro kanalizační šachtu z PP - RŠ1 " (1,6*1,6*1,35)*0,05</t>
  </si>
  <si>
    <t>" Hloubení rýhy pro kanalizační šachtu z PP - RŠ2 " (1,6*1,6*1,6)*0,05</t>
  </si>
  <si>
    <t>" Hloubení rýhy pro kanalizační šachtu z PP - RŠ3 " (1,6*1,6*1,9)*0,05</t>
  </si>
  <si>
    <t>" Hloubení rýhy pro kanalizační šachtu z PP - RŠ4 " (1,6*1,6*1,65)*0,05</t>
  </si>
  <si>
    <t>" Hloubení rýhy pro kanalizační šachtu z PP - RŠ5 " (1,6*1,6*1,15)*0,05</t>
  </si>
  <si>
    <t>" Hloubení rýhy pro kanalizační šachtu z PP - RŠ6 " (1,6*1,6*1,15)*0,05</t>
  </si>
  <si>
    <t>" Hloubení rýhy pro kanalizační šachtu z PP - RŠ7 " (1,6*1,6*1,1)*0,05</t>
  </si>
  <si>
    <t>" Hloubení rýhy pro kanalizační šachtu z PP - RŠ8 " (1,6*1,6*1,35)*0,05</t>
  </si>
  <si>
    <t>" Hloubení rýhy pro kanalizační šachtu z PP - RŠ9 - jednotná kanalizace " (1,6*1,6*1,35)*0,05</t>
  </si>
  <si>
    <t>" Hloubení rýhy pro kanalizační šachtu z PP - RŠ9 - splašková kanalizace " (1,6*1,6*1,15)*0,05</t>
  </si>
  <si>
    <t>" Hloubení rýhy pro kanalizační šachtu z PP - RŠ10 " (1,6*1,6*1,8)*0,05</t>
  </si>
  <si>
    <t>" Hloubení rýhy pro kanalizační šachtu z PP - RŠ11 " (1,6*1,6*1,65)*0,05</t>
  </si>
  <si>
    <t>" Hloubení rýhy pro kanalizační šachtu z PP - RŠ12 " (1,6*1,6*1,65)*0,05</t>
  </si>
  <si>
    <t>" Hloubení rýhy pro kanalizační šachtu z PP - RŠ13 " (1,6*1,6*1,5)*0,05</t>
  </si>
  <si>
    <t>" Hloubení rýhy pro kanalizační šachtu z PP - RŠ14 " (1,6*1,6*1,0)*0,05</t>
  </si>
  <si>
    <t>" Hloubení rýhy pro kanalizační šachtu z PP - RŠ15 " (1,6*1,6*1,35)*0,05</t>
  </si>
  <si>
    <t>" Hloubení rýhy pro kanalizační šachtu z PP - RŠ16 " (1,6*1,6*1,4)*0,05</t>
  </si>
  <si>
    <t>" Hloubení rýhy pro kanalizační šachtu z PP - RŠ17 " (1,6*1,6*1,15)*0,05</t>
  </si>
  <si>
    <t>" Hloubení rýhy pro kanalizační šachtu z PP - RŠ18 " (1,6*1,6*1,35)*0,05</t>
  </si>
  <si>
    <t>" Hloubení rýhy pro kanalizační šachtu z PP - RŠ19 " (1,6*1,6*1,35)*0,05</t>
  </si>
  <si>
    <t>" Hloubení rýhy pro kanalizační šachtu z PP - RŠ20 " (1,6*1,6*1,35)*0,05</t>
  </si>
  <si>
    <t>" Hloubení rýh pro betonové kanalizační šachty - 5 % z celkové kubatury "</t>
  </si>
  <si>
    <t>" Hloubení rýhy pro betonovou kanalizační šachtu - Š1 " (2,0*2,0*1,65)*0,05</t>
  </si>
  <si>
    <t>Hloubení zapažených rýh š do 2000 mm v hornině třídy těžitelnosti II skupiny 4 objem do 500 m3</t>
  </si>
  <si>
    <t xml:space="preserve">" Hloubení rýhy pro areálovou kanalizaci - splaškovou - 30 % z celkové kubatury " </t>
  </si>
  <si>
    <t>" Hloubení rýhy pro areálovou kanalizaci - splaškovou - úsek V1 - RŠ4 " (5,2*1,2*1,65)*0,3</t>
  </si>
  <si>
    <t>" Hloubení rýhy pro areálovou kanalizaci - splaškovou - úsek V2 - RŠ9 " (1,0*1,2*1,15)*0,3</t>
  </si>
  <si>
    <t>" Hloubení rýhy pro areálovou kanalizaci - splaškovou - úsek RŠ9 - RŠ5 " (4,2*1,2*1,15)*0,3</t>
  </si>
  <si>
    <t xml:space="preserve">" Hloubení rýhy pro areálovou kanalizaci - jednotnou - 30 % z celkové kubatury " </t>
  </si>
  <si>
    <t>" Hloubení rýhy pro areálovou kanalizaci - jednotnou - úsek žlab - RŠ8 " (2,9*1,2*1,35)*0,3</t>
  </si>
  <si>
    <t>" Hloubení rýhy pro areálovou kanalizaci - jednotnou - úsek RŠ8 - RŠ7 " (19,3*1,2*1,25)*0,3</t>
  </si>
  <si>
    <t>" Hloubení rýhy pro areálovou kanalizaci - jednotnou - úsek LŽ - RŠ7 " (4,9*1,2*1,1)*0,3</t>
  </si>
  <si>
    <t>" Hloubení rýhy pro areálovou kanalizaci - jednotnou - úsek RŠ7 - RŠ6 " (10,4*1,2*1,15)*0,3</t>
  </si>
  <si>
    <t>" Hloubení rýhy pro areálovou kanalizaci - jednotnou - úsek RŠ6 - RŠ5 " (8,7*1,2*1,15)*0,3</t>
  </si>
  <si>
    <t>" Hloubení rýhy pro areálovou kanalizaci - jednotnou - úsek RŠ5 - RŠ4 " (8,8*1,2*1,4)*0,3</t>
  </si>
  <si>
    <t>" Hloubení rýhy pro areálovou kanalizaci - jednotnou - úsek RŠ4 - RŠ3 " (5,0*1,2*1,8)*0,3</t>
  </si>
  <si>
    <t>" Hloubení rýhy pro areálovou kanalizaci - jednotnou - úsek RŠ3 - RŠ2 " (18,4*1,2*1,75)*0,3</t>
  </si>
  <si>
    <t>" Hloubení rýhy pro areálovou kanalizaci - jednotnou - úsek RŠ2 - RŠ1 " (7,6*1,2*1,5)*0,3</t>
  </si>
  <si>
    <t>" Hloubení rýhy pro areálovou kanalizaci - jednotnou - úsek RŠ1 - Š1 " (1,9*1,2*1,4)*0,3</t>
  </si>
  <si>
    <t>" Hloubení rýhy pro areálovou kanalizaci - jednotnou - úsek Š1 - N1 " (4,8*1,2*1,4)*0,3</t>
  </si>
  <si>
    <t>" Hloubení rýhy pro areálovou kanalizaci - jednotnou - úsek AN - Š1 " (1,7*1,2*1,4)*0,3</t>
  </si>
  <si>
    <t>" Hloubení rýhy pro areálovou kanalizaci - jednotnou - úsek RŠ2 - RŠ9 " (5,0*1,2*1,5)*0,3</t>
  </si>
  <si>
    <t>" Hloubení rýhy pro areálovou kanalizaci - jednotnou - úsek RŠ9 - žlab " (21,4*1,2*1,35)*0,3</t>
  </si>
  <si>
    <t>" Hloubení rýhy pro areálovou kanalizaci - jednotnou - úsek V3 - RŠ6 " (3,6*1,2*1,15)*0,3</t>
  </si>
  <si>
    <t xml:space="preserve">" Hloubení rýhy pro areálovou kanalizaci - dešťovou - 30 % z celkové kubatury " </t>
  </si>
  <si>
    <t>" Hloubení rýhy pro areálovou kanalizaci - dešťovou - úsek V7 - RŠ17 " (1,5*1,2*1,15)*0,3</t>
  </si>
  <si>
    <t>" Hloubení rýhy pro areálovou kanalizaci - dešťovou - úsek RŠ17 - RŠ16 " (18,2*1,2*1,3)*0,3</t>
  </si>
  <si>
    <t>" Hloubení rýhy pro areálovou kanalizaci - dešťovou - úsek RŠ16 - RŠ15 " (5,8*1,2*1,4)*0,3</t>
  </si>
  <si>
    <t>" Hloubení rýhy pro areálovou kanalizaci - dešťovou - úsek RŠ15 - RŠ14 " (15,1*1,2*1,2)*0,3</t>
  </si>
  <si>
    <t>" Hloubení rýhy pro areálovou kanalizaci - dešťovou - úsek RŠ14 - RŠ13 " (9,5*1,2*1,25)*0,3</t>
  </si>
  <si>
    <t>" Hloubení rýhy pro areálovou kanalizaci - dešťovou - úsek RŠ13 - RŠ12 " (3,9*1,2*1,6)*0,3</t>
  </si>
  <si>
    <t>" Hloubení rýhy pro areálovou kanalizaci - dešťovou - úsek RŠ12 - RŠ11 " (11,4*1,2*1,65)*0,3</t>
  </si>
  <si>
    <t>" Hloubení rýhy pro areálovou kanalizaci - dešťovou - úsek RŠ11 - RŠ10 " (8,4*1,2*1,75)*0,3</t>
  </si>
  <si>
    <t>" Hloubení rýhy pro areálovou kanalizaci - dešťovou - úsek RŠ10 - AN " (1,0*1,2*1,8)*0,3</t>
  </si>
  <si>
    <t>" Hloubení rýhy pro areálovou kanalizaci - dešťovou - úsek RŠ10 - RŠ18 " (7,8*1,2*1,6)*0,3</t>
  </si>
  <si>
    <t>" Hloubení rýhy pro areálovou kanalizaci - dešťovou - úsek RŠ18 - RŠ19 " (19,7*1,2*1,35)*0,3</t>
  </si>
  <si>
    <t>" Hloubení rýhy pro areálovou kanalizaci - dešťovou - úsek RŠ19 - RŠ20 " (25,0*1,2*1,35)*0,3</t>
  </si>
  <si>
    <t>" Hloubení rýhy pro areálovou kanalizaci - dešťovou - úsek V8 - RŠ20 " (2,1*1,2*1,35)*0,3</t>
  </si>
  <si>
    <t>" Hloubení rýhy pro areálovou kanalizaci - dešťovou - úsek V9 - RŠ20-RŠ19 " (2,5*1,2*1,35)*0,3</t>
  </si>
  <si>
    <t>" Hloubení rýhy pro areálovou kanalizaci - dešťovou - úsek V4 - RŠ11 " (4,6*1,2*1,65)*0,3</t>
  </si>
  <si>
    <t>" Hloubení rýhy pro areálovou kanalizaci - dešťovou - úsek V5 - RŠ14-RŠ13 " (6,2*1,2*1,0)*0,3</t>
  </si>
  <si>
    <t>" Hloubení rýhy pro areálovou kanalizaci - dešťovou - úsek V6 - RŠ15 " (3,2*1,2*1,35)*0,3</t>
  </si>
  <si>
    <t>" Hloubení rýh pro kanalizační šachty z PP - 30 % z celkové kubatury "</t>
  </si>
  <si>
    <t>" Hloubení rýhy pro kanalizační šachtu z PP - RŠ1 " (1,6*1,6*1,35)*0,3</t>
  </si>
  <si>
    <t>" Hloubení rýhy pro kanalizační šachtu z PP - RŠ2 " (1,6*1,6*1,6)*0,3</t>
  </si>
  <si>
    <t>" Hloubení rýhy pro kanalizační šachtu z PP - RŠ3 " (1,6*1,6*1,9)*0,3</t>
  </si>
  <si>
    <t>" Hloubení rýhy pro kanalizační šachtu z PP - RŠ4 " (1,6*1,6*1,65)*0,3</t>
  </si>
  <si>
    <t>" Hloubení rýhy pro kanalizační šachtu z PP - RŠ5 " (1,6*1,6*1,15)*0,3</t>
  </si>
  <si>
    <t>" Hloubení rýhy pro kanalizační šachtu z PP - RŠ6 " (1,6*1,6*1,15)*0,3</t>
  </si>
  <si>
    <t>" Hloubení rýhy pro kanalizační šachtu z PP - RŠ7 " (1,6*1,6*1,1)*0,3</t>
  </si>
  <si>
    <t>" Hloubení rýhy pro kanalizační šachtu z PP - RŠ8 " (1,6*1,6*1,35)*0,3</t>
  </si>
  <si>
    <t>" Hloubení rýhy pro kanalizační šachtu z PP - RŠ9 - jednotná kanalizace " (1,6*1,6*1,35)*0,3</t>
  </si>
  <si>
    <t>" Hloubení rýhy pro kanalizační šachtu z PP - RŠ9 - splašková kanalizace " (1,6*1,6*1,15)*0,3</t>
  </si>
  <si>
    <t>" Hloubení rýhy pro kanalizační šachtu z PP - RŠ10 " (1,6*1,6*1,8)*0,3</t>
  </si>
  <si>
    <t>" Hloubení rýhy pro kanalizační šachtu z PP - RŠ11 " (1,6*1,6*1,65)*0,3</t>
  </si>
  <si>
    <t>" Hloubení rýhy pro kanalizační šachtu z PP - RŠ12 " (1,6*1,6*1,65)*0,3</t>
  </si>
  <si>
    <t>" Hloubení rýhy pro kanalizační šachtu z PP - RŠ13 " (1,6*1,6*1,5)*0,3</t>
  </si>
  <si>
    <t>" Hloubení rýhy pro kanalizační šachtu z PP - RŠ14 " (1,6*1,6*1,0)*0,3</t>
  </si>
  <si>
    <t>" Hloubení rýhy pro kanalizační šachtu z PP - RŠ15 " (1,6*1,6*1,35)*0,3</t>
  </si>
  <si>
    <t>" Hloubení rýhy pro kanalizační šachtu z PP - RŠ16 " (1,6*1,6*1,4)*0,3</t>
  </si>
  <si>
    <t>" Hloubení rýhy pro kanalizační šachtu z PP - RŠ17 " (1,6*1,6*1,15)*0,3</t>
  </si>
  <si>
    <t>" Hloubení rýhy pro kanalizační šachtu z PP - RŠ18 " (1,6*1,6*1,35)*0,3</t>
  </si>
  <si>
    <t>" Hloubení rýhy pro kanalizační šachtu z PP - RŠ19 " (1,6*1,6*1,35)*0,3</t>
  </si>
  <si>
    <t>" Hloubení rýhy pro kanalizační šachtu z PP - RŠ20 " (1,6*1,6*1,35)*0,3</t>
  </si>
  <si>
    <t>" Hloubení rýh pro betonové kanalizační šachty - 30 % z celkové kubatury "</t>
  </si>
  <si>
    <t>" Hloubení rýhy pro betonovou kanalizační šachtu - Š1 " (2,0*2,0*1,65)*0,3</t>
  </si>
  <si>
    <t>Hloubení zapažených rýh š do 2000 mm v hornině třídy těžitelnosti II skupiny 5 objem do 50 m3</t>
  </si>
  <si>
    <t>" Příplatek - 5 % " ((54,884+274,42)+(27,442+164,652)+(27,442))*0,05</t>
  </si>
  <si>
    <t>" Pažení rýh pro areálovou kanalizaci - splaškovou - 80 % z celkové plochy "</t>
  </si>
  <si>
    <t>" Pažení rýhy pro areálovou kanalizaci - splaškovou - úsek V1 - RŠ4 " ((5,2*1,65)*2)*0,8</t>
  </si>
  <si>
    <t>" Pažení rýhy pro areálovou kanalizaci - splaškovou - úsek V2 - RŠ9 " ((1,0*1,15)*2)*0,8</t>
  </si>
  <si>
    <t>" Pažení rýhy pro areálovou kanalizaci - splaškovou - úsek RŠ9 - RŠ5 " ((4,2*1,15)*2)*0,8</t>
  </si>
  <si>
    <t>" Pažení rýh pro areálovou kanalizaci - jednotnou - 80 % z celkové plochy "</t>
  </si>
  <si>
    <t>" Pažení rýhy pro areálovou kanalizaci - jednotnou - úsek žlab - RŠ8 " ((2,9*1,35)*2)*0,8</t>
  </si>
  <si>
    <t>" Pažení rýhy pro areálovou kanalizaci - jednotnou - úsek RŠ8 - RŠ7 " ((19,3*1,25)*2)*0,8</t>
  </si>
  <si>
    <t>" Pažení rýhy pro areálovou kanalizaci - jednotnou - úsek LŽ - RŠ7 " ((4,9*1,1)*2)*0,8</t>
  </si>
  <si>
    <t>" Pažení rýhy pro areálovou kanalizaci - jednotnou - úsek RŠ7 - RŠ6 " ((10,4*1,15)*2)*0,8</t>
  </si>
  <si>
    <t>" Pažení rýhy pro areálovou kanalizaci - jednotnou - úsek RŠ6 - RŠ5 " ((8,7*1,15)*2)*0,8</t>
  </si>
  <si>
    <t>" Pažení rýhy pro areálovou kanalizaci - jednotnou - úsek RŠ5 - RŠ4 " ((8,8*1,4)*2)*0,8</t>
  </si>
  <si>
    <t>" Pažení rýhy pro areálovou kanalizaci - jednotnou - úsek RŠ4 - RŠ3 " ((5,0*1,8)*2)*0,8</t>
  </si>
  <si>
    <t>" Pažení rýhy pro areálovou kanalizaci - jednotnou - úsek RŠ3 - RŠ2 " ((18,4*1,75)*2)*0,8</t>
  </si>
  <si>
    <t>" Pažení rýhy pro areálovou kanalizaci - jednotnou - úsek RŠ2 - RŠ1 " ((7,6*1,5)*2)*0,8</t>
  </si>
  <si>
    <t>" Pažení rýhy pro areálovou kanalizaci - jednotnou - úsek RŠ1 - Š1 " ((1,9*1,4)*2)*0,8</t>
  </si>
  <si>
    <t>" Pažení rýhy pro areálovou kanalizaci - jednotnou - úsek Š1 - N1 " ((4,8*1,4)*2)*0,8</t>
  </si>
  <si>
    <t>" Pažení rýhy pro areálovou kanalizaci - jednotnou - úsek AN - Š1 " ((1,7*1,4)*2)*0,8</t>
  </si>
  <si>
    <t>" Pažení rýhy pro areálovou kanalizaci - jednotnou - úsek RŠ2 - RŠ9 " ((5,0*1,5)*2)*0,8</t>
  </si>
  <si>
    <t>" Pažení rýhy pro areálovou kanalizaci - jednotnou - úsek RŠ9 - žlab " ((21,4*1,35)*2)*0,8</t>
  </si>
  <si>
    <t>" Pažení rýhy pro areálovou kanalizaci - jednotnou - úsek V3 - RŠ6 " ((3,6*1,15)*2)*0,8</t>
  </si>
  <si>
    <t>" Pažení rýh pro areálovou kanalizaci - dešťovou - 80 % z celkové plochy "</t>
  </si>
  <si>
    <t>" Pažení rýhy pro areálovou kanalizaci - dešťovou - úsek V7 - RŠ17 " ((1,5*1,15)*2)*0,8</t>
  </si>
  <si>
    <t>" Pažení rýhy pro areálovou kanalizaci - dešťovou - úsek RŠ17 - RŠ16 " ((18,2*1,3)*2)*0,8</t>
  </si>
  <si>
    <t>" Pažení rýhy pro areálovou kanalizaci - dešťovou - úsek RŠ16 - RŠ15 " ((5,8*1,4)*2)*0,8</t>
  </si>
  <si>
    <t>" Pažení rýhy pro areálovou kanalizaci - dešťovou - úsek RŠ15 - RŠ14 " ((15,1*1,2)*2)*0,8</t>
  </si>
  <si>
    <t>" Pažení rýhy pro areálovou kanalizaci - dešťovou - úsek RŠ14 - RŠ13 " ((9,5*1,25)*2)*0,8</t>
  </si>
  <si>
    <t>" Pažení rýhy pro areálovou kanalizaci - dešťovou - úsek RŠ13 - RŠ12 " ((3,9*1,6)*2)*0,8</t>
  </si>
  <si>
    <t>" Pažení rýhy pro areálovou kanalizaci - dešťovou - úsek RŠ12 - RŠ11 " ((11,4*1,65)*2)*0,8</t>
  </si>
  <si>
    <t>" Pažení rýhy pro areálovou kanalizaci - dešťovou - úsek RŠ11 - RŠ10 " ((8,4*1,75)*2)*0,8</t>
  </si>
  <si>
    <t>" Pažení rýhy pro areálovou kanalizaci - dešťovou - úsek RŠ10 - AN " ((1,0*1,8)*2)*0,8</t>
  </si>
  <si>
    <t>" Pažení rýhy pro areálovou kanalizaci - dešťovou - úsek RŠ10 - RŠ18 " ((7,8*1,6)*2)*0,8</t>
  </si>
  <si>
    <t>" Pažení rýhy pro areálovou kanalizaci - dešťovou - úsek RŠ18 - RŠ19 " ((19,7*1,35)*2)*0,8</t>
  </si>
  <si>
    <t>" Pažení rýhy pro areálovou kanalizaci - dešťovou - úsek RŠ19 - RŠ20 " ((25,0*1,35)*2)*0,8</t>
  </si>
  <si>
    <t>" Pažení rýhy pro areálovou kanalizaci - dešťovou - úsek V8 - RŠ20 " ((2,1*1,35)*2)*0,8</t>
  </si>
  <si>
    <t>" Pažení rýhy pro areálovou kanalizaci - dešťovou - úsek V9 - RŠ20-RŠ19 " ((2,5*1,35)*2)*0,8</t>
  </si>
  <si>
    <t>" Pažení rýhy pro areálovou kanalizaci - dešťovou - úsek V4 - RŠ11 " ((4,6*1,65)*2)*0,8</t>
  </si>
  <si>
    <t>" Pažení rýhy pro areálovou kanalizaci - dešťovou - úsek V5 - RŠ14-RŠ13 " ((6,2*1,0)*2)*0,8</t>
  </si>
  <si>
    <t>" Pažení rýhy pro areálovou kanalizaci - dešťovou - úsek V6 - RŠ15 " ((3,2*1,35)*2)*0,8</t>
  </si>
  <si>
    <t>" Pažení rýh pro betonové kanalizační šachty - 80 % z celkové plochy "</t>
  </si>
  <si>
    <t>" Pažení rýhy pro betonovou kanalizační šachtu - Š1 " ((2,0*1,65)*4)*0,8</t>
  </si>
  <si>
    <t>" Pažení rýh pro kanalizační šachty z PP - 80 % z celkové plochy "</t>
  </si>
  <si>
    <t>" Pažení rýhy pro kanalizační šachtu z PP - RŠ1 " ((1,6*1,35)*4)*0,8</t>
  </si>
  <si>
    <t>" Pažení rýhy pro kanalizační šachtu z PP - RŠ2 " ((1,6*1,6)*4)*0,8</t>
  </si>
  <si>
    <t>" Pažení rýhy pro kanalizační šachtu z PP - RŠ3 " ((1,6*1,9)*4)*0,8</t>
  </si>
  <si>
    <t>" Pažení rýhy pro kanalizační šachtu z PP - RŠ4 " ((1,6*1,65)*4)*0,8</t>
  </si>
  <si>
    <t>" Pažení rýhy pro kanalizační šachtu z PP - RŠ5 " ((1,6*1,15)*4)*0,8</t>
  </si>
  <si>
    <t>" Pažení rýhy pro kanalizační šachtu z PP - RŠ6 " ((1,6*1,15)*4)*0,8</t>
  </si>
  <si>
    <t>" Pažení rýhy pro kanalizační šachtu z PP - RŠ7 " ((1,6*1,1)*4)*0,8</t>
  </si>
  <si>
    <t>" Pažení rýhy pro kanalizační šachtu z PP - RŠ8 " ((1,6*1,35)*4)*0,8</t>
  </si>
  <si>
    <t>" Pažení rýhy pro kanalizační šachtu z PP - RŠ9 - jednotná kanalizace " ((1,6*1,35)*4)*0,8</t>
  </si>
  <si>
    <t>" Pažení rýhy pro kanalizační šachtu z PP - RŠ9 - splašková kanalizace " ((1,6*1,15)*4)*0,8</t>
  </si>
  <si>
    <t>" Pažení rýhy pro kanalizační šachtu z PP - RŠ10 " ((1,6*1,8)*4)*0,8</t>
  </si>
  <si>
    <t>" Pažení rýhy pro kanalizační šachtu z PP - RŠ11 " ((1,6*1,65)*4)*0,8</t>
  </si>
  <si>
    <t>" Pažení rýhy pro kanalizační šachtu z PP - RŠ12 " ((1,6*1,65)*4)*0,8</t>
  </si>
  <si>
    <t>" Pažení rýhy pro kanalizační šachtu z PP - RŠ13 " ((1,6*1,5)*4)*0,8</t>
  </si>
  <si>
    <t>" Pažení rýhy pro kanalizační šachtu z PP - RŠ14 " ((1,6*1,0)*4)*0,8</t>
  </si>
  <si>
    <t>" Pažení rýhy pro kanalizační šachtu z PP - RŠ15 " ((1,6*1,35)*4)*0,8</t>
  </si>
  <si>
    <t>" Pažení rýhy pro kanalizační šachtu z PP - RŠ16 " ((1,6*1,4)*4)*0,8</t>
  </si>
  <si>
    <t>" Pažení rýhy pro kanalizační šachtu z PP - RŠ17 " ((1,6*1,15)*4)*0,8</t>
  </si>
  <si>
    <t>" Pažení rýhy pro kanalizační šachtu z PP - RŠ18 " ((1,6*1,35)*4)*0,8</t>
  </si>
  <si>
    <t>" Pažení rýhy pro kanalizační šachtu z PP - RŠ19 " ((1,6*1,35)*4)*0,8</t>
  </si>
  <si>
    <t>" Pažení rýhy pro kanalizační šachtu z PP - RŠ20 " ((1,6*1,35)*4)*0,8</t>
  </si>
  <si>
    <t>" Hutnění podloží pod šachtami z PP " (1,6*1,6)*21</t>
  </si>
  <si>
    <t>" Hutnění podloží pod betonovými šachtami  " (2,0*2,0)*1</t>
  </si>
  <si>
    <t>Zásyp jam, šachet rýh nebo kolem objektů sypaninou se zhutněním</t>
  </si>
  <si>
    <t>" Zásyp potrubí vykopanou zeminou pro areálovou kanalizaci - splaškovou. "</t>
  </si>
  <si>
    <t>" Zásyp potrubí vykopanou zeminou pro areálovou kanalizaci - splaškovou - úsek V1 - RŠ4 " (4,7*1,2)*(1,65-0,15-0,4)</t>
  </si>
  <si>
    <t>" Zásyp potrubí vykopanou zeminou pro areálovou kanalizaci - splaškovou - úsek V2 - RŠ9 " (0,5*1,2)*(1,15-0,15-0,4)</t>
  </si>
  <si>
    <t>" Zásyp potrubí vykopanou zeminou pro areálovou kanalizaci - splaškovou - úsek RŠ9 - RŠ5 " (4,2*1,2)*(1,15-0,15-0,4)</t>
  </si>
  <si>
    <t>"  Zásyp potrubí vykopanou zeminou pro areálovou kanalizaci - jednotnou "</t>
  </si>
  <si>
    <t>" Zásyp potrubí vykopanou zeminou pro areálovou kanalizaci - jednotnou - úsek RŠ8 - RŠ7 " (1,4*1,2)*(1,25-0,15-0,4)</t>
  </si>
  <si>
    <t>" Zásyp potrubí vykopanou zeminou pro areálovou kanalizaci - jednotnou - úsek LŽ - RŠ7 " (3,6*1,2)*(1,1-0,15-0,4)</t>
  </si>
  <si>
    <t>" Zásyp potrubí vykopanou zeminou pro areálovou kanalizaci - jednotnou - úsek RŠ7 - RŠ6 " (10,4*1,2)*(1,15-0,15-0,4)</t>
  </si>
  <si>
    <t>" Zásyp potrubí vykopanou zeminou pro areálovou kanalizaci - jednotnou - úsek RŠ6 - RŠ5 " (8,7*1,2)*(1,15-0,15-0,4)</t>
  </si>
  <si>
    <t>" Zásyp potrubí vykopanou zeminou pro areálovou kanalizaci - jednotnou - úsek RŠ5 - RŠ4 " (8,8*1,2)*(1,4-0,15-0,4)</t>
  </si>
  <si>
    <t>" Zásyp potrubí vykopanou zeminou pro areálovou kanalizaci - jednotnou - úsek RŠ4 - RŠ3 " (5,0*1,2)*(1,8-0,15-0,4)</t>
  </si>
  <si>
    <t>" Zásyp potrubí vykopanou zeminou pro areálovou kanalizaci - jednotnou - úsek RŠ3 - RŠ2 " (18,4*1,2)*(1,75-0,15-0,4)</t>
  </si>
  <si>
    <t>" Zásyp potrubí vykopanou zeminou pro areálovou kanalizaci - jednotnou - úsek RŠ2 - RŠ1 " (3,8*1,2)*(1,5-0,15-0,4)</t>
  </si>
  <si>
    <t>" Zásyp potrubí vykopanou zeminou pro areálovou kanalizaci - jednotnou - úsek RŠ1 - Š1 " (1,1*1,2)*(1,4-0,15-0,4)</t>
  </si>
  <si>
    <t>" Zásyp potrubí vykopanou zeminou pro areálovou kanalizaci - jednotnou - úsek Š1 - N1 " (4,8*1,2)*(1,4-0,15-0,4)</t>
  </si>
  <si>
    <t>" Zásyp potrubí vykopanou zeminou pro areálovou kanalizaci - jednotnou - úsek AN - Š1 " (1,7*1,2)*(1,4-0,15-0,4)</t>
  </si>
  <si>
    <t>" Zásyp potrubí vykopanou zeminou pro areálovou kanalizaci - jednotnou - úsek RŠ2 - RŠ9 " (0,9*1,2)*(1,5-0,15-0,4)</t>
  </si>
  <si>
    <t>" Zásyp potrubí vykopanou zeminou pro areálovou kanalizaci - jednotnou - úsek RŠ9 - žlab " (16,3*1,2)*(1,35-0,15-0,4)</t>
  </si>
  <si>
    <t>" Zásyp potrubí vykopanou zeminou pro areálovou kanalizaci - jednotnou - úsek V3 - RŠ6 " (3,1*1,2)*(1,15-0,15-0,4)</t>
  </si>
  <si>
    <t>"  Zásyp potrubí vykopanou zeminou pro areálovou kanalizaci - dešťovou "</t>
  </si>
  <si>
    <t>" Zásyp potrubí vykopanou zeminou pro areálovou kanalizaci - dešťovou - úsek RŠ16 - RŠ15 " (3,9*1,2)*(1,4-0,15-0,4)</t>
  </si>
  <si>
    <t>" Zásyp potrubí vykopanou zeminou pro areálovou kanalizaci - dešťovou - úsek RŠ15 - RŠ14 " (15,1*1,2)*(1,2-0,15-0,4)</t>
  </si>
  <si>
    <t>" Zásyp potrubí vykopanou zeminou pro areálovou kanalizaci - dešťovou - úsek RŠ14 - RŠ13 " (9,5*1,2)*(1,25-0,15-0,4)</t>
  </si>
  <si>
    <t>" Zásyp potrubí vykopanou zeminou pro areálovou kanalizaci - dešťovou - úsek RŠ13 - RŠ12 " (3,9*1,2)*(1,6-0,15-0,4)</t>
  </si>
  <si>
    <t>" Zásyp potrubí vykopanou zeminou pro areálovou kanalizaci - dešťovou - úsek RŠ12 - RŠ11 " (11,4*1,2)*(1,65-0,15-0,4)</t>
  </si>
  <si>
    <t>" Zásyp potrubí vykopanou zeminou pro areálovou kanalizaci - dešťovou - úsek RŠ11 - RŠ10 " (8,4*1,2)*(1,75-0,15-0,4)</t>
  </si>
  <si>
    <t>" Zásyp potrubí vykopanou zeminou pro areálovou kanalizaci - dešťovou - úsek RŠ10 - AN " (1,0*1,2)*(1,8-0,15-0,4)</t>
  </si>
  <si>
    <t>" Zásyp potrubí vykopanou zeminou pro areálovou kanalizaci - dešťovou - úsek RŠ10 - RŠ18 " (2,7*1,2)*(1,6-0,15-0,4)</t>
  </si>
  <si>
    <t>" Zásyp potrubí vykopanou zeminou pro areálovou kanalizaci - dešťovou - úsek RŠ18 - RŠ19 " (17,1*1,2)*(1,35-0,15-0,4)</t>
  </si>
  <si>
    <t>" Zásyp potrubí vykopanou zeminou pro areálovou kanalizaci - dešťovou - úsek RŠ19 - RŠ20 " (25,0*1,2)*(1,35-0,15-0,4)</t>
  </si>
  <si>
    <t>" Zásyp potrubí vykopanou zeminou pro areálovou kanalizaci - dešťovou - úsek V8 - RŠ20 " (1,0*1,2)*(1,35-0,15-0,4)</t>
  </si>
  <si>
    <t>" Zásyp potrubí vykopanou zeminou pro areálovou kanalizaci - dešťovou - úsek V9 - RŠ20-RŠ19 " (1,4*1,2)*(1,35-0,15-0,4)</t>
  </si>
  <si>
    <t>" Zásyp potrubí vykopanou zeminou pro areálovou kanalizaci - dešťovou - úsek V4 - RŠ11 " (4,1*1,2)*(1,65-0,15-0,4)</t>
  </si>
  <si>
    <t>" Zásyp potrubí vykopanou zeminou pro areálovou kanalizaci - dešťovou - úsek V5 - RŠ14-RŠ13 " (5,7*1,2)*(1,0-0,15-0,4)</t>
  </si>
  <si>
    <t>" Zásyp potrubí vykopanou zeminou pro areálovou kanalizaci - dešťovou - úsek V6 - RŠ15 " (2,7*1,2)*(1,35-0,15-0,4)</t>
  </si>
  <si>
    <t>" Zásyp potrubí štěrkem pro areálovou kanalizaci - splaškovou. "</t>
  </si>
  <si>
    <t>" Zásyp potrubí štěrkem pro areálovou kanalizaci - splaškovou - úsek V1 - RŠ4 " ((5,2-4,7)*1,2)*(1,65-0,15-0,4)</t>
  </si>
  <si>
    <t>" Zásyp potrubí štěrkem pro areálovou kanalizaci - splaškovou - úsek V2 - RŠ9 " ((1,0-0,5)*1,2)*(1,15-0,15-0,4)</t>
  </si>
  <si>
    <t>"  Zásyp potrubí štěrkem pro areálovou kanalizaci - jednotnou "</t>
  </si>
  <si>
    <t>" Zásyp potrubí štěrkem pro areálovou kanalizaci - jednotnou - úsek žlab - RŠ8 " (2,9*1,2)*(1,35-0,15-0,4)</t>
  </si>
  <si>
    <t>" Zásyp potrubí štěrkem pro areálovou kanalizaci - jednotnou - úsek RŠ8 - RŠ7 " ((19,3-1,4)*1,2)*(1,25-0,15-0,4)</t>
  </si>
  <si>
    <t>" Zásyp potrubí štěrkem pro areálovou kanalizaci - jednotnou - úsek LŽ - RŠ7 " ((4,9-3,6)*1,2)*(1,1-0,15-0,4)</t>
  </si>
  <si>
    <t>" Zásyp potrubí štěrkem pro areálovou kanalizaci - jednotnou - úsek RŠ2 - RŠ1 " ((7,6-3,8)*1,2)*(1,5-0,15-0,4)</t>
  </si>
  <si>
    <t>" Zásyp potrubí štěrkem pro areálovou kanalizaci - jednotnou - úsek RŠ1 - Š1 " ((1,9-1,1)*1,2)*(1,4-0,15-0,4)</t>
  </si>
  <si>
    <t>" Zásyp potrubí štěrkem pro areálovou kanalizaci - jednotnou - úsek RŠ2 - RŠ9 " ((5,0-0,9)*1,2)*(1,5-0,15-0,4)</t>
  </si>
  <si>
    <t>" Zásyp potrubí štěrkem pro areálovou kanalizaci - jednotnou - úsek RŠ9 - žlab " ((21,4-16,3)*1,2)*(1,35-0,15-0,4)</t>
  </si>
  <si>
    <t>" Zásyp potrubí štěrkem pro areálovou kanalizaci - jednotnou - úsek V3 - RŠ6 " ((3,6-3,1)*1,2)*(1,15-0,15-0,4)</t>
  </si>
  <si>
    <t>"  Zásyp potrubí štěrkem pro areálovou kanalizaci - dešťovou "</t>
  </si>
  <si>
    <t>" Zásyp potrubí štěrkem pro areálovou kanalizaci - dešťovou - úsek V7 - RŠ17 " (1,5*1,2)*(1,15-0,15-0,4)</t>
  </si>
  <si>
    <t>" Zásyp potrubí štěrkem pro areálovou kanalizaci - dešťovou - úsek RŠ17 - RŠ16 " (18,2*1,2)*(1,3-0,15-0,4)</t>
  </si>
  <si>
    <t>" Zásyp potrubí štěrkem pro areálovou kanalizaci - dešťovou - úsek RŠ16 - RŠ15 " ((5,8-3,9)*1,2)*(1,4-0,15-0,4)</t>
  </si>
  <si>
    <t>" Zásyp potrubí štěrkem pro areálovou kanalizaci - dešťovou - úsek RŠ10 - RŠ18 " ((7,8-2,7)*1,2)*(1,6-0,15-0,4)</t>
  </si>
  <si>
    <t>" Zásyp potrubí štěrkem pro areálovou kanalizaci - dešťovou - úsek RŠ18 - RŠ19 " ((19,7-17,1)*1,2)*(1,35-0,15-0,4)</t>
  </si>
  <si>
    <t>" Zásyp potrubí štěrkem pro areálovou kanalizaci - dešťovou - úsek V8 - RŠ20 " ((2,1-1,0)*1,2)*(1,35-0,15-0,4)</t>
  </si>
  <si>
    <t>" Zásyp potrubí štěrkem pro areálovou kanalizaci - dešťovou - úsek V9 - RŠ20-RŠ19 " ((2,5-1,4)*1,2)*(1,35-0,15-0,4)</t>
  </si>
  <si>
    <t>" Zásyp potrubí štěrkem pro areálovou kanalizaci - dešťovou - úsek V4 - RŠ11 " ((4,6-4,1)*1,2)*(1,65-0,15-0,4)</t>
  </si>
  <si>
    <t>" Zásyp potrubí štěrkem pro areálovou kanalizaci - dešťovou - úsek V5 - RŠ14-RŠ13 " ((6,2-5,7)*1,2)*(1,0-0,15-0,4)</t>
  </si>
  <si>
    <t>" Zásyp potrubí štěrkem pro areálovou kanalizaci - dešťovou - úsek V6 - RŠ15 " ((3,2-2,7)*1,2)*(1,35-0,15-0,4)</t>
  </si>
  <si>
    <t>" Zásyp betonových kanalizačních šachet štěrkem "</t>
  </si>
  <si>
    <t>" Zásyp betonové kanalizační šachty štěrkem - Š1 " (2,0*2,0)*(1,65-0,2)-((3,141592654*0,5*0,5)*1,45)</t>
  </si>
  <si>
    <t>" Zásyp kanalizačních šachet z PP štěrkopískem "</t>
  </si>
  <si>
    <t>" Zásyp kanalizační šachty z PP štěrkopískem - RŠ1 " (1,6*1,6)*(1,35-0,15)-((3,141592654*0,3*0,3)*1,2)</t>
  </si>
  <si>
    <t>" Zásyp kanalizační šachty z PP štěrkopískem - RŠ2 " (1,6*1,6)*(1,6-0,15)-((3,141592654*0,3*0,3)*1,45)</t>
  </si>
  <si>
    <t>" Zásyp kanalizační šachty z PP štěrkopískem - RŠ3 " (1,6*1,6)*(1,9-0,15)-((3,141592654*0,3*0,3)*1,75)</t>
  </si>
  <si>
    <t>" Zásyp kanalizační šachty z PP štěrkopískem - RŠ4 " (1,6*1,6)*(1,65-0,15)-((3,141592654*0,3*0,3)*1,5)</t>
  </si>
  <si>
    <t>" Zásyp kanalizační šachty z PP štěrkopískem - RŠ5 " (1,6*1,6)*(1,15-0,15)-((3,141592654*0,3*0,3)*1,0)</t>
  </si>
  <si>
    <t>" Zásyp kanalizační šachty z PP štěrkopískem - RŠ6 " (1,6*1,6)*(1,15-0,15)-((3,141592654*0,3*0,3)*1,0)</t>
  </si>
  <si>
    <t>" Zásyp kanalizační šachty z PP štěrkopískem - RŠ7 " (1,6*1,6)*(1,1-0,15)-((3,141592654*0,3*0,3)*0,95)</t>
  </si>
  <si>
    <t>" Zásyp kanalizační šachty z PP štěrkopískem - RŠ8 " (1,6*1,6)*(1,35-0,15)-((3,141592654*0,3*0,3)*1,2)</t>
  </si>
  <si>
    <t>" Zásyp kanalizační šachty z PP štěrkopískem - RŠ9 - jednotná kanalizace " (1,6*1,6)*(1,35-0,15)-((3,141592654*0,3*0,3)*1,2)</t>
  </si>
  <si>
    <t>" Zásyp kanalizační šachty z PP štěrkopískem - RŠ9 - splašková kanalizace " (1,6*1,6)*(1,15-0,15)-((3,141592654*0,3*0,3)*1,0)</t>
  </si>
  <si>
    <t>" Zásyp kanalizační šachty z PP štěrkopískem - RŠ10 " (1,6*1,6)*(1,8-0,15)-((3,141592654*0,3*0,3)*1,65)</t>
  </si>
  <si>
    <t>" Zásyp kanalizační šachty z PP štěrkopískem - RŠ11 " (1,6*1,6)*(1,65-0,15)-((3,141592654*0,3*0,3)*1,5)</t>
  </si>
  <si>
    <t>" Zásyp kanalizační šachty z PP štěrkopískem - RŠ12 " (1,6*1,6)*(1,65-0,15)-((3,141592654*0,3*0,3)*1,5)</t>
  </si>
  <si>
    <t>" Zásyp kanalizační šachty z PP štěrkopískem - RŠ13 " (1,6*1,6)*(1,5-0,15)-((3,141592654*0,3*0,3)*1,35)</t>
  </si>
  <si>
    <t>" Zásyp kanalizační šachty z PP štěrkopískem - RŠ14 " (1,6*1,6)*(1,0-0,15)-((3,141592654*0,3*0,3)*0,85)</t>
  </si>
  <si>
    <t>" Zásyp kanalizační šachty z PP štěrkopískem - RŠ15 " (1,6*1,6)*(1,35-0,15)-((3,141592654*0,3*0,3)*1,2)</t>
  </si>
  <si>
    <t>" Zásyp kanalizační šachty z PP štěrkopískem - RŠ16 " (1,6*1,6)*(1,4-0,15)-((3,141592654*0,3*0,3)*1,25)</t>
  </si>
  <si>
    <t>" Zásyp kanalizační šachty z PP štěrkopískem - RŠ17 " (1,6*1,6)*(1,15-0,15)-((3,141592654*0,3*0,3)*1,0)</t>
  </si>
  <si>
    <t>" Zásyp kanalizační šachty z PP štěrkopískem - RŠ18 " (1,6*1,6)*(1,35-0,15)-((3,141592654*0,3*0,3)*1,2)</t>
  </si>
  <si>
    <t>" Zásyp kanalizační šachty z PP štěrkopískem - RŠ19 " (1,6*1,6)*(1,35-0,15)-((3,141592654*0,3*0,3)*1,2)</t>
  </si>
  <si>
    <t>" Zásyp kanalizační šachty z PP štěrkopískem - RŠ20 " (1,6*1,6)*(1,35-0,15)-((3,141592654*0,3*0,3)*1,2)</t>
  </si>
  <si>
    <t>kamenivo drcené hrubé frakce 16-32</t>
  </si>
  <si>
    <t>" Zásyp potrubí štěrkem pro areálovou kanalizaci - splaškovou - úsek V1 - RŠ4 " (0,66)*2,0</t>
  </si>
  <si>
    <t>" Zásyp potrubí štěrkem pro areálovou kanalizaci - splaškovou - úsek V2 - RŠ9 " (0,36)*2,0</t>
  </si>
  <si>
    <t>" Zásyp potrubí štěrkem pro areálovou kanalizaci - jednotnou - úsek žlab - RŠ8 " (2,784)*2,0</t>
  </si>
  <si>
    <t>" Zásyp potrubí štěrkem pro areálovou kanalizaci - jednotnou - úsek RŠ8 - RŠ7 " (15,036)*2,0</t>
  </si>
  <si>
    <t>" Zásyp potrubí štěrkem pro areálovou kanalizaci - jednotnou - úsek LŽ - RŠ7 " (0,858)*2,0</t>
  </si>
  <si>
    <t>" Zásyp potrubí štěrkem pro areálovou kanalizaci - jednotnou - úsek RŠ2 - RŠ1 " (4,332)*2,0</t>
  </si>
  <si>
    <t>" Zásyp potrubí štěrkem pro areálovou kanalizaci - jednotnou - úsek RŠ1 - Š1 " (0,816)*2,0</t>
  </si>
  <si>
    <t>" Zásyp potrubí štěrkem pro areálovou kanalizaci - jednotnou - úsek RŠ2 - RŠ9 " (4,674)*2,0</t>
  </si>
  <si>
    <t>" Zásyp potrubí štěrkem pro areálovou kanalizaci - jednotnou - úsek RŠ9 - žlab " (4,896)*2,0</t>
  </si>
  <si>
    <t>" Zásyp potrubí štěrkem pro areálovou kanalizaci - jednotnou - úsek V3 - RŠ6 " (0,36)*2,0</t>
  </si>
  <si>
    <t>" Zásyp potrubí štěrkem pro areálovou kanalizaci - dešťovou - úsek V7 - RŠ17 " (1,08)*2,0</t>
  </si>
  <si>
    <t>" Zásyp potrubí štěrkem pro areálovou kanalizaci - dešťovou - úsek RŠ17 - RŠ16 " (16,38)*2,0</t>
  </si>
  <si>
    <t>" Zásyp potrubí štěrkem pro areálovou kanalizaci - dešťovou - úsek RŠ16 - RŠ15 " (1,938)*2,0</t>
  </si>
  <si>
    <t>" Zásyp potrubí štěrkem pro areálovou kanalizaci - dešťovou - úsek RŠ10 - RŠ18 " (6,426)*2,0</t>
  </si>
  <si>
    <t>" Zásyp potrubí štěrkem pro areálovou kanalizaci - dešťovou - úsek RŠ18 - RŠ19 " (2,496)*2,0</t>
  </si>
  <si>
    <t>" Zásyp potrubí štěrkem pro areálovou kanalizaci - dešťovou - úsek V8 - RŠ20 " (1,056)*2,0</t>
  </si>
  <si>
    <t>" Zásyp potrubí štěrkem pro areálovou kanalizaci - dešťovou - úsek V9 - RŠ20-RŠ19 " (1,056)*2,0</t>
  </si>
  <si>
    <t>" Zásyp potrubí štěrkem pro areálovou kanalizaci - dešťovou - úsek V4 - RŠ11 " (0,66)*2,0</t>
  </si>
  <si>
    <t>" Zásyp potrubí štěrkem pro areálovou kanalizaci - dešťovou - úsek V5 - RŠ14-RŠ13 " (0,27)*2,0</t>
  </si>
  <si>
    <t>" Zásyp potrubí štěrkem pro areálovou kanalizaci - dešťovou - úsek V6 - RŠ15 " (0,48)*2,0</t>
  </si>
  <si>
    <t>" Zásyp betonové kanalizační šachty štěrkem - Š1 " (4,661)*2,0</t>
  </si>
  <si>
    <t>štěrkopísek frakce 0/16</t>
  </si>
  <si>
    <t>" Zásyp kanalizační šachty z PP štěrkopískem - RŠ1 " (2,733)*2,0</t>
  </si>
  <si>
    <t>" Zásyp kanalizační šachty z PP štěrkopískem - RŠ2 " (3,302)*2,0</t>
  </si>
  <si>
    <t>" Zásyp kanalizační šachty z PP štěrkopískem - RŠ3 " (3,985)*2,0</t>
  </si>
  <si>
    <t>" Zásyp kanalizační šachty z PP štěrkopískem - RŠ4 " (3,416)*2,0</t>
  </si>
  <si>
    <t>" Zásyp kanalizační šachty z PP štěrkopískem - RŠ5 " (2,277)*2,0</t>
  </si>
  <si>
    <t>" Zásyp kanalizační šachty z PP štěrkopískem - RŠ6 " (2,277)*2,0</t>
  </si>
  <si>
    <t>" Zásyp kanalizační šachty z PP štěrkopískem - RŠ7 " (2,163)*2,0</t>
  </si>
  <si>
    <t>" Zásyp kanalizační šachty z PP štěrkopískem - RŠ8 " (2,733)*2,0</t>
  </si>
  <si>
    <t>" Zásyp kanalizační šachty z PP štěrkopískem - RŠ9 - jednotná kanalizace " (2,773)*2,0</t>
  </si>
  <si>
    <t>" Zásyp kanalizační šachty z PP štěrkopískem - RŠ9 - splašková kanalizace " (2,277)*2,0</t>
  </si>
  <si>
    <t>" Zásyp kanalizační šachty z PP štěrkopískem - RŠ10 " (3,757)*2,0</t>
  </si>
  <si>
    <t>" Zásyp kanalizační šachty z PP štěrkopískem - RŠ11 " (3,416)*2,0</t>
  </si>
  <si>
    <t>" Zásyp kanalizační šachty z PP štěrkopískem - RŠ12 " (3,416)*2,0</t>
  </si>
  <si>
    <t>" Zásyp kanalizační šachty z PP štěrkopískem - RŠ13 " (3,074)*2,0</t>
  </si>
  <si>
    <t>" Zásyp kanalizační šachty z PP štěrkopískem - RŠ14 " (1,936)*2,0</t>
  </si>
  <si>
    <t>" Zásyp kanalizační šachty z PP štěrkopískem - RŠ15 " (2,733)*2,0</t>
  </si>
  <si>
    <t>" Zásyp kanalizační šachty z PP štěrkopískem - RŠ16 " (2,847)*2,0</t>
  </si>
  <si>
    <t>" Zásyp kanalizační šachty z PP štěrkopískem - RŠ17 " (2,277)*2,0</t>
  </si>
  <si>
    <t>" Zásyp kanalizační šachty z PP štěrkopískem - RŠ18 " (2,733)*2,0</t>
  </si>
  <si>
    <t>" Zásyp kanalizační šachty z PP štěrkopískem - RŠ19 " (2,733)*2,0</t>
  </si>
  <si>
    <t>" Zásyp kanalizační šachty z PP štěrkopískem - RŠ20 " (2,733)*2,0</t>
  </si>
  <si>
    <t>" Obsyp potrubí štěrkem pro areálovou kanalizaci - splaškovou - v. 400 mm. "</t>
  </si>
  <si>
    <t>" Obsyp potrubí štěrkem pro areálovou kanalizaci - splaškovou - úsek V1 - RŠ4 - tl. 400 mm " (5,2*1,2)*0,4</t>
  </si>
  <si>
    <t>" Obsyp potrubí štěrkem pro areálovou kanalizaci - splaškovou - úsek V2 - RŠ9 - tl. 400 mm " (1,0*1,2)*0,4</t>
  </si>
  <si>
    <t>" Obsyp potrubí štěrkem pro areálovou kanalizaci - splaškovou - úsek RŠ9 - RŠ5 - tl. 400 mm " (4,2*1,2)*0,4</t>
  </si>
  <si>
    <t>" Obsyp potrubí štěrkem pro areálovou kanalizaci - jednotnou - v. 400 mm. "</t>
  </si>
  <si>
    <t>" Obsyp potrubí štěrkem pro areálovou kanalizaci - jednotnou - úsek žlab - RŠ8 - tl. 400 mm " (2,9*1,2)*0,4</t>
  </si>
  <si>
    <t>" Obsyp potrubí štěrkem pro areálovou kanalizaci - jednotnou - úsek RŠ8 - RŠ7 - tl. 400 mm " (19,3*1,2)*0,4</t>
  </si>
  <si>
    <t>" Obsyp potrubí štěrkem pro areálovou kanalizaci - jednotnou - úsek LŽ - RŠ7 - tl. 400 mm " (4,9*1,2)*0,4</t>
  </si>
  <si>
    <t>" Obsyp potrubí štěrkem pro areálovou kanalizaci - jednotnou - úsek RŠ7 - RŠ6 - tl. 400 mm " (10,4*1,2)*0,4</t>
  </si>
  <si>
    <t>" Obsyp potrubí štěrkem pro areálovou kanalizaci - jednotnou - úsek RŠ6 - RŠ5 - tl. 400 mm " (8,7*1,2)*0,4</t>
  </si>
  <si>
    <t>" Obsyp potrubí štěrkem pro areálovou kanalizaci - jednotnou - úsek RŠ5 - RŠ4 - tl. 400 mm " (8,8*1,2)*0,4</t>
  </si>
  <si>
    <t>" Obsyp potrubí štěrkem pro areálovou kanalizaci - jednotnou - úsek RŠ4 - RŠ3 - tl. 400 mm " (5,0*1,2)*0,4</t>
  </si>
  <si>
    <t>" Obsyp potrubí štěrkem pro areálovou kanalizaci - jednotnou - úsek RŠ3 - RŠ2 - tl. 400 mm " (18,4*1,2)*0,4</t>
  </si>
  <si>
    <t>" Obsyp potrubí štěrkem pro areálovou kanalizaci - jednotnou - úsek RŠ2 - RŠ1 - tl. 400 mm " (7,6*1,2)*0,4</t>
  </si>
  <si>
    <t>" Obsyp potrubí štěrkem pro areálovou kanalizaci - jednotnou - úsek RŠ1 - Š1 - tl. 400 mm " (1,9*1,2)*0,4</t>
  </si>
  <si>
    <t>" Obsyp potrubí štěrkem pro areálovou kanalizaci - jednotnou - úsek Š1 - N1 - tl. 400 mm " (4,8*1,2)*0,4</t>
  </si>
  <si>
    <t>" Obsyp potrubí štěrkem pro areálovou kanalizaci - jednotnou - úsek AN - Š1 - tl. 400 mm " (1,7*1,2)*0,4</t>
  </si>
  <si>
    <t>" Obsyp potrubí štěrkem pro areálovou kanalizaci - jednotnou - úsek RŠ2 - RŠ9 - tl. 400 mm " (5,0*1,2)*0,4</t>
  </si>
  <si>
    <t>" Obsyp potrubí štěrkem pro areálovou kanalizaci - jednotnou - úsek RŠ9 - žlab - tl. 400 mm " (21,4*1,2)*0,4</t>
  </si>
  <si>
    <t>" Obsyp potrubí štěrkem pro areálovou kanalizaci - jednotnou - úsek V3 - RŠ6 - tl. 400 mm " (3,6*1,2)*0,4</t>
  </si>
  <si>
    <t>" Obsyp potrubí štěrkem pro areálovou kanalizaci - dešťovou - v. 400 mm. "</t>
  </si>
  <si>
    <t>" Obsyp potrubí štěrkem pro areálovou kanalizaci - dešťovou - úsek V7 - RŠ17 - tl. 400 mm " (1,5*1,2)*0,4</t>
  </si>
  <si>
    <t>" Obsyp potrubí štěrkem pro areálovou kanalizaci - dešťovou - úsek RŠ17 - RŠ16 - tl. 400 mm " (18,2*1,2)*0,4</t>
  </si>
  <si>
    <t>" Obsyp potrubí štěrkem pro areálovou kanalizaci - dešťovou - úsek RŠ16 - RŠ15 - tl. 400 mm " (5,8*1,2)*0,4</t>
  </si>
  <si>
    <t>" Obsyp potrubí štěrkem pro areálovou kanalizaci - dešťovou - úsek RŠ15 - RŠ14 - tl. 400 mm " (15,1*1,2)*0,4</t>
  </si>
  <si>
    <t>" Obsyp potrubí štěrkem pro areálovou kanalizaci - dešťovou - úsek RŠ14 - RŠ13 - tl. 400 mm " (9,5*1,2)*0,4</t>
  </si>
  <si>
    <t>" Obsyp potrubí štěrkem pro areálovou kanalizaci - dešťovou - úsek RŠ13 - RŠ12 - tl. 400 mm " (3,9*1,2)*0,4</t>
  </si>
  <si>
    <t>" Obsyp potrubí štěrkem pro areálovou kanalizaci - dešťovou - úsek RŠ12 - RŠ11 - tl. 400 mm " (11,4*1,2)*0,4</t>
  </si>
  <si>
    <t>" Obsyp potrubí štěrkem pro areálovou kanalizaci - dešťovou - úsek RŠ11 - RŠ10 - tl. 400 mm " (8,4*1,2)*0,4</t>
  </si>
  <si>
    <t>" Obsyp potrubí štěrkem pro areálovou kanalizaci - dešťovou - úsek RŠ10 - AN - tl. 400 mm " (1,0*1,2)*0,4</t>
  </si>
  <si>
    <t>" Obsyp potrubí štěrkem pro areálovou kanalizaci - dešťovou - úsek RŠ10 - RŠ18 - tl. 400 mm " (7,8*1,2)*0,4</t>
  </si>
  <si>
    <t>" Obsyp potrubí štěrkem pro areálovou kanalizaci - dešťovou - úsek RŠ18 - RŠ19 - tl. 400 mm " (19,7*1,2)*0,4</t>
  </si>
  <si>
    <t>" Obsyp potrubí štěrkem pro areálovou kanalizaci - dešťovou - úsek RŠ19 - RŠ20 - tl. 400 mm " (25,0*1,2)*0,4</t>
  </si>
  <si>
    <t>" Obsyp potrubí štěrkem pro areálovou kanalizaci - dešťovou - úsek V8 - RŠ20 - tl. 400 mm " (2,1*1,2)*0,4</t>
  </si>
  <si>
    <t>" Obsyp potrubí štěrkem pro areálovou kanalizaci - dešťovou - úsek V9 - RŠ20-RŠ19 - tl. 400 mm " (2,5*1,2)*0,4</t>
  </si>
  <si>
    <t>" Obsyp potrubí štěrkem pro areálovou kanalizaci - dešťovou - úsek V4 - RŠ11 - tl. 400 mm " (4,6*1,2)*0,4</t>
  </si>
  <si>
    <t>" Obsyp potrubí štěrkem pro areálovou kanalizaci - dešťovou - úsek V5 - RŠ14-RŠ13 - tl. 400 mm " (6,2*1,2)*0,4</t>
  </si>
  <si>
    <t>" Obsyp potrubí štěrkem pro areálovou kanalizaci - dešťovou - úsek V6 - RŠ15 - tl. 400 mm " (3,2*1,2)*0,4</t>
  </si>
  <si>
    <t>" Obsyp potrubí štěrkem pro areálovou kanalizaci - splaškovou "</t>
  </si>
  <si>
    <t>" Obsyp potrubí štěrkem pro areálovou kanalizaci - splaškovou - úsek V1 - RŠ4 " (2,496)*2,0</t>
  </si>
  <si>
    <t>" Obsyp potrubí štěrkem pro areálovou kanalizaci - splaškovou - úsek V2 - RŠ9 " (0,48)*2,0</t>
  </si>
  <si>
    <t>" Obsyp potrubí štěrkem pro areálovou kanalizaci - splaškovou - úsek RŠ9 - RŠ5 " (2,016)*2,0</t>
  </si>
  <si>
    <t>" Obsyp potrubí štěrkem pro areálovou kanalizaci - jednotnou "</t>
  </si>
  <si>
    <t>" Obsyp potrubí štěrkem pro areálovou kanalizaci - jednotnou - úsek žlab - RŠ8 " (1,392)*2,0</t>
  </si>
  <si>
    <t>" Obsyp potrubí štěrkem pro areálovou kanalizaci - jednotnou - úsek RŠ8 - RŠ7 " (9,264)*2,0</t>
  </si>
  <si>
    <t>" Obsyp potrubí štěrkem pro areálovou kanalizaci - jednotnou - úsek LŽ - RŠ7 " (2,352)*2,0</t>
  </si>
  <si>
    <t>" Obsyp potrubí štěrkem pro areálovou kanalizaci - jednotnou - úsek RŠ7 - RŠ6 " (4,992)*2,0</t>
  </si>
  <si>
    <t>" Obsyp potrubí štěrkem pro areálovou kanalizaci - jednotnou - úsek RŠ6 - RŠ5 " (4,176)*2,0</t>
  </si>
  <si>
    <t>" Obsyp potrubí štěrkem pro areálovou kanalizaci - jednotnou - úsek RŠ5 - RŠ4 " (4,224)*2,0</t>
  </si>
  <si>
    <t>" Obsyp potrubí štěrkem pro areálovou kanalizaci - jednotnou - úsek RŠ4 - RŠ3 " (2,4)*2,0</t>
  </si>
  <si>
    <t>" Obsyp potrubí štěrkem pro areálovou kanalizaci - jednotnou - úsek RŠ3 - RŠ2 " (8,832)*2,0</t>
  </si>
  <si>
    <t>" Obsyp potrubí štěrkem pro areálovou kanalizaci - jednotnou - úsek RŠ2 - RŠ1 " (3,648)*2,0</t>
  </si>
  <si>
    <t>" Obsyp potrubí štěrkem pro areálovou kanalizaci - jednotnou - úsek RŠ1 - Š1 " (0,912)*2,0</t>
  </si>
  <si>
    <t>" Obsyp potrubí štěrkem pro areálovou kanalizaci - jednotnou - úsek Š1 - N1 " (2,304)*2,0</t>
  </si>
  <si>
    <t>" Obsyp potrubí štěrkem pro areálovou kanalizaci - jednotnou - úsek AN - Š1 " (0,816)*2,0</t>
  </si>
  <si>
    <t>" Obsyp potrubí štěrkem pro areálovou kanalizaci - jednotnou - úsek RŠ2 - RŠ9 " (2,4)*2,0</t>
  </si>
  <si>
    <t>" Obsyp potrubí štěrkem pro areálovou kanalizaci - jednotnou - úsek RŠ9 - žlab " (10,272)*2,0</t>
  </si>
  <si>
    <t>" Obsyp potrubí štěrkem pro areálovou kanalizaci - jednotnou - úsek V3 - RŠ6 " (1,728)*2,0</t>
  </si>
  <si>
    <t>" Obsyp potrubí štěrkem pro areálovou kanalizaci - dešťovou "</t>
  </si>
  <si>
    <t>" Obsyp potrubí štěrkem pro areálovou kanalizaci - dešťovou - úsek V7 - RŠ17 " (0,72)*2,0</t>
  </si>
  <si>
    <t>" Obsyp potrubí štěrkem pro areálovou kanalizaci - dešťovou - úsek RŠ17 - RŠ16 " (8,736)*2,0</t>
  </si>
  <si>
    <t>" Obsyp potrubí štěrkem pro areálovou kanalizaci - dešťovou - úsek RŠ16 - RŠ15 " (2,784)*2,0</t>
  </si>
  <si>
    <t>" Obsyp potrubí štěrkem pro areálovou kanalizaci - dešťovou - úsek RŠ15 - RŠ14 " (7,248)*2,0</t>
  </si>
  <si>
    <t>" Obsyp potrubí štěrkem pro areálovou kanalizaci - dešťovou - úsek RŠ14 - RŠ13 " (4,56)*2,0</t>
  </si>
  <si>
    <t>" Obsyp potrubí štěrkem pro areálovou kanalizaci - dešťovou - úsek RŠ13 - RŠ12 " (1,872)*2,0</t>
  </si>
  <si>
    <t>" Obsyp potrubí štěrkem pro areálovou kanalizaci - dešťovou - úsek RŠ12 - RŠ11 " (5,472)*2,0</t>
  </si>
  <si>
    <t>" Obsyp potrubí štěrkem pro areálovou kanalizaci - dešťovou - úsek RŠ11 - RŠ10 " (4,032)*2,0</t>
  </si>
  <si>
    <t>" Obsyp potrubí štěrkem pro areálovou kanalizaci - dešťovou - úsek RŠ10 - AN " (0,48)*2,0</t>
  </si>
  <si>
    <t>" Obsyp potrubí štěrkem pro areálovou kanalizaci - dešťovou - úsek RŠ10 - RŠ18 " (3,744)*2,0</t>
  </si>
  <si>
    <t>" Obsyp potrubí štěrkem pro areálovou kanalizaci - dešťovou - úsek RŠ18 - RŠ19 " (9,456)*2,0</t>
  </si>
  <si>
    <t>" Obsyp potrubí štěrkem pro areálovou kanalizaci - dešťovou - úsek RŠ19 - RŠ20 " (12,0)*2,0</t>
  </si>
  <si>
    <t>" Obsyp potrubí štěrkem pro areálovou kanalizaci - dešťovou - úsek V8 - RŠ20 " (1,008)*2,0</t>
  </si>
  <si>
    <t>" Obsyp potrubí štěrkem pro areálovou kanalizaci - dešťovou - úsek V9 - RŠ20-RŠ19 " (1,2)*2,0</t>
  </si>
  <si>
    <t>" Obsyp potrubí štěrkem pro areálovou kanalizaci - dešťovou - úsek V4 - RŠ11 " (2,208)*2,0</t>
  </si>
  <si>
    <t>" Obsyp potrubí štěrkem pro areálovou kanalizaci - dešťovou - úsek V5 - RŠ14-RŠ13 " (2,976)*2,0</t>
  </si>
  <si>
    <t>" Obsyp potrubí štěrkem pro areálovou kanalizaci - dešťovou - úsek V6 - RŠ15 " (1,536)*2,0</t>
  </si>
  <si>
    <t>189999801 SPC</t>
  </si>
  <si>
    <t>Náklady spojené s odovozem sypaniny na meziskládku</t>
  </si>
  <si>
    <t>" Odvoz zeminy na meziskládku pro zpětné použití - zpětný zásyp "</t>
  </si>
  <si>
    <t>" Odvoz zeminy na meziskládku před zpětným přemístěním " ((6,204+0,36+3,024)+(1,176+2,376+7,488+6,264+8,976+7,5+26,496+4,332+1,122+4,896+1,734+1,026+15,648+2,232)+(3,978+11,778+7,98+4,914+15,048+12,096+1,5+3,402+16,416+24,0+0,96+1,344+5,412+3,078+2,592))*(0,1+0,5)</t>
  </si>
  <si>
    <t>" Odvoz zeminy na meziskládku před zpětným přemístěním " ((6,204+0,36+3,024)+(1,176+2,376+7,488+6,264+8,976+7,5+26,496+4,332+1,122+4,896+1,734+1,026+15,648+2,232)+(3,978+11,778+7,98+4,914+15,048+12,096+1,5+3,402+16,416+24,0+0,96+1,344+5,412+3,078+2,592))*((0,05+0,3)+(0,05))</t>
  </si>
  <si>
    <t>23a</t>
  </si>
  <si>
    <t>23b</t>
  </si>
  <si>
    <t>" - Nakládání výkopku z hornin třídy těžitelnosti II, skupiny 4 a 5 do 100 m3 "</t>
  </si>
  <si>
    <t>23c</t>
  </si>
  <si>
    <t>" - Vodorovné přemístění do 500 m výkopku/sypaniny z horniny třídy těžitelnosti I, skupiny 1 až 3 "</t>
  </si>
  <si>
    <t>23d</t>
  </si>
  <si>
    <t>" - Vodorovné přemístění do 500 m výkopku/sypaniny z hornin třídy těžitelnosti II, skupiny 4 a 5 "</t>
  </si>
  <si>
    <t>23e</t>
  </si>
  <si>
    <t xml:space="preserve">" Uložení sypaniny na skládky nebo meziskládky " </t>
  </si>
  <si>
    <t xml:space="preserve">" V položce zahrnuto naložení, odvoz zeminy na meziskládku a její složení "  </t>
  </si>
  <si>
    <t>189999802 SPC</t>
  </si>
  <si>
    <t>Náklady spojené s odovozem sypaniny z meziskládky pro zpětné použití</t>
  </si>
  <si>
    <t>" Odvoz zeminy z meziskládky pro zpětné použití - zpětný zásyp "</t>
  </si>
  <si>
    <t>" Odvoz zeminy celkem z meziskládky pro zpětné použití - Třída těžitelnosti I "</t>
  </si>
  <si>
    <t>" Odvoz zeminy z meziskládky pro zpětný zásyp " ((6,204+0,36+3,024)+(1,176+2,376+7,488+6,264+8,976+7,5+26,496+4,332+1,122+4,896+1,734+1,026+15,648+2,232)+(3,978+11,778+7,98+4,914+15,048+12,096+1,5+3,402+16,416+24,0+0,96+1,344+5,412+3,078+2,592))*(0,1+0,5)</t>
  </si>
  <si>
    <t>" Odvoz zeminy celkem z meziskládky pro zpětné použití - Třída těžitelnosti II "</t>
  </si>
  <si>
    <t>" Odvoz zeminy z meziskládky pro zpětný zásyp " ((6,204+0,36+3,024)+(1,176+2,376+7,488+6,264+8,976+7,5+26,496+4,332+1,122+4,896+1,734+1,026+15,648+2,232)+(3,978+11,778+7,98+4,914+15,048+12,096+1,5+3,402+16,416+24,0+0,96+1,344+5,412+3,078+2,592))*((0,05+0,3)+(0,05))</t>
  </si>
  <si>
    <t>24a</t>
  </si>
  <si>
    <t>24b</t>
  </si>
  <si>
    <t>24c</t>
  </si>
  <si>
    <t>24d</t>
  </si>
  <si>
    <t xml:space="preserve">" V položce zahrnuto naložení, odvoz zeminy z meziskládky a její složení 
Složení součást ceny vodorovného přemístění. "  </t>
  </si>
  <si>
    <t>" Odvoz zeminy z výkopových prací  - přesuny strojně. "</t>
  </si>
  <si>
    <t>" Odvoz zeminy z výkopových prací - rýh " (54,884+274,42)</t>
  </si>
  <si>
    <t>" Odečet za zeminu pro zpětný zásyp " -(129,211)</t>
  </si>
  <si>
    <t>" Odvoz zeminy z výkopových prací - rýh " (27,442+164,652)+(27,442)</t>
  </si>
  <si>
    <t>" Odečet za zeminu pro zpětný zásyp " -(86,141)</t>
  </si>
  <si>
    <t>25a</t>
  </si>
  <si>
    <t>25b</t>
  </si>
  <si>
    <t>25c</t>
  </si>
  <si>
    <t>25d</t>
  </si>
  <si>
    <t>25e</t>
  </si>
  <si>
    <t>25f</t>
  </si>
  <si>
    <t>Lože pod potrubí otevřený výkop ze štěrkodrtě</t>
  </si>
  <si>
    <t>" Lože pod betonovou kanalizační šachtu Š1 tl.100 mm " ((2,0*2,0)*1)*0,1</t>
  </si>
  <si>
    <t>27</t>
  </si>
  <si>
    <t>" Lože z písku pod potrubí areálové kanalizace - splaškové "</t>
  </si>
  <si>
    <t>" Lože z písku pod potrubí areálové kanalizace - splaškové - úsek V1 - RŠ4 - tl. 150 mm " (5,2*1,2)*0,15</t>
  </si>
  <si>
    <t>" Lože z písku pod potrubí areálové kanalizace - splaškové - úsek V2 - RŠ9 - tl. 150 mm " (1,0*1,2)*0,15</t>
  </si>
  <si>
    <t>" Lože z písku pod potrubí areálové kanalizace - splaškové - úsek RŠ9 - RŠ5 - tl. 150 mm " (4,2*1,2)*0,15</t>
  </si>
  <si>
    <t>" Lože z písku pod potrubí areálové kanalizace - jednotné "</t>
  </si>
  <si>
    <t>" Lože z písku pod potrubí areálové kanalizace - jednotné - úsek žlab - RŠ8 - tl. 150 mm " (2,9*1,2)*0,15</t>
  </si>
  <si>
    <t>" Lože z písku pod potrubí areálové kanalizace - jednotné - úsek RŠ8 - RŠ7 - tl. 150 mm " (19,3*1,2)*0,15</t>
  </si>
  <si>
    <t>" Lože z písku pod potrubí areálové kanalizace - jednotné - úsek LŽ - RŠ7 - tl. 150 mm " (4,9*1,2)*0,15</t>
  </si>
  <si>
    <t>" Lože z písku pod potrubí areálové kanalizace - jednotné - úsek RŠ7 - RŠ6 - tl. 150 mm " (10,4*1,2)*0,15</t>
  </si>
  <si>
    <t>" Lože z písku pod potrubí areálové kanalizace - jednotné - úsek RŠ6 - RŠ5 - tl. 150 mm " (8,7*1,2)*0,15</t>
  </si>
  <si>
    <t>" Lože z písku pod potrubí areálové kanalizace - jednotné - úsek RŠ5 - RŠ4 - tl. 150 mm " (8,8*1,2)*0,15</t>
  </si>
  <si>
    <t>" Lože z písku pod potrubí areálové kanalizace - jednotné - úsek RŠ4 - RŠ3 - tl. 150 mm " (5,0*1,2)*0,15</t>
  </si>
  <si>
    <t>" Lože z písku pod potrubí areálové kanalizace - jednotné - úsek RŠ3 - RŠ2 - tl. 150 mm " (18,4*1,2)*0,15</t>
  </si>
  <si>
    <t>" Lože z písku pod potrubí areálové kanalizace - jednotné - úsek RŠ2 - RŠ1 - tl. 150 mm " (7,6*1,2)*0,15</t>
  </si>
  <si>
    <t>" Lože z písku pod potrubí areálové kanalizace - jednotné - úsek RŠ1 - Š1 - tl. 150 mm " (1,9*1,2)*0,15</t>
  </si>
  <si>
    <t>" Lože z písku pod potrubí areálové kanalizace - jednotné - úsek Š1 - N1 - tl. 150 mm " (4,8*1,2)*0,15</t>
  </si>
  <si>
    <t>" Lože z písku pod potrubí areálové kanalizace - jednotné - úsek AN - Š1 - tl. 150 mm " (1,7*1,2)*0,15</t>
  </si>
  <si>
    <t>" Lože z písku pod potrubí areálové kanalizace - jednotné - úsek RŠ2 - RŠ9 - tl. 150 mm " (5,0*1,2)*0,15</t>
  </si>
  <si>
    <t>" Lože z písku pod potrubí areálové kanalizace - jednotné - úsek RŠ9 - žlab - tl. 150 mm " (21,4*1,2)*0,15</t>
  </si>
  <si>
    <t>" Lože z písku pod potrubí areálové kanalizace - jednotné - úsek V3 - RŠ6 - tl. 150 mm " (3,6*1,2)*0,15</t>
  </si>
  <si>
    <t>" Lože z písku pod potrubí areálové kanalizace - dešťové "</t>
  </si>
  <si>
    <t>" Lože z písku pod potrubí areálové kanalizace - dešťové - úsek V7 - RŠ17 - tl. 150 mm " (1,5*1,2)*0,15</t>
  </si>
  <si>
    <t>" Lože z písku pod potrubí areálové kanalizace - dešťové - úsek RŠ17 - RŠ16 - tl. 150 mm " (18,2*1,2)*0,15</t>
  </si>
  <si>
    <t>" Lože z písku pod potrubí areálové kanalizace - dešťové - úsek RŠ16 - RŠ15 - tl. 150 mm " (5,8*1,2)*0,15</t>
  </si>
  <si>
    <t>" Lože z písku pod potrubí areálové kanalizace - dešťové - úsek RŠ15 - RŠ14 - tl. 150 mm " (15,1*1,2)*0,15</t>
  </si>
  <si>
    <t>" Lože z písku pod potrubí areálové kanalizace - dešťové - úsek RŠ14 - RŠ13 - tl. 150 mm " (9,5*1,2)*0,15</t>
  </si>
  <si>
    <t>" Lože z písku pod potrubí areálové kanalizace - dešťové - úsek RŠ13 - RŠ12 - tl. 150 mm " (3,9*1,2)*0,15</t>
  </si>
  <si>
    <t>" Lože z písku pod potrubí areálové kanalizace - dešťové - úsek RŠ12 - RŠ11 - tl. 150 mm " (11,4*1,2)*0,15</t>
  </si>
  <si>
    <t>" Lože z písku pod potrubí areálové kanalizace - dešťové - úsek RŠ11 - RŠ10 - tl. 150 mm " (8,4*1,2)*0,15</t>
  </si>
  <si>
    <t>" Lože z písku pod potrubí areálové kanalizace - dešťové - úsek RŠ10 - AN - tl. 150 mm " (1,0*1,2)*0,15</t>
  </si>
  <si>
    <t>" Lože z písku pod potrubí areálové kanalizace - dešťové - úsek RŠ10 - RŠ18 - tl. 150 mm " (7,8*1,2)*0,15</t>
  </si>
  <si>
    <t>" Lože z písku pod potrubí areálové kanalizace - dešťové - úsek RŠ18 - RŠ19 - tl. 150 mm " (19,7*1,2)*0,15</t>
  </si>
  <si>
    <t>" Lože z písku pod potrubí areálové kanalizace - dešťové - úsek RŠ19 - RŠ20 - tl. 150 mm " (25,0*1,2)*0,15</t>
  </si>
  <si>
    <t>" Lože z písku pod potrubí areálové kanalizace - dešťové - úsek V8 - RŠ20 - tl. 150 mm " (2,1*1,2)*0,15</t>
  </si>
  <si>
    <t>" Lože z písku pod potrubí areálové kanalizace - dešťové - úsek V9 - RŠ20-RŠ19 - tl. 150 mm " (2,5*1,2)*0,15</t>
  </si>
  <si>
    <t>" Lože z písku pod potrubí areálové kanalizace - dešťové - úsek V4 - RŠ11 - tl. 150 mm " (4,6*1,2)*0,15</t>
  </si>
  <si>
    <t>" Lože z písku pod potrubí areálové kanalizace - dešťové - úsek V5 - RŠ14-RŠ13 - tl. 150 mm " (6,2*1,2)*0,15</t>
  </si>
  <si>
    <t>" Lože z písku pod potrubí areálové kanalizace - dešťové - úsek V6 - RŠ15 - tl. 150 mm " (3,2*1,2)*0,15</t>
  </si>
  <si>
    <t>" Lože z písku pro kanalizační šachty z PP "</t>
  </si>
  <si>
    <t>" Lože z písku pro kanalizační šachty z PP - RŠ1 - RŠ20 - tl. 150 mm " ((1,6*1,6)*0,15)*21</t>
  </si>
  <si>
    <t>28</t>
  </si>
  <si>
    <t>Podkladní desky z betonu prostého tř. C 12/15 otevřený výkop</t>
  </si>
  <si>
    <t>" Podkladní betonová deska pro betonovou kanalizační šachtu Š1 - tl. 100 mm "  (((2,0*2,0)*0,1)*1)*1,05</t>
  </si>
  <si>
    <t>871313121 RTO</t>
  </si>
  <si>
    <t>D+M Potrubí z trub plastových PVC DN 160 SN 4 - Specifikace dle PD</t>
  </si>
  <si>
    <t xml:space="preserve">" Potrubí PVC KG SN 4. " </t>
  </si>
  <si>
    <t>" Potrubí pro areálovou kanalizaci - splaškovou "</t>
  </si>
  <si>
    <t>" Potrubí pro areálovou kanalizaci - splaškovou - úsek V1 - RŠ4 " (5,2)*1,1</t>
  </si>
  <si>
    <t>" Potrubí pro areálovou kanalizaci - splaškovou - úsek V2 - RŠ9 " (1,0)*1,1</t>
  </si>
  <si>
    <t>" Potrubí pro areálovou kanalizaci - splaškovou - úsek RŠ9 - RŠ5 " (4,2)*1,1</t>
  </si>
  <si>
    <t>" Potrubí pro areálovou kanalizaci - jednotnou "</t>
  </si>
  <si>
    <t>" Potrubí pro areálovou kanalizaci - jednotnou - úsek žlab - RŠ8 " (2,9)*1,1</t>
  </si>
  <si>
    <t>" Potrubí pro areálovou kanalizaci - jednotnou - úsek RŠ8 - RŠ7 " (19,3)*1,1</t>
  </si>
  <si>
    <t>" Potrubí pro areálovou kanalizaci - jednotnou - úsek LŽ - RŠ7 " (4,9)*1,1</t>
  </si>
  <si>
    <t>" Potrubí pro areálovou kanalizaci - jednotnou - úsek RŠ7 - RŠ6 " (10,4)*1,1</t>
  </si>
  <si>
    <t>" Potrubí pro areálovou kanalizaci - jednotnou - úsek RŠ6 - RŠ5 " (8,7)*1,1</t>
  </si>
  <si>
    <t>" Potrubí pro areálovou kanalizaci - jednotnou - úsek RŠ5 - RŠ4 " (8,8)*1,1</t>
  </si>
  <si>
    <t>" Potrubí pro areálovou kanalizaci - jednotnou - úsek RŠ4 - RŠ3 " (5,0)*1,1</t>
  </si>
  <si>
    <t>" Potrubí pro areálovou kanalizaci - jednotnou - úsek RŠ3 - RŠ2 " (18,4)*1,1</t>
  </si>
  <si>
    <t>" Potrubí pro areálovou kanalizaci - jednotnou - úsek RŠ2 - RŠ1 " (7,6)*1,1</t>
  </si>
  <si>
    <t>" Potrubí pro areálovou kanalizaci - jednotnou - úsek RŠ1 - Š1 " (1,9)*1,1</t>
  </si>
  <si>
    <t>" Potrubí pro areálovou kanalizaci - jednotnou - úsek RŠ2 - RŠ9 " (5,0)*1,1</t>
  </si>
  <si>
    <t>" Potrubí pro areálovou kanalizaci - jednotnou - úsek RŠ9 - žlab " (21,4)*1,1</t>
  </si>
  <si>
    <t>" Potrubí pro areálovou kanalizaci - jednotnou - úsek V3 - RŠ6 " (3,6)*1,1</t>
  </si>
  <si>
    <t>" Potrubí pro areálovou kanalizaci - dešťovou "</t>
  </si>
  <si>
    <t>" Potrubí pro areálovou kanalizaci - dešťovou - úsek V7 - RŠ17 " (1,5)*1,1</t>
  </si>
  <si>
    <t>" Potrubí pro areálovou kanalizaci - dešťovou - úsek RŠ17 - RŠ16 " (18,2)*1,1</t>
  </si>
  <si>
    <t>" Potrubí pro areálovou kanalizaci - dešťovou - úsek RŠ16 - RŠ15 " (5,8)*1,1</t>
  </si>
  <si>
    <t>" Potrubí pro areálovou kanalizaci - dešťovou - úsek RŠ15 - RŠ14 " (15,1)*1,1</t>
  </si>
  <si>
    <t>" Potrubí pro areálovou kanalizaci - dešťovou - úsek RŠ14 - RŠ13 " (9,5)*1,1</t>
  </si>
  <si>
    <t>" Potrubí pro areálovou kanalizaci - dešťovou - úsek RŠ13 - RŠ12 " (3,9)*1,1</t>
  </si>
  <si>
    <t>" Potrubí pro areálovou kanalizaci - dešťovou - úsek RŠ12 - RŠ11 " (11,4)*1,1</t>
  </si>
  <si>
    <t>" Potrubí pro areálovou kanalizaci - dešťovou - úsek RŠ11 - RŠ10 " (8,4)*1,1</t>
  </si>
  <si>
    <t>" Potrubí pro areálovou kanalizaci - dešťovou - úsek RŠ10 - RŠ18 " (7,8)*1,1</t>
  </si>
  <si>
    <t>" Potrubí pro areálovou kanalizaci - dešťovou - úsek RŠ18 - RŠ19 " (19,7)*1,1</t>
  </si>
  <si>
    <t>" Potrubí pro areálovou kanalizaci - dešťovou - úsek RŠ19 - RŠ20 " (25,0)*1,1</t>
  </si>
  <si>
    <t>" Potrubí pro areálovou kanalizaci - dešťovou - úsek V8 - RŠ20 " (2,1)*1,1</t>
  </si>
  <si>
    <t>" Potrubí pro areálovou kanalizaci - dešťovou - úsek V9 - RŠ20-RŠ19 " (2,5)*1,1</t>
  </si>
  <si>
    <t>" Potrubí pro areálovou kanalizaci - dešťovou - úsek V4 - RŠ11 " (4,6)*1,1</t>
  </si>
  <si>
    <t>" Potrubí pro areálovou kanalizaci - dešťovou - úsek V5 - RŠ14-RŠ13 " (6,2)*1,1</t>
  </si>
  <si>
    <t>" Potrubí pro areálovou kanalizaci - dešťovou - úsek V6 - RŠ15 " (3,2)*1,1</t>
  </si>
  <si>
    <t>" V ceně veškeré potřebné tvarovky a příslušenství "</t>
  </si>
  <si>
    <t>871353121 RTO</t>
  </si>
  <si>
    <t>D+M Potrubí z trub plastových PVC DN 200 SN 4 - Specifikace dle PD</t>
  </si>
  <si>
    <t>" Potrubí pro areálovou kanalizaci - jednotnou - úsek Š1 - N1 " (4,8)*1,1</t>
  </si>
  <si>
    <t>" Potrubí pro areálovou kanalizaci - jednotnou - úsek AN - Š1 " (1,7)*1,1</t>
  </si>
  <si>
    <t>" Potrubí pro areálovou kanalizaci - dešťovou - úsek RŠ10 - AN " (1,0)*1,1</t>
  </si>
  <si>
    <t>871999601 SPC</t>
  </si>
  <si>
    <t>D+M Plastová revizní šachta na kanalizačním potrubí - DN 600 - Specifikace dle PD - RŠ1</t>
  </si>
  <si>
    <t>" Revizní šachta z polypropylenu (PP) na kanalizačním potrubí DN 600 - RŠ1 - hl. ± 1,2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</si>
  <si>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</si>
  <si>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</si>
  <si>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RŠ2</t>
  </si>
  <si>
    <t>" Revizní šachta z polypropylenu (PP) na kanalizačním potrubí DN 600 - RŠ2 - hl. ± 1,45 m. "</t>
  </si>
  <si>
    <t>871999603 SPC</t>
  </si>
  <si>
    <t>D+M Plastová revizní šachta na kanalizačním potrubí - DN 600 - Specifikace dle PD - RŠ3</t>
  </si>
  <si>
    <t>" Revizní šachta z polypropylenu (PP) na kanalizačním potrubí DN 600 - RŠ3 - hl. ± 1,75 m. "</t>
  </si>
  <si>
    <t>871999604 SPC</t>
  </si>
  <si>
    <t>D+M Plastová revizní šachta na kanalizačním potrubí - DN 600 - Specifikace dle PD - RŠ4</t>
  </si>
  <si>
    <t>" Revizní šachta z polypropylenu (PP) na kanalizačním potrubí DN 600 - RŠ4 - hl. ± 1,5 m. "</t>
  </si>
  <si>
    <t>871999605 SPC</t>
  </si>
  <si>
    <t>D+M Plastová revizní šachta na kanalizačním potrubí - DN 600 - Specifikace dle PD - RŠ5</t>
  </si>
  <si>
    <t>" Revizní šachta z polypropylenu (PP) na kanalizačním potrubí DN 600 - RŠ5 - hl. ± 1,0 m. "</t>
  </si>
  <si>
    <t>871999606 SPC</t>
  </si>
  <si>
    <t>D+M Plastová revizní šachta na kanalizačním potrubí - DN 600 - Specifikace dle PD - RŠ6</t>
  </si>
  <si>
    <t>" Revizní šachta z polypropylenu (PP) na kanalizačním potrubí DN 600 - RŠ6 - hl. ± 1,0 m. "</t>
  </si>
  <si>
    <t>871999607 SPC</t>
  </si>
  <si>
    <t>D+M Plastová revizní šachta na kanalizačním potrubí - DN 600 - Specifikace dle PD - RŠ7</t>
  </si>
  <si>
    <t>" Revizní šachta z polypropylenu (PP) na kanalizačním potrubí DN 600 - RŠ7 - hl. ± 0,95 m. "</t>
  </si>
  <si>
    <t>871999608 SPC</t>
  </si>
  <si>
    <t>D+M Plastová revizní šachta na kanalizačním potrubí - DN 600 - Specifikace dle PD - RŠ8</t>
  </si>
  <si>
    <t>" Revizní šachta z polypropylenu (PP) na kanalizačním potrubí DN 600 - RŠ8 - hl. ± 1,2 m. "</t>
  </si>
  <si>
    <t>871999609 SPC</t>
  </si>
  <si>
    <t>D+M Plastová revizní šachta na kanalizačním potrubí - DN 600 - Specifikace dle PD - RŠ9</t>
  </si>
  <si>
    <t>" Revizní šachta z polypropylenu (PP) na kanalizačním potrubí DN 600 - RŠ9 u jednotné kanalizace - hl. ± 1,2 m. "</t>
  </si>
  <si>
    <t>871999610 SPC</t>
  </si>
  <si>
    <t>" Revizní šachta z polypropylenu (PP) na kanalizačním potrubí DN 600 - RŠ9 u splaškové kanalizace - hl. ± 1,0 m. "</t>
  </si>
  <si>
    <t>871999611 SPC</t>
  </si>
  <si>
    <t>D+M Plastová revizní šachta na kanalizačním potrubí - DN 600 - Specifikace dle PD - RŠ10</t>
  </si>
  <si>
    <t>" Revizní šachta z polypropylenu (PP) na kanalizačním potrubí DN 600 - RŠ10 - hl. ± 1,65 m. "</t>
  </si>
  <si>
    <t>871999612 SPC</t>
  </si>
  <si>
    <t>D+M Plastová revizní šachta na kanalizačním potrubí - DN 600 - Specifikace dle PD - RŠ11</t>
  </si>
  <si>
    <t>" Revizní šachta z polypropylenu (PP) na kanalizačním potrubí DN 600 - RŠ11 - hl. ± 1,5 m. "</t>
  </si>
  <si>
    <t>871999613 SPC</t>
  </si>
  <si>
    <t>D+M Plastová revizní šachta na kanalizačním potrubí - DN 600 - Specifikace dle PD - RŠ12</t>
  </si>
  <si>
    <t>" Revizní šachta z polypropylenu (PP) na kanalizačním potrubí DN 600 - RŠ12 - hl. ± 1,5 m. "</t>
  </si>
  <si>
    <t>871999614 SPC</t>
  </si>
  <si>
    <t>D+M Plastová revizní šachta na kanalizačním potrubí - DN 600 - Specifikace dle PD - RŠ13</t>
  </si>
  <si>
    <t>" Revizní šachta z polypropylenu (PP) na kanalizačním potrubí DN 600 - RŠ13 - hl. ± 1,35 m. "</t>
  </si>
  <si>
    <t>871999615 SPC</t>
  </si>
  <si>
    <t>D+M Plastová revizní šachta na kanalizačním potrubí - DN 600 - Specifikace dle PD - RŠ14</t>
  </si>
  <si>
    <t>" Revizní šachta z polypropylenu (PP) na kanalizačním potrubí DN 600 - RŠ14 - hl. ± 0,85 m. "</t>
  </si>
  <si>
    <t>871999616 SPC</t>
  </si>
  <si>
    <t>D+M Plastová revizní šachta na kanalizačním potrubí - DN 600 - Specifikace dle PD - RŠ15</t>
  </si>
  <si>
    <t>" Revizní šachta z polypropylenu (PP) na kanalizačním potrubí DN 600 - RŠ15 - hl. ± 1,2 m. "</t>
  </si>
  <si>
    <t>871999617 SPC</t>
  </si>
  <si>
    <t>D+M Plastová revizní šachta na kanalizačním potrubí - DN 600 - Specifikace dle PD - RŠ16</t>
  </si>
  <si>
    <t>" Revizní šachta z polypropylenu (PP) na kanalizačním potrubí DN 600 - RŠ16 - hl. ± 1,25 m. "</t>
  </si>
  <si>
    <t>871999618 SPC</t>
  </si>
  <si>
    <t>D+M Plastová revizní šachta na kanalizačním potrubí - DN 600 - Specifikace dle PD - RŠ17</t>
  </si>
  <si>
    <t>" Revizní šachta z polypropylenu (PP) na kanalizačním potrubí DN 600 - RŠ17 - hl. ± 1,0 m. "</t>
  </si>
  <si>
    <t>871999619 SPC</t>
  </si>
  <si>
    <t>D+M Plastová revizní šachta na kanalizačním potrubí - DN 600 - Specifikace dle PD - RŠ18</t>
  </si>
  <si>
    <t>" Revizní šachta z polypropylenu (PP) na kanalizačním potrubí DN 600 - RŠ18 - hl. ± 1,2 m. "</t>
  </si>
  <si>
    <t>871999620 SPC</t>
  </si>
  <si>
    <t>D+M Plastová revizní šachta na kanalizačním potrubí - DN 600 - Specifikace dle PD - RŠ19</t>
  </si>
  <si>
    <t>" Revizní šachta z polypropylenu (PP) na kanalizačním potrubí DN 600 - RŠ19 - hl. ± 1,2 m. "</t>
  </si>
  <si>
    <t>871999621 SPC</t>
  </si>
  <si>
    <t>D+M Plastová revizní šachta na kanalizačním potrubí - DN 600 - Specifikace dle PD - RŠ20</t>
  </si>
  <si>
    <t>" Revizní šachta z polypropylenu (PP) na kanalizačním potrubí DN 600 - RŠ20 - hl. ± 1,2 m. "</t>
  </si>
  <si>
    <t>871999651 SPC</t>
  </si>
  <si>
    <t>D+M Betonová revizní šachta na kanalizačním potrubí - DN 1000 - Specifikace dle PD - Š1</t>
  </si>
  <si>
    <t>" Betonová šachta na kanalizačním potrubí DN 1000 - Š1 - hl. ± 1,45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</si>
  <si>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</si>
  <si>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V ceně také přesun hmot a veškeré dalšní nutné příslušenství a vystrojení pro provedení betonové šachty.  "</t>
  </si>
  <si>
    <t>D+M Liniový odvodňovací žlab polymerbetonový - Specifikace dle PD - LŽ</t>
  </si>
  <si>
    <t>" Liniový odvodňovací žlab š. 150 mm vč. pozinkovaného roštu pro třídu zatížení D400 s odtokem pro napojení na potrubí DN 150 "</t>
  </si>
  <si>
    <t>" Liniový odvodňovací žlab z polymerbetonu - u zásobovací rampy " 7,8</t>
  </si>
  <si>
    <t>" Součástí zemní práce, podkladní lože, osazení žlabu včetně krycího roštu / mříže pro třídu zatížení D400, systémové vpusti, tvarovky pro zajištění napojení na kanalizaci vč. napojení, sítko+sifon pro zachytávání nečistot, čela žlabu. V ceně také přesun hmot. "</t>
  </si>
  <si>
    <t>871999652 SPC</t>
  </si>
  <si>
    <t>" Liniový odvodňovací žlab š. 150 mm vč. pozinkovaného roštu pro třídu zatížení A15 s odtokem pro napojení na potrubí DN 150 "</t>
  </si>
  <si>
    <t>" Liniový odvodňovací žlab z polymerbetonu - u vstupu pro pěší " 3,0</t>
  </si>
  <si>
    <t>" Součástí zemní práce, podkladní lože, osazení žlabu včetně krycího roštu / mříže pro třídu zatížení A15, systémové vpusti, tvarovky pro zajištění napojení na kanalizaci vč. napojení, sítko+sifon pro zachytávání nečistot, čela žlabu. V ceně také přesun hmot. "</t>
  </si>
  <si>
    <t>D+M Prostup potrubí budovou / základy</t>
  </si>
  <si>
    <t>" Prostup potrubí vodovodu budovou / základy. "</t>
  </si>
  <si>
    <t>" Prostup potrubí budovou / základy - pro jednotnou kanalizaci - body V3 " 1</t>
  </si>
  <si>
    <t>" Prostup potrubí budovou / základy - pro splaškovou kanalizaci - body V1, V2 " 2</t>
  </si>
  <si>
    <t>" V ceně chránička, kotvení chráničky, vytvoření a zapravení prostupů, systémové utěsnění prostupu, napojení na svislou hydroizolaci.vč. přesunu hmot, odvozu a likvidace suti. "</t>
  </si>
  <si>
    <t>56</t>
  </si>
  <si>
    <t>871999751 SPC</t>
  </si>
  <si>
    <t>Kamerový průzkum stávající areálové kanalizace vč. případného pročištění</t>
  </si>
  <si>
    <t>" Kamerový průzkum stávající areálové kanalizace vč. případného vyčištění. "</t>
  </si>
  <si>
    <t xml:space="preserve">" V ceně kamerový průzkum, revizní zpráva a DVD záznam z průzkumu kanalizačního potrubí, stávajícího úseku  Případné pročištění tlakovou vodou,či motorovým pérem. 
V ceně je zahruta také doprava a práce techniků ." </t>
  </si>
  <si>
    <t>" V ceně také odvozu a likvidace kalu. "</t>
  </si>
  <si>
    <t>" POZN: Jedná se o průzkum od místa napojení N1 po šachtu na kanalizačním řadu - celková délka cca 21,5 m. "</t>
  </si>
  <si>
    <t>57</t>
  </si>
  <si>
    <t>871999761 SPC</t>
  </si>
  <si>
    <t xml:space="preserve">D+M Výměna poškozené kanalizace zjištěné při kamerovém průzkumu - Specifikace dle PD </t>
  </si>
  <si>
    <t>" Případná výměna poškozené kanalizace zjištěná během kamerového průzkumu.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</si>
  <si>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</si>
  <si>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V ceně tpřesun hmot, nakládání se zeminou, odvoz a likvidace suti. "</t>
  </si>
  <si>
    <t>871999801 SPC</t>
  </si>
  <si>
    <t>D+M Napojení potrubí kanalizace na plastovou šachtu</t>
  </si>
  <si>
    <t xml:space="preserve">" Napojení potrubí kanalizace na novou plastovou šachtu. " </t>
  </si>
  <si>
    <t>" Napojení na šachtu RŠ1 " 2</t>
  </si>
  <si>
    <t>" Napojení na šachtu RŠ2 " 3</t>
  </si>
  <si>
    <t>" Napojení na šachtu RŠ3 " 2</t>
  </si>
  <si>
    <t>" Napojení na šachtu RŠ4 " 3</t>
  </si>
  <si>
    <t>" Napojení na šachtu RŠ5 " 3</t>
  </si>
  <si>
    <t>" Napojení na šachtu RŠ6 " 3</t>
  </si>
  <si>
    <t>" Napojení na šachtu RŠ7 " 3</t>
  </si>
  <si>
    <t>" Napojení na šachtu RŠ8 " 2</t>
  </si>
  <si>
    <t>" Napojení na šachtu RŠ9 - pro jednotnou kanalizaci " 2</t>
  </si>
  <si>
    <t>" Napojení na šachtu RŠ9 - pro splaškovou kanalizaci " 2</t>
  </si>
  <si>
    <t>" Napojení na šachtu RŠ10 " 3</t>
  </si>
  <si>
    <t>" Napojení na šachtu RŠ11 " 3</t>
  </si>
  <si>
    <t>" Napojení na šachtu RŠ12 " 2</t>
  </si>
  <si>
    <t>" Napojení na šachtu RŠ13 " 2</t>
  </si>
  <si>
    <t>" Napojení na šachtu RŠ14 " 2</t>
  </si>
  <si>
    <t>" Napojení na šachtu RŠ15 " 3</t>
  </si>
  <si>
    <t>" Napojení na šachtu RŠ16 " 2</t>
  </si>
  <si>
    <t>" Napojení na šachtu RŠ17 " 2</t>
  </si>
  <si>
    <t>" Napojení na šachtu RŠ18 " 2</t>
  </si>
  <si>
    <t>" Napojení na šachtu RŠ19 " 2</t>
  </si>
  <si>
    <t>" Napojení na šachtu RŠ20 " 2</t>
  </si>
  <si>
    <t xml:space="preserve">" V ceně případné nutné vytvoření a zapravení prostupu, tvarovky pro zajištění napojení, těsnící prvky a veškeré příslušenství vč. přesunu hmot. " </t>
  </si>
  <si>
    <t>871999802 SPC</t>
  </si>
  <si>
    <t>D+M Napojení potrubí kanalizace na akumulační nádrž</t>
  </si>
  <si>
    <t xml:space="preserve">" Napojení potrubí kanalizace na akumulační nádrž. " </t>
  </si>
  <si>
    <t>" Napojení na akumulační nádrž - AN " 2</t>
  </si>
  <si>
    <t>871999811 SPC</t>
  </si>
  <si>
    <t>D+M Napojení potrubí kanalizace na betonovou šachtu</t>
  </si>
  <si>
    <t>" Napojení potrubí kanalizace na novou betonovou šachtu. "</t>
  </si>
  <si>
    <t>" Napojení na šachtu Š1 " 3</t>
  </si>
  <si>
    <t>871999812 SPC</t>
  </si>
  <si>
    <t>D+M Napojení potrubí kanalizace na lapák tuku</t>
  </si>
  <si>
    <t>" Napojení potrubí kanalizace na lapák tuku. "</t>
  </si>
  <si>
    <t>" Napojení na lapák tuku " 2</t>
  </si>
  <si>
    <t>871999821 SPC</t>
  </si>
  <si>
    <t>D+M Napojení nového potrubí kanalizace na stávající kanalizační šachtu - N1</t>
  </si>
  <si>
    <t>" Napojení nového potrubí kanalizace na stávající kanalizační šachtu - napojení N1. "</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</si>
  <si>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</si>
  <si>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871999831 SPC</t>
  </si>
  <si>
    <t>D+M Napojení potrubí kanalizace na žlab pro odvodnění okolo objektu - Specifikace dle PD</t>
  </si>
  <si>
    <t>" Napojení potrubí kanalizace na na žlab k odvodnění okolo objektu. "</t>
  </si>
  <si>
    <t>"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t>
  </si>
  <si>
    <t>899713119 SPC</t>
  </si>
  <si>
    <t>" Označovací a informační štítky (označníky) napojení a armatur areálové kanalizace - např. pro umístění na sloupek, oplocení, objekt, případný nástřik, apod. "</t>
  </si>
  <si>
    <t>" V ceně veškerý kotvící a upevňovací materiál, a další příslušenství (vč. speje např. pro nástřil) vč. dopsání informací a přesunu hmot. "</t>
  </si>
  <si>
    <t>Signalizační vodič DN přes 150 mm na potrubí</t>
  </si>
  <si>
    <t>" Signalizační vodič pro potrubí kanalizace "</t>
  </si>
  <si>
    <t>" Signalizační vodič pro potrubí kanalizace - PVC KG DN 160 " (5,2+1,0+4,2)+(2,9+19,3+4,9+10,4+8,7+8,8+5,0+18,4+7,6+1,9+5,0+21,4+3,6)+(1,5+18,2+5,8+15,1+9,5+3,9+11,4+8,4+7,8+19,7+25,0+2,1+2,5+4,6+6,2+3,2)</t>
  </si>
  <si>
    <t>" Signalizační vodič pro potrubí kanalizace - PVC KG DN 200 " (4,8+1,7)+(1,0)</t>
  </si>
  <si>
    <t>Krytí potrubí z plastů výstražnou fólií z PVC 40 cm</t>
  </si>
  <si>
    <t>" Výstražná fólie pro potrubí kanalizace "</t>
  </si>
  <si>
    <t>" Výstražná fólie pro potrubí kanalizace - PVC KG DN 160 " (5,2+1,0+4,2)+(2,9+19,3+4,9+10,4+8,7+8,8+5,0+18,4+7,6+1,9+5,0+21,4+3,6)+(1,5+18,2+5,8+15,1+9,5+3,9+11,4+8,4+7,8+19,7+25,0+2,1+2,5+4,6+6,2+3,2)</t>
  </si>
  <si>
    <t>" Výstražná fólie pro potrubí kanalizace - PVC KG DN 200 " (4,8+1,7)+(1,0)</t>
  </si>
  <si>
    <t>67</t>
  </si>
  <si>
    <t>" Přesun hmot pro areálovou splaškovou kanalizaci " 647,502</t>
  </si>
  <si>
    <t xml:space="preserve">" Stavební práce a dodávky spojené s provedením funkčního celku HSV - výpomoce, doplňkové práce a dodávky,kompletace apod. " </t>
  </si>
  <si>
    <t>923</t>
  </si>
  <si>
    <t>Tlakové zkoušky těsnosti potrubí - příprava DN přes 125 do 200</t>
  </si>
  <si>
    <t>" Příprava pro tlakovou zkoušku těsnosti kanalizace. "</t>
  </si>
  <si>
    <t>" Zkouška kanalizace - příprava pro PVC KG DN 160 " 1</t>
  </si>
  <si>
    <t>" Zkouška kanalizace - příprava pro PVC KG DN 200 " 1</t>
  </si>
  <si>
    <t>" Včetně technické prohlídky a utěsnění zkoušeného úseku "</t>
  </si>
  <si>
    <t>Tlakové zkoušky těsnosti potrubí - zkouška DN přes 125 do 200</t>
  </si>
  <si>
    <t>" Tlaková zkouška těsnosti kanalizace. "</t>
  </si>
  <si>
    <t>" Zkouška kanalizace PVC KG DN 160 " (5,2+1,0+4,2)+(2,9+19,3+4,9+10,4+8,7+8,8+5,0+18,4+7,6+1,9+5,0+21,4+3,6)+(1,5+18,2+5,8+15,1+9,5+3,9+11,4+8,4+7,8+19,7+25,0+2,1+2,5+4,6+6,2+3,2)</t>
  </si>
  <si>
    <t>" Zkouška kanalizace PVC KG DN 200 " (4,8+1,7)+(1,0)</t>
  </si>
  <si>
    <t>" Stavební práce a dodávky spojené s provedením funkčního celku 23-M - výpomoce, doplňkové práce a dodávky,kompletace apod. "</t>
  </si>
  <si>
    <t>Část: D.1.4.1.b.08. AREÁLOVÁ KANALIZACE - BP</t>
  </si>
  <si>
    <t>JKSO:   937</t>
  </si>
  <si>
    <t>Sejmutí ornice tl vrstvy do 200 mm ručně</t>
  </si>
  <si>
    <t>" Sejmutí ornice v místě mimo řešené území - uvažována š. 1,0 m. "</t>
  </si>
  <si>
    <t>" Sejmutí ornice v místě rýh pro vybourání kanalizace " (22,1+15,9)*1,0</t>
  </si>
  <si>
    <t>Hloubení zapažených rýh šířky do 800 mm v nesoudržných horninách třídy těžitelnosti I skupiny 3 ručně</t>
  </si>
  <si>
    <t xml:space="preserve">" Hloubení rýhy pro bourání areálové kanalizace - 10 % z celkové kubatury " </t>
  </si>
  <si>
    <t>" Hloubení rýh pro bourání potrubí kanalizace " ((80,7+171,3)*0,8*1,6)*0,1</t>
  </si>
  <si>
    <t>Hloubení rýh zapažených š do 800 mm v hornině třídy těžitelnosti I, skupiny 3 objem přes 100 m3 strojně</t>
  </si>
  <si>
    <t xml:space="preserve">" Hloubení rýhy pro bourání areálové kanalizace - 50 % z celkové kubatury " </t>
  </si>
  <si>
    <t>" Hloubení rýh pro bourání potrubí kanalizace " ((80,7+171,3)*0,8*1,6)*0,5</t>
  </si>
  <si>
    <t>Hloubení zapažených rýh šířky do 800 mm v nesoudržných horninách třídy těžitelnosti II skupiny 4 ručně</t>
  </si>
  <si>
    <t xml:space="preserve">" Hloubení rýhy pro bourání areálové kanalizace - 5 % z celkové kubatury " </t>
  </si>
  <si>
    <t>" Hloubení rýh pro bourání potrubí kanalizace " ((80,7+171,3)*0,8*1,6)*0,05</t>
  </si>
  <si>
    <t>Hloubení rýh zapažených š do 800 mm v hornině třídy těžitelnosti II skupiny 4 objem do 100 m3 strojně</t>
  </si>
  <si>
    <t xml:space="preserve">" Hloubení rýhy pro bourání areálové kanalizace - 30 % z celkové kubatury " </t>
  </si>
  <si>
    <t>" Hloubení rýh pro bourání potrubí kanalizace " ((80,7+171,3)*0,8*1,6)*0,3</t>
  </si>
  <si>
    <t>Hloubení rýh zapažených š do 800 mm v hornině třídy těžitelnosti II skupiny 5 objem do 20 m3 strojně</t>
  </si>
  <si>
    <t>" Příplatek - 3 % " ((32,256+161,28)+(16,128+96,768)+(16,128))*0,03</t>
  </si>
  <si>
    <t>139001199 SPC</t>
  </si>
  <si>
    <t>Příplatek za vykopávky pod schodištěm pro vybourání kanalizace</t>
  </si>
  <si>
    <t>" Příplatek za provedení výkopových prací pod schodištěm pro vybourání kanalizace vč. případného zpětného doplnění zeminy. "</t>
  </si>
  <si>
    <t xml:space="preserve">" Pažení rýh pro bourání areálové kanalizace - 50 % z celkové plochy " </t>
  </si>
  <si>
    <t>" Pažení rýh pro bourání potrubí areálové kanalizace " ((80,7+171,3)*1,6)*2*0,5</t>
  </si>
  <si>
    <t>" Zásyp rýh vykopanou zeminou po bourání stávající kanalizace. "</t>
  </si>
  <si>
    <t>" Zásyp rýh vykopanou zeminou po bourání areálové kanalizace " (80,7+171,3)*0,8*1,6</t>
  </si>
  <si>
    <t>" Zásypy po vybouraných prvcích dovezenou zeminou. "</t>
  </si>
  <si>
    <t>" Zásyp po vybourání septiku - uvažované rozměry 5,0×4,0×3,0 m " (5,0*4,0*3,0)</t>
  </si>
  <si>
    <t>" Zásyp po vybouraných vpustích " ((3,141592654*0,3*0,3)*1,5)*2</t>
  </si>
  <si>
    <t>" Zásyp po vybouraných šachtách " ((3,141592654*0,5*0,5)*2,0)*15</t>
  </si>
  <si>
    <t>" POZN: S odvozem zeminy na meziskládku a zpět před zpětným zásypem není uvažováno. Je uvažováno s ponecháním vykopané zeminy podél rýh a zpětným zásypem po vybourání. "</t>
  </si>
  <si>
    <t>103</t>
  </si>
  <si>
    <t>" Zemina pro zásyp po vybouraných objektech "</t>
  </si>
  <si>
    <t>" Zásyp po vybouraném septiku " (60,0)*1,7</t>
  </si>
  <si>
    <t>" Zásyp po vybouraných vpustí " (0,848)*1,7</t>
  </si>
  <si>
    <t>" Zásyp po vybouraných šachtách " (23,562)*1,7</t>
  </si>
  <si>
    <t>231</t>
  </si>
  <si>
    <t>Plošná úprava terénu do 500 m2 zemina tř 1 až 4 nerovnosti do 150 mm v rovinně a svahu do 1:5</t>
  </si>
  <si>
    <t>" Úprava ploch před realizací sadových úprav - pro zatravněné plochy " (22,1+15,9)*1,0</t>
  </si>
  <si>
    <t>Rozprostření ornice tl vrstvy do 200 mm v rovině nebo ve svahu do 1:5 ručně</t>
  </si>
  <si>
    <t>" Zpětné rozprostření sejmuté ornice " (22,1+15,9)*1,0</t>
  </si>
  <si>
    <t xml:space="preserve">Obdělání půdy hrabáním v rovině a svahu do 1:5 </t>
  </si>
  <si>
    <t>" Úprava zeminy před dosevem -1x  " (22,1+15,9)*1,0</t>
  </si>
  <si>
    <t>Obdělání půdy válením v rovině a svahu do 1:5</t>
  </si>
  <si>
    <t>" Úprava zeminy před dosevem - 1x  " (22,1+15,9)*1,0</t>
  </si>
  <si>
    <t>Provzdušnění trávníku s přísevem travního osiva plochy do 1000 m2 v rovině nebo na svahu do 1:5</t>
  </si>
  <si>
    <t>" Provzdušnění trávníku s přísevem osiva - zpětné položení stávajícího trávníku - ornice " (22,1+15,9)*1,0</t>
  </si>
  <si>
    <t>Prořezání trávníku s přísevem plochy do 1000 m2 v rovině nebo na svahu do 1:5</t>
  </si>
  <si>
    <t>" Prořezání trávníku s přísevem osiva - zpětné položení stávajícího trávníku - ornice " (22,1+15,9)*1,0</t>
  </si>
  <si>
    <t>005</t>
  </si>
  <si>
    <t>00572410</t>
  </si>
  <si>
    <t>osivo směs travní parková</t>
  </si>
  <si>
    <t>" Osivo jako přísev při obnově stávajícího trávníku - provzdušnění - spotřeba 10 g/m2 " ((22,1+15,9)*1,0)*0,01</t>
  </si>
  <si>
    <t>" Osivo jako přísev při obnově stávajícího trávníku - prořezání - spotřeba 10 g/m2 " ((22,1+15,9)*1,0)*0,01</t>
  </si>
  <si>
    <t>Zapískování travnatých ploch vrstvou tl. do 20 mm v rovině nebo na svahu do 1:5 plochy do 1000 m2</t>
  </si>
  <si>
    <t>" Provedení zapískování trávníku vrstvou písku - zatravněné plochy - zpětné dání ornice " (22,1+15,9)*1,0</t>
  </si>
  <si>
    <t>581</t>
  </si>
  <si>
    <t>58154421 RTO</t>
  </si>
  <si>
    <t>křemičitý písek sušený pytlovaný 0,25-2mm</t>
  </si>
  <si>
    <t>" Písek pro zapískování trávníku - spotřeba 9,8 kg/m2 " ((22,1+15,9)*1,0)*0,0098</t>
  </si>
  <si>
    <t xml:space="preserve">183911901 SPC </t>
  </si>
  <si>
    <t>Dvojnásobný postřik trávníku přípravkem podporující růst a zakořenění</t>
  </si>
  <si>
    <t>" Dvojnásobný postřik trávníku přípravkem podporující zakořenění a růst - zatravněné plochy  " (22,1+15,9)*1,0</t>
  </si>
  <si>
    <t xml:space="preserve">" V ceně i dodávka vody " </t>
  </si>
  <si>
    <t>250</t>
  </si>
  <si>
    <t>25099911 SPC</t>
  </si>
  <si>
    <t>stimulátor zakořenění a růstu trávníku</t>
  </si>
  <si>
    <t>l</t>
  </si>
  <si>
    <t>" Spotřeba - 50 ml / 100 m2 → 0,0005 l / 1 m2 " (0,0005*((22,1+15,9)*1,0))*2</t>
  </si>
  <si>
    <t>Chemické odplevelení před založením kultury postřikem na široko v rovině a svahu do 1:5 ručně</t>
  </si>
  <si>
    <t>" Dvojnásobné odplevelení trávníku před realizací sadových úprav. " ((22,1+15,9)*1,0)*2</t>
  </si>
  <si>
    <t>Ochrana kmene průměru do 300 mm bedněním výšky přes 2 do 3 m</t>
  </si>
  <si>
    <t>" Ochrana kmene stávajících stromů během provádění stavebních prací před jeho poškozením v okolí prováděných prací. "</t>
  </si>
  <si>
    <t>" Ochrana stávajících stromů mimo řešené území při pracích pro vybourání kanalizace " 3</t>
  </si>
  <si>
    <t>" V ceně také pozdější odstranění bednění. "</t>
  </si>
  <si>
    <t>Ochrana kmene průměru přes 300 do 500 mm bedněním výšky přes 2 do 3 m</t>
  </si>
  <si>
    <t>" Ochrana stávajících stromů mimo řešené území při pracích pro vybourání kanalizace " 1</t>
  </si>
  <si>
    <t>Hnojení půdy umělým hnojivem na široko v rovině a svahu do 1:5</t>
  </si>
  <si>
    <t>" Hnojení půdy travnatých ploch hnojivy " (((22,1+15,9)*1,0)*0,02)/1000</t>
  </si>
  <si>
    <t>251</t>
  </si>
  <si>
    <t>hnojivo průmyslové Cererit</t>
  </si>
  <si>
    <t>" Hnojivo pro hnojení travnatých ploch - spotřeba 20 g/m2 " ((22,1+15,9)*1,0)*0,02</t>
  </si>
  <si>
    <t>Ošetření trávníku shrabáním v rovině a ve svahu do 1:5</t>
  </si>
  <si>
    <t>" Ošetření trávníku " (22,1+15,9)*1,0</t>
  </si>
  <si>
    <t>Zalití rostlin vodou plocha do 20 m2</t>
  </si>
  <si>
    <t>" Zalití travnatých ploch po provzdušnění a dodání semen - 15 l na 1 m2 " 0,015*((22,1+15,9)*1,0)</t>
  </si>
  <si>
    <t xml:space="preserve">871275901 SPC </t>
  </si>
  <si>
    <t>Vybourání stávajícího potrubí kanalizace</t>
  </si>
  <si>
    <t xml:space="preserve">" Vybourání stávajícího kanalizačního potrubí vč. tvarovek a armatur. "  </t>
  </si>
  <si>
    <t>" Vybourání stávajícího potrubí kanalizace - strana skrze neřešené území " (80,7)</t>
  </si>
  <si>
    <t>" Vybourání stávajícího potrubí kanalizace - strana u septiku " (24,4+24,7+1,5+8,3+21,5+12,6+2,5+69,8+3,7+2,3)</t>
  </si>
  <si>
    <t>" V ceně také případné pročištění potrubí od nečistot, odčerpání a likvidace kalu a veškeré práce s tímto spojené. "</t>
  </si>
  <si>
    <t xml:space="preserve">871275911 SPC </t>
  </si>
  <si>
    <t xml:space="preserve">D+M Zaslepení / vyplnění / úprava otvoru v ponechané kanalizační šachtě po odbourání potrubí </t>
  </si>
  <si>
    <t>" Zaslepení / vyplnění / úprava otvoru v ponechané kanalizační šachtě po odbourání potrubí  "</t>
  </si>
  <si>
    <t>" Úprava otvoru v kanalizační šachtě po vybourání potrubí " 1</t>
  </si>
  <si>
    <t>" V ceně veškerý nutný materiá la práce související s úpravou / zaslepením / vyplněním otvorů - např.:
 - Pro utěsnění - zátka veškerý těsnící materiál, apod.;
 - Pro vyplnění - očištění povrchu, betonáž, vč. bednění a odbednění, případná výzruž + zajištění napojení ke stávajícím částem šachty apod.
V ceně také přesun hmot, odvoz a likvidace suti. "</t>
  </si>
  <si>
    <t>" POZN: Způsob provádění zvolit dle druhu šachty (předpoklad betonová) a technologie provádění investora. "</t>
  </si>
  <si>
    <t xml:space="preserve">890331891 SPC </t>
  </si>
  <si>
    <t>Vybourání stávajících kanalizačních šachet - hloubky do 2,0 m</t>
  </si>
  <si>
    <t>" Vybourání stávajících kanalizačních šachet vč. veškerého příslušenství a vč. odčerpání a ekologické likvidace kalu. "</t>
  </si>
  <si>
    <t>" Šachty hl. do 2,0 m. " 15,0</t>
  </si>
  <si>
    <t>" V ceně vybourání stávajících šachet, vč. odstranění poklopu vč. rámu, vybavení a vystrojení šachty (např. stupadla, koše, čerpadla, sítka, filtry, …), případná dezinfekce stěn a podlah, odstranění případné izolace a ochranné vrstvy a veškerého vybavení související se šachtou. "</t>
  </si>
  <si>
    <t>" V ceně také případná odčerpání a ekologická likvidace kalu, odvoz a likvidace suti z vybourané šachty. "</t>
  </si>
  <si>
    <t>" V ceně také případné pažení proti sesuvu zeminy po vybourání, před zásypem vč. jeho odstranění, přesunu hmot. "</t>
  </si>
  <si>
    <t xml:space="preserve">890331892 SPC </t>
  </si>
  <si>
    <t>Vybourání stávajících uličních vpustí</t>
  </si>
  <si>
    <t>" Vybourání stávajících uličních vpustí vč. veškerého příslušenství a vč. odčerpání a ekologické likvidace kalu. "</t>
  </si>
  <si>
    <t>" Uliční vpusti " 2</t>
  </si>
  <si>
    <t>" V ceně vybourání stávajících vpustí, vč. odstranění mříže vč. rámu, veškerého příslušenství (např. stupadla, koše, sítka, filtry, …), případná dezinfekce, odstranění naplavenin, případné izolace a ochranné vrstvy a veškerého vybavení související s vpustí. "</t>
  </si>
  <si>
    <t>" V ceně také případná odčerpání a ekologická likvidace kalu, odvoz a likvidace suti z vybourané vpusti "</t>
  </si>
  <si>
    <t>43</t>
  </si>
  <si>
    <t xml:space="preserve">890331899 SPC </t>
  </si>
  <si>
    <t>Vybourání stávajícího septiku vč. odčerpání a likvidace kalu</t>
  </si>
  <si>
    <t>" Vybourání stávajícího septiku vč. veškerého příslušenství a vč. odčerpání a ekologické likvidace kalu. " 1</t>
  </si>
  <si>
    <t xml:space="preserve"> " Vybourání septiku. Půddorysný rozměr 5,0×4,0 m. Uvažována hloubka septiku do 3,0 m. " 1</t>
  </si>
  <si>
    <t>" V ceně případné zemní práce pro zpřístupnění vč. čerpání vody, pažení, nakládání se zeminou vč. případného odvozu kontaminované zeminy. "</t>
  </si>
  <si>
    <t>" V ceně vybourání stávajícího septiku, vč. odstranění poklopů vč. rámu, vybavení a vystrojení (např. stupadla, koše, čerpadla, sítka, filtry, …), dezinfekce stěn a podlah, odstranění případné izolace a ochranné vrstvy a veškerého vybavení související se šachtou. "</t>
  </si>
  <si>
    <t>" V ceně také odčerpání a ekologická likvidace kalu, odvoz a likvidace suti z vybouraného septiku. "</t>
  </si>
  <si>
    <t xml:space="preserve">890311901 SPC </t>
  </si>
  <si>
    <t>Vybourání veškerých prvků a armatur kanalizace nespecifikovaných</t>
  </si>
  <si>
    <t>" Vybourání veškerých prvků kanalizace a armatur nespecifikovaných</t>
  </si>
  <si>
    <t>" Vybourání veškerých nespecifikovaných prvků a armatur kanalizace či v množství vyšším než uvedeném - např. šachet, poklopů, mříží, vpustí, žlabů, hydrantů, vzdušníků apod. vč. odstranění případného značení a veškerého nutného příslušenství. "</t>
  </si>
  <si>
    <t>" V ceně odstranění prvků, případné úpravy napojení, přesun a likvidace suti, a další veškeré nutné práce související s odstraněním koncových prvků - zemní a bourací práce apod.. 
V ceně také případný přesun hmot. "</t>
  </si>
  <si>
    <t xml:space="preserve">899721901 SPC </t>
  </si>
  <si>
    <t>Odstranění stávající krycí folie potrubí</t>
  </si>
  <si>
    <t xml:space="preserve">" Odstranění krycí fólie potrubí vč. odvozu a likvidace suti. " </t>
  </si>
  <si>
    <t>" Odstranění krycí fólie potrubí areálové kanalizace - strana skrze neřešené území " (80,7)</t>
  </si>
  <si>
    <t>" Odstranění krycí fólie potrubí areálové kanalizace - strana u septiku " (24,4+24,7+1,5+8,3+21,5+12,6+2,5+69,8+3,7+2,3)</t>
  </si>
  <si>
    <t xml:space="preserve">899721902 SPC </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</si>
  <si>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</si>
  <si>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</si>
  <si>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strana skrze neřešené území " (80,7)</t>
  </si>
  <si>
    <t>" Odstranění signalizačního vodiče potrubí areálové kanalizace - strana u septiku " (24,4+24,7+1,5+8,3+21,5+12,6+2,5+69,8+3,7+2,3)</t>
  </si>
  <si>
    <t>" Přesun hmot pro práce spojené s bouraním kanalizace " (146,287-0,463)</t>
  </si>
  <si>
    <t>Přesun hmot pro sadovnické a krajinářské úpravy vodorovně do 5000 m</t>
  </si>
  <si>
    <t>" Přesun hmot pro práce spojené se sadovnickými úpravami " 0,463</t>
  </si>
  <si>
    <t>D.1.4.1.b.08 ARÁLOVÁ KANALIZACE</t>
  </si>
  <si>
    <t>Část: D.1.4.1.b.09. AKUMULAČNÍ NÁDRŽ</t>
  </si>
  <si>
    <t>JKSO: 825.9.1</t>
  </si>
  <si>
    <t xml:space="preserve">" Hloubení jámy pro akumulační nádrž - 10 % z celkové kubatury " </t>
  </si>
  <si>
    <t>" Hloubení jámy pro akumulační nádrž - dno " ((4,7*3,4)*0,2)*0,1</t>
  </si>
  <si>
    <t>" Hloubení jámy pro akumulační nádrž - svislé části " ((3,5*2,2)*3,8)*0,1</t>
  </si>
  <si>
    <t>" Hloubení jámy pro akumulační nádrž - svahy " ((8,5+8,5+3,4+3,4)*3,61)*0,1</t>
  </si>
  <si>
    <t>Hloubení jam nezapažených v hornině třídy těžitelnosti I skupiny 3 objem do 50 m3 strojně</t>
  </si>
  <si>
    <t xml:space="preserve">" Hloubení jámy pro akumulační nádrž - 40 % z celkové kubatury " </t>
  </si>
  <si>
    <t>" Hloubení jámy pro akumulační nádrž - dno " ((4,7*3,4)*0,2)*0,4</t>
  </si>
  <si>
    <t>" Hloubení jámy pro akumulační nádrž - svislé části " ((3,5*2,2)*3,8)*0,4</t>
  </si>
  <si>
    <t>" Hloubení jámy pro akumulační nádrž - svahy " ((8,5+8,5+3,4+3,4)*3,61)*0,4</t>
  </si>
  <si>
    <t>Hloubení jam nezapažených v hornině třídy těžitelnosti II skupiny 4 objem do 20 m3 strojně</t>
  </si>
  <si>
    <t xml:space="preserve">" Hloubení jámy pro akumulační nádrž - 30 % z celkové kubatury " </t>
  </si>
  <si>
    <t>" Hloubení jámy pro akumulační nádrž - dno " ((4,7*3,4)*0,2)*0,3</t>
  </si>
  <si>
    <t>" Hloubení jámy pro akumulační nádrž - svislé části " ((3,5*2,2)*3,8)*0,3</t>
  </si>
  <si>
    <t>" Hloubení jámy pro akumulační nádrž - svahy " ((8,5+8,5+3,4+3,4)*3,61)*0,3</t>
  </si>
  <si>
    <t>Hloubení jam nezapažených v hornině třídy těžitelnosti II skupiny 5 objem do 20 m3 strojně</t>
  </si>
  <si>
    <t>" V ceně zohledněno svislé přemístění zeminy, naložení výkopku nebo uložení ve vzdálenosti do 3,0 m od rýhy a případné urovnání dna. "</t>
  </si>
  <si>
    <t>" Příplatek - 5 % " ((11,672+46,687)+(11,672+35,015)+(11,672))*0,05</t>
  </si>
  <si>
    <t>13</t>
  </si>
  <si>
    <t>" Hutnění podloží pod akumulační nádrž " (4,7*3,4)</t>
  </si>
  <si>
    <t>14</t>
  </si>
  <si>
    <t>" Zásyp akumulační nádrže štěrkopískem - jen svislé části - š. ± 600 mm "</t>
  </si>
  <si>
    <t>" Zásyp akumulační nádrže štěrkpískem " (3,5*2,2*3,8)</t>
  </si>
  <si>
    <t>" Odečet objemu nádrže. " -((2,2/2)*(2,2/2)*π*3,5)</t>
  </si>
  <si>
    <t>" Zásyp akumulační nádrže vykopanou zeminou - svahy výkop "</t>
  </si>
  <si>
    <t>" Zásyp akumulační nádrže vykopanou zeminou " (8,5+8,5+3,4+3,4)*3,61</t>
  </si>
  <si>
    <t>15</t>
  </si>
  <si>
    <t>" Zásyp akumulační nádrže štěrkopískem "</t>
  </si>
  <si>
    <t>" Zásyp akumulační nádrže štěrkopískem " (29,26-13,305)*2,0</t>
  </si>
  <si>
    <t>Svahování v zářezech v hornině třídy těžitelnosti I skupiny 1 až 3 strojně</t>
  </si>
  <si>
    <t>" Případná úprava svahu pro zajištění stability pro výkopové práce odlučovače tuku - 50 % z celkové plochy. "</t>
  </si>
  <si>
    <t>" Úprava svahu " (4,25*(7,2+8,5+7,2+8,5))*0,5</t>
  </si>
  <si>
    <t>Svahování v zářezech v hornině třídy těžitelnosti II skupiny 4 a 5 strojně</t>
  </si>
  <si>
    <t>" Odvoz zeminy na meziskládku před zpětným přemístěním " (85,918)*(0,1+0,4)</t>
  </si>
  <si>
    <t>" Odvoz zeminy na meziskládku před zpětným přemístěním " (85,918)*((0,1+0,3)+(0,1))</t>
  </si>
  <si>
    <t>18a</t>
  </si>
  <si>
    <t>18b</t>
  </si>
  <si>
    <t>18c</t>
  </si>
  <si>
    <t>18d</t>
  </si>
  <si>
    <t>18e</t>
  </si>
  <si>
    <t>" Odvoz zeminy z meziskládky pro zpětný zásyp " (85,918)*(0,1+0,4)</t>
  </si>
  <si>
    <t>" Odvoz zeminy z meziskládky pro zpětný zásyp " (85,918)*((0,1+0,3)+(0,1))</t>
  </si>
  <si>
    <t>19a</t>
  </si>
  <si>
    <t>19b</t>
  </si>
  <si>
    <t>19c</t>
  </si>
  <si>
    <t>19d</t>
  </si>
  <si>
    <t>" Odvoz zeminy z výkopových prací - jam " (11,672+46,687)</t>
  </si>
  <si>
    <t>" Odečet za zeminu pro zpětný zásyp " -(42,959)</t>
  </si>
  <si>
    <t>" Odvoz zeminy z výkopových prací - jam " (11,672+35,015)+(11,672)</t>
  </si>
  <si>
    <t>20a</t>
  </si>
  <si>
    <t>20b</t>
  </si>
  <si>
    <t>20c</t>
  </si>
  <si>
    <t>20d</t>
  </si>
  <si>
    <t>20e</t>
  </si>
  <si>
    <t>20f</t>
  </si>
  <si>
    <t>" Lože ze štěrkodrtě / štěrku pod akumulační nádrž - frakce 8 až 16 mm. "</t>
  </si>
  <si>
    <t>" Lože ze štěrkodrtě / štěrku pod akumulační nádrž - tl. 200 mm " (4,7*3,4)*0,2</t>
  </si>
  <si>
    <t>D+M Akumulační nádrž - Ø 2200 mm - Specifikace dle PD - AN</t>
  </si>
  <si>
    <t>Součást soupisu "D.1.4.1.ZTI"</t>
  </si>
  <si>
    <t>" Akumulační nádrž na dešťovou vodu o objemu 11,7 m3. "</t>
  </si>
  <si>
    <t>" Akumulační nádrž na dešťovou vodu s biologickým separátorem. Další prvky a funkce nádrže - zklidněný nátok, oddělení hrubých nečistot, sedimentace, oxidace, biodegradace, neutralizace kyselosti. 
Součástí nádrže je také hrdlo s nástavcem pro potřebnou výškovou úroveň. "</t>
  </si>
  <si>
    <t>871999702 SPC</t>
  </si>
  <si>
    <t>D+M Prostup potrubí plastovou nádrží vč. napojení potrubí - Specifikace dle PD</t>
  </si>
  <si>
    <t>Součást soupisu "D.1.4.1.b.08. AREÁLOVÁ KANALIZACE"</t>
  </si>
  <si>
    <t>" Prostupy skrze akumulační nádrž "</t>
  </si>
  <si>
    <t>" Prostup pro potrubí kanalizace "</t>
  </si>
  <si>
    <t xml:space="preserve">" V ceně případné nutné vytvoření a zapravení prostupu, tvarovky pro zajištění napojení, systémové utěsnění prostupu, veškeré příslušenství vč. přesunu hmot. " </t>
  </si>
  <si>
    <t>Geotextilie pro ochranu, separaci a filtraci netkaná měrná hmotnost do 200 g/m2</t>
  </si>
  <si>
    <t xml:space="preserve">" Geotextílie pro obalení akumulační nádrže - 200 g/m2. " </t>
  </si>
  <si>
    <t>" Obalení nádrže - povrch " ((2*π*1,1)*3,5)*1,2</t>
  </si>
  <si>
    <t>" Obalení nádrže - čela " ((π*1,1*1,1)*2)*1,2</t>
  </si>
  <si>
    <t>" V ceně veškeré nutné kotvící a upevňovací prvky. "</t>
  </si>
  <si>
    <t>015</t>
  </si>
  <si>
    <t>Přesun hmot pro nádrže, jímky, zásobníky a jámy betonové monolitické v do 25 m</t>
  </si>
  <si>
    <t>" Přesun hmot pro akumulační nádrž " 38,183</t>
  </si>
  <si>
    <t>D.1.4.1.b.09. AKUMULAČNÍ NÁDRŽ</t>
  </si>
  <si>
    <t>D.1.4.1.b.09 AKUMULAČNÍ NÁDRŽ</t>
  </si>
  <si>
    <t>Část: D.1.4.1.b.10. ODLUČOVAČ TUKU</t>
  </si>
  <si>
    <t>JKSO: 814.12.5 / 825.59.9</t>
  </si>
  <si>
    <t xml:space="preserve">" Hloubení jámy pro odlučovač tuku - 10 % z celkové kubatury " </t>
  </si>
  <si>
    <t>" Hloubení jámy pro odlučovač tuku - dno " ((3,0*3,0)*0,3)*0,1</t>
  </si>
  <si>
    <t>" Hloubení jámy pro odlučovač tuku - svislé části " ((3,0*3,0)*2,69)*0,1</t>
  </si>
  <si>
    <t>" Hloubení jámy pro odlučovač tuku - svahy " ((5,7+5,7+3,0+3,0)*1,82)*0,1</t>
  </si>
  <si>
    <t xml:space="preserve">" Hloubení jámy pro odlučovač tuku - 40 % z celkové kubatury " </t>
  </si>
  <si>
    <t>" Hloubení jámy pro odlučovač tuku - dno " ((3,0*3,0)*0,3)*0,4</t>
  </si>
  <si>
    <t>" Hloubení jámy pro odlučovač tuku - svislé části " ((3,0*3,0)*2,69)*0,4</t>
  </si>
  <si>
    <t>" Hloubení jámy pro odlučovač tuku - svahy " ((5,7+5,7+3,0+3,0)*1,82)*0,4</t>
  </si>
  <si>
    <t xml:space="preserve">" Hloubení jámy pro odlučovač tuku - 30 % z celkové kubatury " </t>
  </si>
  <si>
    <t>" Hloubení jámy pro odlučovač tuku - dno " ((3,0*3,0)*0,3)*0,3</t>
  </si>
  <si>
    <t>" Hloubení jámy pro odlučovač tuku - svislé části " ((3,0*3,0)*2,69)*0,3</t>
  </si>
  <si>
    <t>" Hloubení jámy pro odlučovač tuku - svahy " ((5,7+5,7+3,0+3,0)*1,82)*0,3</t>
  </si>
  <si>
    <t>" Příplatek - 5 % " ((5,723+22,891)+(5,723+17,168)+(5,723))*0,05</t>
  </si>
  <si>
    <t>" Hutnění podloží pod odlučovač tuku " (3,0*3,0)</t>
  </si>
  <si>
    <t>" Zásyp odlučovače tuku štěrkopískem - jen svislé části - š. ± 600 mm "</t>
  </si>
  <si>
    <t>" Zásyp odlučovače tuku štěrkpískem " (3,0*3,0*2,69)</t>
  </si>
  <si>
    <t>" Odečet objemu nádrže. " -((1,8/2)*(1,8/2)*π*2,22)</t>
  </si>
  <si>
    <t>" Odečet objemu vstupní šachty " -((0,625/2)*(0,625/2)*π*0,47)</t>
  </si>
  <si>
    <t>" Zásyp odlučovače tuku vykopanou zeminou - svahy výkop "</t>
  </si>
  <si>
    <t>" Zásyp odlučovače tuku vykopanou zeminou " (5,7+5,7+3,0+3,0)*1,82</t>
  </si>
  <si>
    <t>" Zásyp odlučovače tuku štěrkopískem "</t>
  </si>
  <si>
    <t>" Zásyp odlučovače tuku štěrkopískem " (24,210-5,649-0,144)*2,0</t>
  </si>
  <si>
    <t>" Úprava svahu " (3,0*(5,7+5,7+5,7+5,7))*0,5</t>
  </si>
  <si>
    <t>" Odvoz zeminy na meziskládku před zpětným přemístěním " (31,668)*(0,1+0,4)</t>
  </si>
  <si>
    <t>" Odvoz zeminy na meziskládku před zpětným přemístěním " (31,668)*((0,1+0,3)+(0,1))</t>
  </si>
  <si>
    <t>" Odvoz zeminy z meziskládky pro zpětný zásyp " (31,668)*(0,1+0,4)</t>
  </si>
  <si>
    <t>" Odvoz zeminy z meziskládky pro zpětný zásyp " (31,668)*((0,1+0,3)+(0,1))</t>
  </si>
  <si>
    <t>" Odvoz zeminy z výkopových prací - jam " (5,858+23,431)</t>
  </si>
  <si>
    <t>" Odečet za zeminu pro zpětný zásyp " -(15,834)</t>
  </si>
  <si>
    <t>" Odvoz zeminy z výkopových prací - jam " (5,858+17,573)+(5,858)</t>
  </si>
  <si>
    <t>" Lože ze štěrkopísku pod desku odlučovače tuku "</t>
  </si>
  <si>
    <t>" Lože ze štěrkopísku pod desku odlučovače tuku - tl. 100 mm " (3,0*3,0)*0,1</t>
  </si>
  <si>
    <t>Podkladní desky ze ŽB se zvýšenými nároky na prostředí tř. C 25/30 otevřený výkop</t>
  </si>
  <si>
    <t>" Železobetonová podkladní deska pod odlučovač tuku - předpoklad: Beton C 25/30 XC2, XA1. "</t>
  </si>
  <si>
    <t>" Železobetonová podkladní deska pod odlučovač tuku - tl. 200 mm. " ((3,0*3,0)*0,2)*1,05</t>
  </si>
  <si>
    <t>Bednění podkladních desek nebo sedlového lože pod potrubí, stoky a drobné objekty otevřený výkop zřízení</t>
  </si>
  <si>
    <t>" Bednění pro podkladní desku odlučovače tuku. "</t>
  </si>
  <si>
    <t>" Bednění pro desku odlučovače tuku. " ((3,0)*4)*0,2</t>
  </si>
  <si>
    <t>Bednění podkladních desek nebo sedlového lože pod potrubí, stoky a drobné objekty otevřený výkop odstranění</t>
  </si>
  <si>
    <t>Výztuž podkladních desek nebo bloků nebo pražců otevřený výkop ze svařovaných sítí Kari</t>
  </si>
  <si>
    <t>" Výztuž deseky pod odlučovač tuku - 70 kg/m3, hmotnost výztuže včetně ztratného a provaření výztuže. " ((1,89)/1,05)*0,07</t>
  </si>
  <si>
    <t>D+M ŽB odlučovač tuku - válcový - Ø 1800 - Specifikace dle PD - LT</t>
  </si>
  <si>
    <t>" ŽB válcový odlučovač tuku vč. zákrytové desky - LT. "</t>
  </si>
  <si>
    <t>" Přefabrikovaný odlučovač tuku z vodostavebního železobetonu Ø 1800 mm vč. zákrytové desky s otvorem pro vstupní šachtu, nátok potrubí.  
V ceně také nutné příslušenství, potrubí a veškeré vnitřní armatury, technologické vystrojení z PP a další veškeré nutné příslušenství a práce pro správnou funkci. "</t>
  </si>
  <si>
    <t>" V ceně také původní napuštění. "</t>
  </si>
  <si>
    <t>D+M Vstupní šachta - Specifikace dle PD</t>
  </si>
  <si>
    <t>" Vstupní prefabrikovaná šachta s poklopem tř D400 pro přístup do odlučovače tuku. "</t>
  </si>
  <si>
    <t xml:space="preserve">" Vstupní šachta pro odlučovač tuku vč. veškerého příslušenství a ostatních prvků, materiálu a práce - skruže, konus, prstenec, litinový poklop s odvětráním, vybetonování, apod., </t>
  </si>
  <si>
    <t>D+M Prostup potrubí prefabrikovanou nádrží vč. napojení potrubí - Specifikace dle PD</t>
  </si>
  <si>
    <t>" Prostupy skrze lapák tuku "</t>
  </si>
  <si>
    <t>" Přesun hmot pro odlučovač tuku " 47,648+(5,9-3,989)</t>
  </si>
  <si>
    <t>D.1.4.1.b.10. ODLUČOVAČ TUKU</t>
  </si>
  <si>
    <r>
      <t xml:space="preserve">Cena celkem   </t>
    </r>
    <r>
      <rPr>
        <sz val="8"/>
        <rFont val="Arial CE"/>
        <family val="2"/>
        <charset val="238"/>
      </rPr>
      <t xml:space="preserve">                  </t>
    </r>
  </si>
  <si>
    <t>Část   BOURÁNÍ STÁVAJÍCÍHO TEPLOVODU</t>
  </si>
  <si>
    <t>Dočasné zajištění kabelů a kabelových tratí z více než 6 volně ložených kabelů</t>
  </si>
  <si>
    <t xml:space="preserve">" Hloubení rýhy pro bourání areálového teplovodu - 5 % z celkové kubatury " </t>
  </si>
  <si>
    <t>" Hloubení rýhy pro bourání stávajícího potrubí areálového teplovodu " (57,0*1,1*1,8)*0,05</t>
  </si>
  <si>
    <t>Hloubení zapažených rýh š do 2000 mm v hornině třídy těžitelnosti I skupiny 3 objem do 100 m3</t>
  </si>
  <si>
    <t xml:space="preserve">" Hloubení rýhy pro bourání areálového teplovodu - 50 % z celkové kubatury " </t>
  </si>
  <si>
    <t>" Hloubení rýhy pro bourání stávajícího potrubí areálového teplovodu " (57,0*1,1*1,8)*0,50</t>
  </si>
  <si>
    <t>Hloubení zapažených rýh š do 2000 mm v hornině třídy těžitelnosti II skupiny 4 objem do 50 m3</t>
  </si>
  <si>
    <t xml:space="preserve">" Hloubení rýhy pro bourání areálového teplovodu - 40 % z celkové kubatury " </t>
  </si>
  <si>
    <t>" Hloubení rýhy pro bourání stávajícího potrubí areálového teplovodu " (57,0*1,1*1,8)*0,40</t>
  </si>
  <si>
    <t>" Příplatek - 15 % " (5,643+56,430+5,643+45,144)*0,15</t>
  </si>
  <si>
    <t>" Pažení rýh pro bourání areálového teplovodu - 50 % z celkové plochy "</t>
  </si>
  <si>
    <t>" Zásyp rýh vykopanou zeminou po vybourání areálového horkovodu / teplovodu "</t>
  </si>
  <si>
    <t>" Zásyp rýhy po vybourání stávajícího areálového teplovodu " (55,0*1,35*1,5)</t>
  </si>
  <si>
    <t>" Vykopaná zemina bude použita pro zpětný zásyp, nebude odvezena na meziskládku."</t>
  </si>
  <si>
    <t xml:space="preserve">866999802 SPC </t>
  </si>
  <si>
    <t xml:space="preserve">Vybourání stávajícího potrubí horkovodu / teplovodu - Specifikace dle PD </t>
  </si>
  <si>
    <t xml:space="preserve">" Vybourání stávajícího horkovodního / teplovodního potrubí vč. tvarovek, armatur, izolace, případných chrániček, geotextílie, apod. "  </t>
  </si>
  <si>
    <t>" Vybourání stávajícího horkovodu / teplovodu " (57,0)*2</t>
  </si>
  <si>
    <t>866999803 SPC</t>
  </si>
  <si>
    <t xml:space="preserve">Vybourání prvků teplovodu vč. zapravení - Specifikace dle PD </t>
  </si>
  <si>
    <t>" Vybourání prvků teplovodu "</t>
  </si>
  <si>
    <t>" Vybourání prvků horkovodu - šachet, poklopů, souprav, apod. vč. odstranění případného značení a veškerého nutného příslušenství. "</t>
  </si>
  <si>
    <t>" V ceně odstranění prvků, případné úpravy napojení, přesun a likvidace suti, a další veškeré nutné práce související s odstraněním prvků. 
V ceně také případný přesun hmot. "</t>
  </si>
  <si>
    <t>Odstranění stávající krycí folie potrubí - Specifikace dle PD</t>
  </si>
  <si>
    <t>" Odstranění krycí fólie potrubí teplovodu" (57,0)*2</t>
  </si>
  <si>
    <t>" Odstranění krycí fólie optochráničky a komunikačního vedení " (57,0)*1</t>
  </si>
  <si>
    <t>Odstranění stávajícího komunikačního vedení a optochráničky - Specifikace dle PD</t>
  </si>
  <si>
    <t xml:space="preserve">" Odstranění komunikačního vedení a optochráničky potrubí horkovodu vč. případného odpojení, odvozu a likvidace suti. " </t>
  </si>
  <si>
    <t>" Odstranění komunikačního vedení teplovodu " (57,0)*1</t>
  </si>
  <si>
    <t>" Odstranění optochráničky teplovodu  " (57,0)*1</t>
  </si>
  <si>
    <t>Přesun hmot pro trubní vedení z ocelových trub svařovaných otevřený výkop</t>
  </si>
  <si>
    <t>Část   AREÁLOVÝ TEPLOVOD</t>
  </si>
  <si>
    <t xml:space="preserve">" Hloubení rýhy pro areálový teplovod - 5 % z celkové kubatury " </t>
  </si>
  <si>
    <t>" Potrubí DN 100 "</t>
  </si>
  <si>
    <t>" Hloubení rýhy pro areálový rozvod teplovodu - úsek N1 - L1 " (7,74*1,1*1,8)*0,05</t>
  </si>
  <si>
    <t>" Hloubení rýhy pro areálový rozvod teplovodu - úsek L1 - V1 " (1,94*1,1*1,7)*0,05</t>
  </si>
  <si>
    <t>Hloubení zapažených rýh š do 2000 mm v hornině třídy těžitelnosti I skupiny 3 objem do 20 m3</t>
  </si>
  <si>
    <t xml:space="preserve">" Hloubení rýhy pro areálový teplovod - 50 % z celkové kubatury " </t>
  </si>
  <si>
    <t>" Hloubení rýhy pro areálový rozvod teplovodu - úsek N1 - L1 " (7,74*1,1*1,8)*0,50</t>
  </si>
  <si>
    <t>" Hloubení rýhy pro areálový rozvod teplovodu - úsek L1 - V1 " (1,94*1,1*1,7)*0,50</t>
  </si>
  <si>
    <t>Hloubení zapažených rýh š do 2000 mm v hornině třídy těžitelnosti II skupiny 4 objem do 20 m3</t>
  </si>
  <si>
    <t xml:space="preserve">" Hloubení rýhy pro areálový teplovod - 40 % z celkové kubatury " </t>
  </si>
  <si>
    <t>" Hloubení rýhy pro areálový rozvod teplovodu - úsek N1 - L1 " (7,74*1,1*1,8)*0,40</t>
  </si>
  <si>
    <t>" Hloubení rýhy pro areálový rozvod teplovodu - úsek L1 - V1 " (1,94*1,1*1,7)*0,40</t>
  </si>
  <si>
    <t>" Pažení rýh pro potrubí přípojky horkovody - 80 % z celkové plochy stěn. "</t>
  </si>
  <si>
    <t xml:space="preserve">" Pažení rýh pro areálový teplovod - 80 % z celkové plochy stěn " </t>
  </si>
  <si>
    <t>" Pažení rýhy pro areálový rozvod teplovodu - úsek N1 - L1 " ((7,74*1,8)*2)*0,80</t>
  </si>
  <si>
    <t>" Pažení rýhy pro areálový rozvod teplovodu - úsek L1 - V1 " ((1,94*1,7)*2)*0,80</t>
  </si>
  <si>
    <t xml:space="preserve">" Zásyp potrubí teplovodu štěrkem pod komunikacemi " </t>
  </si>
  <si>
    <t>" Zásyp potrubí teplovodu štěrkem "</t>
  </si>
  <si>
    <t>" Zásyp potrubí areálového teplovodu štěrkem - úsek N1 - L1 " (7,74*1,1)*(1,8-0,15-0,4)</t>
  </si>
  <si>
    <t>" Zásyp potrubí areálového teplovodu štěrkem - úsek L1 - V1 " (1,94*1,1)*(1,7-0,15-0,4)</t>
  </si>
  <si>
    <t>" Zásyp potrubí teplovodu štěrkem pod komunikacemi. "</t>
  </si>
  <si>
    <t>" Zásyp potrubí areálového teplovodu štěrkem - úsek N1 - L1 " (10,643)*2,0</t>
  </si>
  <si>
    <t>" Zásyp potrubí areálového teplovodu štěrkem - úsek L1 - V1 " (2,454)*2,0</t>
  </si>
  <si>
    <t>" Obsyp potrubí teplovodu pískem. "</t>
  </si>
  <si>
    <t>" Obsyp potrubí areálového teplovodu pískem - úsek N1 - L1 " (7,74*1,1)*(0,4)</t>
  </si>
  <si>
    <t>" Obsyp potrubí areálového teplovodu pískem - úsek L1 - V1 " (1,94*1,1)*(0,4)</t>
  </si>
  <si>
    <t>58337302 RTO</t>
  </si>
  <si>
    <t xml:space="preserve">písek zásypový </t>
  </si>
  <si>
    <t>" Obsyp potrubí areálového teplovodu pískem - úsek N1 - L1 " (3,406)*2,0</t>
  </si>
  <si>
    <t>" Obsyp potrubí areálového teplovodu pískem - úsek L1 - V1 " (0,854)*2,0</t>
  </si>
  <si>
    <t>" Odvoz zeminy z výkopových prací. "</t>
  </si>
  <si>
    <t>" Odvoz zeminy z výkopových prací - rýhy " (9,477+0,948)</t>
  </si>
  <si>
    <t>" Odvoz zeminy z výkopových prací - rýhy " (7,581+0,948)</t>
  </si>
  <si>
    <t>" - Vodorovné přemístění přes 50 do 500 m výkopku/sypaniny z horniny třídy těžitelnosti I skupiny 1 až 3 "</t>
  </si>
  <si>
    <t>" - Vodorovné přemístění přes 50 do 500 m výkopku/sypaniny z hornin třídy těžitelnosti II skupiny 4 a 5 "</t>
  </si>
  <si>
    <t>19e</t>
  </si>
  <si>
    <t>189999901 SPC</t>
  </si>
  <si>
    <t>" - Nakládání výkopku z hornin třídy těžitelnosti I, skupiny 1 až 3 do 100 m3 "</t>
  </si>
  <si>
    <t>Zřízení opláštění žeber nebo trativodů geotextilií v rýze nebo zářezu přes 1:2 š přes 2,5 m</t>
  </si>
  <si>
    <t>" Obalení rýh potrubí areálového teplovodu geotextílii. "</t>
  </si>
  <si>
    <t>" Obalení rýhy pro areálový rozvod teplovodu - úsek N1 - L1 " (((1,1+0,550)*2)*7,74)+(0,540)</t>
  </si>
  <si>
    <t>" Obalení rýhy pro areálový rozvod teplovodu - úsek L1 - V1 " (((1,1+0,550)*2)*1,94)+(0,540)</t>
  </si>
  <si>
    <t>geotextilie netkaná separační, ochranná, filtrační, drenážní PES 300g/m2</t>
  </si>
  <si>
    <t>" Obalení rýhy pro areálový rozvod teplovodu - úsek N1 - L1 " (26,082)*1,15</t>
  </si>
  <si>
    <t>" Obalení rýhy pro areálový rozvod teplovodu - úsek L1 - V1 " (6,942)*1,15</t>
  </si>
  <si>
    <t>" Lože z písku pro potrubí teplovodu. "</t>
  </si>
  <si>
    <t>" Lože z písku pod potrubí areálového teplovodu tl. 150 mm - úsek N1 - L1 " (7,74*1,1)*(0,15)</t>
  </si>
  <si>
    <t>" Lože z písku pod potrubí areálového teplovodu tl. 150 mm - úsek L1 - V1 " (1,94*1,1)*(0,15)</t>
  </si>
  <si>
    <t>866261901 SPC</t>
  </si>
  <si>
    <t>D+M Předizolované plastové potrubí DN 100/200 - D 110×10,0/200 mm - Specifikace dle PD</t>
  </si>
  <si>
    <t>" Potrubí DN 100 s izol D 200 mm →  D 110×10,0/200 mm. "</t>
  </si>
  <si>
    <t xml:space="preserve">" Předizolované potrubí teplovodu - přívodní " </t>
  </si>
  <si>
    <t>" Předizolované plastové potrubí areálového teplovodu - úsek N1 - L1 " (7,74)*1,1</t>
  </si>
  <si>
    <t>" Předizolované plastové potrubí areálového teplovodu - úsek L1 - V1 " (1,94)*1,1</t>
  </si>
  <si>
    <t xml:space="preserve">" Předizolované potrubí horkovodu - vratné " </t>
  </si>
  <si>
    <t>866999601 SPC</t>
  </si>
  <si>
    <t>D+M Komunikační vedení PT + optochránička - Specifikace dle PD</t>
  </si>
  <si>
    <t xml:space="preserve">" Komunikační vedení a optochránička pro vedení areálového teplovodu. " </t>
  </si>
  <si>
    <t xml:space="preserve"> " Pro potrubí vedené v zemi " (7,74+1,94)*1,1</t>
  </si>
  <si>
    <t xml:space="preserve">" V ceně komunikační vedení 1×, optochránička 1×, vč. přesunu hmot. " </t>
  </si>
  <si>
    <t xml:space="preserve">D+M Prostup potrubí budovou pro předizolované potrubí teplovodu DN 100/200 - D 110×10,0/200 mm - Specifikace dle PD </t>
  </si>
  <si>
    <t>" Provedení prostupu potrubí horkovodu objektem FE - 1x přívodní + 1x vratné vč. otovru pro komunikační vedení. "</t>
  </si>
  <si>
    <t>" V ceně gumová průchodka odolná proti tlakové vodě vč. smršťovací manžety a polštářování, Vytvoření a zapravení prostupů, systémové utěsnění prostupů, napojení na svislou a vodorovnou hydroizolaci, koncové smršťovací víčko, těsnící vložka a další veškeré nutné práce a materiál pro provedení prostupu teplovodního potrubí objektem.
V ceně také přesun hmot, případný odvoz a likvidace suti. "</t>
  </si>
  <si>
    <t>D+M Napojení potrubí areálového teplovodu na vedení v objektu jídelny - Specifikace dle PD</t>
  </si>
  <si>
    <t>" Napojení potrubí areálového teplovodu na vedení v objektu jídelny. "</t>
  </si>
  <si>
    <t xml:space="preserve">" V ceně veškeré tvarovky pro napojení vč. případného odslepení, případné práce uvnitř objektu nutné pro napojení - zpřístupnění, pomocné lešení pro napojení, veškeré nutné práce, vč. zpětného zapravení, veškerého nutného příslušenství a prací související s provedením napojení nového potrubí areálového horkovodu na stávající. " </t>
  </si>
  <si>
    <t>" Označovací a informační štítky (označníky) napojení a armatur areálového teplovodu - např. pro umístění na sloupek, oplocení, objekt, případný nástřik, apod. "</t>
  </si>
  <si>
    <t>" Označení prvků a zařízení - např. šachet, armatur, napojení, apod. "</t>
  </si>
  <si>
    <t>" V ceně veškerý kotvící a upevňovací materiál, a další příslušenství (vč. spreje např. pro nástřil) vč. dopsání informací a přesunu hmot. "</t>
  </si>
  <si>
    <t>Krytí potrubí z plastů výstražnou fólií z PVC 25 cm</t>
  </si>
  <si>
    <t>" Krycí fólie pro vedení teplovodu v zemi "</t>
  </si>
  <si>
    <t>" Krytí předizolovaného potrubí teplovodu - 2× výžstražná fólie zelené barvy - pro potrubí teplovodu " (7,74+1,94)*2</t>
  </si>
  <si>
    <t>" Krytí předizolovaného potrubí teplovodu - 1× výžstražná fólie oranžové barvy - pro optochráničku a komunikační vedení " (7,74+1,94)*1</t>
  </si>
  <si>
    <t>D+M Bezpečnostní štítky pro označení zařízení vedeného v kolektoru - Specifikace dle PD</t>
  </si>
  <si>
    <t>31</t>
  </si>
  <si>
    <t xml:space="preserve">" Přesun hmot pro potrubí vč. veškerých věcí vedeného v rýze. " </t>
  </si>
  <si>
    <t>D.2.2. AREÁLOVÝ TEPLOVOD - BOURÁNÍ STÁVAJÍCÍHO TEPLOVODU</t>
  </si>
  <si>
    <t>D.2.2. AREÁLOVÝ TEPLOVOD - AREÁLOVÝ TEPLOVOD</t>
  </si>
  <si>
    <t>D+M Označovací štítky pro prvky teplovod a napojení - Specifikace dle PD</t>
  </si>
  <si>
    <t>" Napojení potrubí areálového teplovodu na vedení objektu jídelny "</t>
  </si>
  <si>
    <t>" Pažení rýhy pro bourání stávajícího areálového horkovodu - teplovodu " ((57,0*1,5)*2)*0,5</t>
  </si>
  <si>
    <t>Rozebrání dlažeb z betonových nebo kamenných dlaždic komunikací pro pěší ručně</t>
  </si>
  <si>
    <t>" Rozebrání chodníků ze betonové čtvercové dlažby. "</t>
  </si>
  <si>
    <t>" Rozebrání dlažby okapového chodníku " 58,14</t>
  </si>
  <si>
    <t>Rozebrání dlažeb ze zámkových dlaždic komunikací pro pěší ručně</t>
  </si>
  <si>
    <t>" Rozebrání chodníků ze zámkové dlažby. "</t>
  </si>
  <si>
    <t>" Rozebrání dlažby chodníku - tvralé odstranění. " 34,54+102,38</t>
  </si>
  <si>
    <t>Odstranění podkladu z kameniva drceného tl do 100 mm ručně</t>
  </si>
  <si>
    <t>" Odstranění ložné vrstvy z drti pod dlažbou tl. 30mm. "</t>
  </si>
  <si>
    <t>" Odstranění podkladu pod chodníkem ze zámkové dlažby " 102,38</t>
  </si>
  <si>
    <t>" Odstranění podkladu pod chodníkem z betonové čtvercové dlažby " 58,14</t>
  </si>
  <si>
    <t>" Odstranění ložné vrstvy z drti pod dlažbou tl. 40mm. "</t>
  </si>
  <si>
    <t>" Odstranění podkladu pod chodníkem ze zámkové dlažby " 34,54</t>
  </si>
  <si>
    <t>Odstranění podkladu z kameniva drceného tl přes 100 do 200 mm ručně</t>
  </si>
  <si>
    <t>" Odstranění ložné vrstvy z drti pod dlažbou tl. 150mm. "</t>
  </si>
  <si>
    <t>Odstranění podkladu z kameniva drceného tl přes 200 do 300 mm ručně</t>
  </si>
  <si>
    <t>" Odstranění ložné vrstvy z drti pod dlažbou tl. 250mm. "</t>
  </si>
  <si>
    <t>Vytrhání obrub záhonových</t>
  </si>
  <si>
    <t>" Vytrhání ležatých obrub - silničních " 3,7</t>
  </si>
  <si>
    <t>" V ceně také vybourání lože. "</t>
  </si>
  <si>
    <t>Vytrhání obrub krajníků obrubníků stojatých</t>
  </si>
  <si>
    <t>" Vytrhání stojatých obrub - silničních " 65,15</t>
  </si>
  <si>
    <t>Bourání betonového nebo polymerbetonového odvodňovacího žlabu š přes 200 mm</t>
  </si>
  <si>
    <t>" Betonová žlabovka š. 600mm " (47,60)</t>
  </si>
  <si>
    <t>" Betonová žlabovka š. 1000mm " (19,00)</t>
  </si>
  <si>
    <t>D+M + DMTŽ Ochrana / zajištění stávajících prvků při provádění a bourání zpevněných ploch  - Specifikace dle PD</t>
  </si>
  <si>
    <t>" Ochrana / zajištění stávajících šachet (ZTI i kabelových), podzemních hydrantů, vpustí, mobiliáře (košů, laviček, …), skříní (elektro, plyn, …), sloupů VO, dopravních značek, informačních panelů, kamenného pomníku,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</si>
  <si>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</si>
  <si>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</si>
  <si>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</si>
  <si>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</si>
  <si>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</si>
  <si>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t>119999911 SPC</t>
  </si>
  <si>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</si>
  <si>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</si>
  <si>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t>
  </si>
  <si>
    <t>Odkopávky a prokopávky nezapažené v hornině třídy těžitelnosti II skupiny 4 objem do 500 m3 strojně</t>
  </si>
  <si>
    <t>" Odkopávky pro zpevněné plochy ostatní. "</t>
  </si>
  <si>
    <t>" Odkopávka pro zpevněné plochy - pro chodník v tl. 240mm " (114,27*0,240)</t>
  </si>
  <si>
    <t>" Odkopávka pro zpevněné plochy - pro chodník s rozšířením tl. 1000mm " (57,91*1,0)</t>
  </si>
  <si>
    <t>" Odkopávka pro zpevněné plochy - pro dočasnou štěrkovou plochu tl. 300mm. " (35,64*0,30)</t>
  </si>
  <si>
    <t>" Odkopávka pro zpevněné plochy - pro pobytové a pochůzné schody tl. 150mm. " (27,69*0,150)</t>
  </si>
  <si>
    <t>" Odkopávka pro zpevněné plochy - pro kamennou zeď 11x2,20x0,6m " (11,00*2,20*0,60)</t>
  </si>
  <si>
    <t xml:space="preserve">" V ceně také zohledněna lepivost vytěžené zeminy. " </t>
  </si>
  <si>
    <t>Příplatek za ztížení odkopávky nebo prokopávky v blízkosti inženýrských sítí</t>
  </si>
  <si>
    <t>Uložení sypaniny z hornin soudržných do násypů zhutněných ručně</t>
  </si>
  <si>
    <t>" Násyp zeminy tl. 300mm k modelaci terenních úprav " (13,50*0,30)</t>
  </si>
  <si>
    <t>" Hutnění podloží před realizací zpevněných ploch " (192,39+17,33+42,73+40,63+33,72+35,64+34,39+27,69)</t>
  </si>
  <si>
    <t>Plošná úprava terénu přes 500 m2 zemina skupiny 1 až 4 nerovnosti přes 50 do 100 mm v rovinně a svahu do 1:5</t>
  </si>
  <si>
    <t>" Úprava ploch před realizací zpevněných ploch. " (192,39+17,33+42,73+40,63+33,72+35,64+34,39+27,69)</t>
  </si>
  <si>
    <t>" Odvoz zeminy z odkopávek a hloubení rýh - přesuny strojně. "</t>
  </si>
  <si>
    <t>" - Nakládání výkopku z hornin třídy těžitelnosti II, skupiny 4 a 5 přes 100 m3 "</t>
  </si>
  <si>
    <t>213141001 SPC</t>
  </si>
  <si>
    <t>" Geotextilie 90 g/m2 " (40,63+33,72+20,54)</t>
  </si>
  <si>
    <t>" Geotextilie 300 g/m2 " (42,73+17,33)</t>
  </si>
  <si>
    <t>" Geotextilie 500 g/m2 " (192,39)</t>
  </si>
  <si>
    <t>69311225 SPC</t>
  </si>
  <si>
    <t>tkaná černá zahradní geotextilie 90g/m2</t>
  </si>
  <si>
    <t>" Okapový chodník, štěrková plocha a doskočiště " (40,63+33,72+20,54)*1,05</t>
  </si>
  <si>
    <t>69311081 SPC</t>
  </si>
  <si>
    <t>geotextilie netkaná separační, ochranná, filtrační, drenážní 300g/m2</t>
  </si>
  <si>
    <t>" Zásobovací plocha a vegetační dlažba " (42,73+17,33)*1,05</t>
  </si>
  <si>
    <t>69311088 SPC</t>
  </si>
  <si>
    <t>geotextilie netkaná separační, ochranná, filtrační, drenážní 500g/m2</t>
  </si>
  <si>
    <t>" Areálový chodník " (192,39)*1,05</t>
  </si>
  <si>
    <t>221</t>
  </si>
  <si>
    <t>596999201 SPC</t>
  </si>
  <si>
    <t>D+M Areálový chodník - zámková dlažba tl. 60 mm - Specifikace dle PD</t>
  </si>
  <si>
    <t>" V ceně : "</t>
  </si>
  <si>
    <t>28a</t>
  </si>
  <si>
    <t>596211122 RTO</t>
  </si>
  <si>
    <t>" - Kladení betonové zámkové dlažby pochůzí tl. 60 mm, pl. přes 100 do 300 m2 - tl. 60 mm "</t>
  </si>
  <si>
    <t>28b</t>
  </si>
  <si>
    <t>59245018 RTO</t>
  </si>
  <si>
    <t>" - Betonová dlažba zámková -  přírodní - 200×100×60 mm - tl. 60 mm " (192,39)*1,1</t>
  </si>
  <si>
    <t>" - Lože z drti frakce 4-8 - tl. 30 mm - vč. štěrkodrtě / písku pro vmetení do spar "</t>
  </si>
  <si>
    <t>součást položky kladení dlažby</t>
  </si>
  <si>
    <t>28c</t>
  </si>
  <si>
    <t>564851011 RTO</t>
  </si>
  <si>
    <t>" - Štěrkodrť ŠD-B frakce 0-32 mm - tl. 150 mm  " (192,39)*1,1</t>
  </si>
  <si>
    <t>" Pochůzí zámková dlažba - chodník " 192,39</t>
  </si>
  <si>
    <t xml:space="preserve">" Cena skladby včetně ztratného a přehutnění hutnitelných vrstev " </t>
  </si>
  <si>
    <t>29</t>
  </si>
  <si>
    <t>596999202 SPC</t>
  </si>
  <si>
    <t>D+M Okapový chodník - betonová dlažba 500x500x50mm - Specifikace dle PD</t>
  </si>
  <si>
    <t>29a</t>
  </si>
  <si>
    <t>596811220 RTO</t>
  </si>
  <si>
    <t>" - Kladení betonové dlažby velikosti přes 0,09 do 0,25 m2 pl do 50 m2 - tl. 50 mm "</t>
  </si>
  <si>
    <t>29b</t>
  </si>
  <si>
    <t>59246003 RTO</t>
  </si>
  <si>
    <t>" - Betonová dlažba - 500×500×50 mm - tl. 50 mm " (40,63)*1,1</t>
  </si>
  <si>
    <t>29c</t>
  </si>
  <si>
    <t>" - Štěrkodrť ŠD-B frakce 0-32 mm - tl. 150 mm  " (40,63)*1,1</t>
  </si>
  <si>
    <t>" Okapový chodník - betonová dlažba " 40,63</t>
  </si>
  <si>
    <t>30</t>
  </si>
  <si>
    <t>596999203 SPC</t>
  </si>
  <si>
    <t>D+M Areálový chodník - zámková dlažba tl. 100 mm - Specifikace dle PD</t>
  </si>
  <si>
    <t>30a</t>
  </si>
  <si>
    <t>596212322 RTO</t>
  </si>
  <si>
    <t>" - Kladení betonové zámkové dlažby tl. 100 mm, pl. do 300 m2 - tl. 100 mm "</t>
  </si>
  <si>
    <t>30b</t>
  </si>
  <si>
    <t>59245296 RTO</t>
  </si>
  <si>
    <t>" - Betonová dlažba zámková -  přírodní - 200×100×100 mm - tl. 100 mm " (42,73)*1,1</t>
  </si>
  <si>
    <t>" - Lože z drti frakce 4-8 - tl. 40 mm - vč. štěrkodrtě / písku pro vmetení do spar "</t>
  </si>
  <si>
    <t>30c</t>
  </si>
  <si>
    <t>564871011 RTO</t>
  </si>
  <si>
    <t>" - Štěrkodrť ŠD-B frakce 0-32 mm - tl. 250 mm  " (42,73)*1,1</t>
  </si>
  <si>
    <t>" Pochůzí zámková dlažba - chodník " 42,73</t>
  </si>
  <si>
    <t>596999204 SPC</t>
  </si>
  <si>
    <t>D+M Areálový chodník - vegetační dlažba tl. 80 mm - Specifikace dle PD</t>
  </si>
  <si>
    <t>31a</t>
  </si>
  <si>
    <t>596411111 RTO</t>
  </si>
  <si>
    <t>" - Kladení dlažby z vegetačních tvárnic tl do 80 mm pl do 50 m2 - tl. 80 mm "</t>
  </si>
  <si>
    <t>31b</t>
  </si>
  <si>
    <t>59245035 RTO</t>
  </si>
  <si>
    <t>" - Betonová dlažba vegetační -  přírodní - 200×200×80 mm - tl. 80 mm " (17,33)*1,1</t>
  </si>
  <si>
    <t>31c</t>
  </si>
  <si>
    <t>" - Štěrkodrť ŠD-B frakce 0-32 mm - tl. 250 mm  " (17,33)*1,1</t>
  </si>
  <si>
    <t>" Vegetační dlažba " 17,33</t>
  </si>
  <si>
    <t>596999205 SPC</t>
  </si>
  <si>
    <t>D+M Prýžové doskočiště pod skluzavkou - Specifikace dle PD</t>
  </si>
  <si>
    <t>32a</t>
  </si>
  <si>
    <t>593111132 RTO</t>
  </si>
  <si>
    <t>" - D+M Elastická prýžová protipádová plocha tl 90mm do lože z drti tl 50 mm "</t>
  </si>
  <si>
    <t>32b</t>
  </si>
  <si>
    <t>" - Štěrkodrť ŠD-B frakce 4/8 mm - tl. 250 mm  " (20,54)*1,1</t>
  </si>
  <si>
    <t>" Plyž pod skluzavkou " 20,54</t>
  </si>
  <si>
    <t>596999206 SPC</t>
  </si>
  <si>
    <t>D+M Štěrková plocha na terénu  - Specifikace dle PD</t>
  </si>
  <si>
    <t>33a</t>
  </si>
  <si>
    <t>" - Podklad ze štěrkodrtě ŠD plochy do 100 m2 tl 150 mm  " (33,72)*1,1</t>
  </si>
  <si>
    <t>" Štěrková plocha " 33,72</t>
  </si>
  <si>
    <t>596999207 SPC</t>
  </si>
  <si>
    <t>D+M Dočasná štěrková plocha pro skladový kontejnér  - Specifikace dle PD</t>
  </si>
  <si>
    <t>34a</t>
  </si>
  <si>
    <t>564871016 RTO</t>
  </si>
  <si>
    <t>" - Podklad ze štěrkodrtě ŠD plochy do 100 m2 tl 300 mm  " (35,64)*1,1</t>
  </si>
  <si>
    <t>" Štěrková plocha " 35,64</t>
  </si>
  <si>
    <t>596999208 SPC</t>
  </si>
  <si>
    <t>D+M Pobytové a pochůzné schody ve svahu - Specifikace dle PD</t>
  </si>
  <si>
    <t>35a</t>
  </si>
  <si>
    <t>311261111 RTO</t>
  </si>
  <si>
    <t>" - Osazování betonových bloků objemu přes 0,06 do 0,10 m3 na maltové lože C 16/20 "</t>
  </si>
  <si>
    <t>35b</t>
  </si>
  <si>
    <t xml:space="preserve">" - Betonový blok - střední rozměr 1500x300x150 " </t>
  </si>
  <si>
    <t>35c</t>
  </si>
  <si>
    <t>59245035 RT1</t>
  </si>
  <si>
    <t xml:space="preserve">" - Betonový blok 1500x900x450 " </t>
  </si>
  <si>
    <t>35d</t>
  </si>
  <si>
    <t>" - Podklad ze štěrkodrtě ŠD plochy do 100 m2 tl 300 mm  " (27,69)*1,1</t>
  </si>
  <si>
    <t>35e</t>
  </si>
  <si>
    <t>564870001 SPC</t>
  </si>
  <si>
    <t xml:space="preserve">" - D+M Dřevěného sedáku rozměry 1,2*0,4*0,06m  " </t>
  </si>
  <si>
    <t>" Schody " 27,69</t>
  </si>
  <si>
    <t>D+M Štěrkové doskočiště tl. 300mm  - Specifikace dle PD</t>
  </si>
  <si>
    <t>36a</t>
  </si>
  <si>
    <t>" - Podklad ze štěrkodrtě ŠD plochy do 100 m2 tl 300 mm  " (10,13)*1,1</t>
  </si>
  <si>
    <t>" Štěrková plocha " 10,13</t>
  </si>
  <si>
    <t>916330001 SPC</t>
  </si>
  <si>
    <t>Demontáž a zpětná montáž skluzavky</t>
  </si>
  <si>
    <t>" Demontáž skluzavky a všech jejich částí, přesunutí a následné sestavení v místě nového doskočiště. Poškozené části budou nahrazeny novými. "</t>
  </si>
  <si>
    <t xml:space="preserve">" Skluzavka " </t>
  </si>
  <si>
    <t>916330002 SPC</t>
  </si>
  <si>
    <t>Demontáž a zpětná montáž houpačky</t>
  </si>
  <si>
    <t>" Demontáž houpačky a všech jejich částí, přesunutí a následné sestavení v místě nového doskočiště. Poškozené části budou nahrazeny novými. "</t>
  </si>
  <si>
    <t xml:space="preserve">" Houpačka " </t>
  </si>
  <si>
    <t>Osazení zahradního obrubníku betonového do lože z betonu s boční opěrou třídy C 12/15</t>
  </si>
  <si>
    <t>" Osazení zahradní obruby kolem okapovového chodníku z kačírku a chodníku. "</t>
  </si>
  <si>
    <t>" Osazení zahradní obruby - 1000×50×200 mm " (234,084)</t>
  </si>
  <si>
    <t>obrubník betonový zahradní šedý 1000x50x200mm</t>
  </si>
  <si>
    <t>" Betonový zahradní obrubník - kolem okapového chodníku. " (234,084)*1,05</t>
  </si>
  <si>
    <t>" V ceně a množství zahrnuty i speciální druhy - snížené, náběhové, obloukové, rohové, apod. "</t>
  </si>
  <si>
    <t>" Osazení ocelové obruby kolem prýžového doskočiště " (20,00)</t>
  </si>
  <si>
    <t>obrubník ocelový výška 140mm</t>
  </si>
  <si>
    <t>" Ocelový obrubník - kolem doskočiště. " (20,0)*1,05</t>
  </si>
  <si>
    <t>935112211 RTO</t>
  </si>
  <si>
    <t>Osazení příkopového žlabu do betonu / lože ze štěrkopísku či kameniva tl 100 mm z betonových tvárnic š 600 mm</t>
  </si>
  <si>
    <t>" Osazení příkopového žlabu š. 600 mm pro odvodnění pod svahem a přilehlých chodníků. "</t>
  </si>
  <si>
    <t>" Osazení příkopového žlabu š. 600 mm. " (58,00)</t>
  </si>
  <si>
    <t>59227029 RTO</t>
  </si>
  <si>
    <t>žlabovka příkopová betonová 500x600x100mm</t>
  </si>
  <si>
    <t>" Příkopová tvarovka. " (58,00)*1,05</t>
  </si>
  <si>
    <t>935112112 RTO</t>
  </si>
  <si>
    <t>Osazení příkopového žlabu do betonu / lože ze štěrkopísku či kameniva tl 100 mm z betonových desek</t>
  </si>
  <si>
    <t>" Osazení desek k příkopovému pro odvodnění pod svahem a přilehlých chodníků. "</t>
  </si>
  <si>
    <t>" Osazení desek k příkopovému žlabu na svah - uvažována 1 řada na 1 straně. " (58,0)*0,5</t>
  </si>
  <si>
    <t>deska betonová meliorační 500x500x100mm</t>
  </si>
  <si>
    <t>" Deska k příkopovému žlabu (umístění na svah) pro odvodnění pod svahem a přilehlých chodníků. " (58,0)*1,05</t>
  </si>
  <si>
    <t>971</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</si>
  <si>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</si>
  <si>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</si>
  <si>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</si>
  <si>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16,3</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</si>
  <si>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</si>
  <si>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Likvidace vybouraného materiálu " (33,16+46,551+15,198)</t>
  </si>
  <si>
    <t>48a</t>
  </si>
  <si>
    <t>" - Nakládání suti na dopravní prostředky pro vodorovnou dopravu. "</t>
  </si>
  <si>
    <t>48b</t>
  </si>
  <si>
    <t>48c</t>
  </si>
  <si>
    <t>" Likvidace vybouraného materiálu  " (14,826+35,599+13,356+0,148+138,726)</t>
  </si>
  <si>
    <t>49a</t>
  </si>
  <si>
    <t>49b</t>
  </si>
  <si>
    <t>49c</t>
  </si>
  <si>
    <t>997221625 RTO</t>
  </si>
  <si>
    <t>Přesun hmot pro pozemní komunikace s krytem z kamene, monolitickým betonovým nebo živičným, dlážděným</t>
  </si>
  <si>
    <t>" Přesun hmot. " (297,563)</t>
  </si>
  <si>
    <t>Část: D.1.4.1.b.08. AREÁLOVÝ VODOVOD</t>
  </si>
  <si>
    <t>JKSO: 827.13.1</t>
  </si>
  <si>
    <t>Hloubení zapažených rýh š do 2000 mm v hornině třídy těžitelnosti I skupiny 3 objem do 50 m3</t>
  </si>
  <si>
    <t xml:space="preserve">" Hloubení rýh pro napojení vodovodu - 60 % z celkové kubatury " </t>
  </si>
  <si>
    <t>" Hloubení rýhy pro napojení vodovodu z akumulační nádrže do objektu " (15,5*1,2*1,8)*0,6</t>
  </si>
  <si>
    <t xml:space="preserve">" Hloubení rýh pro napojení vodovodu - 35 % z celkové kubatury " </t>
  </si>
  <si>
    <t>" Hloubení rýhy pro napojení vodovodu z akumulační nádrže do objektu " (15,5*1,2*1,8)*0,35</t>
  </si>
  <si>
    <t>Hloubení zapažených rýh š do 2000 mm v hornině třídy těžitelnosti II skupiny 5 objem do 20 m3</t>
  </si>
  <si>
    <t xml:space="preserve">" Hloubení rýh pro napojení vodovodu - 5 % z celkové kubatury " </t>
  </si>
  <si>
    <t>" Hloubení rýhy pro napojení vodovodu z akumulační nádrže do objektu " (15,5*1,2*1,8)*0,05</t>
  </si>
  <si>
    <t>" Příplatek - 5 % " ((20,088)+(11,718)+(1,674))*0,05</t>
  </si>
  <si>
    <t>" Pažení rýh pro napojení vodovodu - 80 % z celkové plochy "</t>
  </si>
  <si>
    <t>" Pažení rýhy pro napojení vodovodu z akumulační nádrže do objektu " ((15,5*1,8)*2)*0,8</t>
  </si>
  <si>
    <t>" Zásyp potrubí potrubí vykopanou zeminou pro napojení vodovodu z akumulační nádrže do objektu. "</t>
  </si>
  <si>
    <t>" Zásyp potrubí potrubí vykopanou zeminou pro napojení vodovodu z akumulační nádrže do objektu " ((15,0)*1,2)*(1,8-0,15-0,35)</t>
  </si>
  <si>
    <t>" Zásyp potrubí štěrkem pro napojení vodovodu z akumulační nádrže do objektu "</t>
  </si>
  <si>
    <t>" Zásyp potrubí potrubí štěrkou pro napojení vodovodu z akumulační nádrže do objektu " ((0,5)*1,2)*(1,8-0,15-0,35)</t>
  </si>
  <si>
    <t>" Zásyp potrubí štěrkem pro napojení vodovodu z objektu do objektu zázemí "</t>
  </si>
  <si>
    <t>" Zásyp potrubí štěrkem pro napojení vodovodu z objektu do zázemí - část pod chodníkem " (0,78)*2,0</t>
  </si>
  <si>
    <t>" Obsyp potrubí štěrkem pro napojení vodovodu z akumulační nádrže do objektu. "</t>
  </si>
  <si>
    <t>" Obsyp potrubí štěrkem pro napojení vodovodu z akumulační nádrže do objektu - tl. 350 mm " (15,5*1,2)*0,35</t>
  </si>
  <si>
    <t>" Obsyp potrubí štěrkem pro napojení vodovodu z akumulační nádrže do objektu " (6,51)*2,0</t>
  </si>
  <si>
    <t>" Odvoz zeminy na meziskládku před zpětným přemístěním " (23,4)*(0,6)</t>
  </si>
  <si>
    <t>" Odvoz zeminy na meziskládku před zpětným přemístěním " (23,4)*((0,35)+(0,05))</t>
  </si>
  <si>
    <t>17a</t>
  </si>
  <si>
    <t>17b</t>
  </si>
  <si>
    <t>17c</t>
  </si>
  <si>
    <t>17d</t>
  </si>
  <si>
    <t>17e</t>
  </si>
  <si>
    <t>" Odvoz zeminy z meziskládky pro zpětný zásyp " (23,4)*(0,6)</t>
  </si>
  <si>
    <t>" Odvoz zeminy z meziskládky pro zpětný zásyp " (23,4)*((0,35)+(0,05))</t>
  </si>
  <si>
    <t>" Odvoz zeminy z výkopových prací - rýh " (20,088)</t>
  </si>
  <si>
    <t>" Odečet za zeminu pro zpětný zásyp " -(14,04)</t>
  </si>
  <si>
    <t>" Odvoz zeminy z výkopových prací - rýh " (11,718)+(1,674)</t>
  </si>
  <si>
    <t>" Odečet za zeminu pro zpětný zásyp " -(9,36)</t>
  </si>
  <si>
    <t>19f</t>
  </si>
  <si>
    <t>" Lože z písku pod potrubí pro napojení vodovodu z akumulační nádrže do objektu. "</t>
  </si>
  <si>
    <t>" Lože z písku pod potrubí napojení vodovodu z akumulační nádrže do objektu - tl. 150 mm " (15,5*1,2)*0,15</t>
  </si>
  <si>
    <t>871171141 RTO</t>
  </si>
  <si>
    <t>D+M Potrubí z trubek z tlakového polyetylénu otevřený výkop svařovaných 40x3,7 mm - Specifikace dle PD</t>
  </si>
  <si>
    <t>" Potrubí PE 100 RC SDR11 40x3,7 mm "</t>
  </si>
  <si>
    <t>" Potrubí pro napojení vodovodu z akumulační nádrže do objektu " (15,5)*1,1</t>
  </si>
  <si>
    <t>" V ceně veškeré potřebné tvarovky a příslušenství. "</t>
  </si>
  <si>
    <t xml:space="preserve">D+M Prostup potrubí budovou / základy - Specifikace dle PD </t>
  </si>
  <si>
    <t>" Prostup potrubí budovou / základy - objekt "</t>
  </si>
  <si>
    <t>D+M Prostup potrubí akumulační nádrží vč. napojení potrubí - Specifikace dle PD</t>
  </si>
  <si>
    <t>" Prostup pro potrubí vodovodu akumulační nádrží vč. zajištění napojení. "</t>
  </si>
  <si>
    <t>892233122 RTO</t>
  </si>
  <si>
    <t>Proplach a dezinfekce vodovodního potrubí do DN 70</t>
  </si>
  <si>
    <t>" Proplach a desinfekce potrubí "</t>
  </si>
  <si>
    <t>" Proplach a desinfekce potrubí vodovodu z PE 100 RC SDR11 40x3,7 mm - z akumulační nádrže do objektu " (15,5)</t>
  </si>
  <si>
    <t>Tlaková zkouška vodou potrubí do 80</t>
  </si>
  <si>
    <t>" Tlaková zkouška potrubí vodovodu "</t>
  </si>
  <si>
    <t>" Tlaková zkouška předběžná a konečná vodovodního potrubí z PE 100 RC SDR11 40x3,7 mm - propojení akumunační nádrže a objektu " (15,5)*2</t>
  </si>
  <si>
    <t>Zabezpečení konců potrubí DN do 300 při tlakových zkouškách vodou</t>
  </si>
  <si>
    <t>" Zabezpečení konců potrubí vodovodu "</t>
  </si>
  <si>
    <t xml:space="preserve">" Zabezpečení konců potrubí vodovodu z PE 100 RC SDR11 40x3,7 mm - propojení akumulační nádrže a objektu " </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</si>
  <si>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</si>
  <si>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</si>
  <si>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Signalizační vodič DN do 150 mm na potrubí</t>
  </si>
  <si>
    <t>" Signalizační vodič pro potrubí vodovodu "</t>
  </si>
  <si>
    <t>" Signalizační vodič pro potrubí vodovodu z PE 100 RC SDR11 40x3,7 mm - propojení akumulační nádrže a objektu " (15,5)</t>
  </si>
  <si>
    <t>" Výstražná fólie pro potrubí vodovodu "</t>
  </si>
  <si>
    <t>" Výstražná fólie pro potrubí vodovodu z PE 100 RC SDR11 40x3,7 mm - propojení akumulační nádrže a objektu " (15,5)</t>
  </si>
  <si>
    <t>" Přesun hmot pro areálový vodovod. " 20,021</t>
  </si>
  <si>
    <t>D.1.4.1.b.08. AREÁLOVÝ VODOVOD</t>
  </si>
  <si>
    <t>D.1.4.1.b.08 AREÁLOVÝ VODOVOD</t>
  </si>
  <si>
    <t>D.1.4.10.1 SADOVÉ ÚPRAVY, MOBILIÁŘ, OPLOCENÍ</t>
  </si>
  <si>
    <t>D.1.4.7.b.08. AREÁLOVÉ VEDENÍ NN</t>
  </si>
  <si>
    <t>D.1.4.8.b.04. AREÁLOVÉ VEDENÍ SLABOPROUDU</t>
  </si>
  <si>
    <t>Objekt:   D.1.4.8. ELEKTRICKÉ KOMUNIKACE</t>
  </si>
  <si>
    <t>Část: D.1.4.8.b.04. AREÁLOVÉ ELEKTRO</t>
  </si>
  <si>
    <t>D.1.4.8.b.04. AREÁLOVÉ ELEKTRO - TRASA A1 - AREÁLOVÁ SÍŤ SLB</t>
  </si>
  <si>
    <t>D.1.4.8.b.04. AREÁLOVÉ ELEKTRO - TRASA A2 - AREÁLOVÁ SÍŤ SLB</t>
  </si>
  <si>
    <t>D.1.4.8.b.04. AREÁLOVÉ ELEKTRO - TRASA A3 - AREÁLOVÁ SÍŤ SLB</t>
  </si>
  <si>
    <t>D.1.4.8.b.04. AREÁLOVÉ ELEKTRO - CELKEM</t>
  </si>
  <si>
    <t>Stavba:   Dostavba Domova pro seniory ve Vrchlabí - PD</t>
  </si>
  <si>
    <t>Část: D.1.4.8.b.04. AREÁLOVÉ ELEKTRO - TRASA A1 - AREÁLOVÁ SÍŤ SLB</t>
  </si>
  <si>
    <t>21-M</t>
  </si>
  <si>
    <t>Elektromontážní práce - Silnoproud</t>
  </si>
  <si>
    <t>921</t>
  </si>
  <si>
    <t>Montáž uzemňovacího vedení vodičů FeZn pomocí svorek v zemi páskou do 120 mm2 ve městské zástavbě</t>
  </si>
  <si>
    <t>" Zemnící vedení pro areálové vedení slaboproudu. "</t>
  </si>
  <si>
    <t>" Zemnící vedení pro vedení v rýhách pro kabeláž - vedení tras A1 a A2 ve společné rýze. " (14,9)</t>
  </si>
  <si>
    <t>" Zemnící vedení pro vedení v rýhách pro kabeláž - vedení trasy A1 v samostatné rýze. " (26,5)</t>
  </si>
  <si>
    <t>" V ceně veškerné nutné spojovací prvky a veškeré nutné příslušenství jinde neuvedené. "</t>
  </si>
  <si>
    <t>354</t>
  </si>
  <si>
    <t>pás zemnící 30x4mm FeZn</t>
  </si>
  <si>
    <t>" Zemnící vedení pro areálové vedení NN. "</t>
  </si>
  <si>
    <t>" Zemnící pásek - vedení tras A1 a A2 ve společné rýze. " ((14,9)*0,95)*1,05</t>
  </si>
  <si>
    <t>" Zemnící pásek - vedení trasy A1 v samostatné rýze. " ((26,5)*0,95)*1,05</t>
  </si>
  <si>
    <t>" POZN: Uvažována hmotnost 1 m = 0,95 kg. "</t>
  </si>
  <si>
    <t>210220901 SPC</t>
  </si>
  <si>
    <t>D+M Svorky SK, SS, SR, SP - Specifikace dle PD</t>
  </si>
  <si>
    <t>" Svorky po spojení zemnících pásků a vodičů. "</t>
  </si>
  <si>
    <t>" Včetně uložení a napojení zemnících pásků a vodičů. "</t>
  </si>
  <si>
    <t>210220902 SPC</t>
  </si>
  <si>
    <t>" V ceně prvek pro ochranu spojů zemnícího pásku a drátů , vodičů - např. páskou a další veškeré příslušenství pro zajištění spoje.
V ceně také přesun hmot. "</t>
  </si>
  <si>
    <t>210819101 SPC</t>
  </si>
  <si>
    <t>D+M Vodiče pro zajištění zemnění / napojení domovního telefonu - Specifikace dle PD</t>
  </si>
  <si>
    <t>" Vodiče (CY, CYA, H07V, apod.) pro areálové vedení slaboproudu - trasu A1. "</t>
  </si>
  <si>
    <t>" Vodiče pro zajištění napojení ovládacího zařízení brány / případného uzemnění k oplocení, ochranné stříšce, apod. "  (2,5)*1,1</t>
  </si>
  <si>
    <t>" Uvažovány vodiče do 1×16. "</t>
  </si>
  <si>
    <t>" V ceně připevnění k zemnícímu pásku a oplocení / telefonu, veškerý spojovací a kotvící materiál, uložení kabeláže do chrániček (pro venkovní vedení) a veškeré další nutné práce a materiál. "</t>
  </si>
  <si>
    <t>210999811 SPC</t>
  </si>
  <si>
    <t xml:space="preserve">D+M Napojení vodiče k vjezdové bráně / pohonu brány - Specifikace dle PD </t>
  </si>
  <si>
    <t>" Napojení vodiče areálového vedení k pohonu brány / k vjezdové bráně. "</t>
  </si>
  <si>
    <t>" Napojení zemnícího drátu areálového vedení slaboproudu - trasa A1 - k pohonu brány / k vjezdové bráně (bod V1).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</si>
  <si>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rozvaděče.
V ceně také přesun hmot. "</t>
  </si>
  <si>
    <t>210999901 SPC</t>
  </si>
  <si>
    <t xml:space="preserve">D+M Napojení zemnícího pásku areálového vedení slaboproudu na zemnící soustavu objektu - Specifikace dle PD </t>
  </si>
  <si>
    <t>" Napojení zemnícího pásku rýhy areálového vedení slaboproudu na zemnící soustavu objektu "</t>
  </si>
  <si>
    <t>" Napojení zemnícího pásku trasy A1 na zemnící soustavu objektu " 1</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</si>
  <si>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</si>
  <si>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 Stavební práce a dodávky spojené s provedením funkčního celku M - výpomoce, doplňkové práce a dodávky,kompletace apod. "</t>
  </si>
  <si>
    <t>22-M</t>
  </si>
  <si>
    <t>Elektromontážní práce - Sdělovací a zabezpečovací technika</t>
  </si>
  <si>
    <t>220819101 SPC</t>
  </si>
  <si>
    <t>D+M Kabel UTP Cat. 5e - Specifikace dle PD</t>
  </si>
  <si>
    <t>" Kabeláž pro areálový rozvod sdělovacího vedení. - datový kabel UTP Cat. 5e vhodný k venkovnímu použití. "</t>
  </si>
  <si>
    <t>" Kabeláž pro areálové sdělovací vedení - vedení ve společné rýze " (14,9)*1,1</t>
  </si>
  <si>
    <t>" Kabeláž pro areálové sdělovací vedení - vedení v samostatné " (26,5)*1,1</t>
  </si>
  <si>
    <t>" Kabeláž pro areálové sdělovací vedení - vedení svislé. " (2,5)*1,1</t>
  </si>
  <si>
    <t>" V ceně veškerý spojovací a kotvící materiál, uložení kabeláže do chrániček (pro venkovní vedení) a veškeré další nutné práce a materiál. "</t>
  </si>
  <si>
    <t>220819201 SPC</t>
  </si>
  <si>
    <t>D+M Prostup kabeláže základy, objektem - Specifikace dle PD</t>
  </si>
  <si>
    <t>" Prostup kabeláže základy, objektem. "</t>
  </si>
  <si>
    <t>" Prostup kabeláže do objektu - prostup N1 " 1</t>
  </si>
  <si>
    <t xml:space="preserve">" V ceně případné nutné vytvoření, těsnění a zapravení prostupu, chránička vč. kotvících a spojovacích prvků, veškeré příslušenství vč. přesunu hmot. " </t>
  </si>
  <si>
    <t>210999801 SPC</t>
  </si>
  <si>
    <t xml:space="preserve">D+M Napojení kabeláže na pohon brány - Specifikace dle PD </t>
  </si>
  <si>
    <t>" Napojení kabeláže areálového vedení na pohon brány "</t>
  </si>
  <si>
    <t>" Napojení kabeláže areálového vedení slaboproudu - trasa A1 - na pohon venkovní brány (bod V1). "</t>
  </si>
  <si>
    <t>" V ceně ukončení a zapojení kabeláže na pohon vč. doplňkové a propojovací kabeláže, kotvících, spojovacích, těsnících prvků, zprovoznění, odzkoušení a veškerého dalšího nutného příslušenství pro zajištění napojení kabeláže k pohonu brány.
V ceně také přesun hmot. "</t>
  </si>
  <si>
    <t>220999901 SPC</t>
  </si>
  <si>
    <t>D+M Podružný montážní materiál</t>
  </si>
  <si>
    <t>" Případný spojovací, připevňovací a jiný materiál jinde neuvedený pro přidružné práce - např. hmoždinky, vruty, sádra, apod. "</t>
  </si>
  <si>
    <t>220999902 SPC</t>
  </si>
  <si>
    <t>" Včetně vypracování revizní zprávy "</t>
  </si>
  <si>
    <t>220999903 SPC</t>
  </si>
  <si>
    <t>Dokumentace skutečného stavu</t>
  </si>
  <si>
    <t>" Vyhotovení dokumentace skutečného stavu vč. veškerých souvisejících prací  "</t>
  </si>
  <si>
    <t>46-M</t>
  </si>
  <si>
    <t>Zemní práce při extr.mont.pracích</t>
  </si>
  <si>
    <t>946</t>
  </si>
  <si>
    <t>Vytyčení trasy vedení kabelového podzemního v zastavěném prostoru</t>
  </si>
  <si>
    <t>km</t>
  </si>
  <si>
    <t>" Případné vytyčení trasy. " (14,9+26,5)/1000</t>
  </si>
  <si>
    <t>Čerpání vody na dopravní výšku do 10 m průměrný přítok do 400 litrů/min</t>
  </si>
  <si>
    <t>" Případné čerpání vody. "</t>
  </si>
  <si>
    <t>Hloubení kabelových rýh ručně š 65 cm hl 90 cm v hornině tř I skupiny 3</t>
  </si>
  <si>
    <t>" Hloubení rýh pro areálové vedení slaboproudu - vedení trasy A1 v samostatné rýze - 5 % z celkové délky "</t>
  </si>
  <si>
    <t>" Hloubení rýh pro areálové vedení slaboproudu - vedení trasy A1 v samostatné rýze " (26,5)*0,05</t>
  </si>
  <si>
    <t>Hloubení kabelových rýh ručně š 80 cm hl 90 cm v hornině tř I skupiny 3</t>
  </si>
  <si>
    <t>" Hloubení rýh pro areálové vedení slaboproudu - vedení tras A1 a A2 ve společné rýze - 5 % z celkové délky "</t>
  </si>
  <si>
    <t>" Hloubení rýh pro areálové vedení slaboproudu - vedení tras A1 až A2 ve společné rýze " (14,9)*0,05</t>
  </si>
  <si>
    <t>Hloubení kabelových nezapažených rýh strojně š 65 cm hl 90 cm v hornině tř I skupiny 3</t>
  </si>
  <si>
    <t>" Hloubení rýh pro areálové vedení slaboproudu - vedení trasy A1 v samostatné rýze - 85 % z celkové délky "</t>
  </si>
  <si>
    <t>" Hloubení rýh pro areálové vedení slaboproudu - vedení trasy A1 v samostatné rýze " (26,5)*0,85</t>
  </si>
  <si>
    <t>Hloubení kabelových nezapažených rýh strojně š 65 cm hl 90 cm v hornině tř II skupiny 4</t>
  </si>
  <si>
    <t>" Hloubení rýh pro areálové vedení slaboproudu - vedení trasy A1 v samostatné rýze - 10 % z celkové délky "</t>
  </si>
  <si>
    <t>" Hloubení rýh pro areálové vedení slaboproudu - vedení trasy A1 v samostatné rýze " (26,5)*0,1</t>
  </si>
  <si>
    <t>Hloubení kabelových nezapažených rýh strojně š 80 cm hl 90 cm v hornině tř I skupiny 3</t>
  </si>
  <si>
    <t>" Hloubení rýh pro areálové vedení slaboproudu - vedení tras A1 a A2 ve společné rýze - 85 % z celkové délky "</t>
  </si>
  <si>
    <t>" Hloubení rýh pro areálové vedení slaboproudu - vedení tras A1 a A2 ve společné rýze " (14,9)*0,85</t>
  </si>
  <si>
    <t>Hloubení kabelových nezapažených rýh strojně š 80 cm hl 90 cm v hornině tř II skupiny 4</t>
  </si>
  <si>
    <t>" Hloubení rýh pro areálové vedení slaboproudu - vedení tras A1 a A2 ve společné rýze - 10 % z celkové délky "</t>
  </si>
  <si>
    <t>" Hloubení rýh pro areálové vedení slaboproudu - vedení tras A1 a A2 ve společné rýze " (14,9)*0,1</t>
  </si>
  <si>
    <t>Příplatek za ztížení vykopávky při elektromontážích v blízkosti podzemního vedení</t>
  </si>
  <si>
    <t>" Příplatek - 5 % " ((26,5*0,65*0,9)+(14,9*0,8*0,9))*0,05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</si>
  <si>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</si>
  <si>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</si>
  <si>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</si>
  <si>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</si>
  <si>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</si>
  <si>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</si>
  <si>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</si>
  <si>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slaboproudu - vedení trasy A1 v samostatné rýze "</t>
  </si>
  <si>
    <t>" Zpětný zásyp zeminou z výkopů " (26,5)*(0,05+0,85)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</si>
  <si>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</si>
  <si>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</si>
  <si>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(26,5)*(0,1)</t>
  </si>
  <si>
    <t>Zásyp kabelových rýh strojně se zhutněním š 80 cm hl 50 cm z horniny tř I skupiny 3</t>
  </si>
  <si>
    <t>" Zpětný zásyp rýh areálového vedení slaboproudu - vedení tras A1 a A2 ve společné rýze "</t>
  </si>
  <si>
    <t>" Zpětný zásyp zeminou z výkopů " (14,9)*(0,05+0,85)</t>
  </si>
  <si>
    <t>Zásyp kabelových rýh strojně se zhutněním š 80 cm hl 50 cm z horniny tř II skupiny 4</t>
  </si>
  <si>
    <t>" Zpětný zásyp zeminou z výkopů " (14,9)*(0,1)</t>
  </si>
  <si>
    <t>Kabelové lože z písku pro kabely nn bez zakrytí š lože přes 50 do 65 cm</t>
  </si>
  <si>
    <t>" Kabelové lože areálového vedení slaboproudu - vedení trasy A1 v samostatné rýze "</t>
  </si>
  <si>
    <t>" Kabelové lože z písku - celková tl. 400 mm " (26,5)*2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</si>
  <si>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</si>
  <si>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</si>
  <si>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65 do 80 cm</t>
  </si>
  <si>
    <t>" Kabelové lože areálového vedení slaboproudu - vedení tras A1 a A2 ve společné rýze "</t>
  </si>
  <si>
    <t>" Kabelové lože z písku - celková tl. 400 mm " (14,9)*2</t>
  </si>
  <si>
    <t>Výstražná fólie pro krytí kabelů šířky přes 25 do 34 cm</t>
  </si>
  <si>
    <t>" Výstražná fólie areálového vedení slaboproudu - vedení trasy A1 v samostatné rýze "</t>
  </si>
  <si>
    <t>" Výstražná fólie pro kabeláž.- uvažovány 2 fólie vedle sebe s překrytím " (26,5)*2</t>
  </si>
  <si>
    <t>Výstražná fólie pro krytí kabelů šířky přes 35 do 40 cm</t>
  </si>
  <si>
    <t>" Výstražná fólie areálového vedení slaboproudu - vedení tras A1 a A2 ve společné rýze "</t>
  </si>
  <si>
    <t>" Výstražná fólie pro kabeláž.- uvažovány 2 fólie vedle sebe " (14,9)*2</t>
  </si>
  <si>
    <t>460791901 SPC</t>
  </si>
  <si>
    <t>D+M Chránička tuhá kogurovaná, dvouplášťová do DN 61 - Specifikace dle PD</t>
  </si>
  <si>
    <t>" Chránička HDPE do D61/75 mm - pro vedení svislé kabeláže k pohonu brány. "</t>
  </si>
  <si>
    <t>" Chránička pro svislé vedení areálového vedení slaboproudu - trasa A1 " (2,5)*1,1</t>
  </si>
  <si>
    <t xml:space="preserve">" V ceně kotvící a spojovací materiál, uložení a veškeré dalšní nutné práce a materiál. " </t>
  </si>
  <si>
    <t>" POZN: Nasutnutí / uložení kabelu do chrániček je součástí ceny montáže kabeláže. "</t>
  </si>
  <si>
    <t>460791902 SPC</t>
  </si>
  <si>
    <t>D+M Chránička ohebná kogurovaná, dvouplášťová do DN 108 - Specifikace dle PD</t>
  </si>
  <si>
    <t>" Chránička HDPE-LDPE do D108/125 mm - do výkopů. "</t>
  </si>
  <si>
    <t>" Chránička do výkopů pro areálové vedení slaboproudu - trasa A1 " (14,9+26,5)*1,1</t>
  </si>
  <si>
    <t>469999101 SPC</t>
  </si>
  <si>
    <t>Náklady spojené s odovozem sypaniny na meziskládku při elektromontážních pracích - vzdálenost do 500 m</t>
  </si>
  <si>
    <t>" Odvoz zeminy na meziskládku před zpětným přemístěním při elektromontážních pracích. " (14,9*0,8*0,5)*(0,85+0,05)+(26,5*0,65*0,5)*(0,85+0,05)</t>
  </si>
  <si>
    <t>" Odvoz zeminy na meziskládku před zpětným přemístěním při elektromontážních pracích. " (14,9*0,8*0,5)*(0,1)+(26,5*0,65*0,5)*(0,1)</t>
  </si>
  <si>
    <t>39a</t>
  </si>
  <si>
    <t>" - Naložení výkopku při elektromontážích strojně z hornin třídy I skupiny 1 až 3 "</t>
  </si>
  <si>
    <t>39b</t>
  </si>
  <si>
    <t>" - Naložení výkopku při elektromontážích strojně z hornin třídy II skupiny 4 a 5 "</t>
  </si>
  <si>
    <t>39c</t>
  </si>
  <si>
    <t>" - Vodorovné přemístění horniny jakékoliv třídy dopravními prostředky při elektromontážích přes 50 do 500 m "</t>
  </si>
  <si>
    <t>39d</t>
  </si>
  <si>
    <t>469999102 SPC</t>
  </si>
  <si>
    <t>Náklady spojené s odovozem sypaniny z meziskládky pro zpětné použití  při elektromontážních pracích - vzdálenost do 500 m</t>
  </si>
  <si>
    <t>" Odvoz zeminy z meziskládky pro zpětný zásyp rýhy při elektromontážních pracích " (14,9*0,8*0,5)*(0,85+0,05)+(26,5*0,65*0,5)*(0,85+0,05)</t>
  </si>
  <si>
    <t>" Odvoz zeminy z meziskládky pro zpětný zásyp rýhy při elektromontážních pracích " (14,9*0,8*0,5)*(0,1)+(26,5*0,65*0,5)*(0,1)</t>
  </si>
  <si>
    <t>40a</t>
  </si>
  <si>
    <t>40b</t>
  </si>
  <si>
    <t>40c</t>
  </si>
  <si>
    <t xml:space="preserve">" V položce zahrnuto naložení, odvoz zeminy z meziskládky a její složení 
Složení součást ceny vodorovného přemíéstění. "  </t>
  </si>
  <si>
    <t>469999103 SPC</t>
  </si>
  <si>
    <t>" Odvoz zeminy z hloubení rýh při elektromontážních prací - přesuny strojně. "</t>
  </si>
  <si>
    <t>" Odvoz zeminy z výkopových prací pro elektromontáže - rýhy " (14,9*0,8*(0,9-0,5))*(0,85+0,05)+(26,5*0,65*(0,9-0,5))*(0,85+0,05)</t>
  </si>
  <si>
    <t>" Odvoz zeminy z výkopových prací pro elektromontáže - rýhy " (14,9*0,8*(0,9-0,5))*(0,1)+(26,5*0,65*(0,9-0,5))*(0,1)</t>
  </si>
  <si>
    <t>41c</t>
  </si>
  <si>
    <t>41d</t>
  </si>
  <si>
    <t>41e</t>
  </si>
  <si>
    <t>Přesun hmot pro pomocné stavební práce při elektromotážích</t>
  </si>
  <si>
    <t>" Přesun hmot pro elektromontážní práce - oddíl 21-M. " 0,047</t>
  </si>
  <si>
    <t>" Přesun hmot pro elektromontážní práce - oddíl 22-M. " 0,001</t>
  </si>
  <si>
    <t>" Přesun hmot pro elektromontážní práce - oddíl 46-M. " 23,449</t>
  </si>
  <si>
    <t>POZNÁMKA: Uzemnění pro část areálového rozvodu slaboproudu je pro potřeby rozpočtu uvažováno také vzhledem k zákresu vedení.</t>
  </si>
  <si>
    <t>Část: D.1.4.8.b.04. AREÁLOVÉ ELEKTRO - TRASA A2 - AREÁLOVÁ SÍŤ SLB</t>
  </si>
  <si>
    <t>" Zemnící vedení pro vedení v rýhách pro kabeláž - vedení trasy A2 v samostatné rýze. " (19,5)</t>
  </si>
  <si>
    <t>" Zemnící pásek - vedení trasy A2 v samostatné rýze. " ((19,5)*0,95)*1,05</t>
  </si>
  <si>
    <t>" Vodiče (CY, CYA, H07V, apod.) pro areálové vedení slaboproudu - trasu A2. "</t>
  </si>
  <si>
    <t>" Vodiče pro zajištění napojení ovládacího zařízení branky / případného uzemnění k oplocení, ochranné stříšce, apod. "  (2,5)*1,1</t>
  </si>
  <si>
    <t>" Napojení vodiče areálového vedení k pohonu branky / ke vstupní brance."</t>
  </si>
  <si>
    <t>" Napojení zemnícího drátu areálového vedení slaboproudu - trasa A2 - k pohonu branky / ke vstupní brance (bod V2). "</t>
  </si>
  <si>
    <t>" Napojení zemnícího pásku trasy A2 na zemnící soustavu objektu " 1</t>
  </si>
  <si>
    <t>" Kabeláž pro areálové sdělovací vedení - vedení v samostatné " (19,5)*1,1</t>
  </si>
  <si>
    <t>" Prostup kabeláže do objektu - prostup N2 " 1</t>
  </si>
  <si>
    <t xml:space="preserve">D+M Napojení kabeláže na pohon branky - Specifikace dle PD </t>
  </si>
  <si>
    <t>" Napojení kabeláže areálového vedení na pohon branky "</t>
  </si>
  <si>
    <t>" Napojení kabeláže areálového vedení slaboproudu - trasa A2 - na pohon venkovní branky (bod V2). "</t>
  </si>
  <si>
    <t>" Případné vytyčení trasy. " (14,9+19,5)/1000</t>
  </si>
  <si>
    <t>" Hloubení rýh pro areálové vedení slaboproudu - vedení trasy A2 v samostatné rýze - 5 % z celkové délky "</t>
  </si>
  <si>
    <t>" Hloubení rýh pro areálové vedení slaboproudu - vedení trasy A2 v samostatné rýze " (19,5)*0,05</t>
  </si>
  <si>
    <t>Položka naceněna u vedení trasy A1 - list "D.1.4.8.b.04 AREÁL ELE-TRA. A1"</t>
  </si>
  <si>
    <t>" Hloubení rýh pro areálové vedení slaboproudu - vedení trasy A2 v samostatné rýze - 85 % z celkové délky "</t>
  </si>
  <si>
    <t>" Hloubení rýh pro areálové vedení slaboproudu - vedení trasy A2 v samostatné rýze " (19,5)*0,85</t>
  </si>
  <si>
    <t>" Hloubení rýh pro areálové vedení slaboproudu - vedení trasy A2 v samostatné rýze - 10 % z celkové délky "</t>
  </si>
  <si>
    <t>" Hloubení rýh pro areálové vedení slaboproudu - vedení trasy A2 v samostatné rýze " (19,5)*0,1</t>
  </si>
  <si>
    <t>" Příplatek - 5 % " ((19,5*0,65*0,9))*0,05</t>
  </si>
  <si>
    <t>" Zpětný zásyp rýh areálového vedení slaboproudu - vedení trasy A2 v samostatné rýze "</t>
  </si>
  <si>
    <t>" Zpětný zásyp zeminou z výkopů " (19,5)*(0,05+0,85)</t>
  </si>
  <si>
    <t>" Zpětný zásyp zeminou z výkopů " (19,5)*(0,1)</t>
  </si>
  <si>
    <t>" Kabelové lože areálového vedení slaboproudu - vedení trasy A2 v samostatné rýze "</t>
  </si>
  <si>
    <t>" Kabelové lože z písku - celková tl. 400 mm " (19,5)*2</t>
  </si>
  <si>
    <t>" Výstražná fólie areálového vedení slaboproudu - vedení trasy A2 v samostatné rýze "</t>
  </si>
  <si>
    <t>" Výstražná fólie pro kabeláž.- uvažovány 2 fólie vedle sebe s překrytím " (19,5)*2</t>
  </si>
  <si>
    <t>" Chránička pro svislé vedení areálového vedení slaboproudu - trasa A2 " (2,5)*1,1</t>
  </si>
  <si>
    <t>" Chránička do výkopů pro areálové vedení slaboproudu - trasa A2 " (14,9+19,5)*1,1</t>
  </si>
  <si>
    <t>" Odvoz zeminy na meziskládku před zpětným přemístěním při elektromontážních pracích. " (19,5*0,65*0,5)*(0,85+0,05)</t>
  </si>
  <si>
    <t>" Odvoz zeminy na meziskládku před zpětným přemístěním při elektromontážních pracích. " (19,5*0,65*0,5)*(0,1)</t>
  </si>
  <si>
    <t>" Odvoz zeminy z meziskládky pro zpětný zásyp rýhy při elektromontážních pracích " (19,5*0,65*0,5)*(0,85+0,05)</t>
  </si>
  <si>
    <t>" Odvoz zeminy z meziskládky pro zpětný zásyp rýhy při elektromontážních pracích " (19,5*0,65*0,5)*(0,1)</t>
  </si>
  <si>
    <t>" Odvoz zeminy z výkopových prací pro elektromontáže - rýhy " (19,5*0,65*(0,9-0,5))*(0,85+0,05)</t>
  </si>
  <si>
    <t>" Odvoz zeminy z výkopových prací pro elektromontáže - rýhy " (19,5*0,65*(0,9-0,5))*(0,1)</t>
  </si>
  <si>
    <t>" Přesun hmot pro elektromontážní práce - oddíl 21-M. " 0,040</t>
  </si>
  <si>
    <t>" Přesun hmot pro elektromontážní práce - oddíl 46-M. " 10,259</t>
  </si>
  <si>
    <t>Část: D.1.4.8.b.04. AREÁLOVÉ ELEKTRO - TRASA A3 - AREÁLOVÁ SÍŤ SLB</t>
  </si>
  <si>
    <t>" Zemnící vedení pro vedení v rýhách pro kabeláž - vedení trasy A3 v samostatné rýze. " (5,8)</t>
  </si>
  <si>
    <t>" Zemnící pásek - vedení trasy A3 v samostatné rýze. " ((5,8)*0,95)*1,05</t>
  </si>
  <si>
    <t>" Vodiče (CY, CYA, H07V, apod.) pro areálové vedení slaboproudu - trasu A3. "</t>
  </si>
  <si>
    <t>" Napojení zemnícího drátu areálového vedení slaboproudu - trasa A3 - k pohonu branky / ke vstupní brance (bod V2). "</t>
  </si>
  <si>
    <t>" Napojení zemnícího pásku trasy A3 na zemnící soustavu objektu " 1</t>
  </si>
  <si>
    <t>" Kabeláž pro areálové sdělovací vedení - vedení v samostatné " (5,8)*1,1</t>
  </si>
  <si>
    <t>" Prostup kabeláže do objektu - prostup N3 " 1</t>
  </si>
  <si>
    <t>" Napojení kabeláže areálového vedení slaboproudu - trasa A3 - na pohon venkovní branky (bod V3). "</t>
  </si>
  <si>
    <t>" Případné vytyčení trasy. " (5,8)/1000</t>
  </si>
  <si>
    <t>" Hloubení rýh pro areálové vedení slaboproudu - vedení trasy A3 v samostatné rýze - 5 % z celkové délky "</t>
  </si>
  <si>
    <t>" Hloubení rýh pro areálové vedení slaboproudu - vedení trasy A3 v samostatné rýze " (5,8)*0,05</t>
  </si>
  <si>
    <t>" Hloubení rýh pro areálové vedení slaboproudu - vedení trasy A3 v samostatné rýze - 85 % z celkové délky "</t>
  </si>
  <si>
    <t>" Hloubení rýh pro areálové vedení slaboproudu - vedení trasy A3 v samostatné rýze " (5,8)*0,85</t>
  </si>
  <si>
    <t>" Hloubení rýh pro areálové vedení slaboproudu - vedení trasy A1 v samostatné rýze " (5,8)*0,1</t>
  </si>
  <si>
    <t>" Příplatek - 5 % " ((5,8*0,65*0,9))*0,05</t>
  </si>
  <si>
    <t>" Zpětný zásyp rýh areálového vedení slaboproudu - vedení trasy A3 v samostatné rýze "</t>
  </si>
  <si>
    <t>" Zpětný zásyp zeminou z výkopů " (5,8)*(0,05+0,85)</t>
  </si>
  <si>
    <t>" Zpětný zásyp zeminou z výkopů " (5,8)*(0,1)</t>
  </si>
  <si>
    <t>" Kabelové lože areálového vedení slaboproudu - vedení trasy A3 v samostatné rýze "</t>
  </si>
  <si>
    <t>" Kabelové lože z písku - celková tl. 400 mm " (5,8)*2</t>
  </si>
  <si>
    <t>" Výstražná fólie areálového vedení slaboproudu - vedení trasy A3 v samostatné rýze "</t>
  </si>
  <si>
    <t>" Výstražná fólie pro kabeláž.- uvažovány 2 fólie vedle sebe s překrytím " (5,8)*2</t>
  </si>
  <si>
    <t>" Chránička pro svislé vedení areálového vedení slaboproudu - trasa A3 " (2,5)*1,1</t>
  </si>
  <si>
    <t>" Chránička do výkopů pro areálové vedení slaboproudu - trasa A3 " (5,8)*1,1</t>
  </si>
  <si>
    <t>" Odvoz zeminy na meziskládku před zpětným přemístěním při elektromontážních pracích. " (5,8*0,65*0,5)*(0,85+0,05)</t>
  </si>
  <si>
    <t>" Odvoz zeminy na meziskládku před zpětným přemístěním při elektromontážních pracích. " (5,8*0,65*0,5)*(0,1)</t>
  </si>
  <si>
    <t>32c</t>
  </si>
  <si>
    <t>32d</t>
  </si>
  <si>
    <t>" Odvoz zeminy z meziskládky pro zpětný zásyp rýhy při elektromontážních pracích " (5,8*0,65*0,5)*(0,85+0,05)</t>
  </si>
  <si>
    <t>" Odvoz zeminy z meziskládky pro zpětný zásyp rýhy při elektromontážních pracích " (5,8*0,65*0,5)*(0,1)</t>
  </si>
  <si>
    <t>33b</t>
  </si>
  <si>
    <t>33c</t>
  </si>
  <si>
    <t>" Odvoz zeminy z výkopových prací pro elektromontáže - rýhy " (5,8*0,65*(0,9-0,5))*(0,85+0,05)</t>
  </si>
  <si>
    <t>" Odvoz zeminy z výkopových prací pro elektromontáže - rýhy " (5,8*0,65*(0,9-0,5))*(0,1)</t>
  </si>
  <si>
    <t>34b</t>
  </si>
  <si>
    <t>34c</t>
  </si>
  <si>
    <t>34d</t>
  </si>
  <si>
    <t>34e</t>
  </si>
  <si>
    <t>" Přesun hmot pro elektromontážní práce - oddíl 21-M. " 0,008</t>
  </si>
  <si>
    <t>" Přesun hmot pro elektromontážní práce - oddíl 46-M. " 3,063</t>
  </si>
  <si>
    <t>Část: D.1.4.7.b.08. AREÁLOVÉ ELEKTRO</t>
  </si>
  <si>
    <t>D.1.4.7.b.08. AREÁLOVÉ ELEKTRO - TRASA A1 - AREÁLOVÁ SÍŤ NN</t>
  </si>
  <si>
    <t>D.1.4.7.b.08. AREÁLOVÉ ELEKTRO - TRASA A2 - AREÁLOVÁ SÍŤ NN</t>
  </si>
  <si>
    <t>D.1.4.7.b.08. AREÁLOVÉ ELEKTRO - TRASA A3 - AREÁLOVÁ SÍŤ NN</t>
  </si>
  <si>
    <t>D.1.4.7.b.08. AREÁLOVÉ ELEKTRO - CELKEM</t>
  </si>
  <si>
    <t>Část: D.1.4.7.b.08. AREÁLOVÉ ELEKTRO - TRASA A1 - AREÁLOVÁ SÍŤ NN</t>
  </si>
  <si>
    <t>" Zemnící vedení pro vedení v rýhách pro kabeláž - vedení tras A1 a A2 ve společné rýze. " (14,8)</t>
  </si>
  <si>
    <t>" Zemnící vedení pro vedení v rýhách pro kabeláž - vedení trasy A1 v samostatné rýze. " (26,3)</t>
  </si>
  <si>
    <t>" Zemnící pásek - vedení tras A1 a A2 ve společné rýze. " ((14,8)*0,95)*1,05</t>
  </si>
  <si>
    <t>" Zemnící pásek - vedení trasy A1 v samostatné rýze. " ((26,3)*0,95)*1,05</t>
  </si>
  <si>
    <t>Montáž uzemňovacího vedení vodičů FeZn pomocí svorek v zemi drátem do 10 mm ve městské zástavbě</t>
  </si>
  <si>
    <t>" Zemnící vedení pro areálové vedení NN.- svislé vedení pro napojení k pohonu brány./ bráně "</t>
  </si>
  <si>
    <t>" Zemnící vedení areálového vedení NN - svislé - vedení trasy A1. " (1,5)</t>
  </si>
  <si>
    <t>drát D 10mm FeZn</t>
  </si>
  <si>
    <t>" Drát - areálové vedení NN - svislé vedení trasy A1 " ((1,5)*0,62)*1,05</t>
  </si>
  <si>
    <t>" POZN: Uvažována hmotnost 1 m = 0,62 kg. "</t>
  </si>
  <si>
    <t>D+M Kabel CYKY 3×2,5 - Specifikace dle PD</t>
  </si>
  <si>
    <t>" Kabeláž pro trasu areálového vedení NN. "</t>
  </si>
  <si>
    <t>" Kabeláž pro trasu A1 - vedení ve společné rýze " (14,8)*1,1</t>
  </si>
  <si>
    <t>" Kabeláž pro trasu A1 - vedení v samostatné rýze " (26,3)*1,1</t>
  </si>
  <si>
    <t>" Kabeláž pro trasu A1 - vedení svislé " (1,5)*1,1</t>
  </si>
  <si>
    <t>210819201 SPC</t>
  </si>
  <si>
    <t>" Napojení kabeláže areálového vedení NN - trasa A1 - na pohon venkovní brány (bod V1). "</t>
  </si>
  <si>
    <t>10</t>
  </si>
  <si>
    <t xml:space="preserve">D+M Napojení zemnícího drátu k vjezdové bráně / pohonu brány - Specifikace dle PD </t>
  </si>
  <si>
    <t>" Napojení zemnícího drátu areálového vedení k pohonu brány / k vjezdové bráně. "</t>
  </si>
  <si>
    <t>" Napojení zemnícího drátu areálového vedení NN - trasa A1 - k pohonu brány / k vjezdové bráně (bod V1). "</t>
  </si>
  <si>
    <t xml:space="preserve">D+M Napojení zemnícího pásku areálového vedení NN na zemnící soustavu objektu - Specifikace dle PD </t>
  </si>
  <si>
    <t>" Napojení zemnícího pásku rýhy areálového vedení NN na zemnící soustavu objektu "</t>
  </si>
  <si>
    <t>210999902 SPC</t>
  </si>
  <si>
    <t>210999903 SPC</t>
  </si>
  <si>
    <t>" Případné vytyčení trasy. " (14,8+26,3)/1000</t>
  </si>
  <si>
    <t>" Hloubení rýh pro areálové vedení NN - vedení trasy A1 v samostatné rýze - 5 % z celkové délky "</t>
  </si>
  <si>
    <t>" Hloubení rýh pro areálové vedení NN - vedení trasy A1 v samostatné rýze " (26,3)*0,05</t>
  </si>
  <si>
    <t>" Hloubení rýh pro areálové vedení NN - vedení tras A1 a A2 ve společné rýze - 5 % z celkové délky "</t>
  </si>
  <si>
    <t>" Hloubení rýh pro areálové vedení NN - vedení tras A1 až A2 ve společné rýze " (14,8)*0,05</t>
  </si>
  <si>
    <t>" Hloubení rýh pro areálové vedení NN - vedení trasy A1 v samostatné rýze - 85 % z celkové délky "</t>
  </si>
  <si>
    <t>" Hloubení rýh pro areálové vedení NN - vedení trasy A1 v samostatné rýze " (26,3)*0,85</t>
  </si>
  <si>
    <t>" Hloubení rýh pro areálové vedení NN - vedení trasy A1 v samostatné rýze - 10 % z celkové délky "</t>
  </si>
  <si>
    <t>" Hloubení rýh pro areálové vedení NN - vedení trasy A1 v samostatné rýze " (26,3)*0,1</t>
  </si>
  <si>
    <t>" Hloubení rýh pro areálové vedení NN - vedení tras A1 a A2 ve společné rýze - 85 % z celkové délky "</t>
  </si>
  <si>
    <t>" Hloubení rýh pro areálové vedení NN - vedení tras A1 a A2 ve společné rýze " (14,8)*0,85</t>
  </si>
  <si>
    <t>" Hloubení rýh pro areálové vedení NN - vedení tras A1 a A2 ve společné rýze - 10 % z celkové délky "</t>
  </si>
  <si>
    <t>" Hloubení rýh pro areálové vedení NN - vedení tras A1 a A2 ve společné rýze " (14,8)*0,1</t>
  </si>
  <si>
    <t>" Příplatek - 5 % " ((26,3*0,65*0,9)+(14,8*0,8*0,9))*0,05</t>
  </si>
  <si>
    <t>" Zpětný zásyp rýh areálového vedení NN - vedení trasy A1 v samostatné rýze "</t>
  </si>
  <si>
    <t>" Zpětný zásyp zeminou z výkopů " (26,3)*(0,05+0,85)</t>
  </si>
  <si>
    <t>" Zpětný zásyp zeminou z výkopů " (26,3)*(0,1)</t>
  </si>
  <si>
    <t>" Zpětný zásyp rýh areálového vedení NN - vedení tras A1 a A2 ve společné rýze "</t>
  </si>
  <si>
    <t>" Zpětný zásyp zeminou z výkopů " (14,8)*(0,05+0,85)</t>
  </si>
  <si>
    <t>" Zpětný zásyp zeminou z výkopů " (14,8)*(0,1)</t>
  </si>
  <si>
    <t>" Kabelové lože areálového vedení NN - vedení trasy A1 v samostatné rýze "</t>
  </si>
  <si>
    <t>" Kabelové lože z písku - celková tl. 400 mm " (26,3)*2</t>
  </si>
  <si>
    <t>" Kabelové lože areálového vedení NN - vedení tras A1 a A2 ve společné rýze "</t>
  </si>
  <si>
    <t>" Kabelové lože z písku - celková tl. 400 mm " (14,8)*2</t>
  </si>
  <si>
    <t>" Výstražná fólie areálového vedení NN - vedení trasy A1 v samostatné rýze "</t>
  </si>
  <si>
    <t>" Výstražná fólie pro kabeláž.- uvažovány 2 fólie vedle sebe s překrytím " (26,3)*2</t>
  </si>
  <si>
    <t>" Výstražná fólie areálového vedení NN - vedení tras A1 a A2 ve společné rýze "</t>
  </si>
  <si>
    <t>" Výstražná fólie pro kabeláž.- uvažovány 2 fólie vedle sebe " (14,8)*2</t>
  </si>
  <si>
    <t>D+M Chránička tuhá kogurovaná, dvouplášťová do DN 75 - Specifikace dle PD</t>
  </si>
  <si>
    <t>" Chránička HDPE do D75/90 mm - pro vedení svislé kabeláže k pohonu brány. "</t>
  </si>
  <si>
    <t>" Chránička pro svislé vedení areálového vedení NN - trasa A1 " (1,5)*1,1</t>
  </si>
  <si>
    <t>D+M Chránička ohebná kogurovaná, dvouplášťová do DN 136 - Specifikace dle PD</t>
  </si>
  <si>
    <t>" Chránička HDPE-LDPE do D136/160 mm - do výkopů. "</t>
  </si>
  <si>
    <t>" Chránička do výkopů pro areálové vedení NN - trasa A1 " (14,8+26,3)*1,1</t>
  </si>
  <si>
    <t>" Odvoz zeminy na meziskládku před zpětným přemístěním při elektromontážních pracích. " (14,8*0,8*0,5)*(0,85+0,05)+(26,3*0,65*0,5)*(0,85+0,05)</t>
  </si>
  <si>
    <t>" Odvoz zeminy na meziskládku před zpětným přemístěním při elektromontážních pracích. " (14,8*0,8*0,5)*(0,1)+(26,3*0,65*0,5)*(0,1)</t>
  </si>
  <si>
    <t>" Odvoz zeminy z meziskládky pro zpětný zásyp rýhy při elektromontážních pracích " (14,8*0,8*0,5)*(0,85+0,05)+(26,3*0,65*0,5)*(0,85+0,05)</t>
  </si>
  <si>
    <t>" Odvoz zeminy z meziskládky pro zpětný zásyp rýhy při elektromontážních pracích " (14,8*0,8*0,5)*(0,1)+(26,3*0,65*0,5)*(0,1)</t>
  </si>
  <si>
    <t>" Odvoz zeminy z výkopových prací pro elektromontáže - rýhy " (14,8*0,8*(0,9-0,5))*(0,85+0,05)+(26,3*0,65*(0,9-0,5))*(0,85+0,05)</t>
  </si>
  <si>
    <t>" Odvoz zeminy z výkopových prací pro elektromontáže - rýhy " (14,8*0,8*(0,9-0,5))*(0,1)+(26,3*0,65*(0,9-0,5))*(0,1)</t>
  </si>
  <si>
    <t>" Přesun hmot pro elektromontážní práce - oddíl 21-M. " 0,059</t>
  </si>
  <si>
    <t>" Přesun hmot pro elektromontážní práce - oddíl 46-M. " 23,287</t>
  </si>
  <si>
    <t>Část: D.1.4.7.b.08. AREÁLOVÉ ELEKTRO - TRASA A2 - AREÁLOVÁ SÍŤ NN</t>
  </si>
  <si>
    <t>" Zemnící vedení pro vedení v rýhách pro kabeláž - vedení trasy A2 v samostatné rýze. " (19,7)</t>
  </si>
  <si>
    <t>" Zemnící pásek - vedení trasy A2 v samostatné rýze. " ((19,7)*0,95)*1,05</t>
  </si>
  <si>
    <t>" Zemnící vedení pro areálové vedení NN.- svislé vedení pro napojení k pohonu branky / brance. "</t>
  </si>
  <si>
    <t>" Zemnící vedení areálového vedení NN - svislé - vedení trasy A2. " (1,5)</t>
  </si>
  <si>
    <t>" Drát - areálové vedení NN - svislé vedení trasy A2 " ((1,5)*0,62)*1,05</t>
  </si>
  <si>
    <t>" Kabeláž pro trasu A2 - vedení ve společné rýze " (14,8)*1,1</t>
  </si>
  <si>
    <t>" Kabeláž pro trasu A2 - vedení v samostatné rýze " (19,7)*1,1</t>
  </si>
  <si>
    <t>" Kabeláž pro trasu A2 - vedení svislé " (1,5)*1,1</t>
  </si>
  <si>
    <t>" Napojení kabeláže areálového vedení NN - trasa A2 - na pohon venkovní branky (bod V2). "</t>
  </si>
  <si>
    <t>" Napojení zemnícího drátu areálového vedení k pohonu branky / k vstupní brance. "</t>
  </si>
  <si>
    <t>" Napojení zemnícího drátu areálového vedení NN - trasa A2 - k pohonu branky / k vstupní brance (bod V2). "</t>
  </si>
  <si>
    <t>" Případné vytyčení trasy. " (14,8+19,7)/1000</t>
  </si>
  <si>
    <t>" Hloubení rýh pro areálové vedení NN - vedení trasy A2 v samostatné rýze - 5 % z celkové délky "</t>
  </si>
  <si>
    <t>" Hloubení rýh pro areálové vedení NN - vedení trasy A2 v samostatné rýze " (19,7)*0,05</t>
  </si>
  <si>
    <t>Položka naceněna u vedení trasy A1 - list "D.1.4.7.b.08 AREÁL ELE-TRA. A1"</t>
  </si>
  <si>
    <t>" Hloubení rýh pro areálové vedení NN - vedení trasy A2 v samostatné rýze - 85 % z celkové délky "</t>
  </si>
  <si>
    <t>" Hloubení rýh pro areálové vedení NN - vedení trasy A2 v samostatné rýze " (19,7)*0,85</t>
  </si>
  <si>
    <t>" Hloubení rýh pro areálové vedení NN - vedení trasy A2 v samostatné rýze - 10 % z celkové délky "</t>
  </si>
  <si>
    <t>" Hloubení rýh pro areálové vedení NN - vedení trasy A2 v samostatné rýze " (19,7)*0,1</t>
  </si>
  <si>
    <t>" Příplatek - 5 % " (19,7*0,65*0,9)*0,05</t>
  </si>
  <si>
    <t>" POZN: Příplatek pro společnou rýhu naceněn na listě pro trasu A1 - "D.1.4.7.b.08 AREÁL ELE-TRA. A1". "</t>
  </si>
  <si>
    <t>" Zpětný zásyp rýh areálového vedení NN - vedení trasy A2 v samostatné rýze "</t>
  </si>
  <si>
    <t>" Zpětný zásyp zeminou z výkopů " (19,7)*(0,05+0,85)</t>
  </si>
  <si>
    <t>" Zpětný zásyp zeminou z výkopů " (19,7)*(0,1)</t>
  </si>
  <si>
    <t>" Kabelové lože areálového vedení NN - vedení trasy A2 v samostatné rýze "</t>
  </si>
  <si>
    <t>" Kabelové lože z písku - celková tl. 400 mm " (19,7)*2</t>
  </si>
  <si>
    <t>" Výstražná fólie areálového vedení NN - vedení trasy A2 v samostatné rýze "</t>
  </si>
  <si>
    <t>" Výstražná fólie pro kabeláž.- uvažovány 2 fólie vedle sebe s překrytím " (19,7)*2</t>
  </si>
  <si>
    <t>" Chránička pro svislé vedení areálového vedení NN - trasa A2 " (1,5)*1,1</t>
  </si>
  <si>
    <t>" Chránička do výkopů pro areálové vedení NN - trasa A2 " (14,8+19,7)*1,1</t>
  </si>
  <si>
    <t>" Odvoz zeminy na meziskládku před zpětným přemístěním při elektromontážních pracích. " (19,7*0,65*0,5)*(0,85+0,05)</t>
  </si>
  <si>
    <t>" Odvoz zeminy na meziskládku před zpětným přemístěním při elektromontážních pracích. " (19,7*0,65*0,5)*(0,1)</t>
  </si>
  <si>
    <t>" Odvoz zeminy z meziskládky pro zpětný zásyp rýhy při elektromontážních pracích " (19,7*0,65*0,5)*(0,85+0,05)</t>
  </si>
  <si>
    <t>" Odvoz zeminy z meziskládky pro zpětný zásyp rýhy při elektromontážních pracích " (19,7*0,65*0,5)*(0,1)</t>
  </si>
  <si>
    <t>" Odvoz zeminy z výkopových prací pro elektromontáže - rýhy " (19,7*0,65*(0,9-0,5))*(0,85+0,05)</t>
  </si>
  <si>
    <t>" Odvoz zeminy z výkopových prací pro elektromontáže - rýhy " (19,7*0,65*(0,9-0,5))*(0,1)</t>
  </si>
  <si>
    <t>" Přesun hmot pro elektromontážní práce - oddíl 21-M. " 0,050</t>
  </si>
  <si>
    <t>" Přesun hmot pro elektromontážní práce - oddíl 46-M. " 10,372</t>
  </si>
  <si>
    <t>Část: D.1.4.7.b.08. AREÁLOVÉ ELEKTRO - TRASA A3 - AREÁLOVÁ SÍŤ NN</t>
  </si>
  <si>
    <t>" Zemnící vedení pro vedení v rýhách pro kabeláž - vedení trasy A3 v samostatné rýze. " (6,1)</t>
  </si>
  <si>
    <t>" Zemnící pásek - vedení trasy A3 v samostatné rýze. " ((6,1)*0,95)*1,05</t>
  </si>
  <si>
    <t>" Zemnící vedení areálového vedení NN - svislé - vedení trasy A3. " (1,5)</t>
  </si>
  <si>
    <t>" Drát - areálové vedení NN - svislé vedení trasy A3 " ((1,5)*0,62)*1,05</t>
  </si>
  <si>
    <t>" Kabeláž pro trasu A3 - vedení v samostatné rýze " (6,1)*1,1</t>
  </si>
  <si>
    <t>" Kabeláž pro trasu A3 - vedení svislé " (1,5)*1,1</t>
  </si>
  <si>
    <t>" Napojení kabeláže areálového vedení NN - trasa A3 - na pohon venkovní branky (bod V3). "</t>
  </si>
  <si>
    <t>" Napojení zemnícího drátu areálového vedení NN - trasa A3 - k pohonu branky / k vstupní brance (bod V3). "</t>
  </si>
  <si>
    <t>" Případné vytyčení trasy. " (6,1)/1000</t>
  </si>
  <si>
    <t>" Hloubení rýh pro areálové vedení NN - vedení trasy A3 v samostatné rýze - 5 % z celkové délky "</t>
  </si>
  <si>
    <t>" Hloubení rýh pro areálové vedení NN - vedení trasy A3 v samostatné rýze " (6,1)*0,05</t>
  </si>
  <si>
    <t>" Hloubení rýh pro areálové vedení NN - vedení trasy A3 v samostatné rýze - 85 % z celkové délky "</t>
  </si>
  <si>
    <t>" Hloubení rýh pro areálové vedení NN - vedení trasy A3 v samostatné rýze " (6,1)*0,85</t>
  </si>
  <si>
    <t>" Hloubení rýh pro areálové vedení NN - vedení trasy A3 v samostatné rýze - 10 % z celkové délky "</t>
  </si>
  <si>
    <t>" Hloubení rýh pro areálové vedení NN - vedení trasy A3 v samostatné rýze " (6,1)*0,1</t>
  </si>
  <si>
    <t>" Příplatek - 5 % " (6,1*0,65*0,9)*0,05</t>
  </si>
  <si>
    <t>" Zpětný zásyp rýh areálového vedení NN - vedení trasy A3 v samostatné rýze "</t>
  </si>
  <si>
    <t>" Zpětný zásyp zeminou z výkopů " (6,1)*(0,05+0,85)</t>
  </si>
  <si>
    <t>" Zpětný zásyp zeminou z výkopů " (6,1)*(0,1)</t>
  </si>
  <si>
    <t>" Kabelové lože areálového vedení NN - vedení trasy A3 v samostatné rýze "</t>
  </si>
  <si>
    <t>" Kabelové lože z písku - celková tl. 400 mm " (6,1)*2</t>
  </si>
  <si>
    <t>" Výstražná fólie areálového vedení NN - vedení trasy A3 v samostatné rýze "</t>
  </si>
  <si>
    <t>" Výstražná fólie pro kabeláž.- uvažovány 2 fólie vedle sebe s překrytím " (6,1)*2</t>
  </si>
  <si>
    <t>" Chránička pro svislé vedení areálového vedení NN - trasa A3 " (1,5)*1,1</t>
  </si>
  <si>
    <t>" Chránička do výkopů pro areálové vedení NN - trasa A3 " (6,1)*1,1</t>
  </si>
  <si>
    <t>" Odvoz zeminy na meziskládku před zpětným přemístěním při elektromontážních pracích. " (6,1*0,65*0,5)*(0,85+0,05)</t>
  </si>
  <si>
    <t>" Odvoz zeminy na meziskládku před zpětným přemístěním při elektromontážních pracích. " (6,1*0,65*0,5)*(0,1)</t>
  </si>
  <si>
    <t>" Odvoz zeminy z meziskládky pro zpětný zásyp rýhy při elektromontážních pracích " (6,1*0,65*0,5)*(0,85+0,05)</t>
  </si>
  <si>
    <t>" Odvoz zeminy z meziskládky pro zpětný zásyp rýhy při elektromontážních pracích " (6,1*0,65*0,5)*(0,1)</t>
  </si>
  <si>
    <t>" Odvoz zeminy z výkopových prací pro elektromontáže - rýhy " (6,1*0,65*(0,9-0,5))*(0,85+0,05)</t>
  </si>
  <si>
    <t>" Odvoz zeminy z výkopových prací pro elektromontáže - rýhy " (6,1*0,65*(0,9-0,5))*(0,1)</t>
  </si>
  <si>
    <t>" Přesun hmot pro elektromontážní práce - oddíl 21-M. " 0,010</t>
  </si>
  <si>
    <t>" Přesun hmot pro elektromontážní práce - oddíl 46-M. " 3,221</t>
  </si>
  <si>
    <t>Objekt:   D.1.4.10.1. SADOVÉ ÚPRAVY, MOBILIÁŘ, OPLOCENÍ</t>
  </si>
  <si>
    <t>Část:   SADOVÉ ÚPRAVY</t>
  </si>
  <si>
    <t>Odstranění travin v rovině nebo ve svahu do 1:5 ručně</t>
  </si>
  <si>
    <t>" Odstranění původních travin z plochy sklonu do 1:5 " (567,00+397,4)</t>
  </si>
  <si>
    <t>Odstranění travin ve svahu přes 1:5 ručně</t>
  </si>
  <si>
    <t>" Odstranění původních travin z plochy sklonu do 1:5 " (197,2)</t>
  </si>
  <si>
    <t>Odstranění křovin a stromů průměru kmene do 100 mm i s kořeny sklonu terénu do 1:5 ručně</t>
  </si>
  <si>
    <t>" Odstranění keřů a stromů do Ø 100 mm nutných pro provedení prací. "</t>
  </si>
  <si>
    <t>" Odstranění křovin - keř " (24,0+30,0)</t>
  </si>
  <si>
    <t>" V ceně obsaženo kácení, zásyp jam po kořenech, odvětvení a uložení dřevin na skládku k přípravě na likvidaci "</t>
  </si>
  <si>
    <t>" Sejmutí ornice ručně při souvislé ploše "</t>
  </si>
  <si>
    <t>" Sejmutí ornice z plochy sklonu do 1:5 " (397,4+567,0)</t>
  </si>
  <si>
    <t>" Sejmutí ornice z plochy sklonu do 1:1 " (197,2)</t>
  </si>
  <si>
    <t>" V ceně odhození ornice na skládku do 3,0 m / naložení na dopravní prostředek. "</t>
  </si>
  <si>
    <t>Plošná úprava terénu do 500 m2 zemina skupiny 1 až 4 nerovnosti přes 50 do 100 mm v rovinně a svahu do 1:5</t>
  </si>
  <si>
    <t>" Úprava ploch před realizací sadových úprav - pro zatravněné plochy " (964,40)</t>
  </si>
  <si>
    <t>Plošná úprava terénu do 500 m2 zemina skupiny 1 až 4 nerovnosti přes 50 do 100 mm ve svahu přes 1:2 do 1:1</t>
  </si>
  <si>
    <t>" Úprava ploch před realizací sadových úprav - pro zatravněné plochy " (197,2)</t>
  </si>
  <si>
    <t>" Zpětné rozprostření sejmuté ornice v tl. 150 mm - před výsadbou " (322,0+358,0)</t>
  </si>
  <si>
    <t>Rozprostření ornice ve svahu přes 1:5 tl vrstvy do 200 mm ručně</t>
  </si>
  <si>
    <t>" Zpětné rozprostření sejmuté ornice v tl. 150 mm - před výsadbou " (127,6)</t>
  </si>
  <si>
    <t>Založení parkového trávníku travním kobercem pl do 1000 m2 v rovině a ve svahu do 1:5</t>
  </si>
  <si>
    <t>" Založení parkového trávníku - travní koberec - zatravněné plochy " (680,0)</t>
  </si>
  <si>
    <t>Založení parkového trávníku travním kobercem pl do 1000 m2 ve svahu přes 1:2 do 1:1</t>
  </si>
  <si>
    <t>" Založení parkového trávníku - travní koberec - zatravněné plochy " (127,6)</t>
  </si>
  <si>
    <t>00570010</t>
  </si>
  <si>
    <t>koberec travní</t>
  </si>
  <si>
    <t>" Koberec travní " (680,0+127,6)*1,05</t>
  </si>
  <si>
    <t>Obdělání půdy vláčením v rovině a svahu do 1:5</t>
  </si>
  <si>
    <t>" Příprava zeminy před položením travního koberce - zatravněná plocha - 2x  " (680,0)*2</t>
  </si>
  <si>
    <t>" Příprava zeminy před realizací sadových úprav -1x  " (680,0)*1</t>
  </si>
  <si>
    <t>Obdělání půdy hrabáním ve svahu přes 1:2 do 1:1</t>
  </si>
  <si>
    <t>" Příprava zeminy před realizací sadových úprav -1x  " (127,6)*1</t>
  </si>
  <si>
    <t>" Příprava zeminy před položením travního koberce - zatravněná plocha " (680,0)*2</t>
  </si>
  <si>
    <t>" Válení položeného trávního koberce pro vyrovnání nerovností " (680,0)*1</t>
  </si>
  <si>
    <t>" Provedení zapískování trávníku vrstvou písku - promíchání - zatravněné plochy " (680,0)</t>
  </si>
  <si>
    <t>Zapískování travnatých ploch vrstvou tl do 20 mm ve svahu přes 1:2 do 1:1 pl do 1000 m2</t>
  </si>
  <si>
    <t>" Provedení zapískování trávníku vrstvou písku - promíchání - zatravněné plochy " (127,6)</t>
  </si>
  <si>
    <t>" Písek pro zapískování trávníku - spotřeba 9,8 kg/m2 " (680,0+127,6)*0,0098</t>
  </si>
  <si>
    <t>184215901 SPC</t>
  </si>
  <si>
    <t>Zajištění travního koberce kolíky</t>
  </si>
  <si>
    <t>" Zajištění jednotlivých pásů travního koberce kolíky proti jejímu posunu před zakořeněním. "</t>
  </si>
  <si>
    <t>" Kolíky pro koberec ve svahu ve sklonu do 1:1 - západní strana objektu. "</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</si>
  <si>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</si>
  <si>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</si>
  <si>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Ochranné oplocení kořenové zóny stromu v rovině nebo na svahu do 1:5 v přes 1500 do 2000 mm</t>
  </si>
  <si>
    <t>" Ochrana oplocení stromů a keřů před poškozením stavebním provozem."</t>
  </si>
  <si>
    <t>" Ochrana stromů. " (115,0)</t>
  </si>
  <si>
    <t>Chemické odplevelení po založení kultury postřikem na široko v rovině a svahu do 1:5 ručně</t>
  </si>
  <si>
    <t>" Dvojnásobné odplevelení před realizací sadových úprav. " (680,0)*2</t>
  </si>
  <si>
    <t>Chemické odplevelení po založení kultury postřikem na široko ve svahu přes 1:2 do 1:1 ručně</t>
  </si>
  <si>
    <t>" Dvojnásobné odplevelení před realizací sadových úprav. " (127,6)*2</t>
  </si>
  <si>
    <t>Ochrana kmene průměru do 300 mm bedněním výšky do 2 m</t>
  </si>
  <si>
    <t>" Ochrana stávajících stromů. " (4+2)</t>
  </si>
  <si>
    <t>" Ochrana stávajících stromů. " (2+3+3+1+1)</t>
  </si>
  <si>
    <t>" Ochrana stávajících stromů. " (1+1)</t>
  </si>
  <si>
    <t>Ochrana kmene průměru přes 500 do 700 mm bedněním výšky přes 2 do 3 m</t>
  </si>
  <si>
    <t>" Ochrana stávajících stromů. " (3)</t>
  </si>
  <si>
    <t>" Hnojení půdy travnatých ploch hnojivy " ((680,0)*0,09)/1000</t>
  </si>
  <si>
    <t>Hnojení půdy umělým hnojivem na široko ve svahu přes 1:2 do 1:1</t>
  </si>
  <si>
    <t>" Hnojení půdy travnatých ploch hnojivy " ((127,6)*0,09)/1000</t>
  </si>
  <si>
    <t>hnojivo průmyslové</t>
  </si>
  <si>
    <t>" Hnojivo pro hnojení travnatých ploch - spotřeba 90 g/m2 " (680,0+127,6)*0,09</t>
  </si>
  <si>
    <t>Zalití rostlin vodou plocha přes 20 m2</t>
  </si>
  <si>
    <t>" Zalití travnatých ploch po výsadbě - 15 l na 1 m2 " (807,60)*0,015</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</si>
  <si>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</si>
  <si>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</si>
  <si>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</si>
  <si>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</si>
  <si>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</si>
  <si>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Odvoz ornice na meziskládu před zpětným přemístěním. " (1161,6)*0,15</t>
  </si>
  <si>
    <t>" Odvoz ornice na meziskládu před zpětným přemístěním. " (807,60)*0,2</t>
  </si>
  <si>
    <t>" Případný odvoz zeminy z výkopových prací - ornice " (1161,6*0,15)-((807,6*0,15)</t>
  </si>
  <si>
    <t>" - Uložení sypaniny na skládky nebo meziskládky "</t>
  </si>
  <si>
    <t>" POZN: Množství ze poplatek násobeno vzhledem k MJ koeficientem 1,7 → 1 m3 ≈ 1,7 t. "</t>
  </si>
  <si>
    <t>Ruční přesun hmot pro sadovnické a krajinářské úpravy do 100 m</t>
  </si>
  <si>
    <t>Část:    OPLOCENÍ</t>
  </si>
  <si>
    <t>Hloubení rýh nezapažených š do 800 mm v hornině třídy těžitelnosti II skupiny 4 objem do 20 m3 strojně</t>
  </si>
  <si>
    <t>" Hloubení rýh pro základy oplocení " (0,5*0,5*0,5*6)</t>
  </si>
  <si>
    <t>" Hloubení rýh pro kamenou stěnu " (11,00*0,600*0,600)</t>
  </si>
  <si>
    <t>" Příplatek 5 % " (4,71)*0,05</t>
  </si>
  <si>
    <t>" Hutnění podloží před realizací kamenné zdi " (11,00*0,55)</t>
  </si>
  <si>
    <t>" Odvoz zeminy z výkopových prací - rýhy pro založení oplocení a kamenné zdi " (4,71)</t>
  </si>
  <si>
    <t>10a</t>
  </si>
  <si>
    <t>10b</t>
  </si>
  <si>
    <t>10c</t>
  </si>
  <si>
    <t>10d</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</si>
  <si>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</si>
  <si>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</si>
  <si>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</si>
  <si>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(0,5*0,5*0,5*6)*1,05</t>
  </si>
  <si>
    <t>D+M Oplocení objektu - Specifikace dle PD</t>
  </si>
  <si>
    <t>" Oplocení objektu " (8,4)</t>
  </si>
  <si>
    <t>" V ceně oplocení je zohledněno následující:
 - ocelové sloupky kotveny do podezdívky / jejich příprava během vyzdívání, betonáže;
 - svařovaná síť s ocelovými dráty;
 - povrchová úprava - pozink a PVC;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</si>
  <si>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</si>
  <si>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</si>
  <si>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</si>
  <si>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 s psaníčkem 1000x1500mm</t>
    </r>
    <r>
      <rPr>
        <sz val="8"/>
        <color rgb="FFFF0000"/>
        <rFont val="Arial CE"/>
        <family val="2"/>
        <charset val="238"/>
      </rPr>
      <t>.</t>
    </r>
    <r>
      <rPr>
        <sz val="8"/>
        <color indexed="12"/>
        <rFont val="Arial CE"/>
        <family val="2"/>
        <charset val="238"/>
      </rPr>
      <t xml:space="preserve"> "</t>
    </r>
  </si>
  <si>
    <t>" Cena zahrňuje: pantový a dorazový sloupek, stavitelné panty, zámek, klika, otočný dorazový díl, povrchová úprava, elektrického otevírání, přesun hmot atd.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</si>
  <si>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</si>
  <si>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</si>
  <si>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</si>
  <si>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</si>
  <si>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</si>
  <si>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</si>
  <si>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</si>
  <si>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Dvoukřídlá brána 3600x2000mm - Specifikace dle PD</t>
  </si>
  <si>
    <t>" Brána s psaníčkem z pozinkovaných trubek, výplet z poplastovaného pletiva. "</t>
  </si>
  <si>
    <t>" Cena zahrňuje: pantový a dorazový sloupek, nastavitelné panty, zámek, klika, uzamykatelný kolík na zajištění křídla, povrchová úprava, elektrického otevírání, přesun hmot atd. "</t>
  </si>
  <si>
    <t>" V ceně také případné zemní práce, základy a další věci pro provedení brány a opěrného zařízení. "</t>
  </si>
  <si>
    <t>" POZN. Nová branka bude svým členěním, vzhledově i výškově navazovat na stávající oplocení. "</t>
  </si>
  <si>
    <t>348213901 SPC</t>
  </si>
  <si>
    <t>Skládání kamenné zídky na sucho</t>
  </si>
  <si>
    <t>" Skládání zdiva. " (11,00*2,2*0,55)*1,05</t>
  </si>
  <si>
    <t>" V ceně veškerý nutný materiál a práce související se skládáním - očištění zdiva jako finální úpravu, příplatků za provedení rohů a další veškeré nutné práce související s provedení zdi z kamenů. "</t>
  </si>
  <si>
    <t>" POZN. Nové plotové zdivo bude svým členěním, vzhledově i výškově navazovat na stávající oplocení. "</t>
  </si>
  <si>
    <t>966008001 SPC</t>
  </si>
  <si>
    <t xml:space="preserve">Bourání opěrné kamenné stěny </t>
  </si>
  <si>
    <t>" V ceně vybourání opěrné kamenné stěny vč. zapravení terenu po vybourání</t>
  </si>
  <si>
    <t>" Opěrná zeď " (11,00)</t>
  </si>
  <si>
    <t>961055901 SPC</t>
  </si>
  <si>
    <t>" Vybourání stávajícího oplocení. " 8,4</t>
  </si>
  <si>
    <t>" V ceně: bourání základů, odřezání plotových sloupků, rozebrání oplocení. "</t>
  </si>
  <si>
    <t>" V ceně veškerý nutný materiál a práce související s vybouráním stávajícího oplocení."</t>
  </si>
  <si>
    <t>" V ceně také odvoz a a likvidace suti.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</si>
  <si>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</si>
  <si>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Vybourání stávající jednokřídlé branky</t>
  </si>
  <si>
    <t>" Vybourání stávající branky. "</t>
  </si>
  <si>
    <t>" V ceně: bourání základů, odřezání sloupků, rozebrání branky. "</t>
  </si>
  <si>
    <t>" V ceně veškerý nutný materiál a práce související s vybouráním stávající branky."</t>
  </si>
  <si>
    <t>Vybourání stávající dvoukřídlé vjezdové brány</t>
  </si>
  <si>
    <t>" Vybourání stávající brány. "</t>
  </si>
  <si>
    <t>" V ceně: bourání základů, odřezání sloupků, rozebrání brány. "</t>
  </si>
  <si>
    <t>" V ceně veškerý nutný materiál a práce související s vybouráním."</t>
  </si>
  <si>
    <t>Přesun hmot pro oplocení zděné z cihel nebo tvárnic v do 3 m</t>
  </si>
  <si>
    <t>D.1.4.10.1. SADOVÉ ÚPRAVY, MOBILIÁŘ, OPLOCENÍ - CELKEM</t>
  </si>
  <si>
    <t>D.1.4.10.1. SADOVÉ ÚPRAVY, MOBILIÁŘ, OPLOCENÍ - SADOVÉ ÚPRAVY</t>
  </si>
  <si>
    <t>D.1.4.10.1. SADOVÉ ÚPRAVY, MOBILIÁŘ, OPLOCENÍ - OPLOCENÍ</t>
  </si>
  <si>
    <t>" Příprava pro tlakovou zkoušku těsnosti teplovodu "</t>
  </si>
  <si>
    <t>" Tlaková zkouška těsnosti teplovodu "</t>
  </si>
  <si>
    <t>Tlakové zkoušky těsnosti potrubí - příprava DN přes 80 do 125</t>
  </si>
  <si>
    <t>" Zkouška teplovodu - příprava pro potrubí D 110×10,0/200 mm - přívodní " 1</t>
  </si>
  <si>
    <t>" Zkouška teplovodu - příprava pro potrubí D 110×10,0/200 mm - vratné " 1</t>
  </si>
  <si>
    <t>Tlakové zkoušky těsnosti potrubí - zkouška DN přes 80 do 125</t>
  </si>
  <si>
    <t>" Zkouška teplovodu - plastové předizolované potrubí D 110×10,0/200 mm - přívodní " (7,74+1,94)</t>
  </si>
  <si>
    <t>" Zkouška teplovodu - plastové předizolované potrubí D 110×10,0/200 mm - vratné " (7,74+1,94)</t>
  </si>
  <si>
    <t>POLOŽKA ZRUŠENA - Naceněno v samostatné části "D.1.4.7.b.08."</t>
  </si>
  <si>
    <t>189999101 SPC</t>
  </si>
  <si>
    <t>D+M Vsakovací rýha vč. potrubí pro vedneí do rýhy</t>
  </si>
  <si>
    <t>" Provedení štěrkové vsakovací rýhy vč. přívodního potrubí ze žlabu a napojení "</t>
  </si>
  <si>
    <t>" Štěrková vsakovací rýha vč. potrubí "</t>
  </si>
  <si>
    <t>" V ceně zemní práce pro provedení rýhy, nakládání se zeminou. případné pažení, čerpání vody, potrubí vč. zajištění napojení na žlab (PVC KG),, potrubíuvnitř rýhy (perforované), geotextílie pro oblaení potrubí, rýhy, štěrk pro vysypání rýhy, hutnění, a fdalší veškeré práce a materiál související s provedením vsakovací rýhy. "</t>
  </si>
  <si>
    <t>" V ceně také přesun hmot, odvoz a likvidace výkopku, zeminy. "</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</si>
  <si>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</si>
  <si>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POZNÁMKA:  Veškerou možnou suť a vytěženou zeminu (alespoň ze 70 %) je nutno odvážet na recyklační sklády / do sběru / do spalovny k možnému zpětnému využití.</t>
  </si>
  <si>
    <t>" POZN: Suť je nutno odvézt z alespoň 70 % recyklační skládku, a to zejméína materiály, které lze zpětně použít - např. cihly,beton, asfalt pro výrobu recyklátu, např. na podsypy, obsypy, zásypy, apod. "</t>
  </si>
  <si>
    <r>
      <t xml:space="preserve">" - Praný říční štěrk - kačírek - frakce 8-16 - tl. 100 mm - </t>
    </r>
    <r>
      <rPr>
        <sz val="8"/>
        <color rgb="FFFF00FF"/>
        <rFont val="Arial CE"/>
        <family val="2"/>
        <charset val="238"/>
      </rPr>
      <t>15,72 t</t>
    </r>
    <r>
      <rPr>
        <sz val="8"/>
        <color indexed="12"/>
        <rFont val="Arial CE"/>
        <family val="2"/>
        <charset val="238"/>
      </rPr>
      <t xml:space="preserve"> " (96,6)*0,10*1,55*1,05</t>
    </r>
  </si>
  <si>
    <t>" POZN: Je uvažováno s pásky délky 200 mm po stranách strupně → 2 pásky 200 mm na 1 stupeň. Š. pásky 25 mm. "</t>
  </si>
  <si>
    <t>" POZN: Výměra je uvažována jako pohledová plocha opravované podezdívky. "</t>
  </si>
  <si>
    <t>Zřizení vybavení (zařízení) staveniště</t>
  </si>
  <si>
    <t>8a</t>
  </si>
  <si>
    <t>Pronájem vybavení (zařízení) staveniště</t>
  </si>
  <si>
    <t>8b</t>
  </si>
  <si>
    <t>0110020081 RTO</t>
  </si>
  <si>
    <t>0110020082 RTO</t>
  </si>
  <si>
    <t>8c</t>
  </si>
  <si>
    <t>0110020083 RTO</t>
  </si>
  <si>
    <t>Zrušení vybavení (zařízení) staveniště</t>
  </si>
  <si>
    <t>" Zajištění pronájmu veškerého zřízeného vybavení staveniště - ploch, objektů, ..."</t>
  </si>
  <si>
    <t>" Zrušení vybavení staveniště, rozebrání komuniací,  vybourání věcí jejich odvoz a úprava terénu do původního stavu či stavu dle požadavků investora, SoD apod. po zrušení vybavení staveniště. "</t>
  </si>
  <si>
    <t>" " Zřízení veškerého nutné vybavení a zařízení staveniště dle potřeby či informací dle SoD. Jedná se např. o:
 - oplocení, bezpečnostní hrazení, zabezpečení prostoru staveniště;
 - nutné stavební buňky, kontejnery a další objektry pro zařízení;
 - provizorní komunikace na staveništi a dopravní značení;
 - zajištění připojení na nutné energie (el. proud, voda, Wi-Fi ...);
 - osvětlení staveniště, informační tabule, ....;
 - stavební výtah, jeřáb a další zařízení pro dopravu materiálu;
 - zajištění a zřízení míst dočasných skládek;
 - dallší vybavení staveniště a náklady na provoz, údržbu. "</t>
  </si>
  <si>
    <t>" Stěhování, uskladnění uložení stávající keramické pece hěhem výstavby "</t>
  </si>
  <si>
    <t>" Práce se týkají těchto prvků:
 - koonstrukce se dvěma houpačkami dvořenámi pouze sedací plochou - 1 kpl;
 - konstrukce se skluzavkou, sítí, vstupní rampou s lanem - 1 kpl;
 - lavičky - 12 ks. 
Veškeré hrací prvky musí mít potřebnou certifikaci pro umístění a využití pro děti školního věku. "</t>
  </si>
  <si>
    <t>FOTO STÁVAJÍCÍ KONSTRUKCE S HOUPAČKAMI</t>
  </si>
  <si>
    <t>FOTO STÁVAJÍCÍ KONSTRUKCE SE SKLUZAVKOU</t>
  </si>
  <si>
    <t>" V ceně válcované profily, betonový podkladní kvádřík pro osazení nosníků, vysekání kapsy pro podkladní kvádřík , obetonování nosníků, výplň betonem mezi nosníky, bednění a podpůrné konstrukce / cihel pro uložení na spodní příruby, přesun hmot.."</t>
  </si>
  <si>
    <t>" V ceně povrchová úprava nosníků zákadním syntetickým nátěrem v min. tloušťce 80 µm, betonová podkládka, prostor mezi nosníky probetonovat "</t>
  </si>
  <si>
    <t>" POZN: Přesnější specifikace na výkrese jednotlivých podlaží. "</t>
  </si>
  <si>
    <r>
      <t xml:space="preserve">" </t>
    </r>
    <r>
      <rPr>
        <sz val="8"/>
        <color rgb="FFFF00FF"/>
        <rFont val="Arial CE"/>
        <family val="2"/>
        <charset val="238"/>
      </rPr>
      <t>V ceně válcované profily,</t>
    </r>
    <r>
      <rPr>
        <sz val="8"/>
        <color indexed="12"/>
        <rFont val="Arial CE"/>
        <family val="2"/>
        <charset val="238"/>
      </rPr>
      <t xml:space="preserve"> betonový podkladní kvádřík pro osazení nosníků, vysekání kapsy pro podkladní kvádřík , obetonování nosníků, výplň betonem mezi nosníky, bednění a podpůrné konstrukce / cihel pro uložení na spodní příruby</t>
    </r>
    <r>
      <rPr>
        <sz val="8"/>
        <color rgb="FFFF00FF"/>
        <rFont val="Arial CE"/>
        <family val="2"/>
        <charset val="238"/>
      </rPr>
      <t>, přesun hmot.."</t>
    </r>
  </si>
  <si>
    <t>171201221 RTO</t>
  </si>
  <si>
    <r>
      <t>CS ÚRS</t>
    </r>
    <r>
      <rPr>
        <sz val="8"/>
        <color rgb="FFFF00FF"/>
        <rFont val="Arial CE"/>
        <family val="2"/>
        <charset val="238"/>
      </rPr>
      <t>/TEO</t>
    </r>
    <r>
      <rPr>
        <sz val="8"/>
        <color rgb="FF0000FF"/>
        <rFont val="Arial CE"/>
        <family val="2"/>
        <charset val="238"/>
      </rPr>
      <t xml:space="preserve"> 2024 01</t>
    </r>
  </si>
  <si>
    <r>
      <t>171201221</t>
    </r>
    <r>
      <rPr>
        <sz val="8"/>
        <color rgb="FFFF00FF"/>
        <rFont val="Arial CE"/>
        <family val="2"/>
        <charset val="238"/>
      </rPr>
      <t xml:space="preserve"> RTO</t>
    </r>
  </si>
  <si>
    <r>
      <t>" - Poplatek za uložení na skládce</t>
    </r>
    <r>
      <rPr>
        <sz val="8"/>
        <color rgb="FFFF00FF"/>
        <rFont val="Arial CE"/>
        <family val="2"/>
        <charset val="238"/>
      </rPr>
      <t xml:space="preserve"> / recyklační skládce</t>
    </r>
    <r>
      <rPr>
        <sz val="8"/>
        <color indexed="12"/>
        <rFont val="Arial CE"/>
        <family val="2"/>
        <charset val="238"/>
      </rPr>
      <t xml:space="preserve"> (skládkovné) zeminy a kamení kód odpadu 17 05 04 "</t>
    </r>
  </si>
  <si>
    <t>14ca</t>
  </si>
  <si>
    <t>14da</t>
  </si>
  <si>
    <t xml:space="preserve">" - Vodorovné přemístění výkopku/sypaniny z horniny třídy těžitelnosti I, skupiny 1 až 3 na skládku - vzdálenost skládky dle dodavatele " </t>
  </si>
  <si>
    <t xml:space="preserve">" - Vodorovné přemístění výkopku/sypaniny z horniny třídy těžitelnosti II, skupiny 4 a 5 na skládku - vzdálenost skládky dle dodavatele " </t>
  </si>
  <si>
    <t xml:space="preserve">" - Vodorovné přemístění do 10000 m výkopku/sypaniny z horniny třídy těžitelnosti II, skupiny 4 a 5 " </t>
  </si>
  <si>
    <t>Náklady spojené s odvozem a uložením sypaniny / výkopku / navážky na skládku - vzdálenost skládky - vzdálenost skládky dle dodavatele</t>
  </si>
  <si>
    <t>21ca</t>
  </si>
  <si>
    <t>21da</t>
  </si>
  <si>
    <t>" - Poplatek za uložení na skládce / recyklační skládce (skládkovné) zeminy a kamení kód odpadu 17 05 04 "</t>
  </si>
  <si>
    <t>162751117 RTO</t>
  </si>
  <si>
    <t>162751137 RTO</t>
  </si>
  <si>
    <t>Náklady spojené s odvozem a uložením sypaniny / výkopku / navážky na skládku při elektromontážních pracích - vzdálenost skládky dle dodavatele</t>
  </si>
  <si>
    <t>460341113 RTO</t>
  </si>
  <si>
    <t>460361111 RTO</t>
  </si>
  <si>
    <t>" - Poplatek za uložení zeminy na skládce / recyklační skládce (skládkovné) kód odpadu 17 05 04 "</t>
  </si>
  <si>
    <t>Náklady spojené s odvozem a uložením sypaniny / výkopku / navážky na skládku - vzdálenost skládky dle dodavatele</t>
  </si>
  <si>
    <r>
      <t xml:space="preserve">Náklady spojené s odvozem a uložením sypaniny / výkopku / navážky na skládku - </t>
    </r>
    <r>
      <rPr>
        <sz val="8"/>
        <color rgb="FFFF00FF"/>
        <rFont val="Arial CE"/>
        <family val="2"/>
        <charset val="238"/>
      </rPr>
      <t>vzdálenost skládky dle dodavatele</t>
    </r>
  </si>
  <si>
    <r>
      <t>Náklady spojené s odvozem a uložením sypaniny / výkopku / navážky na skládku</t>
    </r>
    <r>
      <rPr>
        <sz val="8"/>
        <color rgb="FFFF00FF"/>
        <rFont val="Arial CE"/>
        <family val="2"/>
        <charset val="238"/>
      </rPr>
      <t xml:space="preserve"> - vzdálenost skládky dle dodavatele</t>
    </r>
  </si>
  <si>
    <t xml:space="preserve">" - Vodorovné přemístění horniny jakékoliv třídy dopravními prostředky při elektromontážích na skládku - vzdálenost skládky dle dodavatele " </t>
  </si>
  <si>
    <t xml:space="preserve">" - Vodorovné přemístění do 10000 m výkopku/sypaniny z horniny třídy těžitelnosti I, skupiny 1 až 3 na skládku - vzdálenost skládky dle dodavatele " </t>
  </si>
  <si>
    <t>" Odvoz zeminy z výkopových prací - odkopávky " (114,70)</t>
  </si>
  <si>
    <t>" Příplatek 2 % " (114,70)*0,02</t>
  </si>
  <si>
    <t>"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</si>
  <si>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r>
      <t>Náklady spojené s odvozem a uložením suti - směsný stavební odpad (ŽB, PB, kámen, keramika, PVC, … )</t>
    </r>
    <r>
      <rPr>
        <sz val="8"/>
        <color rgb="FFFF00FF"/>
        <rFont val="Arial CE"/>
        <family val="2"/>
        <charset val="238"/>
      </rPr>
      <t xml:space="preserve"> - vzdálenost skládky dle dodavatele</t>
    </r>
  </si>
  <si>
    <r>
      <t>Náklady spojené s odvozem a uložením suti - sklo</t>
    </r>
    <r>
      <rPr>
        <sz val="8"/>
        <color rgb="FFFF00FF"/>
        <rFont val="Arial CE"/>
        <family val="2"/>
        <charset val="238"/>
      </rPr>
      <t xml:space="preserve"> - vzdálenost skládky dle dodavatele</t>
    </r>
  </si>
  <si>
    <r>
      <t xml:space="preserve">Náklady spojené s odvozem a likvidací suti - dřevo, výrobky na bázi dřeva… </t>
    </r>
    <r>
      <rPr>
        <sz val="8"/>
        <color rgb="FFFF00FF"/>
        <rFont val="Arial CE"/>
        <family val="2"/>
        <charset val="238"/>
      </rPr>
      <t xml:space="preserve"> - vzdálenost skládky / spalovny dle dodavatele</t>
    </r>
  </si>
  <si>
    <r>
      <t>Náklady spojené s odvozem a uložením suti - kov</t>
    </r>
    <r>
      <rPr>
        <sz val="8"/>
        <color rgb="FFFF00FF"/>
        <rFont val="Arial CE"/>
        <family val="2"/>
        <charset val="238"/>
      </rPr>
      <t xml:space="preserve"> - vzdálenost skládky / výkupny / sběrného dvora dle dodavatele</t>
    </r>
  </si>
  <si>
    <r>
      <t>Náklady spojené s odvozem a likvidací suti - izolační materiály</t>
    </r>
    <r>
      <rPr>
        <sz val="8"/>
        <color rgb="FFFF00FF"/>
        <rFont val="Arial CE"/>
        <family val="2"/>
        <charset val="238"/>
      </rPr>
      <t xml:space="preserve"> - vzdálenost skládky dle dodavatele</t>
    </r>
  </si>
  <si>
    <r>
      <t xml:space="preserve">" - Vnitrostaveništní doprava suti a vybouraných hmot pro budovy </t>
    </r>
    <r>
      <rPr>
        <sz val="8"/>
        <color rgb="FFFF00FF"/>
        <rFont val="Arial CE"/>
        <family val="2"/>
        <charset val="238"/>
      </rPr>
      <t>v přes 6 do 9 m ručně</t>
    </r>
    <r>
      <rPr>
        <sz val="8"/>
        <color indexed="12"/>
        <rFont val="Arial CE"/>
        <family val="2"/>
        <charset val="238"/>
      </rPr>
      <t>. V ceně svislé a vodorovné přesunutí sutě vč. naložení s urovnáním. "</t>
    </r>
  </si>
  <si>
    <t>69ba</t>
  </si>
  <si>
    <t xml:space="preserve">" - Odvoz suti a vybouraných hmot na skládku nebo meziskládku se složením - vzdálenost skládky dle dodavatele " </t>
  </si>
  <si>
    <t>73ba</t>
  </si>
  <si>
    <t xml:space="preserve">" - Odvoz suti a vybouraných hmot na skládku nebo meziskládku se složením - vzdálenost skládky  / výkupny / sběrného dvora dle dodavatele " </t>
  </si>
  <si>
    <t>72ba</t>
  </si>
  <si>
    <r>
      <t>" - Poplatek za uložení na skládce</t>
    </r>
    <r>
      <rPr>
        <sz val="8"/>
        <color rgb="FFFF00FF"/>
        <rFont val="Arial CE"/>
        <family val="2"/>
        <charset val="238"/>
      </rPr>
      <t xml:space="preserve"> / do výkupny / do sběrného dvora</t>
    </r>
    <r>
      <rPr>
        <sz val="8"/>
        <color indexed="12"/>
        <rFont val="Arial CE"/>
        <family val="2"/>
        <charset val="238"/>
      </rPr>
      <t xml:space="preserve"> (skládkovné) kovového odpadu "</t>
    </r>
  </si>
  <si>
    <t xml:space="preserve">" - Odvoz suti a vybouraných hmot do spalovny / na skládku nebo meziskládku do 1 km se složením  - vzdálenost skládky dle dodavatele " </t>
  </si>
  <si>
    <t>Uvažováno v části "VRN" - pol. č. 28</t>
  </si>
  <si>
    <t>" POZN: Fotky stávajících herních prvkůl - viz  poslední list tohoto souboru "Foto". "</t>
  </si>
  <si>
    <t>Náklady spojené s odvozem a uložením suti - lože pod komunikacemi, štěrk - vzdálenost skládky dle dodavatele</t>
  </si>
  <si>
    <t>Náklady spojené s odvozem a uložením suti - obrubníky, dlažby, betonová vozovka - vzdálenost skládky dle dodavatele</t>
  </si>
  <si>
    <t>997221551RTO</t>
  </si>
  <si>
    <t>" - Vodorovná doprava suti ze sypkých materiálů do 1 km se složením a hrubým urovnáním na skládku - vzdálenost skládky dle dodavatele " . "</t>
  </si>
  <si>
    <t>997221561 RTO</t>
  </si>
  <si>
    <t>" - Vodorovná doprava suti z kusových materiálů do 1 km se složením a hrubým urovnáním - vzdálenost skládky dle dodavatele " . "</t>
  </si>
  <si>
    <t>997221655 RTO</t>
  </si>
  <si>
    <t>" - Poplatek za uložení na skládce / recyklační skládce (skládkovné) stavebního odpadu železobetonového / betonového  kód odpadu 17 01 01 "</t>
  </si>
  <si>
    <t>916371214 RTO</t>
  </si>
  <si>
    <t>Osazení skrytého flexibilního zahradního obrubníku ocelového zarytím včetně začištění</t>
  </si>
  <si>
    <t>27245179 SPC</t>
  </si>
  <si>
    <t>941111232 RTO</t>
  </si>
  <si>
    <t>944511211 RTO</t>
  </si>
  <si>
    <t>944711213 RTO</t>
  </si>
  <si>
    <t>Příplatek k ochranné síti za pronájem po dobu použití na stavbě - doba dle dodavatele</t>
  </si>
  <si>
    <t>Příplatek k lešení řadovému trubkovému lehkému s podlahami š 1,5 m v 25 m  za pronájem po dobu použití na stavbě - doba dle dodavatele</t>
  </si>
  <si>
    <t>Příplatek k záchytné stříšce š do 2,5 m  za pronájem po dobu použití na stavbě - doba dle dodavatele</t>
  </si>
  <si>
    <t>27a</t>
  </si>
  <si>
    <t>" POZN: Celkovou dobu pronájmu nutno zohlednit v jednotkové ceně. "</t>
  </si>
  <si>
    <t>" Pronájem sítě - jídelna " (962,10)</t>
  </si>
  <si>
    <t>" Pronájem stříšky - jídelna " (3,00)</t>
  </si>
  <si>
    <t>" Pronájem lešení - jídelna " (962,10)</t>
  </si>
  <si>
    <t>52a</t>
  </si>
  <si>
    <t>55a</t>
  </si>
  <si>
    <t>" Pronájem lešení " (1215,0)</t>
  </si>
  <si>
    <t>" Pronájem sítě " (1215,0)</t>
  </si>
  <si>
    <t>" Pronájem stříšky " (6,0)</t>
  </si>
  <si>
    <t>Příplatek k lešení řadovému trubkovému lehkému s podlahami š 1,2 m v 10 m za pronájem po dobu použití na stavbě - doba dle dodavatele</t>
  </si>
  <si>
    <t>Příplatek k záchytné stříšce š přes 2,5 m za pronájem po dobu použití na stavbě - doba dle dodavatele</t>
  </si>
  <si>
    <t>952901112 SPC</t>
  </si>
  <si>
    <t>Čištění objektu po bouracích pracích s minimální frekvencí 2× týdně - zametání, hrubý úklid při a po bouracích pracích</t>
  </si>
  <si>
    <t>" POZN: Výměra vztažena na půdorysnou plochu. V jendotkové ceně nutno zohlednit průběžné čištění - jejich počet dle přodpokládané doby trvání prací - doba dle postupů prací a harmonogramu dodavatele. "</t>
  </si>
  <si>
    <t>" Čištění objektu po bouracích pracích s minimální frekvencí 2× týdně - zametání, hrubý úklid při a po bouracích pracích "</t>
  </si>
  <si>
    <t>37a</t>
  </si>
  <si>
    <t>68a</t>
  </si>
  <si>
    <t>Demontáž, úprava a zpětná montáž prvků na fasádě - nápisy - Specifikace dle PD</t>
  </si>
  <si>
    <t>68b</t>
  </si>
  <si>
    <t>68c</t>
  </si>
  <si>
    <t>Demontáž, úprava a zpětná montáž prvků na fasádě - nástěnka - Specifikace dle PD</t>
  </si>
  <si>
    <t>" V ceně demontáž., udkladnění, úprava, doplnění chybějících částí, prvků, zpětná montáž na původní místno či místo určené investorem.
V ceně také přesun hmot, veškerý nutný kotvící, spojovací, těsnící a další materiá.l a práce související s dočasnou demontáží a zpětnou montáží. "</t>
  </si>
  <si>
    <t>9789991031 SPC</t>
  </si>
  <si>
    <t>" Demontáž a případná úprava, očištění, nátěr, uskladnění a zpětná montáž prvků na fasádě - nápisů a cedulí. "</t>
  </si>
  <si>
    <t>" Demontáž a případná úprava, očištění, nátěr, uskladnění a zpětná montáž prvků na fasádě - nástěnky. "</t>
  </si>
  <si>
    <t>9789991032 SPC</t>
  </si>
  <si>
    <t>Demontáž a trvale odstranění vč. likvidace prvků na fasádě</t>
  </si>
  <si>
    <t>" Odstranění fasádních prvků vč. odvozu a likvidace suti. "</t>
  </si>
  <si>
    <t>9789991033 SPC</t>
  </si>
  <si>
    <r>
      <t xml:space="preserve">" </t>
    </r>
    <r>
      <rPr>
        <b/>
        <sz val="8"/>
        <color rgb="FFFF00FF"/>
        <rFont val="Arial CE"/>
        <family val="2"/>
        <charset val="238"/>
      </rPr>
      <t>Předpokládané prvky na trvalou demontáž vč. likvidace:</t>
    </r>
    <r>
      <rPr>
        <sz val="8"/>
        <color rgb="FFFF00FF"/>
        <rFont val="Arial CE"/>
        <family val="2"/>
        <charset val="238"/>
      </rPr>
      <t xml:space="preserve">
 - svítidlo na fasádě - 4 ks;
 - podélná svítidla - 3 ks;
 - svítidla na pohybové čidlo - 1 ks;
 - prvky elektra - 3 ks;
 - kryty - 4 ks;
 - mřížky - 2 ks;
 - bezpečnostní kamery - 2 ks;
 - kohout vodovodu - 2 ks. " </t>
    </r>
  </si>
  <si>
    <t>Množství zohledněno na listě "D.1.1. ASŘ - NOVÝ STAV"</t>
  </si>
  <si>
    <t>67a</t>
  </si>
  <si>
    <t>9889991011 SPC</t>
  </si>
  <si>
    <t>67b</t>
  </si>
  <si>
    <t>Vyklizení objektu před započetím rekonstrukce objektu - místnosti s trvalým odstraněním vybavení, předmětů apod.</t>
  </si>
  <si>
    <t>" V ceně opětovné nastěhování po rekonstrukci, smontování přesun hmot a další práce a materiál související s vystěhováním, uskladněním a zpětným nastěhováním, umístěním na původní či nové místo dle investora. "</t>
  </si>
  <si>
    <t>" Vyklizení 1.PP " (16,7+5,21)</t>
  </si>
  <si>
    <t>" POZN: Plocha vztažena na veškeré mísnosti, tedy i ty, ve kterých dle výkresů BP dochází ke zpětnému nastěhování zakreslených prvků, vybavení apod. neboť je uvažováno i s prvky pro trvalé odstranění, které nejsou zakresleny.
Nutno ještě přesné prvky a věci konzultovat během provádění s investorem. "</t>
  </si>
  <si>
    <t>9889991012 SPC</t>
  </si>
  <si>
    <t>" Odstranění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apod.  vč. jejich odvozu a likvidace. "</t>
  </si>
  <si>
    <t>" Vyklizení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stolů, židlí, skříní apod. uvažovaných k dočasné demontáží / vystěhování, uskladnění a zpětné montáži / nastěhování. "</t>
  </si>
  <si>
    <t>" Vyklizení 1.NP " (5,52+6,84+3,12+4,25+12,8+12,85+3,58+192,71+9,24+43,03+17,25+65,26+9,22)</t>
  </si>
  <si>
    <t>" Vyklizení 2.NP " (5,91+88,0+22,26+64,47+77,13+31,05+66,77+12,71+9,93+58,68+66,77+56,95+70,10)</t>
  </si>
  <si>
    <r>
      <t>" Zásyp dovezenou zeminou - ručně okolo objektu. " (238,85)</t>
    </r>
    <r>
      <rPr>
        <sz val="8"/>
        <color rgb="FFFF00FF"/>
        <rFont val="Arial CE"/>
        <family val="2"/>
        <charset val="238"/>
      </rPr>
      <t xml:space="preserve"> → ZRUŠENO</t>
    </r>
  </si>
  <si>
    <t>D+M Kabel FTP Cat 5e - Specifikace dle PD</t>
  </si>
  <si>
    <t>D+M Kabel FTP Cat 6 - Specifikace dle PD</t>
  </si>
  <si>
    <t xml:space="preserve">" Kabeláž slaboproudu - strukturovaná kabeláž " </t>
  </si>
  <si>
    <t>742999152 SPC</t>
  </si>
  <si>
    <t>742999252 SPC</t>
  </si>
  <si>
    <t xml:space="preserve">" Kabeláž slaboproudu - přístupový systém " </t>
  </si>
  <si>
    <t>38a</t>
  </si>
  <si>
    <t>742999452 SPC</t>
  </si>
  <si>
    <t xml:space="preserve">" Kabeláž slaboproudu - kamerový systém " </t>
  </si>
  <si>
    <t>742998581 SPC</t>
  </si>
  <si>
    <t>742999552 SPC</t>
  </si>
  <si>
    <t>46a</t>
  </si>
  <si>
    <t>742999652 SPC</t>
  </si>
  <si>
    <t xml:space="preserve">" Kabeláž slaboproudu - signalizační systém " </t>
  </si>
  <si>
    <t>63a</t>
  </si>
  <si>
    <t xml:space="preserve">" Kabeláž slaboproudu - AV technika " </t>
  </si>
  <si>
    <t xml:space="preserve">" Kabeláž slaboproudu - systém jendotného času " </t>
  </si>
  <si>
    <t>742999852 SPC</t>
  </si>
  <si>
    <t>742999752 SPC</t>
  </si>
  <si>
    <t>742998751 SPC</t>
  </si>
  <si>
    <t>D+M Kabeláž pro prvky el. komunikace - poplachový zabezpečovací a tísňový systém - Specifikace dle PD</t>
  </si>
  <si>
    <t xml:space="preserve">" Kabeláž slaboproudu - poplachový zabezpečovací a tísňový systém " </t>
  </si>
  <si>
    <t>742999453 SPC</t>
  </si>
  <si>
    <t>D+M Kabel CYSY(H05VV-F)) 2×1 - Specifikace dle PD</t>
  </si>
  <si>
    <t>013</t>
  </si>
  <si>
    <t>62a</t>
  </si>
  <si>
    <t>62b</t>
  </si>
  <si>
    <t>62c</t>
  </si>
  <si>
    <t>" Vysekání rýh a drážek pro vedení profesí "</t>
  </si>
  <si>
    <t>974031121 RTO</t>
  </si>
  <si>
    <t>Vysekání rýh ve zdivu ciheldném / omítce / u stropu hl do 30 mm š do 30 mm</t>
  </si>
  <si>
    <t>Vysekání rýh ve zdivu cihelném / omítce / u stropu hl do 30 mm š do 70 mm</t>
  </si>
  <si>
    <t>Vysekání rýh ve zdivu cihelném / omítce / u stropu hl do 30 mm š do 150 mm</t>
  </si>
  <si>
    <t>" Vysekání rýh pro vedení slaboproudu " 1950</t>
  </si>
  <si>
    <t>" Vysekání rýh pro vedení slaboproudu " 750</t>
  </si>
  <si>
    <t>" Vysekání rýh pro vedení slaboproudu " 30</t>
  </si>
  <si>
    <t>" Vysekání rýh pro vedení silnoproudu " 30</t>
  </si>
  <si>
    <t>" Vysekání rýh pro vedení silnoproudu " 685</t>
  </si>
  <si>
    <t>" Vysekání rýh pro vedení silnoproudu " 1800</t>
  </si>
  <si>
    <t>974031122 RTO</t>
  </si>
  <si>
    <t>974031124 RTO</t>
  </si>
  <si>
    <t>62d</t>
  </si>
  <si>
    <t>" Vybourání prostupů pro vedení profesí - nezakreslených "</t>
  </si>
  <si>
    <t>" Vybourání prostupů pro vedení slaboproudu - odhad 25 m " 25,0</t>
  </si>
  <si>
    <t>" Vybourání prostupů pro vedení silnoproudu - odhad 30 m " 30,0</t>
  </si>
  <si>
    <t>977151113 RTO</t>
  </si>
  <si>
    <t>Jádrové vrty diamantovými korunkami do stavebních materiálů D do 50 mm</t>
  </si>
  <si>
    <t>977151118 RTO</t>
  </si>
  <si>
    <t>Jádrové vrty diamantovými korunkami do stavebních materiálů D přes 50 do 100 mm</t>
  </si>
  <si>
    <t>" Vybourání prostupů pro vedení slaboproudu - odhad 6,5 m " 6,5</t>
  </si>
  <si>
    <t>" Vybourání prostupů pro vedení silnoproudu - odhad 8,0 m " 8,0</t>
  </si>
  <si>
    <t>62e</t>
  </si>
  <si>
    <t>62f</t>
  </si>
  <si>
    <t>62g</t>
  </si>
  <si>
    <t>977151213 RTO</t>
  </si>
  <si>
    <t>Jádrové vrty dovrchní diamantovými korunkami do stavebních materiálů D do 50 mm</t>
  </si>
  <si>
    <t>" Vybourání prostupů pro vedení slaboproudu - odhad 1,5 m " 1,5</t>
  </si>
  <si>
    <t>" Vybourání prostupů pro vedení silnoproudu - odhad 1,5 m " 1,5</t>
  </si>
  <si>
    <t>977151218 RTO</t>
  </si>
  <si>
    <t>Jádrové vrty dovrchní diamantovými korunkami do stavebních materiálů D přes 90 do 100 mm</t>
  </si>
  <si>
    <t>" Vybourání prostupů pro vedení slaboproudu - odhad 1,0 m " 1,0</t>
  </si>
  <si>
    <t>" Vybourání prostupů pro vedení silnoproudu - odhad 1,0 m " 1,0</t>
  </si>
  <si>
    <t>POLOŽKA ZRUŠENA - Naceněno v samostatné části "D.1.1. ASŘ - BOURACÍ PRÁCE"</t>
  </si>
  <si>
    <t>POLOŽKA ZRUŠENA - Naceněno v samostatné části "D.1.4.8.b.04."</t>
  </si>
  <si>
    <t>612135101 RTO</t>
  </si>
  <si>
    <t>Hrubá výplň rýh ve stěnách / stropech maltou jakékoli šířky rýhy</t>
  </si>
  <si>
    <t>" Výplň po rýhách š. do 30 mm (hl. 30 mm) " (3750,0)*0,03</t>
  </si>
  <si>
    <t>" Výplň po rýhách š. do 70 mm (hl. 30 mm) " (1435,0)*0,07</t>
  </si>
  <si>
    <t>" Vyklizení půdy - uvažováno 10 % z plochy " (750,7)*0,1</t>
  </si>
  <si>
    <t>Demont, Zpětmont, Vyspravení, Repase, Uskladnění během realizace stavby stávajících herních prvků nacházející se na pozemku objektu jídelny</t>
  </si>
  <si>
    <t>POLOŽKA ZRUŠENA - Dána na list "D.1.1. ASŘ - BOURACÍ PRÁCE"</t>
  </si>
  <si>
    <t>619996200 SPC</t>
  </si>
  <si>
    <t>" Vysekání rýh pro vedení vodovodu " 15</t>
  </si>
  <si>
    <t>Jádrové vrty dovrchní diamantovými korunkami do stavebních materiálů D přes 50 do 100 mm</t>
  </si>
  <si>
    <t>62h</t>
  </si>
  <si>
    <t>974031164 RTO</t>
  </si>
  <si>
    <t>Vysekání rýh ve zdivu cihelném / omítce / u stropu hl do 150 mm š do 150 mm</t>
  </si>
  <si>
    <t>" Výplň po rýhách š. do 150 mm (hl. do 150 mm) " (15,0)*0,15</t>
  </si>
  <si>
    <t>" Výplň po rýhách š. do 150 mm (hl. do 30 mm) " (60,0)*0,15</t>
  </si>
  <si>
    <t>Vybourání otvorů ve zdivu cihelném pl do 0,0225 m2 na MVC nebo MV tl do 300 mm</t>
  </si>
  <si>
    <t>" Vybourání otvorů. "</t>
  </si>
  <si>
    <t>" 2.NP " (10)</t>
  </si>
  <si>
    <t>Vybourání otvorů ve zdivu cihelném pl do 0,0225 m2 na MVC nebo MV tl do 600 mm</t>
  </si>
  <si>
    <t>Vybourání otvorů ve zdivu cihelném pl do 0,09 m2 na MVC nebo MV tl do 300 mm</t>
  </si>
  <si>
    <t>" 1.NP " (3)</t>
  </si>
  <si>
    <t>" 2.NP " (11)</t>
  </si>
  <si>
    <t>Vybourání otvorů ve zdivu cihelném pl do 0,09 m2 na MVC nebo MV tl do 750 mm</t>
  </si>
  <si>
    <t>" 1.PP " (7)</t>
  </si>
  <si>
    <t>Vybourání otvorů ve zdivu cihelném pl do 0,25 m2 na MVC nebo MV tl do 300 mm</t>
  </si>
  <si>
    <t>Vybourání otvorů ve zdivu cihelném pl do 0,25 m2 na MVC nebo MV tl do 600 mm</t>
  </si>
  <si>
    <t>" 1.PP " (1)</t>
  </si>
  <si>
    <t>Vybourání otvorů ve zdivu cihelném pl do 1 m2 na MVC nebo MV tl do 300 mm</t>
  </si>
  <si>
    <t>Vybourání otvorů ve zdivu cihelném pl do 1 m2 na MVC nebo MV tl do 600 mm</t>
  </si>
  <si>
    <t>" 1.NP " ((0,9*0,38)*0,3)*2+(1,25*0,3)*0,3</t>
  </si>
  <si>
    <t>" 1.NP " (1,0*0,5)*0,45+(1,25*0,3)*0,45</t>
  </si>
  <si>
    <t>" Jádrové vrty. "</t>
  </si>
  <si>
    <t>" 1.PP " (0,6)</t>
  </si>
  <si>
    <t>Jádrové vrty diamantovými korunkami do stavebních materiálů D přes 130 do 150 mm</t>
  </si>
  <si>
    <t>Jádrové vrty diamantovými korunkami do stavebních materiálů D přes 180 do 200 mm</t>
  </si>
  <si>
    <t>Jádrové vrty diamantovými korunkami do stavebních materiálů D přes 350 do 400 mm</t>
  </si>
  <si>
    <t>" 1.NP " (0,6)</t>
  </si>
  <si>
    <t>" 2.NP " (0,3)</t>
  </si>
  <si>
    <t>Jádrové vrty dovrchní diamantovými korunkami do stavebních materiálů D přes 70 do 80 mm</t>
  </si>
  <si>
    <t>" 2.NP " (0,5)</t>
  </si>
  <si>
    <t>" 1.PP " (0,35)</t>
  </si>
  <si>
    <t>" 1.NP " (0,96)</t>
  </si>
  <si>
    <t>" 2.NP " (1,75)</t>
  </si>
  <si>
    <t>Jádrové vrty dovrchní diamantovými korunkami do stavebních materiálů D přes 130 do 150 mm</t>
  </si>
  <si>
    <t>" 1.NP " (0,32)</t>
  </si>
  <si>
    <t>" 2.NP " (0,25)</t>
  </si>
  <si>
    <t>" Likvidace vybouraného materiálu - provedení rýh a prostupů " (18,755)</t>
  </si>
  <si>
    <t>62i</t>
  </si>
  <si>
    <t>62j</t>
  </si>
  <si>
    <t>62k</t>
  </si>
  <si>
    <t>62l</t>
  </si>
  <si>
    <t>62m</t>
  </si>
  <si>
    <t>62n</t>
  </si>
  <si>
    <t>62o</t>
  </si>
  <si>
    <t>62p</t>
  </si>
  <si>
    <t>62q</t>
  </si>
  <si>
    <t>62r</t>
  </si>
  <si>
    <t>62s</t>
  </si>
  <si>
    <t>62t</t>
  </si>
  <si>
    <t>62u</t>
  </si>
  <si>
    <t>62v</t>
  </si>
  <si>
    <r>
      <t xml:space="preserve">" Přesun hmot pro objekt urgentu " </t>
    </r>
    <r>
      <rPr>
        <sz val="8"/>
        <color rgb="FFFF00FF"/>
        <rFont val="Arial CE"/>
        <family val="2"/>
        <charset val="238"/>
      </rPr>
      <t>862,548+12,555</t>
    </r>
  </si>
  <si>
    <r>
      <t xml:space="preserve">" Předpokládané maximální množství - </t>
    </r>
    <r>
      <rPr>
        <sz val="8"/>
        <color rgb="FFFF00FF"/>
        <rFont val="Arial CE"/>
        <family val="2"/>
        <charset val="238"/>
      </rPr>
      <t>4</t>
    </r>
    <r>
      <rPr>
        <sz val="8"/>
        <color indexed="12"/>
        <rFont val="Arial CE"/>
        <family val="2"/>
        <charset val="238"/>
      </rPr>
      <t>5,0 m "</t>
    </r>
  </si>
  <si>
    <r>
      <t xml:space="preserve">" Předpokládané maximální množství - </t>
    </r>
    <r>
      <rPr>
        <sz val="8"/>
        <color rgb="FFFF00FF"/>
        <rFont val="Arial CE"/>
        <family val="2"/>
        <charset val="238"/>
      </rPr>
      <t>100,0</t>
    </r>
    <r>
      <rPr>
        <sz val="8"/>
        <color indexed="12"/>
        <rFont val="Arial CE"/>
        <family val="2"/>
        <charset val="238"/>
      </rPr>
      <t xml:space="preserve"> m "</t>
    </r>
  </si>
  <si>
    <r>
      <t xml:space="preserve">" Předpokládané maximální množství - </t>
    </r>
    <r>
      <rPr>
        <sz val="8"/>
        <color rgb="FFFF00FF"/>
        <rFont val="Arial CE"/>
        <family val="2"/>
        <charset val="238"/>
      </rPr>
      <t>80,0 m</t>
    </r>
    <r>
      <rPr>
        <sz val="8"/>
        <color indexed="12"/>
        <rFont val="Arial CE"/>
        <family val="2"/>
        <charset val="238"/>
      </rPr>
      <t xml:space="preserve"> "</t>
    </r>
  </si>
  <si>
    <t>" Předpokládané maximální množství - 50,0 ks "</t>
  </si>
  <si>
    <t>Zajištění provedení zkoušek těsnosti VZT potrubí vč. veškerých nutných prací a vypracování zprávy</t>
  </si>
  <si>
    <t>0110020011 RTO</t>
  </si>
  <si>
    <t>Soupis prací</t>
  </si>
  <si>
    <t>" Vysekání rýh pro uložení překladu 4xI 100 pro otvor vč. uložení - celková hl. 450 mm - překlad P05. " ((1,7)*3)*1</t>
  </si>
  <si>
    <t>" Vysekání rýh pro uložení překladu 6xI 120 pro otvor vč. uložení - celková hl. 600 mm - překlad P06. " ((1,8)*4)*1</t>
  </si>
  <si>
    <t>" Vysekání rýh pro uložení překladu 4xI 100 pro otvor vč. uložení - celková hl. 600 mm - překlad P07. " ((1,0)*4)*1</t>
  </si>
  <si>
    <t>" Vysekání rýh pro uložení překladu 2xI 100 pro otvor vč. uložení - celková hl. 300 mm - překlad P01. " ((1,4)*2)*1</t>
  </si>
  <si>
    <t>" Vysekání rýh pro uložení překladu 2xI 100 pro otvor vč. uložení - celková hl. 300 mm - překlad P02. " ((1,55)*2)*1</t>
  </si>
  <si>
    <t>" Vysekání rýh pro uložení překladu 4xI 120 pro otvor vč. uložení - celková hl. 450 mm - překlad P03. " ((1,8)*3)*1</t>
  </si>
  <si>
    <t>" Vysekání rýh pro uložení překladu 4xI 100 pro otvor vč. uložení - celková hl. 450 mm - překlad P04. " ((1,55)*3)*1</t>
  </si>
  <si>
    <t>" Vysekání rýh pro uložení překladu 2xI 100 pro otvor vč. uložení - celková hl. 300 mm - překlad P08. " ((1,3)*2)*2</t>
  </si>
  <si>
    <t>Vyklizení objektu před započetím rekonstrukce objektu vč. zpětného nastěhování - místnosti s dočasným odstraněním vybavení, předmětů apod. a zpětným nastěhováním</t>
  </si>
  <si>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- 134,94 m3 " (681,50*0,180)*1,10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</si>
  <si>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- 1,78 m3 " (9,0*0,180)*1,10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</si>
  <si>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- 12,59 m3 " (63,60*0,180)*1,10</t>
    </r>
  </si>
  <si>
    <r>
      <t xml:space="preserve">" -  Spádové klíny tepelná izolace - PIR, λ = </t>
    </r>
    <r>
      <rPr>
        <sz val="8"/>
        <color rgb="FFFF00FF"/>
        <rFont val="Arial CE"/>
        <family val="2"/>
        <charset val="238"/>
      </rPr>
      <t>0,027</t>
    </r>
    <r>
      <rPr>
        <sz val="8"/>
        <color rgb="FF0000FF"/>
        <rFont val="Arial CE"/>
        <family val="2"/>
        <charset val="238"/>
      </rPr>
      <t xml:space="preserve"> W/(m.K), spád 3% tl. 20 - 300 mm - 19,13 m3 " (96,60*0,180)*1,10</t>
    </r>
  </si>
  <si>
    <r>
      <t xml:space="preserve">" - Praný říční štěrk - kačírek - frakce 8-16 - tl. 100 mm - </t>
    </r>
    <r>
      <rPr>
        <sz val="8"/>
        <color rgb="FFFF00FF"/>
        <rFont val="Arial CE"/>
        <family val="2"/>
        <charset val="238"/>
      </rPr>
      <t>10,35</t>
    </r>
    <r>
      <rPr>
        <sz val="8"/>
        <color indexed="12"/>
        <rFont val="Arial CE"/>
        <family val="2"/>
        <charset val="238"/>
      </rPr>
      <t xml:space="preserve"> t " (63,60)*0,10*1,55*1,05</t>
    </r>
  </si>
  <si>
    <t>" POZN: Plocha vztažena na místností, ve kterých dle výkresů BP dochází ke zpětnému nastěhování zakreslených prvků, vybavení apod. 
Nutno ještě přesné prvky a věci konzultovat během provádění s investorem. "</t>
  </si>
  <si>
    <t>" PI tl. 40 mm." (10,595)*1,1 = 11,654 m2</t>
  </si>
  <si>
    <t>" POZN: Jedná se o záměnu izolací z výše zmíněných potrubí vedených uvnitře z tl. TI 40 mm na TI vyšší tl. (do 100 mm) či PI tl. 40 mm. "</t>
  </si>
  <si>
    <t>" POZN: Je uvažováno s druhem nerezi AISI 304. "</t>
  </si>
  <si>
    <t>751572031 RTO</t>
  </si>
  <si>
    <t xml:space="preserve">" - Uchycení potrubí kruhového na montovanou konstrukci z nosníků kotvenou do konstrukce D do 100 mm - vč. montované konstrukce - 9,8 m " </t>
  </si>
  <si>
    <t>751510041 RTO</t>
  </si>
  <si>
    <t>" - Vzduchotechnické potrubí z pozinkovaného plechu kruhové spirálně vinutá trouba D do 100 mm - vč. veškerých tvarovek a příslušenství - 10,29 m " (9,8)*1,05</t>
  </si>
  <si>
    <t>" - Montáž izolace tepelné potrubí pásy nebo rohožemi s Al fólií staženými drátem 1x - 5,547 m2 " (9,8)*0,566</t>
  </si>
  <si>
    <t>63151671 RTO</t>
  </si>
  <si>
    <t>" - rohož izolační z minerální vlny lamelová s Al fólií tl 40 mm - 6,101 m2 " ((9,8)*0,566)*1,1</t>
  </si>
  <si>
    <t>751572032 RTO</t>
  </si>
  <si>
    <t xml:space="preserve">" - Uchycení potrubí kruhového na montovanou konstrukci z nosníků kotvenou do konstrukce D přes 100 do 200 mm - vč. montované konstrukce - 46,8 m " </t>
  </si>
  <si>
    <t>751510042 RTO</t>
  </si>
  <si>
    <t>" - Vzduchotechnické potrubí z pozinkovaného plechu kruhové spirálně vinutá trouba D přes 100 do 200 mm - vč. veškerých tvarovek a příslušenství - 49,140 m " (46,8)*1,05</t>
  </si>
  <si>
    <t>" - Montáž izolace tepelné potrubí pásy nebo rohožemi s Al fólií staženými drátem 1x - 30,186 m2 " (46,8)*0,645</t>
  </si>
  <si>
    <t>" - rohož izolační z minerální vlny lamelová s Al fólií tl 40 mm - 33,205 m2 " ((46,8)*0,645)*1,1</t>
  </si>
  <si>
    <t xml:space="preserve">" - Uchycení potrubí kruhového na montovanou konstrukci z nosníků kotvenou do konstrukce D přes 100 do 200 mm - vč. montované konstrukce - 68,5 m " </t>
  </si>
  <si>
    <t>" - Vzduchotechnické potrubí z pozinkovaného plechu kruhové spirálně vinutá trouba D přes 100 do 200 mm - vč. veškerých tvarovek a příslušenství - 71,925 m " (68,5)*1,05</t>
  </si>
  <si>
    <t>" - Montáž izolace tepelné potrubí pásy nebo rohožemi s Al fólií staženými drátem 1x - 51,649 m2 " (68,5)*0,754</t>
  </si>
  <si>
    <t>" - rohož izolační z minerální vlny lamelová s Al fólií tl 40 mm - 56,814 m2 " ((68,5)*0,754)*1,1</t>
  </si>
  <si>
    <t>22a</t>
  </si>
  <si>
    <t xml:space="preserve">" - Uchycení potrubí kruhového na montovanou konstrukci z nosníků kotvenou do konstrukce D přes 100 do 200 mm - vč. montované konstrukce - 201,3 m " </t>
  </si>
  <si>
    <t>22b</t>
  </si>
  <si>
    <t>" - Vzduchotechnické potrubí z pozinkovaného plechu kruhové spirálně vinutá trouba D přes 100 do 200 mm - vč. veškerých tvarovek a příslušenství - 211,365 m " (201,3)*1,05</t>
  </si>
  <si>
    <t>22c</t>
  </si>
  <si>
    <t>" - Montáž izolace tepelné potrubí pásy nebo rohožemi s Al fólií staženými drátem 1x - 177,144 m2 " (201,3)*0,88</t>
  </si>
  <si>
    <t>22d</t>
  </si>
  <si>
    <t>" - rohož izolační z minerální vlny lamelová s Al fólií tl 40 mm - 194,858 m2 " ((201,3)*0,88)*1,1</t>
  </si>
  <si>
    <t>751572033 RTO</t>
  </si>
  <si>
    <t xml:space="preserve">" - Uchycení potrubí kruhového na montovanou konstrukci z nosníků kotvenou do konstrukce D přes 200 do 300 mm - vč. montované konstrukce - 13,4 m " </t>
  </si>
  <si>
    <t>751510043 RTO</t>
  </si>
  <si>
    <t>" - Vzduchotechnické potrubí z pozinkovaného plechu kruhové spirálně vinutá trouba D přes 200 do 300 mm - vč. veškerých tvarovek a příslušenství - 14,070 m " (13,4)*1,05</t>
  </si>
  <si>
    <t>" - Montáž izolace tepelné potrubí pásy nebo rohožemi s Al fólií staženými drátem 1x - 13,896 m2 " (13,4)*1,037</t>
  </si>
  <si>
    <t>" - rohož izolační z minerální vlny lamelová s Al fólií tl 40 mm - 15,285 m2 " ((13,4)*1,037)*1,1</t>
  </si>
  <si>
    <t>751571032 RTO</t>
  </si>
  <si>
    <t xml:space="preserve">" - Uchycení potrubí čtyřhranného na montovanou konstrukci z nosníků kotvenou do konstrukce průřezu přes 0,01 do 0,03 m2, vč. montované konstrukce - 5,9 m " </t>
  </si>
  <si>
    <t>751510011 RTO</t>
  </si>
  <si>
    <t>" - Vzduchotechnické potrubí z pozinkovaného plechu čtyřhranné průřezu přes 0,01 do 0,03 m2 - vč. veškerých tvarovek a příslušenství - 6,195 m " (5,9)*1,05</t>
  </si>
  <si>
    <t>" - Montáž izolace tepelné potrubí pásy nebo rohožemi s Al fólií staženými drátem 1x - 4,484 m2 " (5,9)*0,76</t>
  </si>
  <si>
    <t>" - rohož izolační z minerální vlny lamelová s Al fólií tl 40 mm - 4,932 m2 " ((5,9)*0,76)*1,1</t>
  </si>
  <si>
    <t>751571033 RTO</t>
  </si>
  <si>
    <t xml:space="preserve">" - Uchycení potrubí čtyřhranného na montovanou konstrukci z nosníků kotvenou do konstrukce průřezu přes 0,03 do 0,07 m2, vč. montované konstrukce - 1,5 m " </t>
  </si>
  <si>
    <t>751510012 RTO</t>
  </si>
  <si>
    <t>" - Vzduchotechnické potrubí z pozinkovaného plechu čtyřhranné průřezu přes 0,03 do 0,07 m2 - vč. veškerých tvarovek a příslušenství - 1,575 m " (1,5)*1,05</t>
  </si>
  <si>
    <t>" - Montáž izolace tepelné potrubí pásy nebo rohožemi s Al fólií staženými drátem 1x - 1,590 m2 " (1,5)*1,060</t>
  </si>
  <si>
    <t>" - rohož izolační z minerální vlny lamelová s Al fólií tl 40 mm - 1,749 m2 " ((1,5)*1,060)*1,1</t>
  </si>
  <si>
    <t>26a</t>
  </si>
  <si>
    <t xml:space="preserve">" - Uchycení potrubí čtyřhranného na montovanou konstrukci z nosníků kotvenou do konstrukce průřezu přes 0,03 do 0,07 m2, vč. montované konstrukce - 6,6 m " </t>
  </si>
  <si>
    <t>26b</t>
  </si>
  <si>
    <t>" - Vzduchotechnické potrubí z pozinkovaného plechu čtyřhranné průřezu přes 0,03 do 0,07 m2 - vč. veškerých tvarovek a příslušenství - 6,930 m " (6,6)*1,05</t>
  </si>
  <si>
    <t>26c</t>
  </si>
  <si>
    <t>" - Montáž izolace tepelné potrubí pásy nebo rohožemi s Al fólií staženými drátem 1x - 7,656 m2 " (6,6)*1,160</t>
  </si>
  <si>
    <t>26d</t>
  </si>
  <si>
    <t>" - rohož izolační z minerální vlny lamelová s Al fólií tl 40 mm - 8,422 m2 " ((6,6)*1,160)*1,1</t>
  </si>
  <si>
    <r>
      <t>" Čtyřhranné potrubí VZT - 250×250 mm " (</t>
    </r>
    <r>
      <rPr>
        <sz val="8"/>
        <color rgb="FFFF00FF"/>
        <rFont val="Arial CE"/>
        <family val="2"/>
        <charset val="238"/>
      </rPr>
      <t>6,6</t>
    </r>
    <r>
      <rPr>
        <sz val="8"/>
        <color indexed="12"/>
        <rFont val="Arial CE"/>
        <family val="2"/>
        <charset val="238"/>
      </rPr>
      <t>)</t>
    </r>
  </si>
  <si>
    <t xml:space="preserve">" - Uchycení potrubí čtyřhranného na montovanou konstrukci z nosníků kotvenou do konstrukce průřezu přes 0,03 do 0,07 m2, vč. montované konstrukce - 1,7 m " </t>
  </si>
  <si>
    <t>27b</t>
  </si>
  <si>
    <t>" - Vzduchotechnické potrubí z pozinkovaného plechu čtyřhranné průřezu přes 0,03 do 0,07 m2 - vč. veškerých tvarovek a příslušenství - 1,785 m " (1,7)*1,05</t>
  </si>
  <si>
    <t>27c</t>
  </si>
  <si>
    <t>" - Montáž izolace tepelné potrubí pásy nebo rohožemi s Al fólií staženými drátem 1x - 1,632 m2 " (1,7)*0,960</t>
  </si>
  <si>
    <t>27d</t>
  </si>
  <si>
    <t>" - rohož izolační z minerální vlny lamelová s Al fólií tl 40 mm - 1,795 m2 " ((1,7)*0,960)*1,1</t>
  </si>
  <si>
    <t>751571034 RTO</t>
  </si>
  <si>
    <t xml:space="preserve">" - Uchycení potrubí čtyřhranného na montovanou konstrukci z nosníků kotvenou do konstrukce průřezu přes 0,07 do 0,13 m2, vč. montované konstrukce - 2,2 m " </t>
  </si>
  <si>
    <t>751510013 RTO</t>
  </si>
  <si>
    <t>" - Vzduchotechnické potrubí z pozinkovaného plechu čtyřhranné průřezu přes 0,07 do 0,13 m2 - vč. veškerých tvarovek a příslušenství - 2,310 m " (2,2)*1,05</t>
  </si>
  <si>
    <t>" - Montáž izolace tepelné potrubí pásy nebo rohožemi s Al fólií staženými drátem 1x - 2,992 m2 " (2,2)*1,360</t>
  </si>
  <si>
    <t>28d</t>
  </si>
  <si>
    <t>" - rohož izolační z minerální vlny lamelová s Al fólií tl 40 mm - 3,291 m2 " ((2,2)*1,360)*1,1</t>
  </si>
  <si>
    <t>751571036 RTO</t>
  </si>
  <si>
    <t xml:space="preserve">" - Uchycení potrubí čtyřhranného na montovanou konstrukci z nosníků kotvenou do konstrukce průřezu přes 0,28 do 0,50 m2, vč. montované konstrukce - 1,3 m " </t>
  </si>
  <si>
    <t>751510015 RTO</t>
  </si>
  <si>
    <t>" - Vzduchotechnické potrubí z pozinkovaného plechu čtyřhranné průřezu přes 0,28 do 0,50 m2 - vč. veškerých tvarovek a příslušenství - 1,365 m " (1,3)*1,05</t>
  </si>
  <si>
    <t>" - Montáž izolace tepelné potrubí pásy nebo rohožemi s Al fólií staženými drátem 1x - 3,588 m2 " (1,3)*2,760</t>
  </si>
  <si>
    <t>29d</t>
  </si>
  <si>
    <t>" - rohož izolační z minerální vlny lamelová s Al fólií tl 40 mm - 3,947 m2 " ((1,3)*2,760)*1,1</t>
  </si>
  <si>
    <t xml:space="preserve">" - Uchycení potrubí čtyřhranného na montovanou konstrukci z nosníků kotvenou do konstrukce průřezu přes 0,07 do 0,13 m2, vč. montované konstrukce - 11,0 m " </t>
  </si>
  <si>
    <t>" - Vzduchotechnické potrubí z pozinkovaného plechu čtyřhranné průřezu přes 0,07 do 0,13 m2 - vč. veškerých tvarovek a příslušenství - 11,550 m " (11,0)*1,05</t>
  </si>
  <si>
    <t>" - Montáž izolace tepelné potrubí pásy nebo rohožemi s Al fólií staženými drátem 1x - 20,020 m2 " (11,0)*1,820</t>
  </si>
  <si>
    <t>30d</t>
  </si>
  <si>
    <t>" - rohož izolační z minerální vlny lamelová s Al fólií tl 40 mm - 22,022 m2 " ((11,0)*1,820)*1,1</t>
  </si>
  <si>
    <t xml:space="preserve">" - Uchycení potrubí kruhového na montovanou konstrukci z nosníků kotvenou do konstrukce D do 100 mm - vč. montované konstrukce - 11,1 m " </t>
  </si>
  <si>
    <t>" - Vzduchotechnické potrubí z nerezového plechu kruhové spirálně vinutá trouba D do 100 mm - vč. veškerých tvarovek a příslušenství - 11,655 m " (11,1)*1,05</t>
  </si>
  <si>
    <t>" - Montáž izolace tepelné potrubí pásy nebo rohožemi s Al fólií staženými drátem 1x - 6,283 m2 " (11,1)*0,566</t>
  </si>
  <si>
    <t>31d</t>
  </si>
  <si>
    <t>" - rohož izolační z minerální vlny lamelová s Al fólií tl 40 mm - 6,911 m2 " ((11,1)*0,566)*1,1</t>
  </si>
  <si>
    <t xml:space="preserve">" - Uchycení potrubí kruhového na montovanou konstrukci z nosníků kotvenou do konstrukce D přes 100 do 200 mm - vč. montované konstrukce - 4,5 m " </t>
  </si>
  <si>
    <t>" - Vzduchotechnické potrubí z nerezového plechu kruhové spirálně vinutá trouba D přes 100 do 200 mm - vč. veškerých tvarovek a příslušenství - 4,725 m " (4,5)*1,05</t>
  </si>
  <si>
    <t>" - Montáž izolace tepelné potrubí pásy nebo rohožemi s Al fólií staženými drátem 1x - 2,903 m2 " (4,5)*0,645</t>
  </si>
  <si>
    <t>" - rohož izolační z minerální vlny lamelová s Al fólií tl 40 mm - 3,193 m2 " ((4,5)*0,645)*1,1</t>
  </si>
  <si>
    <t xml:space="preserve">" - Uchycení potrubí kruhového na montovanou konstrukci z nosníků kotvenou do konstrukce D přes 100 do 200 mm - vč. montované konstrukce - 20,7 m " </t>
  </si>
  <si>
    <t>" - Vzduchotechnické potrubí z nerezového plechu kruhové spirálně vinutá trouba D přes 100 do 200 mm - vč. veškerých tvarovek a příslušenství - 21,735 m " (20,7)*1,05</t>
  </si>
  <si>
    <t>" - Montáž izolace tepelné potrubí pásy nebo rohožemi s Al fólií staženými drátem 1x - 15,608 m2 " (20,7)*0,754</t>
  </si>
  <si>
    <t>33d</t>
  </si>
  <si>
    <t>" - rohož izolační z minerální vlny lamelová s Al fólií tl 40 mm - 17,169 m2 " ((20,7)*0,754)*1,1</t>
  </si>
  <si>
    <t xml:space="preserve">" - Uchycení potrubí kruhového na montovanou konstrukci z nosníků kotvenou do konstrukce D přes 100 do 200 mm - vč. montované konstrukce - 31,6 m " </t>
  </si>
  <si>
    <t>" - Vzduchotechnické potrubí z nerezového plechu kruhové spirálně vinutá trouba D přes 100 do 200 mm - vč. veškerých tvarovek a příslušenství - 33,180 m " (31,6)*1,05</t>
  </si>
  <si>
    <t>" - Montáž izolace tepelné potrubí pásy nebo rohožemi s Al fólií staženými drátem 1x - 27,808 m2 " (31,6)*0,88</t>
  </si>
  <si>
    <t>" - rohož izolační z minerální vlny lamelová s Al fólií tl 40 mm - 30,589 m2 " ((31,6)*0,88)*1,1</t>
  </si>
  <si>
    <t xml:space="preserve">" - Uchycení potrubí kruhového na montovanou konstrukci z nosníků kotvenou do konstrukce D přes 200 do 300 mm - vč. montované konstrukce - 3,9 m " </t>
  </si>
  <si>
    <t>" - Vzduchotechnické potrubí z nerezového plechu kruhové spirálně vinutá trouba D přes 200 do 300 mm - vč. veškerých tvarovek a příslušenství - 4,095 m " (3,9)*1,05</t>
  </si>
  <si>
    <t>" - Montáž izolace tepelné potrubí pásy nebo rohožemi s Al fólií staženými drátem 1x - 4,407 m2 " (3,9)*1,13</t>
  </si>
  <si>
    <t>" - rohož izolační z minerální vlny lamelová s Al fólií tl 40 mm - 4,848 m2 " ((3,9)*1,13)*1,1</t>
  </si>
  <si>
    <t>751572034 RTO</t>
  </si>
  <si>
    <t xml:space="preserve">" - Uchycení potrubí kruhového na montovanou konstrukci z nosníků kotvenou do konstrukce D přes 300 do 400 mm - vč. montované konstrukce - 9,1 m " </t>
  </si>
  <si>
    <t>36b</t>
  </si>
  <si>
    <t>751510044 RTO</t>
  </si>
  <si>
    <t>" - Vzduchotechnické potrubí z nerezového plechu kruhové spirálně vinutá trouba D přes 300 do 400 mm - vč. veškerých tvarovek a příslušenství - 9,555 m " (9,1)*1,05</t>
  </si>
  <si>
    <t>36c</t>
  </si>
  <si>
    <t>" - Montáž izolace tepelné potrubí pásy nebo rohožemi s Al fólií staženými drátem 1x - 11,293 m2 " (9,1)*1,241</t>
  </si>
  <si>
    <t>36d</t>
  </si>
  <si>
    <t>" - rohož izolační z minerální vlny lamelová s Al fólií tl 40 mm - 12,422 m2 " ((9,1)*1,241)*1,1</t>
  </si>
  <si>
    <t xml:space="preserve">" - Uchycení potrubí kruhového na montovanou konstrukci z nosníků kotvenou do konstrukce D přes 300 do 400 mm - vč. montované konstrukce - 4,0 m " </t>
  </si>
  <si>
    <t>37b</t>
  </si>
  <si>
    <t>" - Vzduchotechnické potrubí z nerezového plechu kruhové spirálně vinutá trouba D přes 300 do 400 mm - vč. veškerých tvarovek a příslušenství - 4,2 m " (4,0)*1,05</t>
  </si>
  <si>
    <t>37c</t>
  </si>
  <si>
    <t>" - Montáž izolace tepelné potrubí pásy nebo rohožemi s Al fólií staženými drátem 1x - 6,032 m2 " (4,0)*1,508</t>
  </si>
  <si>
    <t>37d</t>
  </si>
  <si>
    <t>" - rohož izolační z minerální vlny lamelová s Al fólií tl 40 mm - 6,635 m2 " ((4,0)*1,508)*1,1</t>
  </si>
  <si>
    <t xml:space="preserve">" - Uchycení potrubí čtyřhranného na montovanou konstrukci z nosníků kotvenou do konstrukce průřezu přes 0,03 do 0,07 m2, vč. montované konstrukce - 10,6 m " </t>
  </si>
  <si>
    <t>38b</t>
  </si>
  <si>
    <t>" - Vzduchotechnické potrubí z nerezového plechu čtyřhranné průřezu přes 0,03 do 0,07 m2 - vč. veškerých tvarovek a příslušenství - 11,130 m " (10,6)*1,05</t>
  </si>
  <si>
    <t>38c</t>
  </si>
  <si>
    <t>" - Montáž izolace tepelné potrubí pásy nebo rohožemi s Al fólií staženými drátem 1x - 10,176 m2 " (10,6)*0,96</t>
  </si>
  <si>
    <t>38d</t>
  </si>
  <si>
    <t>" - rohož izolační z minerální vlny lamelová s Al fólií tl 40 mm - 11,194 m2 " ((10,6)*0,96)*1,1</t>
  </si>
  <si>
    <t>" - Vzduchotechnické potrubí z nerezového plechu čtyřhranné průřezu přes 0,03 do 0,07 m2 - vč. veškerých tvarovek a příslušenství - 1,575 m " (1,5)*1,05</t>
  </si>
  <si>
    <t>751571044 RTO</t>
  </si>
  <si>
    <t xml:space="preserve">" - Uchycení potrubí čtyřhranného na montovanou konstrukci z nosníků kotvenou do konstrukce průřezu přes 2,83 do 3,14 m2, vč. montované konstrukce - 1,8 m " </t>
  </si>
  <si>
    <t>751510022 RTO</t>
  </si>
  <si>
    <t>" - Vzduchotechnické potrubí z nerezového plechu čtyřhranné průřezu přes 2,83 do 3,14 m2 - vč. veškerých tvarovek a příslušenství - 1,890 m " (1,8)*1,05</t>
  </si>
  <si>
    <t>" - Montáž izolace tepelné potrubí pásy nebo rohožemi s Al fólií staženými drátem 1x - 4,968 m2 " (1,8)*2,760</t>
  </si>
  <si>
    <t>40d</t>
  </si>
  <si>
    <t>" - rohož izolační z minerální vlny lamelová s Al fólií tl 40 mm - 5,465 m2 " ((1,8)*2,760)*1,1</t>
  </si>
  <si>
    <t xml:space="preserve">" - Uchycení potrubí čtyřhranného na montovanou konstrukci z nosníků kotvenou do konstrukce průřezu přes 0,03 do 0,07 m2, vč. montované konstrukce - 9,0 m " </t>
  </si>
  <si>
    <t>" - Vzduchotechnické potrubí z nerezového plechu čtyřhranné průřezu přes 0,03 do 0,07 m2 - vč. veškerých tvarovek a příslušenství - 9,450 m " (9,0)*1,05</t>
  </si>
  <si>
    <t>" - Montáž izolace tepelné potrubí pásy nebo rohožemi s Al fólií staženými drátem 1x - 10,710 m2 " (9,0)*1,190</t>
  </si>
  <si>
    <t>" - rohož izolační z minerální vlny lamelová s Al fólií tl 40 mm - 11,781 m2 " ((9,0)*1,190)*1,1</t>
  </si>
  <si>
    <t>42a</t>
  </si>
  <si>
    <t xml:space="preserve">" - Uchycení potrubí čtyřhranného na montovanou konstrukci z nosníků kotvenou do konstrukce průřezu přes 0,07 do 0,13 m2, vč. montované konstrukce - 21,1 m " </t>
  </si>
  <si>
    <t>42b</t>
  </si>
  <si>
    <t>" - Vzduchotechnické potrubí z nerezového plechu čtyřhranné průřezu přes 0,07 do 0,13 m2 - vč. veškerých tvarovek a příslušenství - 22,155 m " (21,1)*1,05</t>
  </si>
  <si>
    <t>42c</t>
  </si>
  <si>
    <t>" - Montáž izolace tepelné potrubí pásy nebo rohožemi s Al fólií staženými drátem 1x - 26,797 m2 " (21,1)*1,270</t>
  </si>
  <si>
    <t>42d</t>
  </si>
  <si>
    <t>" - rohož izolační z minerální vlny lamelová s Al fólií tl 40 mm - 29,477 m2 " ((21,1)*1,270)*1,1</t>
  </si>
  <si>
    <t>43a</t>
  </si>
  <si>
    <t xml:space="preserve">" - Uchycení potrubí čtyřhranného na montovanou konstrukci z nosníků kotvenou do konstrukce průřezu přes 0,28 do 0,50 m2, vč. montované konstrukce - 1,5 m " </t>
  </si>
  <si>
    <t>43b</t>
  </si>
  <si>
    <t>" - Vzduchotechnické potrubí z nerezového plechu čtyřhranné průřezu přes 0,28 do 0,50 m2 - vč. veškerých tvarovek a příslušenství - 1,575 m " (1,5)*1,05</t>
  </si>
  <si>
    <t>43c</t>
  </si>
  <si>
    <t>" - Montáž izolace tepelné potrubí pásy nebo rohožemi s Al fólií staženými drátem 1x - 3,705 m2 " (1,5)*2,470</t>
  </si>
  <si>
    <t>43d</t>
  </si>
  <si>
    <t>" - rohož izolační z minerální vlny lamelová s Al fólií tl 40 mm - 4,076 m2 " ((1,5)*2,470)*1,1</t>
  </si>
  <si>
    <t>44a</t>
  </si>
  <si>
    <t xml:space="preserve">" - Uchycení potrubí čtyřhranného na montovanou konstrukci z nosníků kotvenou do konstrukce průřezu přes 0,07 do 0,13 m2, vč. montované konstrukce - 4,3 m " </t>
  </si>
  <si>
    <t>44b</t>
  </si>
  <si>
    <t>" - Vzduchotechnické potrubí z nerezového plechu čtyřhranné průřezu přes 0,07 do 0,13 m2 - vč. veškerých tvarovek a příslušenství - 4,515 m " (4,3)*1,05</t>
  </si>
  <si>
    <t>44c</t>
  </si>
  <si>
    <t>" - Montáž izolace tepelné potrubí pásy nebo rohožemi s Al fólií staženými drátem 1x - 5,848 m2 " (4,3)*1,360</t>
  </si>
  <si>
    <t>44d</t>
  </si>
  <si>
    <t>" - rohož izolační z minerální vlny lamelová s Al fólií tl 40 mm - 6,433 m2 " ((4,3)*1,360)*1,1</t>
  </si>
  <si>
    <t>45a</t>
  </si>
  <si>
    <t>45b</t>
  </si>
  <si>
    <t>" - Vzduchotechnické potrubí z nerezového plechu čtyřhranné průřezu přes 0,07 do 0,13 m2 - vč. veškerých tvarovek a příslušenství - 4,515 m " (5,4)*1,05</t>
  </si>
  <si>
    <t>45c</t>
  </si>
  <si>
    <t>" - Montáž izolace tepelné potrubí pásy nebo rohožemi s Al fólií staženými drátem 1x - 5,848 m2 " (5,4)*1,560</t>
  </si>
  <si>
    <t>45d</t>
  </si>
  <si>
    <t>" - rohož izolační z minerální vlny lamelová s Al fólií tl 40 mm - 6,433 m2 " ((5,4)*1,560)*1,1</t>
  </si>
  <si>
    <t xml:space="preserve">" - Uchycení potrubí čtyřhranného na montovanou konstrukci z nosníků kotvenou do konstrukce průřezu přes 0,07 do 0,13 m2, vč. montované konstrukce - 7,2 m " </t>
  </si>
  <si>
    <t>46b</t>
  </si>
  <si>
    <t>" - Vzduchotechnické potrubí z nerezového plechu čtyřhranné průřezu přes 0,07 do 0,13 m2 - vč. veškerých tvarovek a příslušenství - 7,560 m " (7,2)*1,05</t>
  </si>
  <si>
    <t>46c</t>
  </si>
  <si>
    <t>" - Montáž izolace tepelné potrubí pásy nebo rohožemi s Al fólií staženými drátem 1x - 11,952 m2 " (7,2)*1,660</t>
  </si>
  <si>
    <t>46d</t>
  </si>
  <si>
    <t>" - rohož izolační z minerální vlny lamelová s Al fólií tl 40 mm - 13,147 m2 " ((7,2)*1,660)*1,1</t>
  </si>
  <si>
    <t>47a</t>
  </si>
  <si>
    <t>751571035 RTO</t>
  </si>
  <si>
    <t xml:space="preserve">" - Uchycení potrubí čtyřhranného na montovanou konstrukci z nosníků kotvenou do konstrukce průřezu přes 0,13 do 0,28 m2, vč. montované konstrukce - 1,9 m " </t>
  </si>
  <si>
    <t>47b</t>
  </si>
  <si>
    <t>751510014 RTO</t>
  </si>
  <si>
    <t>" - Vzduchotechnické potrubí z nerezového plechu čtyřhranné průřezu přes 0,13 do 0,28 m2 - vč. veškerých tvarovek a příslušenství - 1,995 m " (1,9)*1,05</t>
  </si>
  <si>
    <t>47c</t>
  </si>
  <si>
    <t>" - Montáž izolace tepelné potrubí pásy nebo rohožemi s Al fólií staženými drátem 1x - 4,104 m2 " (1,9)*2,160</t>
  </si>
  <si>
    <t>47d</t>
  </si>
  <si>
    <t>" - rohož izolační z minerální vlny lamelová s Al fólií tl 40 mm - 4,514 m2 " ((1,9)*2,160)*1,1</t>
  </si>
  <si>
    <t>751571037 RTO</t>
  </si>
  <si>
    <t xml:space="preserve">" - Uchycení potrubí čtyřhranného na montovanou konstrukci z nosníků kotvenou do konstrukce průřezu přes 0,50 do 0,79 m2, vč. montované konstrukce - 22,4 m " </t>
  </si>
  <si>
    <t>751510016 RTO</t>
  </si>
  <si>
    <t>" - Vzduchotechnické potrubí z nerezového plechu čtyřhranné průřezu přes 0,50 do 0,79 m2 - vč. veškerých tvarovek a příslušenství - 23,52 m " (22,4)*1,05</t>
  </si>
  <si>
    <t>" - Montáž izolace tepelné potrubí pásy nebo rohožemi s Al fólií staženými drátem 1x - 68,992 m2 " (22,4)*3,080</t>
  </si>
  <si>
    <t>48d</t>
  </si>
  <si>
    <t>" - rohož izolační z minerální vlny lamelová s Al fólií tl 40 mm - 75,891 m2 " ((22,4)*3,080)*1,1</t>
  </si>
  <si>
    <t xml:space="preserve">" - Uchycení potrubí čtyřhranného na montovanou konstrukci z nosníků kotvenou do konstrukce průřezu přes 0,13 do 0,28 m2, vč. montované konstrukce - 2,5 m " </t>
  </si>
  <si>
    <t>" - Vzduchotechnické potrubí z nerezového plechu čtyřhranné průřezu přes 0,13 do 0,28 m2 - vč. veškerých tvarovek a příslušenství - 2,625 m " (2,5)*1,05</t>
  </si>
  <si>
    <t>" - Montáž izolace tepelné potrubí pásy nebo rohožemi s Al fólií staženými drátem 1x - 5,125 m2 " (2,5)*2,050</t>
  </si>
  <si>
    <t>49d</t>
  </si>
  <si>
    <t>" - rohož izolační z minerální vlny lamelová s Al fólií tl 40 mm - 5,638 m2 " ((2,5)*2,050)*1,1</t>
  </si>
  <si>
    <t>50a</t>
  </si>
  <si>
    <t xml:space="preserve">" - Uchycení potrubí čtyřhranného na montovanou konstrukci z nosníků kotvenou do konstrukce průřezu přes 0,13 do 0,28 m2, vč. montované konstrukce - 1,5 m " </t>
  </si>
  <si>
    <t>50b</t>
  </si>
  <si>
    <t>" - Vzduchotechnické potrubí z nerezového plechu čtyřhranné průřezu přes 0,13 do 0,28 m2 - vč. veškerých tvarovek a příslušenství - 1,575 m " (1,5)*1,05</t>
  </si>
  <si>
    <t>50c</t>
  </si>
  <si>
    <t>" - Montáž izolace tepelné potrubí pásy nebo rohožemi s Al fólií staženými drátem 1x - 3,330 m2 " (1,5)*2,220</t>
  </si>
  <si>
    <t>50d</t>
  </si>
  <si>
    <t>" - rohož izolační z minerální vlny lamelová s Al fólií tl 40 mm - 3,663 m2 " ((1,5)*2,220)*1,1</t>
  </si>
  <si>
    <t>51a</t>
  </si>
  <si>
    <t xml:space="preserve">" - Uchycení potrubí čtyřhranného na montovanou konstrukci z nosníků kotvenou do konstrukce průřezu přes 0,13 do 0,28 m2, vč. montované konstrukce - 1,6 m " </t>
  </si>
  <si>
    <t>51b</t>
  </si>
  <si>
    <t>" - Vzduchotechnické potrubí z nerezového plechu čtyřhranné průřezu přes 0,13 do 0,28 m2 - vč. veškerých tvarovek a příslušenství - 1,680 m " (1,6)*1,05</t>
  </si>
  <si>
    <t>51c</t>
  </si>
  <si>
    <t>" - Montáž izolace tepelné potrubí pásy nebo rohožemi s Al fólií staženými drátem 1x - 4,288 m2 " (1,6)*2,680</t>
  </si>
  <si>
    <t>51d</t>
  </si>
  <si>
    <t>" - rohož izolační z minerální vlny lamelová s Al fólií tl 40 mm - 4,717 m2 " ((1,6)*2,680)*1,1</t>
  </si>
  <si>
    <t>52b</t>
  </si>
  <si>
    <t>" - Vzduchotechnické potrubí z nerezového plechu čtyřhranné průřezu přes 0,13 do 0,28 m2 - vč. veškerých tvarovek a příslušenství - 1,575 m " (8,3)*1,05</t>
  </si>
  <si>
    <t>52c</t>
  </si>
  <si>
    <t>" - Montáž izolace tepelné potrubí pásy nebo rohožemi s Al fólií staženými drátem 1x - 3,330 m2 " (8,3)*1,980</t>
  </si>
  <si>
    <t>52d</t>
  </si>
  <si>
    <t>" - rohož izolační z minerální vlny lamelová s Al fólií tl 40 mm - 3,663 m2 " ((8,3)*1,980)*1,1</t>
  </si>
  <si>
    <t>53a</t>
  </si>
  <si>
    <t xml:space="preserve">" - Uchycení potrubí čtyřhranného na montovanou konstrukci z nosníků kotvenou do konstrukce průřezu přes 0,13 do 0,28 m2, vč. montované konstrukce - 2,6 m " </t>
  </si>
  <si>
    <t>53b</t>
  </si>
  <si>
    <t>" - Vzduchotechnické potrubí z nerezového plechu čtyřhranné průřezu přes 0,13 do 0,28 m2 - vč. veškerých tvarovek a příslušenství - 2,73 m " (2,6)*1,05</t>
  </si>
  <si>
    <t>" - Montáž izolace tepelné potrubí pásy nebo rohožemi s Al fólií staženými drátem 1x - 6,188 m2 " (2,6)*2,380</t>
  </si>
  <si>
    <t>53d</t>
  </si>
  <si>
    <t>" - rohož izolační z minerální vlny lamelová s Al fólií tl 40 mm - 6,807 m2 " ((2,6)*2,380)*1,1</t>
  </si>
  <si>
    <t>54a</t>
  </si>
  <si>
    <t xml:space="preserve">" - Uchycení potrubí čtyřhranného na montovanou konstrukci z nosníků kotvenou do konstrukce průřezu přes 0,28 do 0,50 m2, vč. montované konstrukce - 2,5 m " </t>
  </si>
  <si>
    <t>54b</t>
  </si>
  <si>
    <t>" - Vzduchotechnické potrubí z nerezového plechu čtyřhranné průřezu přes 0,28 do 0,50 m2 - vč. veškerých tvarovek a příslušenství - 2,625 m " (2,5)*1,05</t>
  </si>
  <si>
    <t>54c</t>
  </si>
  <si>
    <t>" - Montáž izolace tepelné potrubí pásy nebo rohožemi s Al fólií staženými drátem 1x - 6,750 m2 " (2,5)*2,700</t>
  </si>
  <si>
    <t>54d</t>
  </si>
  <si>
    <t>" - rohož izolační z minerální vlny lamelová s Al fólií tl 40 mm - 7,425 m2 " ((2,5)*2,700)*1,1</t>
  </si>
  <si>
    <t>55b</t>
  </si>
  <si>
    <t>55c</t>
  </si>
  <si>
    <t>" - Montáž izolace tepelné potrubí pásy nebo rohožemi s Al fólií staženými drátem 1x - 6,000 m2 " (2,5)*2,400</t>
  </si>
  <si>
    <t>55d</t>
  </si>
  <si>
    <t>" - rohož izolační z minerální vlny lamelová s Al fólií tl 40 mm - 6,600 m2 " ((2,5)*2,400)*1,1</t>
  </si>
  <si>
    <t>56a</t>
  </si>
  <si>
    <t xml:space="preserve">" - Uchycení potrubí čtyřhranného na montovanou konstrukci z nosníků kotvenou do konstrukce průřezu přes 0,13 do 0,28 m2, vč. montované konstrukce - 10,9 m " </t>
  </si>
  <si>
    <t>56b</t>
  </si>
  <si>
    <t>" - Vzduchotechnické potrubí z nerezového plechu čtyřhranné průřezu přes 0,13 do 0,28 m2 - vč. veškerých tvarovek a příslušenství - 11,445 m " (10,9)*1,05</t>
  </si>
  <si>
    <t>56c</t>
  </si>
  <si>
    <t>" - Montáž izolace tepelné potrubí pásy nebo rohožemi s Al fólií staženými drátem 1x - 26,051 m2 " (10,9)*2,390</t>
  </si>
  <si>
    <t>56d</t>
  </si>
  <si>
    <t>" - rohož izolační z minerální vlny lamelová s Al fólií tl 40 mm - 28,656 m2 " ((10,9)*2,390)*1,1</t>
  </si>
  <si>
    <t>57a</t>
  </si>
  <si>
    <t xml:space="preserve">" - Uchycení potrubí čtyřhranného na montovanou konstrukci z nosníků kotvenou do konstrukce průřezu přes 0,28 do 0,50 m2, vč. montované konstrukce - 2,2 m " </t>
  </si>
  <si>
    <t>57b</t>
  </si>
  <si>
    <t>" - Vzduchotechnické potrubí z nerezového plechu čtyřhranné průřezu přes 0,28 do 0,50 m2 - vč. veškerých tvarovek a příslušenství - 2,310 m " (2,2)*1,05</t>
  </si>
  <si>
    <t>57c</t>
  </si>
  <si>
    <t>" - Montáž izolace tepelné potrubí pásy nebo rohožemi s Al fólií staženými drátem 1x - 5,434 m2 " (2,2)*2,470</t>
  </si>
  <si>
    <t>57d</t>
  </si>
  <si>
    <t>" - rohož izolační z minerální vlny lamelová s Al fólií tl 40 mm - 5,977 m2 " ((2,2)*2,470)*1,1</t>
  </si>
  <si>
    <t>58a</t>
  </si>
  <si>
    <t xml:space="preserve">" - Uchycení potrubí čtyřhranného na montovanou konstrukci z nosníků kotvenou do konstrukce průřezu přes 0,28 do 0,50 m2, vč. montované konstrukce - 32,2 m " </t>
  </si>
  <si>
    <t>58b</t>
  </si>
  <si>
    <t>" - Vzduchotechnické potrubí z nerezového plechu čtyřhranné průřezu přes 0,28 do 0,50 m2 - vč. veškerých tvarovek a příslušenství - 33,810 m " (32,2)*1,05</t>
  </si>
  <si>
    <t>58c</t>
  </si>
  <si>
    <t>" - Montáž izolace tepelné potrubí pásy nebo rohožemi s Al fólií staženými drátem 1x - 99,176 m2 " (32,2)*3,080</t>
  </si>
  <si>
    <t>58d</t>
  </si>
  <si>
    <t>" - rohož izolační z minerální vlny lamelová s Al fólií tl 40 mm - 109,094 m2 " ((32,2)*3,080)*1,1</t>
  </si>
  <si>
    <t>59a</t>
  </si>
  <si>
    <t xml:space="preserve">" - Uchycení potrubí čtyřhranného na montovanou konstrukci z nosníků kotvenou do konstrukce průřezu přes 0,50 do 0,79 m2, vč. montované konstrukce - 2,5 m " </t>
  </si>
  <si>
    <t>59b</t>
  </si>
  <si>
    <t>" - Vzduchotechnické potrubí z nerezového plechu čtyřhranné průřezu přes 0,50 do 0,79 m2 - vč. veškerých tvarovek a příslušenství - 2,625 m " (2,5)*1,05</t>
  </si>
  <si>
    <t>59c</t>
  </si>
  <si>
    <t>" - Montáž izolace tepelné potrubí pásy nebo rohožemi s Al fólií staženými drátem 1x - 8,050 m2 " (2,5)*3,220</t>
  </si>
  <si>
    <t>59d</t>
  </si>
  <si>
    <t>" - rohož izolační z minerální vlny lamelová s Al fólií tl 40 mm - 8,855 m2 " ((2,5)*3,220)*1,1</t>
  </si>
  <si>
    <t xml:space="preserve">" - Uchycení potrubí čtyřhranného na montovanou konstrukci z nosníků kotvenou do konstrukce průřezu přes 0,50 do 0,79 m2, vč. montované konstrukce - 1,4 m " </t>
  </si>
  <si>
    <t>60b</t>
  </si>
  <si>
    <t>" - Vzduchotechnické potrubí z nerezového plechu čtyřhranné průřezu přes 0,50 do 0,79 m2 - vč. veškerých tvarovek a příslušenství - 1,470 m " (1,4)*1,05</t>
  </si>
  <si>
    <t>60c</t>
  </si>
  <si>
    <t>" - Montáž izolace tepelné potrubí pásy nebo rohožemi s Al fólií staženými drátem 1x - 4,732 m2 " (1,4)*3,380</t>
  </si>
  <si>
    <t>60d</t>
  </si>
  <si>
    <t>" - rohož izolační z minerální vlny lamelová s Al fólií tl 40 mm - 5,205 m2 " ((1,4)*3,380)*1,1</t>
  </si>
  <si>
    <t>61a</t>
  </si>
  <si>
    <t xml:space="preserve">" - Uchycení potrubí čtyřhranného na montovanou konstrukci z nosníků kotvenou do konstrukce průřezu přes 0,50 do 0,79 m2, vč. montované konstrukce - 17,7 m " </t>
  </si>
  <si>
    <t>61b</t>
  </si>
  <si>
    <t>" - Vzduchotechnické potrubí z nerezového plechu čtyřhranné průřezu přes 0,50 do 0,79 m2 - vč. veškerých tvarovek a příslušenství - 18,585 m " (17,7)*1,05</t>
  </si>
  <si>
    <t>61c</t>
  </si>
  <si>
    <t>" - Montáž izolace tepelné potrubí pásy nebo rohožemi s Al fólií staženými drátem 1x - 49,560 m2 " (17,7)*2,800</t>
  </si>
  <si>
    <t>61d</t>
  </si>
  <si>
    <t>" - rohož izolační z minerální vlny lamelová s Al fólií tl 40 mm - 54,516 m2 " ((17,7)*2,800)*1,1</t>
  </si>
  <si>
    <t>" - Montáž izolace tepelné potrubí pásy nebo rohožemi s Al fólií staženými drátem 1x - 4,8 m2 " (1,5)*3,200</t>
  </si>
  <si>
    <t>" - rohož izolační z minerální vlny lamelová s Al fólií tl 40 mm - 5,28 m2 " ((1,5)*3,2)*1,1</t>
  </si>
  <si>
    <t>751571041 RTO</t>
  </si>
  <si>
    <t xml:space="preserve">" - Uchycení potrubí čtyřhranného na montovanou konstrukci z nosníků kotvenou do konstrukce průřezu přes 1,54 do 2,01 m2, vč. montované konstrukce - 1,7 m " </t>
  </si>
  <si>
    <t>63b</t>
  </si>
  <si>
    <t>751510019 RTO</t>
  </si>
  <si>
    <t>" - Vzduchotechnické potrubí z nerezového plechu čtyřhranné průřezu přes 1,54 do 2,01 m2 - vč. veškerých tvarovek a příslušenství - 1,785 m " (1,7)*1,05</t>
  </si>
  <si>
    <t>63c</t>
  </si>
  <si>
    <t>" - Montáž izolace tepelné potrubí pásy nebo rohožemi s Al fólií staženými drátem 1x - 9,435 m2 " (1,7)*5,550</t>
  </si>
  <si>
    <t>63d</t>
  </si>
  <si>
    <t>" - rohož izolační z minerální vlny lamelová s Al fólií tl 40 mm - 10,379 m2 " ((1,7)*5,550)*1,1</t>
  </si>
  <si>
    <t>" PI tl. 100 mm." ((2,042)*4)*1,1 = 8,985 m2 → ZRUŠENO A NAHRAZENO TI</t>
  </si>
  <si>
    <t>" TI tl. 100 mm." (((2,042)*4)*2)*1,1 = 17,97 m2</t>
  </si>
  <si>
    <r>
      <t>" Záchytný systém proti pádu osob složený z nerezového lana Ø 8 mm a nerezových kotvících bodů určených pro přikotvení do ŽB konstrukce</t>
    </r>
    <r>
      <rPr>
        <sz val="8"/>
        <color rgb="FFFF00FF"/>
        <rFont val="Arial CE"/>
        <family val="2"/>
        <charset val="238"/>
      </rPr>
      <t xml:space="preserve"> a předpjatých dutinových panelů</t>
    </r>
    <r>
      <rPr>
        <sz val="8"/>
        <color indexed="12"/>
        <rFont val="Arial CE"/>
        <family val="2"/>
        <charset val="238"/>
      </rPr>
      <t>. "</t>
    </r>
  </si>
  <si>
    <t>" Kotvení kotvících bodů pro předpjaté dutinové panely → sevřením přes desku 100×100 mm v horním líci a 200×200 mm v dolním, pomocí závitové tyče a ztužení. "</t>
  </si>
  <si>
    <r>
      <t>" - Nerezové lanko  Ø 8 mm " (</t>
    </r>
    <r>
      <rPr>
        <sz val="8"/>
        <color rgb="FFFF00FF"/>
        <rFont val="Arial CE"/>
        <family val="2"/>
        <charset val="238"/>
      </rPr>
      <t>109,2</t>
    </r>
    <r>
      <rPr>
        <sz val="8"/>
        <color indexed="12"/>
        <rFont val="Arial CE"/>
        <family val="2"/>
        <charset val="238"/>
      </rPr>
      <t>)*1,1</t>
    </r>
  </si>
  <si>
    <t>7678819021 SPC</t>
  </si>
  <si>
    <t>" - Nerezové kotvící body pro přikotvení do předpjatých dutinových panelů vč. příslušenství - plochá střecha - rohové "</t>
  </si>
  <si>
    <t>6db</t>
  </si>
  <si>
    <t>7678819022 SPC</t>
  </si>
  <si>
    <t>" - Nerezové kotvící body pro přikotvení do předpjatých dutinových panelů vč. příslušenství - plochá střecha - průběžné "</t>
  </si>
  <si>
    <t>" - Napínací koncovka pro nerezové lano pro systémy s permanentním kotvícím vedením vč. napnutí lana a prací s tím související.. "</t>
  </si>
  <si>
    <t>" - Popisovací štítek pro označení jednotlivých úseků permanentního kotvícího systému vč. zajištění popisu. "</t>
  </si>
  <si>
    <t>" Střecha " 1</t>
  </si>
  <si>
    <r>
      <t xml:space="preserve">" POZN: Pevná koncovka, napínací koncovka a označovací štítek je uvažován 1 ks pro úsek do 80 m. </t>
    </r>
    <r>
      <rPr>
        <sz val="8"/>
        <color rgb="FFFF00FF"/>
        <rFont val="Arial CE"/>
        <family val="2"/>
        <charset val="238"/>
      </rPr>
      <t xml:space="preserve">Z tohoto důvodu jsou uvažovány 2 ks od každého zmíněného prvku. </t>
    </r>
    <r>
      <rPr>
        <sz val="8"/>
        <color indexed="12"/>
        <rFont val="Arial CE"/>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</si>
</sst>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0\ &quot;Kč&quot;;\-#,##0\ &quot;Kč&quot;"/>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quot; Kč&quot;;[Red]\-#,##0.00&quot; Kč&quot;"/>
    <numFmt numFmtId="171" formatCode="h:mm;@"/>
    <numFmt numFmtId="172" formatCode="#,##0.000"/>
    <numFmt numFmtId="173" formatCode="#,##0.00_ ;\-#,##0.00\ "/>
    <numFmt numFmtId="174" formatCode="#,##0.00\ &quot;Kč&quot;"/>
    <numFmt numFmtId="175" formatCode="####;\-####"/>
    <numFmt numFmtId="176" formatCode="#,##0.000;\-#,##0.000"/>
    <numFmt numFmtId="177" formatCode="#,##0\ &quot;Kč&quot;"/>
    <numFmt numFmtId="178" formatCode="_-* #,##0.00\ [$Kč-405]_-;\-* #,##0.00\ [$Kč-405]_-;_-* &quot;-&quot;??\ [$Kč-405]_-;_-@_-"/>
    <numFmt numFmtId="179" formatCode="0&quot; m&quot;"/>
    <numFmt numFmtId="180" formatCode="#,##0.0000_ ;\-#,##0.0000\ "/>
    <numFmt numFmtId="181" formatCode="0.000"/>
    <numFmt numFmtId="182" formatCode="#,##0_ ;\-#,##0\ "/>
    <numFmt numFmtId="183" formatCode="#,##0.000_ ;\-#,##0.000\ "/>
  </numFmts>
  <fonts count="355">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b/>
      <sz val="10"/>
      <color rgb="FFFF0000"/>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0"/>
      <name val="Arial CE"/>
      <family val="2"/>
      <charset val="238"/>
    </font>
    <font>
      <sz val="11"/>
      <color rgb="FF000000"/>
      <name val="Calibri"/>
      <family val="2"/>
      <charset val="238"/>
    </font>
    <font>
      <sz val="10"/>
      <name val="Arial"/>
      <family val="2"/>
      <charset val="238"/>
    </font>
    <font>
      <b/>
      <u/>
      <sz val="10"/>
      <name val="Arial CE"/>
      <family val="2"/>
      <charset val="238"/>
    </font>
    <font>
      <u/>
      <sz val="10"/>
      <name val="Arial CE"/>
      <family val="2"/>
      <charset val="238"/>
    </font>
    <font>
      <sz val="11"/>
      <name val="Arial CE"/>
      <family val="2"/>
      <charset val="238"/>
    </font>
    <font>
      <b/>
      <i/>
      <sz val="11"/>
      <name val="Arial CE"/>
      <family val="2"/>
      <charset val="238"/>
    </font>
    <font>
      <sz val="11"/>
      <color rgb="FFFF0000"/>
      <name val="Arial CE"/>
      <family val="2"/>
      <charset val="238"/>
    </font>
    <font>
      <sz val="8"/>
      <color indexed="8"/>
      <name val="Arial"/>
      <family val="2"/>
      <charset val="238"/>
    </font>
    <font>
      <sz val="8"/>
      <color indexed="12"/>
      <name val="Arial CE"/>
      <family val="2"/>
      <charset val="238"/>
    </font>
    <font>
      <b/>
      <i/>
      <sz val="10"/>
      <name val="Arial CE"/>
      <family val="2"/>
      <charset val="238"/>
    </font>
    <font>
      <b/>
      <sz val="20"/>
      <color rgb="FFFF0000"/>
      <name val="Arial"/>
      <family val="2"/>
      <charset val="238"/>
    </font>
    <font>
      <b/>
      <sz val="11"/>
      <color theme="1"/>
      <name val="Calibri"/>
      <family val="2"/>
      <charset val="238"/>
      <scheme val="minor"/>
    </font>
    <font>
      <b/>
      <sz val="14"/>
      <color indexed="10"/>
      <name val="Arial CE"/>
      <family val="2"/>
      <charset val="238"/>
    </font>
    <font>
      <sz val="7"/>
      <name val="Arial CE"/>
      <family val="2"/>
      <charset val="238"/>
    </font>
    <font>
      <b/>
      <sz val="11"/>
      <color rgb="FFFF0000"/>
      <name val="Arial CE"/>
      <family val="2"/>
      <charset val="238"/>
    </font>
    <font>
      <b/>
      <sz val="8"/>
      <name val="Arial CE"/>
      <family val="2"/>
      <charset val="238"/>
    </font>
    <font>
      <b/>
      <sz val="12"/>
      <color rgb="FFFF0000"/>
      <name val="Arial CE"/>
      <family val="2"/>
      <charset val="238"/>
    </font>
    <font>
      <sz val="8"/>
      <name val="Arial CYR"/>
      <charset val="238"/>
    </font>
    <font>
      <b/>
      <sz val="13.5"/>
      <color rgb="FFFF0000"/>
      <name val="MS Sans Serif"/>
      <family val="2"/>
    </font>
    <font>
      <sz val="14"/>
      <color rgb="FFFF0000"/>
      <name val="Calibri"/>
      <family val="2"/>
      <scheme val="minor"/>
    </font>
    <font>
      <b/>
      <sz val="10"/>
      <name val="MS Sans Serif"/>
      <family val="2"/>
      <charset val="238"/>
    </font>
    <font>
      <b/>
      <sz val="8"/>
      <name val="MS Sans Serif"/>
      <charset val="238"/>
    </font>
    <font>
      <sz val="8"/>
      <color rgb="FF0000FF"/>
      <name val="Arial CE"/>
      <family val="2"/>
      <charset val="238"/>
    </font>
    <font>
      <b/>
      <sz val="8"/>
      <color rgb="FF0000FF"/>
      <name val="MS Sans Serif"/>
      <charset val="238"/>
    </font>
    <font>
      <sz val="8"/>
      <color rgb="FF0000FF"/>
      <name val="MS Sans Serif"/>
      <family val="2"/>
      <charset val="238"/>
    </font>
    <font>
      <b/>
      <sz val="8"/>
      <color rgb="FFFF0000"/>
      <name val="MS Sans Serif"/>
      <charset val="238"/>
    </font>
    <font>
      <sz val="9"/>
      <color theme="1"/>
      <name val="Arial CE"/>
      <family val="2"/>
      <charset val="238"/>
    </font>
    <font>
      <i/>
      <sz val="8"/>
      <name val="Arial CE"/>
      <family val="2"/>
      <charset val="238"/>
    </font>
    <font>
      <i/>
      <sz val="8"/>
      <color rgb="FF0000FF"/>
      <name val="Arial CE"/>
      <family val="2"/>
      <charset val="238"/>
    </font>
    <font>
      <i/>
      <sz val="8"/>
      <color indexed="12"/>
      <name val="Arial CE"/>
      <family val="2"/>
      <charset val="238"/>
    </font>
    <font>
      <b/>
      <sz val="14"/>
      <color rgb="FFFF0000"/>
      <name val="Arial CE"/>
      <family val="2"/>
      <charset val="238"/>
    </font>
    <font>
      <b/>
      <sz val="10"/>
      <color rgb="FFFF0000"/>
      <name val="MS Sans Serif"/>
      <charset val="238"/>
    </font>
    <font>
      <b/>
      <sz val="8"/>
      <color indexed="12"/>
      <name val="Arial CE"/>
      <family val="2"/>
      <charset val="238"/>
    </font>
    <font>
      <sz val="8"/>
      <color rgb="FFFF0000"/>
      <name val="MS Sans Serif"/>
      <family val="2"/>
    </font>
    <font>
      <sz val="8"/>
      <color indexed="18"/>
      <name val="Arial CE"/>
      <family val="2"/>
      <charset val="238"/>
    </font>
    <font>
      <b/>
      <sz val="10"/>
      <color rgb="FFFF0000"/>
      <name val="Arial CE"/>
      <family val="2"/>
      <charset val="238"/>
    </font>
    <font>
      <b/>
      <sz val="12"/>
      <color rgb="FFFF0000"/>
      <name val="MS Sans Serif"/>
      <charset val="238"/>
    </font>
    <font>
      <sz val="8"/>
      <color indexed="10"/>
      <name val="MS Sans Serif"/>
      <family val="2"/>
      <charset val="238"/>
    </font>
    <font>
      <b/>
      <sz val="12"/>
      <color rgb="FFFF0000"/>
      <name val="Calibri"/>
      <family val="2"/>
      <scheme val="minor"/>
    </font>
    <font>
      <b/>
      <sz val="8"/>
      <name val="MS Sans Serif"/>
      <family val="2"/>
      <charset val="238"/>
    </font>
    <font>
      <sz val="11"/>
      <name val="Calibri"/>
      <family val="2"/>
      <scheme val="minor"/>
    </font>
    <font>
      <sz val="11"/>
      <color rgb="FF0000FF"/>
      <name val="Calibri"/>
      <family val="2"/>
      <scheme val="minor"/>
    </font>
    <font>
      <b/>
      <sz val="11"/>
      <color rgb="FFFF0000"/>
      <name val="Calibri"/>
      <family val="2"/>
      <charset val="238"/>
      <scheme val="minor"/>
    </font>
    <font>
      <sz val="8"/>
      <color indexed="12"/>
      <name val="MS Sans Serif"/>
      <family val="2"/>
      <charset val="238"/>
    </font>
    <font>
      <b/>
      <sz val="14"/>
      <color rgb="FFFF0000"/>
      <name val="Calibri"/>
      <family val="2"/>
      <charset val="238"/>
      <scheme val="minor"/>
    </font>
    <font>
      <b/>
      <sz val="14"/>
      <color theme="1"/>
      <name val="Calibri"/>
      <family val="2"/>
      <charset val="238"/>
      <scheme val="minor"/>
    </font>
    <font>
      <b/>
      <sz val="11"/>
      <color theme="1"/>
      <name val="Arial CE"/>
      <family val="2"/>
      <charset val="238"/>
    </font>
    <font>
      <b/>
      <sz val="9"/>
      <color theme="1"/>
      <name val="Arial CE"/>
      <family val="2"/>
      <charset val="238"/>
    </font>
    <font>
      <sz val="9"/>
      <color theme="1"/>
      <name val="Calibri"/>
      <family val="2"/>
      <scheme val="minor"/>
    </font>
    <font>
      <b/>
      <sz val="8"/>
      <color rgb="FFFF0000"/>
      <name val="MS Sans Serif"/>
      <family val="2"/>
      <charset val="238"/>
    </font>
    <font>
      <sz val="11"/>
      <color theme="1"/>
      <name val="Arial CE"/>
      <family val="2"/>
      <charset val="238"/>
    </font>
    <font>
      <sz val="8"/>
      <color theme="1"/>
      <name val="Arial CE"/>
      <family val="2"/>
      <charset val="238"/>
    </font>
    <font>
      <b/>
      <sz val="10"/>
      <color rgb="FFFF0000"/>
      <name val="MS Sans Serif"/>
      <family val="2"/>
      <charset val="238"/>
    </font>
    <font>
      <b/>
      <sz val="11"/>
      <color rgb="FFFF0000"/>
      <name val="MS Sans Serif"/>
      <family val="2"/>
      <charset val="238"/>
    </font>
    <font>
      <b/>
      <sz val="10"/>
      <color rgb="FFFF0000"/>
      <name val="MS Sans Serif"/>
      <family val="2"/>
    </font>
    <font>
      <b/>
      <sz val="8"/>
      <color rgb="FFFF0000"/>
      <name val="MS Sans Serif"/>
      <family val="2"/>
    </font>
    <font>
      <b/>
      <sz val="11"/>
      <color rgb="FFFF0000"/>
      <name val="MS Sans Serif"/>
      <family val="2"/>
    </font>
    <font>
      <sz val="12"/>
      <name val="Calibri"/>
      <family val="2"/>
      <charset val="238"/>
      <scheme val="minor"/>
    </font>
    <font>
      <sz val="11"/>
      <color rgb="FFFF0000"/>
      <name val="Calibri"/>
      <family val="2"/>
      <scheme val="minor"/>
    </font>
    <font>
      <b/>
      <sz val="8"/>
      <color rgb="FF7030A0"/>
      <name val="MS Sans Serif"/>
      <family val="2"/>
    </font>
    <font>
      <sz val="8.5"/>
      <name val="MS Sans Serif"/>
      <family val="2"/>
    </font>
    <font>
      <b/>
      <sz val="18"/>
      <color theme="3" tint="0.39997558519241921"/>
      <name val="Arial CE"/>
      <family val="2"/>
      <charset val="238"/>
    </font>
    <font>
      <b/>
      <sz val="12"/>
      <color rgb="FFFF0000"/>
      <name val="MS Sans Serif"/>
      <family val="2"/>
      <charset val="238"/>
    </font>
    <font>
      <i/>
      <sz val="8"/>
      <name val="MS Sans Serif"/>
      <family val="2"/>
      <charset val="238"/>
    </font>
    <font>
      <b/>
      <sz val="18"/>
      <color rgb="FFFF0000"/>
      <name val="Calibri"/>
      <family val="2"/>
      <charset val="238"/>
      <scheme val="minor"/>
    </font>
    <font>
      <sz val="8"/>
      <name val="Arial CE"/>
      <family val="2"/>
    </font>
    <font>
      <b/>
      <sz val="11"/>
      <color rgb="FFFF0000"/>
      <name val="Arial"/>
      <family val="2"/>
      <charset val="238"/>
    </font>
    <font>
      <b/>
      <sz val="12"/>
      <color theme="1"/>
      <name val="Calibri"/>
      <family val="2"/>
      <charset val="238"/>
      <scheme val="minor"/>
    </font>
    <font>
      <sz val="8"/>
      <color indexed="12"/>
      <name val="Arial CE"/>
      <family val="2"/>
    </font>
    <font>
      <sz val="8"/>
      <color theme="1"/>
      <name val="Calibri"/>
      <family val="2"/>
      <scheme val="minor"/>
    </font>
    <font>
      <sz val="8"/>
      <color indexed="10"/>
      <name val="Arial CE"/>
      <family val="2"/>
      <charset val="238"/>
    </font>
    <font>
      <b/>
      <sz val="10"/>
      <color theme="1"/>
      <name val="Arial CE"/>
      <family val="2"/>
      <charset val="238"/>
    </font>
    <font>
      <u/>
      <sz val="10"/>
      <color theme="10"/>
      <name val="Calibri"/>
      <family val="2"/>
      <charset val="238"/>
    </font>
    <font>
      <b/>
      <i/>
      <sz val="11"/>
      <name val="Calibri"/>
      <family val="2"/>
      <scheme val="minor"/>
    </font>
    <font>
      <i/>
      <sz val="11"/>
      <color theme="1"/>
      <name val="Calibri"/>
      <family val="2"/>
      <scheme val="minor"/>
    </font>
    <font>
      <sz val="8"/>
      <color theme="1"/>
      <name val="Calibri"/>
      <family val="2"/>
      <charset val="238"/>
      <scheme val="minor"/>
    </font>
    <font>
      <i/>
      <sz val="11"/>
      <color theme="1"/>
      <name val="Calibri"/>
      <family val="2"/>
      <charset val="238"/>
      <scheme val="minor"/>
    </font>
    <font>
      <b/>
      <sz val="12"/>
      <name val="Calibri"/>
      <family val="2"/>
      <charset val="238"/>
      <scheme val="minor"/>
    </font>
    <font>
      <b/>
      <i/>
      <sz val="11"/>
      <color theme="1"/>
      <name val="Calibri"/>
      <family val="2"/>
      <charset val="238"/>
      <scheme val="minor"/>
    </font>
    <font>
      <sz val="20"/>
      <name val="Calibri"/>
      <family val="2"/>
      <scheme val="minor"/>
    </font>
    <font>
      <b/>
      <sz val="14"/>
      <name val="Calibri"/>
      <family val="2"/>
      <scheme val="minor"/>
    </font>
    <font>
      <sz val="14"/>
      <color theme="1"/>
      <name val="Arial CE"/>
      <family val="2"/>
      <charset val="238"/>
    </font>
    <font>
      <sz val="14"/>
      <color theme="1"/>
      <name val="Calibri"/>
      <family val="2"/>
      <scheme val="minor"/>
    </font>
    <font>
      <sz val="10"/>
      <color theme="1"/>
      <name val="Arial CE"/>
      <family val="2"/>
      <charset val="238"/>
    </font>
    <font>
      <b/>
      <sz val="11"/>
      <name val="Calibri"/>
      <family val="2"/>
      <charset val="238"/>
      <scheme val="minor"/>
    </font>
    <font>
      <i/>
      <sz val="8"/>
      <name val="MS Sans Serif"/>
      <family val="2"/>
    </font>
    <font>
      <sz val="8"/>
      <color rgb="FFFF0000"/>
      <name val="Arial CE"/>
      <family val="2"/>
      <charset val="238"/>
    </font>
    <font>
      <sz val="8"/>
      <color rgb="FFFF0000"/>
      <name val="Trebuchet MS"/>
      <family val="2"/>
    </font>
    <font>
      <b/>
      <sz val="9"/>
      <color rgb="FFFF0000"/>
      <name val="Arial CE"/>
      <family val="2"/>
      <charset val="238"/>
    </font>
    <font>
      <b/>
      <sz val="11"/>
      <color rgb="FF0000FF"/>
      <name val="Arial CE"/>
      <family val="2"/>
      <charset val="238"/>
    </font>
    <font>
      <b/>
      <sz val="12"/>
      <color rgb="FF0000FF"/>
      <name val="Arial CE"/>
      <family val="2"/>
      <charset val="238"/>
    </font>
    <font>
      <b/>
      <sz val="8"/>
      <color rgb="FFFF0000"/>
      <name val="Arial CE"/>
      <family val="2"/>
      <charset val="238"/>
    </font>
    <font>
      <b/>
      <sz val="10"/>
      <color rgb="FF0000FF"/>
      <name val="Arial CE"/>
      <family val="2"/>
      <charset val="238"/>
    </font>
    <font>
      <b/>
      <sz val="11"/>
      <name val="Arial CE"/>
      <family val="2"/>
      <charset val="238"/>
    </font>
    <font>
      <sz val="8"/>
      <name val="Calibri"/>
      <family val="2"/>
      <scheme val="minor"/>
    </font>
    <font>
      <i/>
      <sz val="12"/>
      <color rgb="FFFF0000"/>
      <name val="Calibri"/>
      <family val="2"/>
      <charset val="238"/>
      <scheme val="minor"/>
    </font>
    <font>
      <b/>
      <sz val="12"/>
      <color rgb="FFFF0000"/>
      <name val="Calibri"/>
      <family val="2"/>
      <charset val="238"/>
      <scheme val="minor"/>
    </font>
    <font>
      <sz val="8"/>
      <color indexed="12"/>
      <name val="MS Gothic"/>
      <family val="3"/>
      <charset val="238"/>
    </font>
    <font>
      <sz val="9.1999999999999993"/>
      <color indexed="12"/>
      <name val="Arial CE"/>
      <family val="2"/>
      <charset val="238"/>
    </font>
    <font>
      <b/>
      <sz val="12"/>
      <color rgb="FFFF0000"/>
      <name val="MS Sans Serif"/>
      <family val="2"/>
    </font>
    <font>
      <sz val="9"/>
      <color indexed="12"/>
      <name val="MS Sans Serif"/>
      <family val="2"/>
      <charset val="238"/>
    </font>
    <font>
      <sz val="11"/>
      <name val="Calibri"/>
      <family val="2"/>
      <charset val="238"/>
      <scheme val="minor"/>
    </font>
    <font>
      <b/>
      <sz val="10"/>
      <color theme="1"/>
      <name val="Calibri"/>
      <family val="2"/>
      <scheme val="minor"/>
    </font>
    <font>
      <b/>
      <sz val="10"/>
      <color rgb="FFFF0000"/>
      <name val="Calibri"/>
      <family val="2"/>
      <scheme val="minor"/>
    </font>
    <font>
      <sz val="8"/>
      <color rgb="FFFF0000"/>
      <name val="MS Sans Serif"/>
      <family val="2"/>
      <charset val="238"/>
    </font>
    <font>
      <b/>
      <sz val="8.5"/>
      <color rgb="FFFF0000"/>
      <name val="MS Sans Serif"/>
      <family val="2"/>
    </font>
    <font>
      <b/>
      <sz val="12"/>
      <name val="MS Sans Serif"/>
      <family val="2"/>
    </font>
    <font>
      <b/>
      <u/>
      <sz val="8"/>
      <color indexed="10"/>
      <name val="Arial CE"/>
      <family val="2"/>
      <charset val="238"/>
    </font>
    <font>
      <b/>
      <sz val="8"/>
      <name val="Arial"/>
      <family val="2"/>
      <charset val="238"/>
    </font>
    <font>
      <b/>
      <sz val="8"/>
      <color indexed="12"/>
      <name val="Arial"/>
      <family val="2"/>
      <charset val="238"/>
    </font>
    <font>
      <b/>
      <sz val="8"/>
      <color indexed="20"/>
      <name val="Arial"/>
      <family val="2"/>
      <charset val="238"/>
    </font>
    <font>
      <b/>
      <sz val="8"/>
      <color indexed="21"/>
      <name val="Arial"/>
      <family val="2"/>
      <charset val="238"/>
    </font>
    <font>
      <b/>
      <u/>
      <sz val="8"/>
      <name val="Arial"/>
      <family val="2"/>
      <charset val="238"/>
    </font>
    <font>
      <b/>
      <u/>
      <sz val="8"/>
      <color indexed="10"/>
      <name val="Arial"/>
      <family val="2"/>
      <charset val="238"/>
    </font>
    <font>
      <sz val="11"/>
      <color rgb="FFFF0000"/>
      <name val="Calibri"/>
      <family val="2"/>
      <charset val="238"/>
      <scheme val="minor"/>
    </font>
    <font>
      <sz val="10"/>
      <name val="Calibri"/>
      <family val="2"/>
      <charset val="238"/>
      <scheme val="minor"/>
    </font>
    <font>
      <b/>
      <sz val="10"/>
      <name val="MS Sans Serif"/>
      <family val="2"/>
    </font>
    <font>
      <b/>
      <sz val="14"/>
      <color rgb="FFFF0000"/>
      <name val="Arial"/>
      <family val="2"/>
      <charset val="238"/>
    </font>
    <font>
      <b/>
      <sz val="11"/>
      <color rgb="FF0070C0"/>
      <name val="Arial CE"/>
      <family val="2"/>
      <charset val="238"/>
    </font>
    <font>
      <b/>
      <sz val="10"/>
      <name val="Calibri"/>
      <family val="2"/>
      <charset val="238"/>
      <scheme val="minor"/>
    </font>
    <font>
      <b/>
      <sz val="9"/>
      <color rgb="FFFF0000"/>
      <name val="MS Sans Serif"/>
      <charset val="238"/>
    </font>
    <font>
      <b/>
      <sz val="14"/>
      <name val="Arial CE"/>
      <family val="2"/>
      <charset val="238"/>
    </font>
    <font>
      <b/>
      <sz val="12"/>
      <color rgb="FFFF0000"/>
      <name val="Arial"/>
      <family val="2"/>
      <charset val="238"/>
    </font>
    <font>
      <sz val="8"/>
      <color indexed="54"/>
      <name val="MS Sans Serif"/>
      <family val="2"/>
      <charset val="238"/>
    </font>
    <font>
      <b/>
      <u/>
      <sz val="11"/>
      <color rgb="FFFF0000"/>
      <name val="Calibri"/>
      <family val="2"/>
      <charset val="238"/>
    </font>
    <font>
      <b/>
      <sz val="11"/>
      <color rgb="FFFF0000"/>
      <name val="Trebuchet MS"/>
      <family val="2"/>
      <charset val="238"/>
    </font>
    <font>
      <b/>
      <sz val="11"/>
      <color rgb="FFFF0000"/>
      <name val="MS Sans Serif"/>
      <charset val="238"/>
    </font>
    <font>
      <b/>
      <sz val="10"/>
      <name val="MS Sans Serif"/>
      <charset val="238"/>
    </font>
    <font>
      <sz val="11"/>
      <color theme="10"/>
      <name val="Calibri"/>
      <family val="2"/>
      <charset val="238"/>
    </font>
    <font>
      <sz val="12"/>
      <color rgb="FFFF0000"/>
      <name val="Calibri"/>
      <family val="2"/>
      <scheme val="minor"/>
    </font>
    <font>
      <b/>
      <sz val="11"/>
      <color rgb="FF0000FF"/>
      <name val="Calibri"/>
      <family val="2"/>
      <scheme val="minor"/>
    </font>
    <font>
      <i/>
      <sz val="10"/>
      <name val="Arial CE"/>
      <family val="2"/>
      <charset val="238"/>
    </font>
    <font>
      <b/>
      <sz val="10"/>
      <color indexed="10"/>
      <name val="MS Sans Serif"/>
      <family val="2"/>
    </font>
    <font>
      <b/>
      <sz val="8"/>
      <color indexed="10"/>
      <name val="MS Sans Serif"/>
      <family val="2"/>
    </font>
    <font>
      <b/>
      <sz val="11"/>
      <color indexed="10"/>
      <name val="MS Sans Serif"/>
      <family val="2"/>
    </font>
    <font>
      <sz val="10"/>
      <color rgb="FF0000FF"/>
      <name val="Arial CE"/>
      <family val="2"/>
      <charset val="238"/>
    </font>
    <font>
      <sz val="11"/>
      <name val="Calibri"/>
      <family val="2"/>
      <charset val="238"/>
    </font>
    <font>
      <sz val="9"/>
      <color rgb="FF0000FF"/>
      <name val="Arial CE"/>
      <family val="2"/>
      <charset val="238"/>
    </font>
    <font>
      <b/>
      <sz val="14"/>
      <color rgb="FFFF0000"/>
      <name val="Arial CYR"/>
      <charset val="238"/>
    </font>
    <font>
      <b/>
      <sz val="11"/>
      <name val="MS Sans Serif"/>
      <charset val="238"/>
    </font>
    <font>
      <sz val="11"/>
      <color rgb="FFFF0000"/>
      <name val="Calibri"/>
      <family val="2"/>
    </font>
    <font>
      <u/>
      <sz val="11"/>
      <color rgb="FFFF0000"/>
      <name val="Calibri"/>
      <family val="2"/>
    </font>
    <font>
      <b/>
      <sz val="14"/>
      <color rgb="FFFF0000"/>
      <name val="Calibri"/>
      <family val="2"/>
      <charset val="238"/>
    </font>
    <font>
      <b/>
      <sz val="14"/>
      <color indexed="10"/>
      <name val="Calibri"/>
      <family val="2"/>
      <charset val="238"/>
    </font>
    <font>
      <sz val="11"/>
      <color theme="10"/>
      <name val="Calibri"/>
      <family val="2"/>
    </font>
    <font>
      <sz val="8.5"/>
      <color rgb="FFFF0000"/>
      <name val="MS Sans Serif"/>
      <family val="2"/>
    </font>
    <font>
      <sz val="11"/>
      <color theme="1"/>
      <name val="Aptos"/>
      <family val="2"/>
      <charset val="238"/>
    </font>
    <font>
      <b/>
      <sz val="11"/>
      <color theme="0"/>
      <name val="Aptos"/>
      <family val="2"/>
      <charset val="238"/>
    </font>
    <font>
      <vertAlign val="subscript"/>
      <sz val="11"/>
      <color theme="1"/>
      <name val="Aptos"/>
      <family val="2"/>
      <charset val="238"/>
    </font>
    <font>
      <b/>
      <sz val="11"/>
      <color theme="1"/>
      <name val="Aptos"/>
      <family val="2"/>
      <charset val="238"/>
    </font>
    <font>
      <b/>
      <sz val="10"/>
      <color rgb="FFFF0000"/>
      <name val="Trebuchet MS"/>
      <family val="2"/>
      <charset val="238"/>
    </font>
    <font>
      <sz val="8"/>
      <color rgb="FFFF0000"/>
      <name val="MS Sans Serif"/>
      <charset val="1"/>
    </font>
    <font>
      <sz val="8"/>
      <color indexed="20"/>
      <name val="MS Sans Serif"/>
      <family val="2"/>
      <charset val="238"/>
    </font>
    <font>
      <sz val="8"/>
      <color indexed="54"/>
      <name val="Arial CE"/>
      <family val="2"/>
      <charset val="238"/>
    </font>
    <font>
      <sz val="10"/>
      <color rgb="FFFF0000"/>
      <name val="Arial CE"/>
      <family val="2"/>
      <charset val="238"/>
    </font>
    <font>
      <b/>
      <sz val="8.5"/>
      <color rgb="FFFF0000"/>
      <name val="MS Sans Serif"/>
      <family val="2"/>
      <charset val="238"/>
    </font>
    <font>
      <sz val="8"/>
      <color theme="1"/>
      <name val="Arial"/>
      <family val="2"/>
      <charset val="238"/>
    </font>
    <font>
      <b/>
      <sz val="9"/>
      <color rgb="FFFF0000"/>
      <name val="Arial CYR"/>
      <charset val="238"/>
    </font>
    <font>
      <sz val="12"/>
      <color rgb="FF0000FF"/>
      <name val="Calibri"/>
      <family val="2"/>
      <charset val="238"/>
      <scheme val="minor"/>
    </font>
    <font>
      <sz val="10"/>
      <color theme="1"/>
      <name val="Calibri"/>
      <family val="2"/>
      <scheme val="minor"/>
    </font>
    <font>
      <sz val="16"/>
      <color rgb="FFFF0000"/>
      <name val="Arial CE"/>
      <family val="2"/>
      <charset val="238"/>
    </font>
    <font>
      <b/>
      <sz val="11"/>
      <name val="Arial"/>
      <family val="2"/>
      <charset val="238"/>
    </font>
    <font>
      <i/>
      <sz val="9"/>
      <color theme="1"/>
      <name val="Calibri"/>
      <family val="2"/>
      <charset val="238"/>
      <scheme val="minor"/>
    </font>
    <font>
      <sz val="8"/>
      <color rgb="FF0000FF"/>
      <name val="Arial"/>
      <family val="2"/>
      <charset val="238"/>
    </font>
    <font>
      <b/>
      <sz val="8"/>
      <name val="MS Sans Serif"/>
      <family val="2"/>
    </font>
    <font>
      <b/>
      <sz val="9"/>
      <color rgb="FFFF0000"/>
      <name val="MS Sans Serif"/>
      <family val="2"/>
      <charset val="238"/>
    </font>
    <font>
      <b/>
      <sz val="10"/>
      <color indexed="12"/>
      <name val="MS Sans Serif"/>
      <family val="2"/>
      <charset val="238"/>
    </font>
    <font>
      <b/>
      <sz val="12"/>
      <name val="MS Sans Serif"/>
      <family val="2"/>
      <charset val="238"/>
    </font>
    <font>
      <b/>
      <sz val="14"/>
      <color rgb="FFFF0000"/>
      <name val="MS Sans Serif"/>
      <family val="2"/>
      <charset val="238"/>
    </font>
    <font>
      <sz val="8"/>
      <color rgb="FF3333FF"/>
      <name val="Arial CE"/>
      <family val="2"/>
      <charset val="238"/>
    </font>
    <font>
      <b/>
      <sz val="9"/>
      <name val="MS Sans Serif"/>
      <charset val="238"/>
    </font>
    <font>
      <b/>
      <sz val="9"/>
      <color rgb="FFFF0000"/>
      <name val="Trebuchet MS"/>
      <family val="2"/>
      <charset val="238"/>
    </font>
    <font>
      <b/>
      <sz val="11"/>
      <color rgb="FFFF0000"/>
      <name val="Calibri"/>
      <family val="2"/>
      <charset val="238"/>
    </font>
    <font>
      <sz val="12"/>
      <color rgb="FFFF0000"/>
      <name val="MS Sans Serif"/>
    </font>
    <font>
      <sz val="12"/>
      <name val="MS Sans Serif"/>
    </font>
    <font>
      <b/>
      <sz val="12"/>
      <name val="MS Sans Serif"/>
      <charset val="238"/>
    </font>
    <font>
      <b/>
      <sz val="18"/>
      <color rgb="FFFF0000"/>
      <name val="Arial"/>
      <family val="2"/>
      <charset val="238"/>
    </font>
    <font>
      <b/>
      <sz val="11"/>
      <name val="Calibri"/>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8"/>
      <color indexed="10"/>
      <name val="MS Sans Serif"/>
      <family val="2"/>
      <charset val="238"/>
    </font>
    <font>
      <b/>
      <sz val="8"/>
      <color indexed="10"/>
      <name val="Arial CE"/>
      <family val="2"/>
      <charset val="238"/>
    </font>
    <font>
      <b/>
      <sz val="16"/>
      <name val="Arial"/>
      <family val="2"/>
      <charset val="238"/>
    </font>
    <font>
      <b/>
      <u/>
      <sz val="12"/>
      <color rgb="FFFF0000"/>
      <name val="Calibri"/>
      <family val="2"/>
      <charset val="238"/>
    </font>
    <font>
      <sz val="14"/>
      <name val="MS Sans Serif"/>
      <family val="2"/>
      <charset val="238"/>
    </font>
    <font>
      <sz val="11"/>
      <name val="Calibri"/>
      <family val="2"/>
    </font>
    <font>
      <b/>
      <sz val="10"/>
      <color indexed="10"/>
      <name val="Arial CE"/>
      <family val="2"/>
      <charset val="238"/>
    </font>
    <font>
      <b/>
      <sz val="16"/>
      <color rgb="FFFF0000"/>
      <name val="Calibri"/>
      <family val="2"/>
      <charset val="238"/>
    </font>
    <font>
      <b/>
      <sz val="8"/>
      <color theme="1"/>
      <name val="Trebuchet MS"/>
      <family val="2"/>
      <charset val="238"/>
    </font>
    <font>
      <b/>
      <u/>
      <sz val="11"/>
      <name val="MS Sans Serif"/>
      <charset val="238"/>
    </font>
    <font>
      <b/>
      <sz val="16"/>
      <color rgb="FFFF0000"/>
      <name val="Trebuchet MS"/>
      <family val="2"/>
      <charset val="238"/>
    </font>
    <font>
      <sz val="16"/>
      <color theme="1"/>
      <name val="Calibri"/>
      <family val="2"/>
      <charset val="238"/>
      <scheme val="minor"/>
    </font>
    <font>
      <b/>
      <sz val="12"/>
      <name val="Calibri"/>
      <family val="2"/>
      <charset val="238"/>
    </font>
    <font>
      <b/>
      <u/>
      <sz val="11"/>
      <name val="Calibri"/>
      <family val="2"/>
      <charset val="238"/>
    </font>
    <font>
      <sz val="10"/>
      <name val="Calibri"/>
      <family val="2"/>
      <charset val="238"/>
    </font>
    <font>
      <b/>
      <sz val="11"/>
      <color indexed="10"/>
      <name val="Arial CE"/>
      <family val="2"/>
      <charset val="238"/>
    </font>
    <font>
      <b/>
      <sz val="12"/>
      <name val="Trebuchet MS"/>
      <family val="2"/>
      <charset val="238"/>
    </font>
    <font>
      <b/>
      <sz val="11"/>
      <name val="Calibri"/>
      <family val="2"/>
    </font>
    <font>
      <b/>
      <sz val="8"/>
      <color indexed="10"/>
      <name val="MS Sans Serif"/>
      <charset val="238"/>
    </font>
    <font>
      <b/>
      <sz val="11"/>
      <color indexed="10"/>
      <name val="Calibri"/>
      <family val="2"/>
      <charset val="238"/>
    </font>
    <font>
      <b/>
      <sz val="10"/>
      <color indexed="12"/>
      <name val="MS Sans Serif"/>
      <charset val="238"/>
    </font>
    <font>
      <b/>
      <sz val="12"/>
      <color rgb="FFFF0000"/>
      <name val="Calibri"/>
      <family val="2"/>
      <charset val="238"/>
    </font>
    <font>
      <b/>
      <sz val="10"/>
      <color indexed="10"/>
      <name val="MS Sans Serif"/>
      <charset val="238"/>
    </font>
    <font>
      <b/>
      <sz val="16"/>
      <color rgb="FFFF0000"/>
      <name val="Calibri"/>
      <family val="2"/>
      <charset val="238"/>
      <scheme val="minor"/>
    </font>
    <font>
      <b/>
      <sz val="14"/>
      <color rgb="FFFF0000"/>
      <name val="MS Sans Serif"/>
      <charset val="238"/>
    </font>
    <font>
      <b/>
      <sz val="8.5"/>
      <color indexed="10"/>
      <name val="MS Sans Serif"/>
      <family val="2"/>
    </font>
    <font>
      <b/>
      <sz val="8"/>
      <color rgb="FF0000FF"/>
      <name val="MS Sans Serif"/>
      <family val="2"/>
      <charset val="238"/>
    </font>
    <font>
      <sz val="18"/>
      <color rgb="FF92D050"/>
      <name val="MS Gothic"/>
      <family val="3"/>
      <charset val="238"/>
    </font>
    <font>
      <sz val="9"/>
      <color rgb="FFFF0000"/>
      <name val="Arial CE"/>
      <family val="2"/>
      <charset val="238"/>
    </font>
    <font>
      <b/>
      <sz val="8"/>
      <color rgb="FFFF0000"/>
      <name val="Trebuchet MS"/>
      <family val="2"/>
      <charset val="238"/>
    </font>
    <font>
      <sz val="11"/>
      <name val="Arial CE"/>
      <family val="2"/>
    </font>
    <font>
      <sz val="11"/>
      <color rgb="FFFF0000"/>
      <name val="Arial CE"/>
      <family val="2"/>
    </font>
    <font>
      <sz val="8"/>
      <color rgb="FFFF0000"/>
      <name val="Arial CE"/>
      <family val="2"/>
    </font>
    <font>
      <sz val="10"/>
      <color rgb="FFFF0000"/>
      <name val="Arial CE"/>
      <family val="2"/>
    </font>
    <font>
      <sz val="8"/>
      <color rgb="FFFF00FF"/>
      <name val="Arial CE"/>
      <family val="2"/>
      <charset val="238"/>
    </font>
    <font>
      <b/>
      <sz val="8"/>
      <color rgb="FFFF00FF"/>
      <name val="MS Sans Serif"/>
      <charset val="238"/>
    </font>
    <font>
      <sz val="8"/>
      <color rgb="FFFF00FF"/>
      <name val="MS Sans Serif"/>
      <charset val="1"/>
    </font>
    <font>
      <b/>
      <sz val="8"/>
      <color rgb="FFFF00FF"/>
      <name val="Arial CE"/>
      <family val="2"/>
      <charset val="238"/>
    </font>
    <font>
      <u/>
      <sz val="8"/>
      <color rgb="FFFF00FF"/>
      <name val="MS Sans Serif"/>
      <charset val="1"/>
    </font>
    <font>
      <sz val="8"/>
      <color rgb="FFFF00FF"/>
      <name val="MS Sans Serif"/>
      <family val="2"/>
    </font>
    <font>
      <sz val="8"/>
      <color rgb="FFFF00FF"/>
      <name val="MS Sans Serif"/>
      <family val="2"/>
      <charset val="238"/>
    </font>
    <font>
      <b/>
      <sz val="8"/>
      <color rgb="FFFF00FF"/>
      <name val="MS Sans Serif"/>
      <family val="2"/>
    </font>
    <font>
      <sz val="12"/>
      <color rgb="FFFF00FF"/>
      <name val="MS Sans Serif"/>
      <family val="2"/>
    </font>
    <font>
      <b/>
      <sz val="12"/>
      <color rgb="FFFF00FF"/>
      <name val="MS Sans Serif"/>
      <family val="2"/>
    </font>
    <font>
      <b/>
      <sz val="14"/>
      <color rgb="FFFF00FF"/>
      <name val="Calibri"/>
      <family val="2"/>
      <charset val="238"/>
      <scheme val="minor"/>
    </font>
    <font>
      <u/>
      <sz val="11"/>
      <color rgb="FFFF00FF"/>
      <name val="Calibri"/>
      <family val="2"/>
    </font>
    <font>
      <b/>
      <sz val="10"/>
      <color rgb="FFFF00FF"/>
      <name val="Arial CE"/>
      <family val="2"/>
      <charset val="238"/>
    </font>
    <font>
      <b/>
      <sz val="14"/>
      <color rgb="FFFF00FF"/>
      <name val="MS Sans Serif"/>
      <charset val="238"/>
    </font>
    <font>
      <b/>
      <sz val="8.5"/>
      <color rgb="FFFF00FF"/>
      <name val="MS Sans Serif"/>
      <family val="2"/>
    </font>
    <font>
      <b/>
      <sz val="9"/>
      <color rgb="FFFF00FF"/>
      <name val="MS Sans Serif"/>
      <charset val="238"/>
    </font>
    <font>
      <b/>
      <sz val="10"/>
      <color rgb="FFFF00FF"/>
      <name val="MS Sans Serif"/>
      <charset val="238"/>
    </font>
    <font>
      <sz val="8"/>
      <name val="MS Sans Serif"/>
      <charset val="238"/>
    </font>
    <font>
      <b/>
      <i/>
      <sz val="8"/>
      <color rgb="FFFF0000"/>
      <name val="MS Sans Serif"/>
      <charset val="238"/>
    </font>
    <font>
      <b/>
      <i/>
      <sz val="8"/>
      <name val="MS Sans Serif"/>
      <charset val="238"/>
    </font>
    <font>
      <sz val="10"/>
      <color rgb="FFFF0000"/>
      <name val="MS Sans Serif"/>
      <charset val="238"/>
    </font>
    <font>
      <b/>
      <i/>
      <sz val="8"/>
      <name val="MS Sans Serif"/>
      <family val="2"/>
    </font>
    <font>
      <i/>
      <sz val="8"/>
      <color indexed="12"/>
      <name val="MS Sans Serif"/>
      <family val="2"/>
    </font>
    <font>
      <i/>
      <sz val="8"/>
      <color indexed="10"/>
      <name val="MS Sans Serif"/>
      <family val="2"/>
    </font>
    <font>
      <b/>
      <sz val="9"/>
      <color indexed="8"/>
      <name val="Arial"/>
      <family val="2"/>
      <charset val="238"/>
    </font>
    <font>
      <sz val="9"/>
      <color indexed="8"/>
      <name val="Arial"/>
      <family val="2"/>
      <charset val="238"/>
    </font>
    <font>
      <b/>
      <sz val="9"/>
      <color indexed="10"/>
      <name val="Arial"/>
      <family val="2"/>
      <charset val="238"/>
    </font>
    <font>
      <sz val="26"/>
      <color rgb="FF66FF33"/>
      <name val="MS Gothic"/>
      <family val="3"/>
      <charset val="238"/>
    </font>
    <font>
      <sz val="8"/>
      <color rgb="FF7030A0"/>
      <name val="Arial"/>
      <family val="2"/>
      <charset val="238"/>
    </font>
    <font>
      <sz val="12"/>
      <name val="MS Sans Serif"/>
      <family val="2"/>
      <charset val="238"/>
    </font>
    <font>
      <b/>
      <sz val="10"/>
      <color rgb="FFFF0000"/>
      <name val="Calibri"/>
      <family val="2"/>
      <charset val="238"/>
      <scheme val="minor"/>
    </font>
    <font>
      <b/>
      <sz val="12"/>
      <color rgb="FFFF00FF"/>
      <name val="Arial CE"/>
      <family val="2"/>
      <charset val="238"/>
    </font>
    <font>
      <sz val="11"/>
      <color rgb="FFFF00FF"/>
      <name val="Calibri"/>
      <family val="2"/>
      <scheme val="minor"/>
    </font>
    <font>
      <b/>
      <sz val="11"/>
      <color rgb="FFFF00FF"/>
      <name val="Arial CE"/>
      <family val="2"/>
      <charset val="238"/>
    </font>
    <font>
      <b/>
      <sz val="11"/>
      <color rgb="FFFF00FF"/>
      <name val="Calibri"/>
      <family val="2"/>
      <charset val="238"/>
      <scheme val="minor"/>
    </font>
    <font>
      <sz val="8"/>
      <color rgb="FFFF00FF"/>
      <name val="Arial CE"/>
      <family val="2"/>
    </font>
    <font>
      <b/>
      <sz val="9"/>
      <color rgb="FFFF00FF"/>
      <name val="Arial CE"/>
      <family val="2"/>
      <charset val="238"/>
    </font>
    <font>
      <sz val="10"/>
      <color rgb="FFFF00FF"/>
      <name val="Arial CE"/>
      <family val="2"/>
      <charset val="238"/>
    </font>
    <font>
      <b/>
      <sz val="8"/>
      <color rgb="FFFF00FF"/>
      <name val="Arial"/>
      <family val="2"/>
      <charset val="238"/>
    </font>
    <font>
      <sz val="8"/>
      <color rgb="FFFF00FF"/>
      <name val="MS Sans Serif"/>
      <charset val="238"/>
    </font>
    <font>
      <sz val="16"/>
      <color rgb="FFFF00FF"/>
      <name val="Arial CE"/>
      <family val="2"/>
      <charset val="238"/>
    </font>
    <font>
      <sz val="9"/>
      <color rgb="FFFF00FF"/>
      <name val="Calibri"/>
      <family val="2"/>
      <scheme val="minor"/>
    </font>
    <font>
      <sz val="10"/>
      <color rgb="FFFF00FF"/>
      <name val="Calibri"/>
      <family val="2"/>
      <scheme val="minor"/>
    </font>
    <font>
      <b/>
      <sz val="14"/>
      <color indexed="10"/>
      <name val="MS Sans Serif"/>
      <charset val="238"/>
    </font>
    <font>
      <b/>
      <sz val="9"/>
      <color rgb="FFFF00FF"/>
      <name val="Arial"/>
      <family val="2"/>
      <charset val="238"/>
    </font>
    <font>
      <b/>
      <sz val="12"/>
      <color rgb="FFFF0000"/>
      <name val="Arial CYR"/>
      <charset val="238"/>
    </font>
    <font>
      <sz val="11"/>
      <name val="Arial CYR"/>
      <charset val="238"/>
    </font>
    <font>
      <b/>
      <sz val="14"/>
      <color rgb="FFFF0000"/>
      <name val="Trebuchet MS"/>
      <family val="2"/>
      <charset val="238"/>
    </font>
    <font>
      <b/>
      <sz val="14"/>
      <name val="Trebuchet MS"/>
      <family val="2"/>
      <charset val="238"/>
    </font>
    <font>
      <sz val="10"/>
      <name val="MS Sans Serif"/>
      <charset val="238"/>
    </font>
    <font>
      <b/>
      <i/>
      <sz val="11"/>
      <color rgb="FFFF0000"/>
      <name val="MS Sans Serif"/>
      <charset val="238"/>
    </font>
    <font>
      <i/>
      <sz val="8"/>
      <color theme="1"/>
      <name val="Trebuchet MS"/>
      <family val="2"/>
      <charset val="238"/>
    </font>
    <font>
      <i/>
      <sz val="10"/>
      <color rgb="FFFF0000"/>
      <name val="Arial CE"/>
      <family val="2"/>
      <charset val="238"/>
    </font>
    <font>
      <b/>
      <i/>
      <sz val="10"/>
      <name val="MS Sans Serif"/>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sz val="10"/>
      <color rgb="FFFF0000"/>
      <name val="MS Sans Serif"/>
      <family val="2"/>
    </font>
    <font>
      <b/>
      <i/>
      <sz val="11"/>
      <name val="Calibri"/>
      <family val="2"/>
      <charset val="238"/>
      <scheme val="minor"/>
    </font>
    <font>
      <i/>
      <sz val="11"/>
      <color rgb="FFFF0000"/>
      <name val="Calibri"/>
      <family val="2"/>
      <charset val="238"/>
      <scheme val="minor"/>
    </font>
    <font>
      <b/>
      <sz val="8.5"/>
      <name val="MS Sans Serif"/>
      <family val="2"/>
    </font>
    <font>
      <b/>
      <i/>
      <sz val="8"/>
      <name val="Arial CE"/>
      <family val="2"/>
      <charset val="238"/>
    </font>
    <font>
      <sz val="8"/>
      <color rgb="FFFF0000"/>
      <name val="MS Sans Serif"/>
      <charset val="238"/>
    </font>
    <font>
      <sz val="22"/>
      <color rgb="FF66FF99"/>
      <name val="MS Gothic"/>
      <family val="3"/>
      <charset val="238"/>
    </font>
    <font>
      <b/>
      <sz val="10"/>
      <color theme="1"/>
      <name val="MS Sans Serif"/>
      <family val="2"/>
      <charset val="238"/>
    </font>
    <font>
      <sz val="9"/>
      <color rgb="FFFF0000"/>
      <name val="MS Sans Serif"/>
      <charset val="1"/>
    </font>
    <font>
      <sz val="8"/>
      <color indexed="18"/>
      <name val="Arial CE"/>
      <family val="2"/>
    </font>
    <font>
      <b/>
      <u/>
      <sz val="11"/>
      <color rgb="FFFF0000"/>
      <name val="Calibri"/>
      <family val="2"/>
      <charset val="238"/>
      <scheme val="minor"/>
    </font>
    <font>
      <b/>
      <sz val="12"/>
      <name val="MS Sans Serif"/>
    </font>
    <font>
      <b/>
      <sz val="12"/>
      <color rgb="FFFF0000"/>
      <name val="MS Sans Serif"/>
    </font>
    <font>
      <b/>
      <sz val="8"/>
      <color rgb="FFFF0000"/>
      <name val="MS Sans Serif"/>
    </font>
    <font>
      <sz val="8"/>
      <color rgb="FFFF0000"/>
      <name val="MS Sans Serif"/>
    </font>
    <font>
      <i/>
      <sz val="8"/>
      <color indexed="10"/>
      <name val="Arial CE"/>
      <family val="2"/>
      <charset val="238"/>
    </font>
    <font>
      <b/>
      <sz val="16"/>
      <color rgb="FFFF0000"/>
      <name val="MS Sans Serif"/>
      <charset val="238"/>
    </font>
    <font>
      <i/>
      <sz val="9"/>
      <name val="Arial CE"/>
      <family val="2"/>
      <charset val="238"/>
    </font>
    <font>
      <b/>
      <sz val="11"/>
      <color theme="10"/>
      <name val="Calibri"/>
      <family val="2"/>
      <charset val="238"/>
      <scheme val="minor"/>
    </font>
    <font>
      <i/>
      <sz val="8"/>
      <color indexed="12"/>
      <name val="MS Sans Serif"/>
      <family val="2"/>
      <charset val="238"/>
    </font>
    <font>
      <sz val="12"/>
      <name val="Arial CE"/>
      <family val="2"/>
      <charset val="238"/>
    </font>
    <font>
      <sz val="8"/>
      <color rgb="FFFF0000"/>
      <name val="Arial"/>
      <family val="2"/>
      <charset val="238"/>
    </font>
    <font>
      <sz val="8"/>
      <color rgb="FF7030A0"/>
      <name val="Arial CE"/>
      <family val="2"/>
      <charset val="238"/>
    </font>
    <font>
      <b/>
      <sz val="8"/>
      <color rgb="FFFF0000"/>
      <name val="Calibri"/>
      <family val="2"/>
      <charset val="238"/>
      <scheme val="minor"/>
    </font>
    <font>
      <sz val="12"/>
      <color rgb="FF66FF33"/>
      <name val="Arial CE"/>
      <family val="2"/>
      <charset val="238"/>
    </font>
    <font>
      <b/>
      <sz val="14"/>
      <name val="Calibri"/>
      <family val="2"/>
      <charset val="238"/>
      <scheme val="minor"/>
    </font>
    <font>
      <sz val="8"/>
      <color indexed="36"/>
      <name val="Arial"/>
      <family val="2"/>
      <charset val="238"/>
    </font>
    <font>
      <sz val="8.5"/>
      <name val="Arial CE"/>
      <family val="2"/>
      <charset val="238"/>
    </font>
    <font>
      <sz val="8"/>
      <color rgb="FFFF00FF"/>
      <name val="Arial"/>
      <family val="2"/>
      <charset val="238"/>
    </font>
    <font>
      <b/>
      <sz val="10"/>
      <color rgb="FF0000FF"/>
      <name val="Calibri"/>
      <family val="2"/>
      <charset val="238"/>
      <scheme val="minor"/>
    </font>
    <font>
      <b/>
      <sz val="18"/>
      <color rgb="FFFF00FF"/>
      <name val="Arial CE"/>
      <family val="2"/>
      <charset val="238"/>
    </font>
    <font>
      <sz val="11"/>
      <color rgb="FFFF00FF"/>
      <name val="Calibri"/>
      <family val="2"/>
      <charset val="238"/>
      <scheme val="minor"/>
    </font>
    <font>
      <i/>
      <sz val="8"/>
      <color rgb="FFFF00FF"/>
      <name val="Arial CE"/>
      <family val="2"/>
      <charset val="23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9"/>
        <bgColor indexed="26"/>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right/>
      <top style="hair">
        <color indexed="8"/>
      </top>
      <bottom/>
      <diagonal/>
    </border>
    <border>
      <left/>
      <right/>
      <top/>
      <bottom style="thin">
        <color indexed="8"/>
      </bottom>
      <diagonal/>
    </border>
    <border>
      <left style="hair">
        <color auto="1"/>
      </left>
      <right/>
      <top/>
      <bottom/>
      <diagonal/>
    </border>
    <border>
      <left style="thin">
        <color indexed="8"/>
      </left>
      <right/>
      <top/>
      <bottom/>
      <diagonal/>
    </border>
    <border>
      <left/>
      <right/>
      <top style="thin">
        <color theme="9" tint="0.39997558519241921"/>
      </top>
      <bottom style="thin">
        <color theme="9" tint="0.39997558519241921"/>
      </bottom>
      <diagonal/>
    </border>
    <border>
      <left style="thin">
        <color indexed="8"/>
      </left>
      <right style="thin">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8"/>
      </left>
      <right style="hair">
        <color indexed="8"/>
      </right>
      <top style="hair">
        <color indexed="8"/>
      </top>
      <bottom style="hair">
        <color indexed="64"/>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8"/>
      </left>
      <right/>
      <top/>
      <bottom/>
      <diagonal/>
    </border>
    <border>
      <left style="hair">
        <color auto="1"/>
      </left>
      <right style="hair">
        <color auto="1"/>
      </right>
      <top style="hair">
        <color auto="1"/>
      </top>
      <bottom/>
      <diagonal/>
    </border>
    <border>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47">
    <xf numFmtId="0" fontId="0" fillId="0" borderId="0" applyAlignment="0">
      <alignment vertical="top" wrapText="1"/>
      <protection locked="0"/>
    </xf>
    <xf numFmtId="0" fontId="25" fillId="0" borderId="0" applyFill="0" applyBorder="0" applyProtection="0"/>
    <xf numFmtId="0" fontId="16" fillId="0" borderId="0"/>
    <xf numFmtId="0" fontId="14" fillId="0" borderId="0"/>
    <xf numFmtId="0" fontId="28" fillId="0" borderId="0"/>
    <xf numFmtId="0" fontId="16" fillId="0" borderId="0"/>
    <xf numFmtId="0" fontId="16" fillId="0" borderId="0"/>
    <xf numFmtId="0" fontId="16" fillId="0" borderId="0" applyAlignment="0">
      <alignment vertical="top" wrapText="1"/>
      <protection locked="0"/>
    </xf>
    <xf numFmtId="0" fontId="14" fillId="0" borderId="0"/>
    <xf numFmtId="0" fontId="16" fillId="0" borderId="0"/>
    <xf numFmtId="0" fontId="14" fillId="0" borderId="0"/>
    <xf numFmtId="0" fontId="12"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14" fillId="0" borderId="0"/>
    <xf numFmtId="0" fontId="14" fillId="0" borderId="0"/>
    <xf numFmtId="0" fontId="26" fillId="0" borderId="0"/>
    <xf numFmtId="0" fontId="27" fillId="0" borderId="0" applyFont="0" applyFill="0" applyBorder="0" applyAlignment="0" applyProtection="0"/>
    <xf numFmtId="0" fontId="16" fillId="0" borderId="0"/>
    <xf numFmtId="0" fontId="14" fillId="0" borderId="0"/>
    <xf numFmtId="0" fontId="31" fillId="0" borderId="0"/>
    <xf numFmtId="0" fontId="16" fillId="0" borderId="0"/>
    <xf numFmtId="0" fontId="15"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2" fillId="0" borderId="0" applyAlignment="0">
      <alignment vertical="top" wrapText="1"/>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wrapText="1"/>
      <protection locked="0"/>
    </xf>
    <xf numFmtId="0" fontId="30" fillId="0" borderId="0" applyAlignment="0">
      <alignment vertical="top" wrapText="1"/>
      <protection locked="0"/>
    </xf>
    <xf numFmtId="0" fontId="32" fillId="0" borderId="0" applyAlignment="0">
      <alignment vertical="top" wrapText="1"/>
      <protection locked="0"/>
    </xf>
    <xf numFmtId="0" fontId="31" fillId="0" borderId="0"/>
    <xf numFmtId="0" fontId="37" fillId="0" borderId="0"/>
    <xf numFmtId="0" fontId="16" fillId="0" borderId="0"/>
    <xf numFmtId="0" fontId="14" fillId="0" borderId="0"/>
    <xf numFmtId="0" fontId="31" fillId="0" borderId="0"/>
    <xf numFmtId="0" fontId="38" fillId="0" borderId="0"/>
    <xf numFmtId="0" fontId="15" fillId="0" borderId="0" applyAlignment="0">
      <alignment vertical="top" wrapText="1"/>
      <protection locked="0"/>
    </xf>
    <xf numFmtId="0" fontId="11" fillId="0" borderId="0"/>
    <xf numFmtId="0" fontId="11" fillId="0" borderId="0"/>
    <xf numFmtId="0" fontId="37" fillId="0" borderId="0"/>
    <xf numFmtId="0" fontId="15" fillId="0" borderId="0" applyAlignment="0">
      <alignment vertical="top" wrapText="1"/>
      <protection locked="0"/>
    </xf>
    <xf numFmtId="0" fontId="11" fillId="0" borderId="0"/>
    <xf numFmtId="0" fontId="3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6" fillId="0" borderId="0" applyNumberFormat="0" applyFill="0" applyBorder="0" applyAlignment="0" applyProtection="0">
      <alignment vertical="top" wrapText="1"/>
      <protection locked="0"/>
    </xf>
    <xf numFmtId="166" fontId="39" fillId="0" borderId="0" applyAlignment="0">
      <alignment horizontal="right" wrapText="1"/>
    </xf>
    <xf numFmtId="4" fontId="39" fillId="0" borderId="0" applyBorder="0" applyAlignment="0">
      <alignment horizontal="right" wrapText="1"/>
    </xf>
    <xf numFmtId="0" fontId="39" fillId="0" borderId="0">
      <alignment horizontal="right" wrapText="1"/>
    </xf>
    <xf numFmtId="167" fontId="39" fillId="0" borderId="0" applyFont="0" applyFill="0" applyBorder="0">
      <alignment horizontal="right" vertical="center"/>
    </xf>
    <xf numFmtId="164" fontId="16" fillId="0" borderId="0" applyFont="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164" fontId="16" fillId="0" borderId="0" applyFill="0" applyBorder="0" applyAlignment="0" applyProtection="0"/>
    <xf numFmtId="168" fontId="14" fillId="0" borderId="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0" fontId="40" fillId="0" borderId="0"/>
    <xf numFmtId="0" fontId="41" fillId="0" borderId="0">
      <alignment horizontal="center" vertical="center" wrapText="1"/>
    </xf>
    <xf numFmtId="0" fontId="42" fillId="0" borderId="0" applyNumberFormat="0" applyFill="0" applyBorder="0" applyAlignment="0" applyProtection="0">
      <alignment vertical="top"/>
      <protection locked="0"/>
    </xf>
    <xf numFmtId="0" fontId="43" fillId="0" borderId="0">
      <alignment horizontal="left"/>
    </xf>
    <xf numFmtId="0" fontId="38" fillId="0" borderId="0"/>
    <xf numFmtId="0" fontId="14" fillId="0" borderId="0"/>
    <xf numFmtId="0" fontId="11" fillId="0" borderId="0"/>
    <xf numFmtId="0" fontId="11" fillId="0" borderId="0"/>
    <xf numFmtId="0" fontId="14" fillId="0" borderId="0"/>
    <xf numFmtId="0" fontId="11" fillId="0" borderId="0"/>
    <xf numFmtId="0" fontId="14" fillId="0" borderId="0"/>
    <xf numFmtId="0" fontId="15" fillId="0" borderId="0" applyAlignment="0">
      <alignment vertical="top" wrapText="1"/>
      <protection locked="0"/>
    </xf>
    <xf numFmtId="0" fontId="11" fillId="0" borderId="0"/>
    <xf numFmtId="0" fontId="11" fillId="0" borderId="0"/>
    <xf numFmtId="0" fontId="15" fillId="0" borderId="0" applyAlignment="0">
      <alignment vertical="top" wrapText="1"/>
      <protection locked="0"/>
    </xf>
    <xf numFmtId="0" fontId="14" fillId="0" borderId="0"/>
    <xf numFmtId="167" fontId="14" fillId="0" borderId="0">
      <alignment vertical="center"/>
    </xf>
    <xf numFmtId="0" fontId="15" fillId="0" borderId="0" applyAlignment="0">
      <alignment vertical="top" wrapText="1"/>
      <protection locked="0"/>
    </xf>
    <xf numFmtId="167" fontId="14" fillId="0" borderId="0">
      <alignment vertical="center"/>
    </xf>
    <xf numFmtId="167" fontId="14" fillId="0" borderId="0">
      <alignment vertical="center"/>
    </xf>
    <xf numFmtId="0" fontId="14" fillId="0" borderId="0"/>
    <xf numFmtId="0" fontId="14" fillId="0" borderId="0"/>
    <xf numFmtId="0" fontId="16" fillId="0" borderId="0"/>
    <xf numFmtId="0" fontId="14" fillId="0" borderId="0"/>
    <xf numFmtId="0" fontId="14" fillId="0" borderId="0"/>
    <xf numFmtId="0" fontId="38" fillId="0" borderId="0"/>
    <xf numFmtId="0" fontId="11" fillId="0" borderId="0"/>
    <xf numFmtId="0" fontId="3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1" fillId="0" borderId="0"/>
    <xf numFmtId="0" fontId="11" fillId="0" borderId="0"/>
    <xf numFmtId="0" fontId="44" fillId="0" borderId="0">
      <protection locked="0"/>
    </xf>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2" fillId="0" borderId="22">
      <alignment horizontal="center" vertical="center" wrapText="1"/>
    </xf>
    <xf numFmtId="169" fontId="14" fillId="0" borderId="0">
      <alignment horizontal="center" vertical="center"/>
    </xf>
    <xf numFmtId="169" fontId="14" fillId="0" borderId="0">
      <alignment horizontal="center" vertical="center"/>
    </xf>
    <xf numFmtId="0" fontId="40" fillId="6" borderId="21" applyNumberFormat="0" applyFont="0" applyAlignment="0" applyProtection="0"/>
    <xf numFmtId="9" fontId="1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applyProtection="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46" fillId="0" borderId="0" applyNumberFormat="0" applyFill="0" applyBorder="0" applyAlignment="0" applyProtection="0"/>
    <xf numFmtId="0" fontId="47" fillId="0" borderId="0" applyNumberFormat="0" applyFill="0" applyBorder="0" applyAlignment="0" applyProtection="0"/>
    <xf numFmtId="0" fontId="16" fillId="0" borderId="0"/>
    <xf numFmtId="0" fontId="37" fillId="0" borderId="0"/>
    <xf numFmtId="0" fontId="30" fillId="0" borderId="0" applyAlignment="0">
      <alignment vertical="top" wrapText="1"/>
      <protection locked="0"/>
    </xf>
    <xf numFmtId="0" fontId="15" fillId="0" borderId="0" applyAlignment="0">
      <alignment vertical="top" wrapText="1"/>
      <protection locked="0"/>
    </xf>
    <xf numFmtId="0" fontId="27" fillId="0" borderId="0"/>
    <xf numFmtId="0" fontId="10" fillId="0" borderId="0"/>
    <xf numFmtId="0" fontId="10" fillId="0" borderId="0"/>
    <xf numFmtId="0" fontId="10" fillId="0" borderId="0"/>
    <xf numFmtId="0" fontId="10" fillId="0" borderId="0"/>
    <xf numFmtId="0" fontId="14" fillId="0" borderId="0"/>
    <xf numFmtId="0" fontId="10" fillId="0" borderId="0"/>
    <xf numFmtId="0" fontId="47" fillId="0" borderId="0" applyNumberFormat="0" applyFill="0" applyBorder="0" applyAlignment="0" applyProtection="0"/>
    <xf numFmtId="0" fontId="27" fillId="0" borderId="0"/>
    <xf numFmtId="0" fontId="9" fillId="0" borderId="0"/>
    <xf numFmtId="0" fontId="14" fillId="0" borderId="0"/>
    <xf numFmtId="0" fontId="33" fillId="0" borderId="0" applyNumberFormat="0" applyFill="0" applyBorder="0" applyAlignment="0" applyProtection="0">
      <alignment vertical="top"/>
      <protection locked="0"/>
    </xf>
    <xf numFmtId="0" fontId="9" fillId="0" borderId="0"/>
    <xf numFmtId="0" fontId="35"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8" fillId="0" borderId="0"/>
    <xf numFmtId="0" fontId="14" fillId="0" borderId="0"/>
    <xf numFmtId="0" fontId="8" fillId="0" borderId="0"/>
    <xf numFmtId="0" fontId="8" fillId="0" borderId="0"/>
    <xf numFmtId="0" fontId="8" fillId="0" borderId="0"/>
    <xf numFmtId="0" fontId="31" fillId="0" borderId="0"/>
    <xf numFmtId="0" fontId="31" fillId="0" borderId="0"/>
    <xf numFmtId="0" fontId="15" fillId="0" borderId="0" applyAlignment="0">
      <alignment vertical="top" wrapText="1"/>
      <protection locked="0"/>
    </xf>
    <xf numFmtId="0" fontId="31" fillId="0" borderId="0"/>
    <xf numFmtId="0" fontId="16" fillId="0" borderId="0"/>
    <xf numFmtId="0" fontId="8" fillId="0" borderId="0"/>
    <xf numFmtId="0" fontId="8" fillId="0" borderId="0"/>
    <xf numFmtId="0" fontId="8" fillId="0" borderId="0"/>
    <xf numFmtId="0" fontId="8" fillId="0" borderId="0"/>
    <xf numFmtId="0" fontId="48" fillId="0" borderId="0"/>
    <xf numFmtId="44" fontId="48" fillId="0" borderId="0" applyFont="0" applyFill="0" applyBorder="0" applyAlignment="0" applyProtection="0"/>
    <xf numFmtId="0" fontId="49" fillId="0" borderId="0"/>
    <xf numFmtId="43" fontId="49" fillId="0" borderId="0" applyFont="0" applyFill="0" applyBorder="0" applyAlignment="0" applyProtection="0"/>
    <xf numFmtId="0" fontId="8" fillId="0" borderId="0"/>
    <xf numFmtId="170" fontId="16" fillId="0" borderId="0" applyBorder="0" applyProtection="0"/>
    <xf numFmtId="0" fontId="8" fillId="0" borderId="0"/>
    <xf numFmtId="0" fontId="15" fillId="0" borderId="0" applyAlignment="0">
      <alignment vertical="top" wrapText="1"/>
      <protection locked="0"/>
    </xf>
    <xf numFmtId="0" fontId="8" fillId="0" borderId="0"/>
    <xf numFmtId="0" fontId="50" fillId="0" borderId="0"/>
    <xf numFmtId="0" fontId="8" fillId="0" borderId="0"/>
    <xf numFmtId="9" fontId="8" fillId="0" borderId="0" applyFont="0" applyFill="0" applyBorder="0" applyAlignment="0" applyProtection="0"/>
    <xf numFmtId="0" fontId="7" fillId="0" borderId="0"/>
    <xf numFmtId="0" fontId="14" fillId="0" borderId="0"/>
    <xf numFmtId="0" fontId="14" fillId="0" borderId="0"/>
    <xf numFmtId="0" fontId="6" fillId="0" borderId="0"/>
    <xf numFmtId="0" fontId="15" fillId="0" borderId="0" applyAlignment="0">
      <alignment vertical="top" wrapText="1"/>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5" fillId="0" borderId="0" applyAlignment="0">
      <alignment vertical="top" wrapText="1"/>
      <protection locked="0"/>
    </xf>
    <xf numFmtId="0" fontId="30" fillId="0" borderId="0" applyAlignment="0">
      <alignment vertical="top" wrapText="1"/>
      <protection locked="0"/>
    </xf>
    <xf numFmtId="0" fontId="14" fillId="0" borderId="0"/>
    <xf numFmtId="0" fontId="5" fillId="0" borderId="0"/>
    <xf numFmtId="0" fontId="4" fillId="0" borderId="0"/>
    <xf numFmtId="0" fontId="31" fillId="0" borderId="0"/>
    <xf numFmtId="0" fontId="38" fillId="0" borderId="0"/>
    <xf numFmtId="0" fontId="4" fillId="0" borderId="0"/>
    <xf numFmtId="0" fontId="32" fillId="0" borderId="0" applyAlignment="0">
      <alignment vertical="top" wrapText="1"/>
      <protection locked="0"/>
    </xf>
    <xf numFmtId="0" fontId="36" fillId="0" borderId="0" applyNumberFormat="0" applyFill="0" applyBorder="0" applyAlignment="0" applyProtection="0">
      <alignment vertical="top" wrapText="1"/>
      <protection locked="0"/>
    </xf>
    <xf numFmtId="0" fontId="3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6" fillId="0" borderId="0" applyNumberFormat="0" applyFill="0" applyBorder="0" applyAlignment="0" applyProtection="0"/>
    <xf numFmtId="0" fontId="4" fillId="0" borderId="0"/>
    <xf numFmtId="0" fontId="4" fillId="0" borderId="0"/>
    <xf numFmtId="0" fontId="45" fillId="0" borderId="0" applyNumberFormat="0" applyFill="0" applyBorder="0" applyAlignment="0" applyProtection="0">
      <alignment vertical="top" wrapText="1"/>
      <protection locked="0"/>
    </xf>
    <xf numFmtId="0" fontId="3" fillId="0" borderId="0"/>
    <xf numFmtId="0" fontId="3" fillId="0" borderId="0"/>
    <xf numFmtId="0" fontId="3" fillId="0" borderId="0"/>
    <xf numFmtId="0" fontId="30" fillId="0" borderId="0" applyAlignment="0">
      <alignment vertical="top" wrapText="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Alignment="0" applyProtection="0"/>
    <xf numFmtId="0" fontId="3"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37" fillId="0" borderId="0"/>
    <xf numFmtId="0" fontId="46" fillId="0" borderId="0" applyNumberFormat="0" applyFill="0" applyBorder="0" applyAlignment="0" applyProtection="0"/>
    <xf numFmtId="0" fontId="31" fillId="0" borderId="0"/>
    <xf numFmtId="0" fontId="14" fillId="0" borderId="0"/>
    <xf numFmtId="0" fontId="2" fillId="0" borderId="0"/>
    <xf numFmtId="0" fontId="2" fillId="0" borderId="0"/>
  </cellStyleXfs>
  <cellXfs count="5344">
    <xf numFmtId="0" fontId="0" fillId="0" borderId="0" xfId="0" applyAlignment="1">
      <alignment vertical="top"/>
      <protection locked="0"/>
    </xf>
    <xf numFmtId="0" fontId="61" fillId="0" borderId="0" xfId="12" applyFont="1" applyAlignment="1" applyProtection="1">
      <alignment horizontal="left"/>
    </xf>
    <xf numFmtId="0" fontId="64" fillId="0" borderId="0" xfId="25" applyFont="1" applyAlignment="1" applyProtection="1">
      <alignment horizontal="left" vertical="center"/>
    </xf>
    <xf numFmtId="4" fontId="57" fillId="0" borderId="34" xfId="33" applyNumberFormat="1" applyFont="1" applyBorder="1" applyAlignment="1" applyProtection="1">
      <alignment horizontal="right"/>
      <protection locked="0"/>
    </xf>
    <xf numFmtId="4" fontId="12" fillId="0" borderId="34" xfId="33" applyNumberFormat="1" applyFont="1" applyBorder="1" applyAlignment="1" applyProtection="1">
      <alignment horizontal="right"/>
      <protection locked="0"/>
    </xf>
    <xf numFmtId="4" fontId="12" fillId="0" borderId="34" xfId="154" applyNumberFormat="1" applyFont="1" applyBorder="1" applyAlignment="1" applyProtection="1">
      <alignment horizontal="right"/>
      <protection locked="0"/>
    </xf>
    <xf numFmtId="39" fontId="12" fillId="0" borderId="34" xfId="154" applyNumberFormat="1" applyFont="1" applyBorder="1" applyAlignment="1" applyProtection="1">
      <alignment horizontal="right"/>
      <protection locked="0"/>
    </xf>
    <xf numFmtId="0" fontId="32" fillId="0" borderId="0" xfId="26" applyAlignment="1" applyProtection="1"/>
    <xf numFmtId="4" fontId="12" fillId="0" borderId="34" xfId="140" applyNumberFormat="1" applyFont="1" applyBorder="1" applyAlignment="1" applyProtection="1">
      <alignment horizontal="right"/>
      <protection locked="0"/>
    </xf>
    <xf numFmtId="4" fontId="57" fillId="9" borderId="34" xfId="89" applyNumberFormat="1" applyFont="1" applyFill="1" applyBorder="1" applyAlignment="1" applyProtection="1">
      <alignment horizontal="right"/>
      <protection locked="0"/>
    </xf>
    <xf numFmtId="4" fontId="57" fillId="9" borderId="34" xfId="140" applyNumberFormat="1" applyFont="1" applyFill="1" applyBorder="1" applyAlignment="1" applyProtection="1">
      <alignment horizontal="right"/>
      <protection locked="0"/>
    </xf>
    <xf numFmtId="4" fontId="64"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horizontal="right"/>
      <protection locked="0"/>
    </xf>
    <xf numFmtId="4" fontId="71" fillId="0" borderId="34" xfId="142" applyNumberFormat="1" applyFont="1" applyBorder="1" applyAlignment="1" applyProtection="1">
      <alignment horizontal="right"/>
      <protection locked="0"/>
    </xf>
    <xf numFmtId="4" fontId="57" fillId="0" borderId="34" xfId="142" applyNumberFormat="1" applyFont="1" applyBorder="1" applyAlignment="1" applyProtection="1">
      <alignment horizontal="right"/>
      <protection locked="0"/>
    </xf>
    <xf numFmtId="4" fontId="57" fillId="0" borderId="34" xfId="154" applyNumberFormat="1" applyFont="1" applyBorder="1" applyAlignment="1" applyProtection="1">
      <alignment horizontal="right"/>
      <protection locked="0"/>
    </xf>
    <xf numFmtId="4" fontId="83" fillId="0" borderId="34" xfId="154" applyNumberFormat="1" applyFont="1" applyBorder="1" applyAlignment="1" applyProtection="1">
      <alignment horizontal="right"/>
      <protection locked="0"/>
    </xf>
    <xf numFmtId="4" fontId="12" fillId="0" borderId="34" xfId="33" applyNumberFormat="1" applyFont="1" applyBorder="1" applyAlignment="1" applyProtection="1">
      <alignment shrinkToFit="1"/>
      <protection locked="0"/>
    </xf>
    <xf numFmtId="4" fontId="12" fillId="0" borderId="34" xfId="89" applyNumberFormat="1" applyFont="1" applyBorder="1" applyAlignment="1" applyProtection="1">
      <alignment horizontal="right"/>
      <protection locked="0"/>
    </xf>
    <xf numFmtId="4" fontId="64" fillId="0" borderId="34" xfId="154" applyNumberFormat="1" applyFont="1" applyBorder="1" applyAlignment="1" applyProtection="1">
      <alignment horizontal="right"/>
      <protection locked="0"/>
    </xf>
    <xf numFmtId="4" fontId="83"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shrinkToFit="1"/>
      <protection locked="0"/>
    </xf>
    <xf numFmtId="4" fontId="71" fillId="9" borderId="34" xfId="154" applyNumberFormat="1" applyFont="1" applyFill="1" applyBorder="1" applyAlignment="1" applyProtection="1">
      <alignment horizontal="right"/>
      <protection locked="0"/>
    </xf>
    <xf numFmtId="4" fontId="64" fillId="0" borderId="34" xfId="3" applyNumberFormat="1" applyFont="1" applyBorder="1" applyAlignment="1" applyProtection="1">
      <alignment horizontal="right"/>
      <protection locked="0"/>
    </xf>
    <xf numFmtId="4" fontId="12" fillId="0" borderId="34" xfId="3" applyNumberFormat="1" applyFont="1" applyBorder="1" applyAlignment="1" applyProtection="1">
      <alignment horizontal="right"/>
      <protection locked="0"/>
    </xf>
    <xf numFmtId="4" fontId="83" fillId="0" borderId="34" xfId="3" applyNumberFormat="1" applyFont="1" applyBorder="1" applyAlignment="1" applyProtection="1">
      <alignment horizontal="right"/>
      <protection locked="0"/>
    </xf>
    <xf numFmtId="4" fontId="71" fillId="0" borderId="34" xfId="154" applyNumberFormat="1" applyFont="1" applyBorder="1" applyAlignment="1" applyProtection="1">
      <alignment horizontal="right"/>
      <protection locked="0"/>
    </xf>
    <xf numFmtId="0" fontId="61" fillId="0" borderId="0" xfId="25" applyFont="1" applyAlignment="1" applyProtection="1">
      <alignment horizontal="left"/>
    </xf>
    <xf numFmtId="0" fontId="62" fillId="0" borderId="0" xfId="25" applyFont="1" applyAlignment="1" applyProtection="1">
      <alignment horizontal="left"/>
    </xf>
    <xf numFmtId="0" fontId="64" fillId="0" borderId="0" xfId="25" applyFont="1" applyAlignment="1" applyProtection="1">
      <alignment wrapText="1"/>
    </xf>
    <xf numFmtId="0" fontId="12" fillId="0" borderId="42" xfId="25" applyFont="1" applyBorder="1" applyAlignment="1" applyProtection="1">
      <alignment horizontal="center" vertical="center" wrapText="1"/>
    </xf>
    <xf numFmtId="0" fontId="12" fillId="0" borderId="43" xfId="25" applyFont="1" applyBorder="1" applyAlignment="1" applyProtection="1">
      <alignment horizontal="center" vertical="center" wrapText="1"/>
    </xf>
    <xf numFmtId="0" fontId="12" fillId="0" borderId="44" xfId="25" applyFont="1" applyBorder="1" applyAlignment="1" applyProtection="1">
      <alignment horizontal="center" vertical="center" wrapText="1"/>
    </xf>
    <xf numFmtId="175" fontId="12" fillId="0" borderId="45" xfId="25" applyNumberFormat="1" applyFont="1" applyBorder="1" applyAlignment="1" applyProtection="1">
      <alignment horizontal="center" vertical="center"/>
    </xf>
    <xf numFmtId="175" fontId="12" fillId="0" borderId="46" xfId="25" applyNumberFormat="1" applyFont="1" applyBorder="1" applyAlignment="1" applyProtection="1">
      <alignment horizontal="center" vertical="center"/>
    </xf>
    <xf numFmtId="175" fontId="12" fillId="0" borderId="47" xfId="25" applyNumberFormat="1" applyFont="1" applyBorder="1" applyAlignment="1" applyProtection="1">
      <alignment horizontal="center" vertical="center"/>
    </xf>
    <xf numFmtId="0" fontId="15" fillId="0" borderId="48" xfId="25" applyBorder="1" applyAlignment="1" applyProtection="1">
      <alignment horizontal="left"/>
    </xf>
    <xf numFmtId="0" fontId="15" fillId="0" borderId="49" xfId="25" applyBorder="1" applyAlignment="1" applyProtection="1">
      <alignment horizontal="left"/>
    </xf>
    <xf numFmtId="0" fontId="158" fillId="0" borderId="34" xfId="25" applyFont="1" applyBorder="1" applyAlignment="1" applyProtection="1">
      <alignment horizontal="center" vertical="center"/>
    </xf>
    <xf numFmtId="0" fontId="158" fillId="0" borderId="34" xfId="25" applyFont="1" applyBorder="1" applyAlignment="1" applyProtection="1">
      <alignment horizontal="left" vertical="center"/>
    </xf>
    <xf numFmtId="39" fontId="158" fillId="0" borderId="34" xfId="25" applyNumberFormat="1" applyFont="1" applyBorder="1" applyAlignment="1" applyProtection="1">
      <alignment horizontal="right" vertical="center"/>
    </xf>
    <xf numFmtId="0" fontId="159" fillId="0" borderId="34" xfId="25" applyFont="1" applyBorder="1" applyAlignment="1" applyProtection="1">
      <alignment horizontal="center" vertical="center"/>
    </xf>
    <xf numFmtId="0" fontId="159" fillId="0" borderId="34" xfId="25" applyFont="1" applyBorder="1" applyAlignment="1" applyProtection="1">
      <alignment horizontal="left" vertical="center"/>
    </xf>
    <xf numFmtId="39" fontId="159" fillId="0" borderId="34" xfId="25" applyNumberFormat="1" applyFont="1" applyBorder="1" applyAlignment="1" applyProtection="1">
      <alignment horizontal="right" vertical="center"/>
    </xf>
    <xf numFmtId="39" fontId="159" fillId="5" borderId="34" xfId="25" applyNumberFormat="1" applyFont="1" applyFill="1" applyBorder="1" applyAlignment="1" applyProtection="1">
      <alignment horizontal="right" vertical="center"/>
    </xf>
    <xf numFmtId="0" fontId="160" fillId="0" borderId="34" xfId="25" applyFont="1" applyBorder="1" applyAlignment="1" applyProtection="1">
      <alignment horizontal="center" vertical="center"/>
    </xf>
    <xf numFmtId="0" fontId="160" fillId="0" borderId="34" xfId="25" applyFont="1" applyBorder="1" applyAlignment="1" applyProtection="1">
      <alignment horizontal="left" vertical="center"/>
    </xf>
    <xf numFmtId="39" fontId="160" fillId="0" borderId="34" xfId="25" applyNumberFormat="1" applyFont="1" applyBorder="1" applyAlignment="1" applyProtection="1">
      <alignment horizontal="right" vertical="center"/>
    </xf>
    <xf numFmtId="0" fontId="161" fillId="0" borderId="34" xfId="25" applyFont="1" applyBorder="1" applyAlignment="1" applyProtection="1">
      <alignment horizontal="left" vertical="center"/>
    </xf>
    <xf numFmtId="0" fontId="162" fillId="0" borderId="34" xfId="25" applyFont="1" applyBorder="1" applyAlignment="1" applyProtection="1">
      <alignment horizontal="left" vertical="center"/>
    </xf>
    <xf numFmtId="39" fontId="162" fillId="0" borderId="34" xfId="25" applyNumberFormat="1" applyFont="1" applyBorder="1" applyAlignment="1" applyProtection="1">
      <alignment horizontal="right" vertical="center"/>
    </xf>
    <xf numFmtId="0" fontId="161" fillId="0" borderId="50" xfId="25" applyFont="1" applyBorder="1" applyAlignment="1" applyProtection="1">
      <alignment horizontal="left" vertical="center"/>
    </xf>
    <xf numFmtId="39" fontId="162" fillId="0" borderId="50" xfId="25" applyNumberFormat="1" applyFont="1" applyBorder="1" applyAlignment="1" applyProtection="1">
      <alignment horizontal="right" vertical="center"/>
    </xf>
    <xf numFmtId="4" fontId="12" fillId="0" borderId="34" xfId="154" applyNumberFormat="1" applyFont="1" applyBorder="1" applyProtection="1">
      <protection locked="0"/>
    </xf>
    <xf numFmtId="4" fontId="76" fillId="0" borderId="34" xfId="3" applyNumberFormat="1" applyFont="1" applyBorder="1" applyAlignment="1" applyProtection="1">
      <alignment horizontal="right"/>
      <protection locked="0"/>
    </xf>
    <xf numFmtId="4" fontId="114" fillId="0" borderId="34" xfId="32" applyNumberFormat="1" applyFont="1" applyBorder="1" applyAlignment="1" applyProtection="1">
      <alignment horizontal="right"/>
      <protection locked="0"/>
    </xf>
    <xf numFmtId="0" fontId="64" fillId="0" borderId="0" xfId="25" applyFont="1" applyAlignment="1" applyProtection="1">
      <alignment horizontal="left"/>
    </xf>
    <xf numFmtId="0" fontId="61" fillId="0" borderId="0" xfId="12" applyFont="1" applyAlignment="1" applyProtection="1"/>
    <xf numFmtId="0" fontId="64" fillId="0" borderId="0" xfId="25" applyFont="1" applyAlignment="1" applyProtection="1"/>
    <xf numFmtId="0" fontId="30" fillId="0" borderId="0" xfId="125" applyAlignment="1" applyProtection="1">
      <alignment horizontal="left"/>
    </xf>
    <xf numFmtId="172" fontId="30" fillId="0" borderId="0" xfId="125" applyNumberFormat="1" applyAlignment="1" applyProtection="1">
      <alignment horizontal="left"/>
    </xf>
    <xf numFmtId="0" fontId="14" fillId="0" borderId="0" xfId="125" applyFont="1" applyAlignment="1" applyProtection="1"/>
    <xf numFmtId="0" fontId="14" fillId="0" borderId="0" xfId="125" applyFont="1" applyAlignment="1" applyProtection="1">
      <alignment horizontal="right"/>
    </xf>
    <xf numFmtId="0" fontId="5" fillId="0" borderId="0" xfId="125" applyFont="1" applyAlignment="1" applyProtection="1"/>
    <xf numFmtId="0" fontId="30" fillId="0" borderId="0" xfId="125" applyAlignment="1" applyProtection="1"/>
    <xf numFmtId="0" fontId="12" fillId="0" borderId="0" xfId="125" applyFont="1" applyAlignment="1" applyProtection="1">
      <alignment horizontal="left"/>
    </xf>
    <xf numFmtId="172" fontId="62" fillId="0" borderId="0" xfId="125" applyNumberFormat="1" applyFont="1" applyAlignment="1" applyProtection="1">
      <alignment horizontal="left"/>
    </xf>
    <xf numFmtId="4" fontId="62" fillId="0" borderId="0" xfId="125" applyNumberFormat="1" applyFont="1" applyAlignment="1" applyProtection="1">
      <alignment horizontal="left"/>
    </xf>
    <xf numFmtId="0" fontId="12" fillId="0" borderId="34" xfId="23" applyFont="1" applyBorder="1" applyAlignment="1" applyProtection="1">
      <alignment horizontal="left" wrapText="1"/>
    </xf>
    <xf numFmtId="0" fontId="12" fillId="0" borderId="34" xfId="23" applyFont="1" applyBorder="1" applyAlignment="1" applyProtection="1">
      <alignment horizontal="left" shrinkToFit="1"/>
    </xf>
    <xf numFmtId="4" fontId="12" fillId="0" borderId="34" xfId="23" applyNumberFormat="1" applyFont="1" applyBorder="1" applyAlignment="1" applyProtection="1">
      <alignment shrinkToFit="1"/>
    </xf>
    <xf numFmtId="0" fontId="33" fillId="0" borderId="0" xfId="146" applyFill="1" applyAlignment="1" applyProtection="1"/>
    <xf numFmtId="39" fontId="57" fillId="0" borderId="34" xfId="21" applyNumberFormat="1" applyFont="1" applyBorder="1" applyAlignment="1" applyProtection="1">
      <alignment horizontal="right"/>
      <protection locked="0"/>
    </xf>
    <xf numFmtId="39" fontId="12" fillId="0" borderId="34" xfId="21" applyNumberFormat="1" applyFont="1" applyBorder="1" applyAlignment="1" applyProtection="1">
      <alignment horizontal="right"/>
      <protection locked="0"/>
    </xf>
    <xf numFmtId="0" fontId="33" fillId="0" borderId="0" xfId="146" applyFill="1" applyBorder="1" applyAlignment="1" applyProtection="1">
      <alignment vertical="center"/>
    </xf>
    <xf numFmtId="0" fontId="33" fillId="0" borderId="0" xfId="146" applyFill="1" applyAlignment="1" applyProtection="1">
      <alignment vertical="center"/>
    </xf>
    <xf numFmtId="0" fontId="12" fillId="0" borderId="34" xfId="25" applyFont="1" applyBorder="1" applyAlignment="1" applyProtection="1">
      <alignment horizontal="left" shrinkToFit="1"/>
    </xf>
    <xf numFmtId="4" fontId="12" fillId="0" borderId="34" xfId="25" applyNumberFormat="1" applyFont="1" applyBorder="1" applyAlignment="1" applyProtection="1">
      <alignment shrinkToFit="1"/>
    </xf>
    <xf numFmtId="39" fontId="57" fillId="0" borderId="34" xfId="89" applyNumberFormat="1" applyFont="1" applyBorder="1" applyAlignment="1" applyProtection="1">
      <alignment horizontal="right"/>
      <protection locked="0"/>
    </xf>
    <xf numFmtId="39" fontId="12" fillId="0" borderId="34" xfId="89" applyNumberFormat="1" applyFont="1" applyBorder="1" applyAlignment="1" applyProtection="1">
      <alignment horizontal="right"/>
      <protection locked="0"/>
    </xf>
    <xf numFmtId="0" fontId="173" fillId="0" borderId="0" xfId="146" applyFont="1" applyFill="1" applyAlignment="1" applyProtection="1"/>
    <xf numFmtId="39" fontId="64" fillId="0" borderId="34" xfId="154" applyNumberFormat="1" applyFont="1" applyBorder="1" applyAlignment="1" applyProtection="1">
      <alignment horizontal="right"/>
      <protection locked="0"/>
    </xf>
    <xf numFmtId="172" fontId="57" fillId="0" borderId="34" xfId="154" applyNumberFormat="1" applyFont="1" applyBorder="1" applyAlignment="1" applyProtection="1">
      <alignment horizontal="right"/>
      <protection locked="0"/>
    </xf>
    <xf numFmtId="0" fontId="12" fillId="0" borderId="34" xfId="25" applyFont="1" applyBorder="1" applyAlignment="1" applyProtection="1">
      <alignment horizontal="left" wrapText="1"/>
    </xf>
    <xf numFmtId="0" fontId="177" fillId="0" borderId="0" xfId="146" applyFont="1" applyFill="1" applyAlignment="1" applyProtection="1"/>
    <xf numFmtId="0" fontId="173" fillId="0" borderId="0" xfId="146" applyFont="1" applyFill="1" applyBorder="1" applyAlignment="1" applyProtection="1"/>
    <xf numFmtId="0" fontId="12" fillId="0" borderId="0" xfId="24" applyFont="1" applyAlignment="1" applyProtection="1">
      <alignment horizontal="left"/>
    </xf>
    <xf numFmtId="172" fontId="12" fillId="0" borderId="0" xfId="24" applyNumberFormat="1" applyFont="1" applyAlignment="1" applyProtection="1">
      <alignment horizontal="left"/>
    </xf>
    <xf numFmtId="0" fontId="62" fillId="0" borderId="0" xfId="24" applyFont="1" applyAlignment="1" applyProtection="1">
      <alignment horizontal="left"/>
    </xf>
    <xf numFmtId="39" fontId="57" fillId="0" borderId="34" xfId="154" applyNumberFormat="1" applyFont="1" applyBorder="1" applyAlignment="1" applyProtection="1">
      <alignment horizontal="right"/>
      <protection locked="0"/>
    </xf>
    <xf numFmtId="0" fontId="33" fillId="0" borderId="0" xfId="146" applyFill="1" applyBorder="1" applyAlignment="1" applyProtection="1"/>
    <xf numFmtId="0" fontId="52" fillId="0" borderId="0" xfId="146" applyFont="1" applyFill="1" applyAlignment="1" applyProtection="1"/>
    <xf numFmtId="0" fontId="14" fillId="0" borderId="0" xfId="146" applyFont="1" applyFill="1" applyAlignment="1" applyProtection="1">
      <alignment horizontal="right"/>
    </xf>
    <xf numFmtId="0" fontId="14" fillId="0" borderId="0" xfId="146" applyFont="1" applyFill="1" applyAlignment="1" applyProtection="1"/>
    <xf numFmtId="0" fontId="185" fillId="0" borderId="0" xfId="146" applyFont="1" applyFill="1" applyAlignment="1" applyProtection="1">
      <alignment vertical="top"/>
    </xf>
    <xf numFmtId="0" fontId="14" fillId="0" borderId="0" xfId="146" applyFont="1" applyFill="1" applyAlignment="1" applyProtection="1">
      <alignment horizontal="center"/>
    </xf>
    <xf numFmtId="39" fontId="83" fillId="0" borderId="34" xfId="154" applyNumberFormat="1" applyFont="1" applyBorder="1" applyAlignment="1" applyProtection="1">
      <alignment horizontal="right"/>
      <protection locked="0"/>
    </xf>
    <xf numFmtId="0" fontId="188" fillId="0" borderId="0" xfId="122" applyFont="1" applyFill="1" applyBorder="1" applyAlignment="1" applyProtection="1">
      <alignment horizontal="left" vertical="center"/>
    </xf>
    <xf numFmtId="0" fontId="189" fillId="0" borderId="0" xfId="146" applyFont="1" applyFill="1" applyAlignment="1" applyProtection="1">
      <alignment horizontal="left"/>
    </xf>
    <xf numFmtId="0" fontId="190" fillId="0" borderId="0" xfId="146" applyFont="1" applyFill="1" applyAlignment="1" applyProtection="1">
      <alignment horizontal="left"/>
    </xf>
    <xf numFmtId="4" fontId="57" fillId="0" borderId="34" xfId="184" applyNumberFormat="1" applyFont="1" applyBorder="1" applyAlignment="1" applyProtection="1">
      <alignment horizontal="right"/>
      <protection locked="0"/>
    </xf>
    <xf numFmtId="0" fontId="193" fillId="0" borderId="0" xfId="146" applyFont="1" applyFill="1" applyAlignment="1" applyProtection="1"/>
    <xf numFmtId="0" fontId="190" fillId="0" borderId="0" xfId="146" applyFont="1" applyFill="1" applyBorder="1" applyAlignment="1" applyProtection="1">
      <alignment horizontal="left"/>
    </xf>
    <xf numFmtId="0" fontId="62" fillId="0" borderId="0" xfId="23" applyFont="1" applyAlignment="1" applyProtection="1">
      <alignment horizontal="left"/>
    </xf>
    <xf numFmtId="0" fontId="15" fillId="0" borderId="0" xfId="23" applyAlignment="1" applyProtection="1">
      <alignment vertical="top"/>
    </xf>
    <xf numFmtId="39" fontId="12" fillId="0" borderId="34" xfId="3" applyNumberFormat="1" applyFont="1" applyBorder="1" applyAlignment="1" applyProtection="1">
      <alignment horizontal="right"/>
      <protection locked="0"/>
    </xf>
    <xf numFmtId="4" fontId="57" fillId="9" borderId="34" xfId="154" applyNumberFormat="1" applyFont="1" applyFill="1" applyBorder="1" applyAlignment="1" applyProtection="1">
      <alignment horizontal="right"/>
      <protection locked="0"/>
    </xf>
    <xf numFmtId="0" fontId="52" fillId="0" borderId="0" xfId="146" applyFont="1" applyFill="1" applyBorder="1" applyAlignment="1" applyProtection="1"/>
    <xf numFmtId="2" fontId="57" fillId="0" borderId="34" xfId="154" applyNumberFormat="1" applyFont="1" applyBorder="1" applyAlignment="1" applyProtection="1">
      <alignment horizontal="right"/>
      <protection locked="0"/>
    </xf>
    <xf numFmtId="172" fontId="14" fillId="0" borderId="0" xfId="146" applyNumberFormat="1" applyFont="1" applyFill="1" applyAlignment="1" applyProtection="1">
      <alignment horizontal="left" vertical="top"/>
    </xf>
    <xf numFmtId="0" fontId="52" fillId="0" borderId="0" xfId="146" applyFont="1" applyFill="1" applyAlignment="1" applyProtection="1">
      <alignment horizontal="left" vertical="top"/>
    </xf>
    <xf numFmtId="0" fontId="15" fillId="0" borderId="0" xfId="25" applyAlignment="1" applyProtection="1">
      <alignment vertical="top"/>
    </xf>
    <xf numFmtId="0" fontId="64" fillId="0" borderId="0" xfId="0" applyFont="1" applyAlignment="1" applyProtection="1">
      <alignment horizontal="left"/>
    </xf>
    <xf numFmtId="0" fontId="12" fillId="0" borderId="0" xfId="0" applyFont="1" applyAlignment="1" applyProtection="1">
      <alignment horizontal="left"/>
    </xf>
    <xf numFmtId="0" fontId="62" fillId="0" borderId="0" xfId="0" applyFont="1" applyAlignment="1" applyProtection="1">
      <alignment horizontal="left"/>
    </xf>
    <xf numFmtId="0" fontId="66" fillId="0" borderId="33" xfId="0" applyFont="1" applyBorder="1" applyAlignment="1" applyProtection="1">
      <alignment horizontal="center" vertical="center" wrapText="1"/>
    </xf>
    <xf numFmtId="49" fontId="66" fillId="0" borderId="33" xfId="0" applyNumberFormat="1" applyFont="1" applyBorder="1" applyAlignment="1" applyProtection="1">
      <alignment horizontal="center" vertical="center" wrapText="1"/>
    </xf>
    <xf numFmtId="2" fontId="66" fillId="0" borderId="33" xfId="0" applyNumberFormat="1" applyFont="1" applyBorder="1" applyAlignment="1" applyProtection="1">
      <alignment horizontal="center" vertical="center" wrapText="1"/>
    </xf>
    <xf numFmtId="0" fontId="212" fillId="0" borderId="18" xfId="155" applyFont="1" applyBorder="1" applyAlignment="1" applyProtection="1">
      <alignment wrapText="1"/>
    </xf>
    <xf numFmtId="0" fontId="205" fillId="0" borderId="18" xfId="0" applyFont="1" applyBorder="1" applyAlignment="1" applyProtection="1"/>
    <xf numFmtId="0" fontId="13" fillId="0" borderId="18" xfId="155" applyFont="1" applyBorder="1" applyAlignment="1" applyProtection="1"/>
    <xf numFmtId="0" fontId="13" fillId="0" borderId="18" xfId="155" applyFont="1" applyBorder="1" applyAlignment="1" applyProtection="1">
      <alignment wrapText="1"/>
    </xf>
    <xf numFmtId="0" fontId="0" fillId="0" borderId="0" xfId="0" applyAlignment="1" applyProtection="1"/>
    <xf numFmtId="0" fontId="13" fillId="0" borderId="0" xfId="0" applyFont="1" applyAlignment="1" applyProtection="1">
      <alignment horizontal="justify"/>
    </xf>
    <xf numFmtId="39" fontId="12" fillId="0" borderId="34" xfId="184" applyNumberFormat="1" applyFont="1" applyBorder="1" applyAlignment="1" applyProtection="1">
      <alignment horizontal="right"/>
      <protection locked="0"/>
    </xf>
    <xf numFmtId="39" fontId="12" fillId="0" borderId="18" xfId="184" applyNumberFormat="1" applyFont="1" applyBorder="1" applyAlignment="1" applyProtection="1">
      <alignment horizontal="right"/>
      <protection locked="0"/>
    </xf>
    <xf numFmtId="4" fontId="12" fillId="0" borderId="34" xfId="184" applyNumberFormat="1" applyFont="1" applyBorder="1" applyAlignment="1" applyProtection="1">
      <alignment horizontal="right"/>
      <protection locked="0"/>
    </xf>
    <xf numFmtId="39" fontId="83" fillId="0" borderId="34" xfId="184" applyNumberFormat="1" applyFont="1" applyBorder="1" applyAlignment="1" applyProtection="1">
      <alignment horizontal="right"/>
      <protection locked="0"/>
    </xf>
    <xf numFmtId="4" fontId="64" fillId="0" borderId="34" xfId="184" applyNumberFormat="1" applyFont="1" applyBorder="1" applyAlignment="1" applyProtection="1">
      <alignment horizontal="right"/>
      <protection locked="0"/>
    </xf>
    <xf numFmtId="39" fontId="12" fillId="0" borderId="34" xfId="32" applyNumberFormat="1" applyFont="1" applyBorder="1" applyAlignment="1" applyProtection="1">
      <alignment horizontal="right"/>
      <protection locked="0"/>
    </xf>
    <xf numFmtId="4" fontId="83" fillId="0" borderId="34" xfId="184" applyNumberFormat="1" applyFont="1" applyBorder="1" applyAlignment="1" applyProtection="1">
      <alignment horizontal="right"/>
      <protection locked="0"/>
    </xf>
    <xf numFmtId="172" fontId="62" fillId="0" borderId="0" xfId="0" applyNumberFormat="1" applyFont="1" applyAlignment="1" applyProtection="1">
      <alignment horizontal="left"/>
    </xf>
    <xf numFmtId="4" fontId="62" fillId="0" borderId="0" xfId="0" applyNumberFormat="1" applyFont="1" applyAlignment="1" applyProtection="1">
      <alignment horizontal="left"/>
    </xf>
    <xf numFmtId="172" fontId="66" fillId="0" borderId="33" xfId="0" applyNumberFormat="1" applyFont="1" applyBorder="1" applyAlignment="1" applyProtection="1">
      <alignment horizontal="center" vertical="center" wrapText="1"/>
    </xf>
    <xf numFmtId="4" fontId="66" fillId="0" borderId="33" xfId="0" applyNumberFormat="1" applyFont="1" applyBorder="1" applyAlignment="1" applyProtection="1">
      <alignment horizontal="center" vertical="center" wrapText="1"/>
    </xf>
    <xf numFmtId="0" fontId="13" fillId="0" borderId="18" xfId="192" applyFont="1" applyBorder="1" applyAlignment="1" applyProtection="1"/>
    <xf numFmtId="0" fontId="212" fillId="0" borderId="18" xfId="192" applyFont="1" applyBorder="1" applyAlignment="1" applyProtection="1">
      <alignment wrapText="1"/>
    </xf>
    <xf numFmtId="49" fontId="0" fillId="0" borderId="0" xfId="0" applyNumberFormat="1" applyAlignment="1" applyProtection="1">
      <alignment horizontal="left"/>
    </xf>
    <xf numFmtId="0" fontId="0" fillId="0" borderId="0" xfId="0" applyAlignment="1" applyProtection="1">
      <alignment horizontal="left"/>
    </xf>
    <xf numFmtId="172" fontId="0" fillId="0" borderId="0" xfId="0" applyNumberFormat="1" applyAlignment="1" applyProtection="1">
      <alignment horizontal="left"/>
    </xf>
    <xf numFmtId="0" fontId="62" fillId="5" borderId="0" xfId="0" applyFont="1" applyFill="1" applyAlignment="1" applyProtection="1">
      <alignment horizontal="left"/>
    </xf>
    <xf numFmtId="0" fontId="62" fillId="5" borderId="0" xfId="0" applyFont="1" applyFill="1" applyAlignment="1" applyProtection="1">
      <alignment horizontal="center"/>
    </xf>
    <xf numFmtId="0" fontId="66" fillId="5" borderId="33" xfId="0" applyFont="1" applyFill="1" applyBorder="1" applyAlignment="1" applyProtection="1">
      <alignment horizontal="center" vertical="center" wrapText="1"/>
    </xf>
    <xf numFmtId="0" fontId="66" fillId="5" borderId="39" xfId="0" applyFont="1" applyFill="1" applyBorder="1" applyAlignment="1" applyProtection="1">
      <alignment horizontal="center" vertical="center" wrapText="1"/>
    </xf>
    <xf numFmtId="0" fontId="66" fillId="5" borderId="15" xfId="0" applyFont="1" applyFill="1" applyBorder="1" applyAlignment="1" applyProtection="1">
      <alignment horizontal="center" vertical="center" wrapText="1"/>
    </xf>
    <xf numFmtId="0" fontId="57" fillId="0" borderId="18" xfId="0" applyFont="1" applyBorder="1" applyAlignment="1" applyProtection="1">
      <alignment horizontal="left" wrapText="1"/>
    </xf>
    <xf numFmtId="0" fontId="45" fillId="0" borderId="0" xfId="122" applyFill="1" applyAlignment="1" applyProtection="1">
      <alignment vertical="center"/>
    </xf>
    <xf numFmtId="0" fontId="32" fillId="0" borderId="0" xfId="44" applyAlignment="1" applyProtection="1">
      <alignment vertical="center"/>
    </xf>
    <xf numFmtId="0" fontId="70" fillId="0" borderId="0" xfId="0" applyFont="1" applyAlignment="1">
      <alignment vertical="center"/>
      <protection locked="0"/>
    </xf>
    <xf numFmtId="172" fontId="17" fillId="0" borderId="0" xfId="25" applyNumberFormat="1" applyFont="1" applyAlignment="1" applyProtection="1"/>
    <xf numFmtId="0" fontId="232" fillId="0" borderId="0" xfId="25" applyFont="1" applyAlignment="1" applyProtection="1">
      <alignment horizontal="left"/>
    </xf>
    <xf numFmtId="0" fontId="233" fillId="0" borderId="0" xfId="146" applyNumberFormat="1" applyFont="1" applyFill="1" applyAlignment="1" applyProtection="1">
      <alignment vertical="center"/>
    </xf>
    <xf numFmtId="39" fontId="64" fillId="0" borderId="34" xfId="184" applyNumberFormat="1" applyFont="1" applyBorder="1" applyAlignment="1" applyProtection="1">
      <alignment horizontal="right"/>
      <protection locked="0"/>
    </xf>
    <xf numFmtId="0" fontId="32" fillId="0" borderId="0" xfId="46" applyAlignment="1" applyProtection="1"/>
    <xf numFmtId="0" fontId="237" fillId="0" borderId="0" xfId="29" applyNumberFormat="1" applyFont="1" applyFill="1" applyAlignment="1" applyProtection="1">
      <alignment horizontal="left" vertical="center"/>
    </xf>
    <xf numFmtId="39" fontId="119" fillId="0" borderId="34" xfId="184" applyNumberFormat="1" applyFont="1" applyBorder="1" applyAlignment="1" applyProtection="1">
      <alignment horizontal="right"/>
      <protection locked="0"/>
    </xf>
    <xf numFmtId="0" fontId="42" fillId="0" borderId="0" xfId="64" applyNumberFormat="1" applyFill="1" applyAlignment="1" applyProtection="1">
      <alignment vertical="center"/>
    </xf>
    <xf numFmtId="0" fontId="237" fillId="0" borderId="0" xfId="64" applyFont="1" applyFill="1" applyAlignment="1" applyProtection="1">
      <alignment vertical="center"/>
    </xf>
    <xf numFmtId="39" fontId="57" fillId="0" borderId="34" xfId="3" applyNumberFormat="1" applyFont="1" applyBorder="1" applyAlignment="1" applyProtection="1">
      <alignment horizontal="right"/>
      <protection locked="0"/>
    </xf>
    <xf numFmtId="0" fontId="237" fillId="0" borderId="0" xfId="64" applyNumberFormat="1" applyFont="1" applyFill="1" applyAlignment="1" applyProtection="1">
      <alignment vertical="center"/>
    </xf>
    <xf numFmtId="0" fontId="33" fillId="0" borderId="0" xfId="146" applyNumberFormat="1" applyFill="1" applyAlignment="1" applyProtection="1">
      <alignment vertical="center"/>
    </xf>
    <xf numFmtId="0" fontId="42" fillId="0" borderId="0" xfId="64" applyNumberFormat="1" applyFill="1" applyAlignment="1" applyProtection="1"/>
    <xf numFmtId="0" fontId="185" fillId="0" borderId="0" xfId="64" applyNumberFormat="1" applyFont="1" applyFill="1" applyAlignment="1" applyProtection="1"/>
    <xf numFmtId="0" fontId="226" fillId="0" borderId="0" xfId="146" applyNumberFormat="1" applyFont="1" applyFill="1" applyAlignment="1" applyProtection="1">
      <alignment vertical="center"/>
    </xf>
    <xf numFmtId="0" fontId="210" fillId="0" borderId="0" xfId="64" applyNumberFormat="1" applyFont="1" applyFill="1" applyAlignment="1" applyProtection="1">
      <alignment vertical="center"/>
    </xf>
    <xf numFmtId="0" fontId="32" fillId="0" borderId="0" xfId="44" applyAlignment="1" applyProtection="1"/>
    <xf numFmtId="4" fontId="22" fillId="0" borderId="0" xfId="64" applyNumberFormat="1" applyFont="1" applyFill="1" applyAlignment="1" applyProtection="1">
      <alignment horizontal="center" vertical="center"/>
    </xf>
    <xf numFmtId="4" fontId="22" fillId="0" borderId="0" xfId="64" applyNumberFormat="1" applyFont="1" applyFill="1" applyAlignment="1" applyProtection="1">
      <alignment horizontal="left" vertical="center"/>
    </xf>
    <xf numFmtId="0" fontId="22" fillId="0" borderId="0" xfId="64" applyNumberFormat="1" applyFont="1" applyFill="1" applyAlignment="1" applyProtection="1">
      <alignment horizontal="center" vertical="center"/>
    </xf>
    <xf numFmtId="0" fontId="244" fillId="0" borderId="0" xfId="64" applyFont="1" applyFill="1" applyAlignment="1" applyProtection="1">
      <alignment vertical="center"/>
    </xf>
    <xf numFmtId="39" fontId="57" fillId="0" borderId="34" xfId="184" applyNumberFormat="1" applyFont="1" applyBorder="1" applyAlignment="1" applyProtection="1">
      <alignment horizontal="right"/>
      <protection locked="0"/>
    </xf>
    <xf numFmtId="0" fontId="33" fillId="0" borderId="0" xfId="146" applyFill="1" applyAlignment="1" applyProtection="1">
      <alignment vertical="top"/>
    </xf>
    <xf numFmtId="37" fontId="12" fillId="0" borderId="34" xfId="46" applyNumberFormat="1" applyFont="1" applyBorder="1" applyAlignment="1" applyProtection="1">
      <alignment horizontal="right"/>
    </xf>
    <xf numFmtId="0" fontId="12" fillId="0" borderId="34" xfId="46" applyFont="1" applyBorder="1" applyAlignment="1" applyProtection="1">
      <alignment horizontal="left" wrapText="1"/>
    </xf>
    <xf numFmtId="172" fontId="12" fillId="0" borderId="34" xfId="46" applyNumberFormat="1" applyFont="1" applyBorder="1" applyAlignment="1" applyProtection="1">
      <alignment horizontal="right"/>
    </xf>
    <xf numFmtId="0" fontId="185" fillId="0" borderId="0" xfId="44" applyFont="1" applyAlignment="1" applyProtection="1">
      <alignment vertical="center"/>
    </xf>
    <xf numFmtId="0" fontId="32" fillId="0" borderId="0" xfId="46" applyAlignment="1" applyProtection="1">
      <alignment vertical="center"/>
    </xf>
    <xf numFmtId="0" fontId="32" fillId="0" borderId="0" xfId="46" applyAlignment="1" applyProtection="1">
      <alignment horizontal="left" vertical="center"/>
    </xf>
    <xf numFmtId="0" fontId="242" fillId="0" borderId="0" xfId="64" applyNumberFormat="1" applyFont="1" applyFill="1" applyAlignment="1" applyProtection="1">
      <alignment vertical="center"/>
    </xf>
    <xf numFmtId="0" fontId="104" fillId="0" borderId="0" xfId="46" applyFont="1" applyAlignment="1" applyProtection="1">
      <alignment horizontal="right"/>
    </xf>
    <xf numFmtId="0" fontId="104" fillId="0" borderId="0" xfId="46" applyFont="1" applyAlignment="1" applyProtection="1">
      <alignment horizontal="right" vertical="center"/>
    </xf>
    <xf numFmtId="6" fontId="32" fillId="0" borderId="0" xfId="46" applyNumberFormat="1" applyAlignment="1" applyProtection="1"/>
    <xf numFmtId="0" fontId="98" fillId="0" borderId="0" xfId="44" applyFont="1" applyAlignment="1" applyProtection="1">
      <alignment horizontal="center" vertical="center"/>
    </xf>
    <xf numFmtId="0" fontId="221" fillId="0" borderId="0" xfId="44" applyFont="1" applyAlignment="1" applyProtection="1">
      <alignment horizontal="center" vertical="center"/>
    </xf>
    <xf numFmtId="0" fontId="103" fillId="0" borderId="0" xfId="44" applyFont="1" applyAlignment="1" applyProtection="1">
      <alignment horizontal="center" vertical="center"/>
    </xf>
    <xf numFmtId="172" fontId="221" fillId="0" borderId="0" xfId="44" applyNumberFormat="1" applyFont="1" applyAlignment="1" applyProtection="1">
      <alignment horizontal="center" vertical="center"/>
    </xf>
    <xf numFmtId="0" fontId="21" fillId="0" borderId="0" xfId="44" applyFont="1" applyAlignment="1" applyProtection="1"/>
    <xf numFmtId="0" fontId="70" fillId="0" borderId="0" xfId="44" applyFont="1" applyAlignment="1" applyProtection="1"/>
    <xf numFmtId="0" fontId="80" fillId="0" borderId="0" xfId="44" applyFont="1" applyAlignment="1" applyProtection="1">
      <alignment vertical="center"/>
    </xf>
    <xf numFmtId="0" fontId="82" fillId="0" borderId="0" xfId="44" applyFont="1" applyAlignment="1" applyProtection="1">
      <alignment horizontal="left" vertical="center"/>
    </xf>
    <xf numFmtId="0" fontId="213" fillId="0" borderId="0" xfId="44" applyFont="1" applyAlignment="1" applyProtection="1">
      <alignment vertical="center"/>
    </xf>
    <xf numFmtId="0" fontId="21" fillId="0" borderId="0" xfId="44" applyFont="1" applyAlignment="1" applyProtection="1">
      <alignment horizontal="right" vertical="top" wrapText="1"/>
    </xf>
    <xf numFmtId="0" fontId="70" fillId="0" borderId="0" xfId="44" applyFont="1" applyAlignment="1" applyProtection="1">
      <alignment vertical="top" wrapText="1"/>
    </xf>
    <xf numFmtId="0" fontId="15" fillId="0" borderId="0" xfId="25" applyAlignment="1" applyProtection="1">
      <alignment horizontal="left" vertical="center"/>
    </xf>
    <xf numFmtId="0" fontId="104" fillId="0" borderId="0" xfId="25" applyFont="1" applyAlignment="1" applyProtection="1">
      <alignment horizontal="right" vertical="center"/>
    </xf>
    <xf numFmtId="0" fontId="70" fillId="0" borderId="0" xfId="44" applyFont="1" applyAlignment="1" applyProtection="1">
      <alignment vertical="center"/>
    </xf>
    <xf numFmtId="0" fontId="226" fillId="0" borderId="0" xfId="44" applyFont="1" applyAlignment="1" applyProtection="1"/>
    <xf numFmtId="39" fontId="76" fillId="0" borderId="34" xfId="3" applyNumberFormat="1" applyFont="1" applyBorder="1" applyAlignment="1" applyProtection="1">
      <alignment horizontal="right"/>
      <protection locked="0"/>
    </xf>
    <xf numFmtId="4" fontId="78" fillId="0" borderId="34" xfId="33" applyNumberFormat="1" applyFont="1" applyBorder="1" applyAlignment="1" applyProtection="1">
      <alignment horizontal="right"/>
      <protection locked="0"/>
    </xf>
    <xf numFmtId="4" fontId="12" fillId="0" borderId="34" xfId="6" applyNumberFormat="1" applyFont="1" applyBorder="1" applyAlignment="1" applyProtection="1">
      <alignment horizontal="right"/>
      <protection locked="0"/>
    </xf>
    <xf numFmtId="39" fontId="12" fillId="0" borderId="34" xfId="22" applyNumberFormat="1" applyFont="1" applyBorder="1" applyAlignment="1" applyProtection="1">
      <alignment horizontal="right"/>
      <protection locked="0"/>
    </xf>
    <xf numFmtId="0" fontId="237" fillId="0" borderId="0" xfId="146" applyFont="1" applyFill="1" applyAlignment="1" applyProtection="1">
      <alignment horizontal="left" vertical="center"/>
    </xf>
    <xf numFmtId="39" fontId="202" fillId="0" borderId="34" xfId="3" applyNumberFormat="1" applyFont="1" applyBorder="1" applyAlignment="1" applyProtection="1">
      <alignment horizontal="right"/>
      <protection locked="0"/>
    </xf>
    <xf numFmtId="4" fontId="57" fillId="0" borderId="34" xfId="8" applyNumberFormat="1" applyFont="1" applyBorder="1" applyAlignment="1" applyProtection="1">
      <alignment horizontal="right"/>
      <protection locked="0"/>
    </xf>
    <xf numFmtId="39" fontId="140" fillId="0" borderId="34" xfId="184" applyNumberFormat="1" applyFont="1" applyBorder="1" applyAlignment="1" applyProtection="1">
      <alignment horizontal="right"/>
      <protection locked="0"/>
    </xf>
    <xf numFmtId="39" fontId="12" fillId="0" borderId="34" xfId="70" applyNumberFormat="1" applyFont="1" applyBorder="1" applyAlignment="1" applyProtection="1">
      <alignment horizontal="right"/>
      <protection locked="0"/>
    </xf>
    <xf numFmtId="39" fontId="12" fillId="0" borderId="34" xfId="194" applyNumberFormat="1" applyFont="1" applyBorder="1" applyAlignment="1" applyProtection="1">
      <alignment horizontal="right"/>
      <protection locked="0"/>
    </xf>
    <xf numFmtId="4" fontId="57" fillId="0" borderId="34" xfId="36" applyNumberFormat="1" applyFont="1" applyBorder="1" applyAlignment="1" applyProtection="1">
      <alignment horizontal="right"/>
      <protection locked="0"/>
    </xf>
    <xf numFmtId="4" fontId="12" fillId="0" borderId="34" xfId="36" applyNumberFormat="1" applyFont="1" applyBorder="1" applyAlignment="1" applyProtection="1">
      <alignment horizontal="right"/>
      <protection locked="0"/>
    </xf>
    <xf numFmtId="4" fontId="57" fillId="9" borderId="34" xfId="184" applyNumberFormat="1" applyFont="1" applyFill="1" applyBorder="1" applyAlignment="1" applyProtection="1">
      <alignment horizontal="right"/>
      <protection locked="0"/>
    </xf>
    <xf numFmtId="4" fontId="57" fillId="9" borderId="34" xfId="6" applyNumberFormat="1" applyFont="1" applyFill="1" applyBorder="1" applyAlignment="1" applyProtection="1">
      <alignment horizontal="right"/>
      <protection locked="0"/>
    </xf>
    <xf numFmtId="4" fontId="71" fillId="9" borderId="34" xfId="184" applyNumberFormat="1" applyFont="1" applyFill="1" applyBorder="1" applyAlignment="1" applyProtection="1">
      <alignment horizontal="right"/>
      <protection locked="0"/>
    </xf>
    <xf numFmtId="4" fontId="77" fillId="9" borderId="34" xfId="184" applyNumberFormat="1" applyFont="1" applyFill="1" applyBorder="1" applyAlignment="1" applyProtection="1">
      <alignment horizontal="right"/>
      <protection locked="0"/>
    </xf>
    <xf numFmtId="0" fontId="15" fillId="0" borderId="0" xfId="25" applyAlignment="1" applyProtection="1"/>
    <xf numFmtId="4" fontId="12" fillId="0" borderId="34" xfId="195" applyNumberFormat="1" applyFont="1" applyBorder="1" applyAlignment="1" applyProtection="1">
      <alignment horizontal="right"/>
      <protection locked="0"/>
    </xf>
    <xf numFmtId="39" fontId="12" fillId="0" borderId="34" xfId="195" applyNumberFormat="1" applyFont="1" applyBorder="1" applyAlignment="1" applyProtection="1">
      <alignment horizontal="right"/>
      <protection locked="0"/>
    </xf>
    <xf numFmtId="4" fontId="12" fillId="0" borderId="34" xfId="149" applyNumberFormat="1" applyFont="1" applyBorder="1" applyAlignment="1" applyProtection="1">
      <alignment horizontal="right"/>
      <protection locked="0"/>
    </xf>
    <xf numFmtId="4" fontId="57" fillId="9" borderId="34" xfId="195" applyNumberFormat="1" applyFont="1" applyFill="1" applyBorder="1" applyAlignment="1" applyProtection="1">
      <alignment horizontal="right"/>
      <protection locked="0"/>
    </xf>
    <xf numFmtId="4" fontId="57" fillId="9" borderId="34" xfId="32" applyNumberFormat="1" applyFont="1" applyFill="1" applyBorder="1" applyAlignment="1" applyProtection="1">
      <alignment horizontal="right"/>
      <protection locked="0"/>
    </xf>
    <xf numFmtId="39" fontId="12" fillId="0" borderId="34" xfId="33" applyNumberFormat="1" applyFont="1" applyBorder="1" applyAlignment="1" applyProtection="1">
      <alignment horizontal="right"/>
      <protection locked="0"/>
    </xf>
    <xf numFmtId="4" fontId="83" fillId="0" borderId="34" xfId="89" applyNumberFormat="1" applyFont="1" applyBorder="1" applyAlignment="1" applyProtection="1">
      <alignment horizontal="right"/>
      <protection locked="0"/>
    </xf>
    <xf numFmtId="4" fontId="12" fillId="0" borderId="34" xfId="196" applyNumberFormat="1" applyFont="1" applyBorder="1" applyAlignment="1" applyProtection="1">
      <alignment horizontal="right"/>
      <protection locked="0"/>
    </xf>
    <xf numFmtId="4" fontId="57" fillId="9" borderId="34" xfId="197" applyNumberFormat="1" applyFont="1" applyFill="1" applyBorder="1" applyAlignment="1" applyProtection="1">
      <alignment horizontal="right"/>
      <protection locked="0"/>
    </xf>
    <xf numFmtId="4" fontId="83" fillId="0" borderId="34" xfId="197" applyNumberFormat="1" applyFont="1" applyBorder="1" applyAlignment="1" applyProtection="1">
      <alignment horizontal="right"/>
      <protection locked="0"/>
    </xf>
    <xf numFmtId="4" fontId="71" fillId="9" borderId="34" xfId="197" applyNumberFormat="1" applyFont="1" applyFill="1" applyBorder="1" applyAlignment="1" applyProtection="1">
      <alignment horizontal="right"/>
      <protection locked="0"/>
    </xf>
    <xf numFmtId="4" fontId="83" fillId="0" borderId="34" xfId="196" applyNumberFormat="1" applyFont="1" applyBorder="1" applyAlignment="1" applyProtection="1">
      <alignment horizontal="right"/>
      <protection locked="0"/>
    </xf>
    <xf numFmtId="4" fontId="64" fillId="0" borderId="34" xfId="196" applyNumberFormat="1" applyFont="1" applyBorder="1" applyAlignment="1" applyProtection="1">
      <alignment horizontal="right"/>
      <protection locked="0"/>
    </xf>
    <xf numFmtId="4" fontId="119" fillId="0" borderId="34" xfId="89" applyNumberFormat="1" applyFont="1" applyBorder="1" applyAlignment="1" applyProtection="1">
      <alignment horizontal="right"/>
      <protection locked="0"/>
    </xf>
    <xf numFmtId="39" fontId="119" fillId="0" borderId="34" xfId="33" applyNumberFormat="1" applyFont="1" applyBorder="1" applyAlignment="1" applyProtection="1">
      <alignment horizontal="right"/>
      <protection locked="0"/>
    </xf>
    <xf numFmtId="39" fontId="64" fillId="0" borderId="34" xfId="34" applyNumberFormat="1" applyFont="1" applyBorder="1" applyAlignment="1" applyProtection="1">
      <alignment horizontal="right"/>
      <protection locked="0"/>
    </xf>
    <xf numFmtId="39" fontId="83" fillId="0" borderId="34" xfId="33" applyNumberFormat="1" applyFont="1" applyBorder="1" applyAlignment="1" applyProtection="1">
      <alignment horizontal="right"/>
      <protection locked="0"/>
    </xf>
    <xf numFmtId="4" fontId="64" fillId="0" borderId="34" xfId="89" applyNumberFormat="1" applyFont="1" applyBorder="1" applyAlignment="1" applyProtection="1">
      <alignment horizontal="right"/>
      <protection locked="0"/>
    </xf>
    <xf numFmtId="0" fontId="15" fillId="0" borderId="0" xfId="38" applyAlignment="1" applyProtection="1"/>
    <xf numFmtId="0" fontId="266" fillId="0" borderId="0" xfId="0" applyFont="1" applyAlignment="1" applyProtection="1"/>
    <xf numFmtId="0" fontId="268" fillId="0" borderId="0" xfId="122" applyFont="1" applyFill="1" applyAlignment="1" applyProtection="1"/>
    <xf numFmtId="0" fontId="275" fillId="0" borderId="0" xfId="201" applyFont="1" applyFill="1" applyAlignment="1" applyProtection="1"/>
    <xf numFmtId="0" fontId="268" fillId="0" borderId="0" xfId="122" applyFont="1" applyFill="1" applyAlignment="1" applyProtection="1">
      <alignment horizontal="left" vertical="center"/>
    </xf>
    <xf numFmtId="0" fontId="205" fillId="0" borderId="18" xfId="192" applyFont="1" applyBorder="1" applyAlignment="1" applyProtection="1"/>
    <xf numFmtId="0" fontId="212" fillId="0" borderId="18" xfId="192" applyFont="1" applyBorder="1" applyAlignment="1" applyProtection="1"/>
    <xf numFmtId="172" fontId="205" fillId="0" borderId="18" xfId="192" applyNumberFormat="1" applyFont="1" applyBorder="1" applyAlignment="1" applyProtection="1"/>
    <xf numFmtId="0" fontId="212" fillId="0" borderId="18" xfId="0" applyFont="1" applyBorder="1" applyAlignment="1" applyProtection="1"/>
    <xf numFmtId="172" fontId="205" fillId="0" borderId="18" xfId="0" applyNumberFormat="1" applyFont="1" applyBorder="1" applyAlignment="1" applyProtection="1"/>
    <xf numFmtId="0" fontId="12" fillId="0" borderId="18" xfId="123" applyFont="1" applyBorder="1" applyAlignment="1" applyProtection="1">
      <alignment horizontal="left" wrapText="1"/>
    </xf>
    <xf numFmtId="0" fontId="212" fillId="0" borderId="18" xfId="192" applyFont="1" applyBorder="1" applyAlignment="1" applyProtection="1">
      <alignment vertical="center" wrapText="1"/>
    </xf>
    <xf numFmtId="172" fontId="205" fillId="0" borderId="63" xfId="0" applyNumberFormat="1" applyFont="1" applyBorder="1" applyAlignment="1" applyProtection="1"/>
    <xf numFmtId="0" fontId="12" fillId="0" borderId="63" xfId="123" applyFont="1" applyBorder="1" applyAlignment="1" applyProtection="1">
      <alignment horizontal="left" wrapText="1"/>
    </xf>
    <xf numFmtId="0" fontId="13" fillId="0" borderId="63" xfId="192" applyFont="1" applyBorder="1" applyAlignment="1" applyProtection="1"/>
    <xf numFmtId="0" fontId="30" fillId="0" borderId="0" xfId="192" applyAlignment="1" applyProtection="1"/>
    <xf numFmtId="0" fontId="70" fillId="0" borderId="0" xfId="192" applyFont="1" applyAlignment="1" applyProtection="1"/>
    <xf numFmtId="4" fontId="12" fillId="0" borderId="34" xfId="203" applyNumberFormat="1" applyFont="1" applyBorder="1" applyAlignment="1" applyProtection="1">
      <alignment horizontal="right"/>
      <protection locked="0"/>
    </xf>
    <xf numFmtId="4" fontId="12" fillId="0" borderId="18" xfId="204" applyNumberFormat="1" applyFont="1" applyBorder="1" applyAlignment="1" applyProtection="1">
      <alignment horizontal="right"/>
      <protection locked="0"/>
    </xf>
    <xf numFmtId="0" fontId="0" fillId="0" borderId="0" xfId="0" applyAlignment="1" applyProtection="1">
      <alignment horizontal="left" vertical="top"/>
    </xf>
    <xf numFmtId="172" fontId="15" fillId="0" borderId="0" xfId="25" applyNumberFormat="1" applyAlignment="1" applyProtection="1">
      <alignment vertical="top"/>
    </xf>
    <xf numFmtId="0" fontId="56" fillId="0" borderId="62" xfId="0" applyFont="1" applyBorder="1" applyAlignment="1" applyProtection="1">
      <alignment horizontal="right"/>
    </xf>
    <xf numFmtId="4" fontId="12" fillId="0" borderId="63" xfId="208" applyNumberFormat="1" applyFont="1" applyBorder="1" applyAlignment="1" applyProtection="1">
      <alignment horizontal="right"/>
      <protection locked="0"/>
    </xf>
    <xf numFmtId="0" fontId="45" fillId="0" borderId="0" xfId="122" applyFill="1" applyAlignment="1" applyProtection="1"/>
    <xf numFmtId="4" fontId="264" fillId="0" borderId="34" xfId="142" applyNumberFormat="1" applyFont="1" applyBorder="1" applyAlignment="1" applyProtection="1">
      <alignment horizontal="right"/>
      <protection locked="0"/>
    </xf>
    <xf numFmtId="4" fontId="264" fillId="0" borderId="34" xfId="154" applyNumberFormat="1" applyFont="1" applyBorder="1" applyAlignment="1" applyProtection="1">
      <alignment horizontal="right"/>
      <protection locked="0"/>
    </xf>
    <xf numFmtId="4" fontId="264" fillId="0" borderId="34" xfId="142" applyNumberFormat="1" applyFont="1" applyBorder="1" applyAlignment="1" applyProtection="1">
      <alignment shrinkToFit="1"/>
      <protection locked="0"/>
    </xf>
    <xf numFmtId="4" fontId="267" fillId="0" borderId="34" xfId="154" applyNumberFormat="1" applyFont="1" applyBorder="1" applyAlignment="1" applyProtection="1">
      <alignment horizontal="right"/>
      <protection locked="0"/>
    </xf>
    <xf numFmtId="0" fontId="302" fillId="0" borderId="34" xfId="25" applyFont="1" applyBorder="1" applyAlignment="1" applyProtection="1">
      <alignment horizontal="center" vertical="center"/>
    </xf>
    <xf numFmtId="0" fontId="302" fillId="0" borderId="34" xfId="25" applyFont="1" applyBorder="1" applyAlignment="1" applyProtection="1">
      <alignment horizontal="left" vertical="center"/>
    </xf>
    <xf numFmtId="39" fontId="302" fillId="0" borderId="34" xfId="25" applyNumberFormat="1" applyFont="1" applyBorder="1" applyAlignment="1" applyProtection="1">
      <alignment horizontal="right" vertical="center"/>
    </xf>
    <xf numFmtId="1" fontId="264" fillId="0" borderId="34" xfId="0" applyNumberFormat="1" applyFont="1" applyBorder="1" applyAlignment="1" applyProtection="1">
      <alignment horizontal="right"/>
    </xf>
    <xf numFmtId="49" fontId="264" fillId="0" borderId="34" xfId="0" applyNumberFormat="1" applyFont="1" applyBorder="1" applyAlignment="1" applyProtection="1">
      <alignment horizontal="left" wrapText="1"/>
    </xf>
    <xf numFmtId="0" fontId="264" fillId="0" borderId="34" xfId="0" applyFont="1" applyBorder="1" applyAlignment="1" applyProtection="1">
      <alignment horizontal="left" wrapText="1"/>
    </xf>
    <xf numFmtId="4" fontId="264" fillId="0" borderId="34" xfId="0" applyNumberFormat="1" applyFont="1" applyBorder="1" applyAlignment="1" applyProtection="1">
      <alignment horizontal="right"/>
    </xf>
    <xf numFmtId="172" fontId="264" fillId="0" borderId="34" xfId="0" applyNumberFormat="1" applyFont="1" applyBorder="1" applyAlignment="1" applyProtection="1">
      <alignment horizontal="right"/>
    </xf>
    <xf numFmtId="0" fontId="303" fillId="0" borderId="34" xfId="0" applyFont="1" applyBorder="1" applyAlignment="1" applyProtection="1">
      <alignment horizontal="left" vertical="top"/>
    </xf>
    <xf numFmtId="4" fontId="264" fillId="9" borderId="34" xfId="154" applyNumberFormat="1" applyFont="1" applyFill="1" applyBorder="1" applyAlignment="1" applyProtection="1">
      <alignment horizontal="right"/>
      <protection locked="0"/>
    </xf>
    <xf numFmtId="0" fontId="45" fillId="0" borderId="0" xfId="210" applyFill="1" applyAlignment="1" applyProtection="1">
      <alignment horizontal="left" vertical="center"/>
    </xf>
    <xf numFmtId="39" fontId="264" fillId="0" borderId="34" xfId="194" applyNumberFormat="1" applyFont="1" applyBorder="1" applyAlignment="1" applyProtection="1">
      <alignment horizontal="right"/>
      <protection locked="0"/>
    </xf>
    <xf numFmtId="4" fontId="264" fillId="0" borderId="34" xfId="194" applyNumberFormat="1" applyFont="1" applyBorder="1" applyAlignment="1" applyProtection="1">
      <alignment horizontal="right"/>
      <protection locked="0"/>
    </xf>
    <xf numFmtId="0" fontId="64" fillId="0" borderId="0" xfId="25" applyFont="1" applyAlignment="1" applyProtection="1">
      <alignment horizontal="left" wrapText="1"/>
    </xf>
    <xf numFmtId="0" fontId="12" fillId="0" borderId="0" xfId="25" applyFont="1" applyAlignment="1" applyProtection="1">
      <alignment horizontal="left"/>
    </xf>
    <xf numFmtId="0" fontId="12" fillId="0" borderId="51" xfId="25" applyFont="1" applyBorder="1" applyAlignment="1" applyProtection="1">
      <alignment horizontal="center" vertical="center" wrapText="1"/>
    </xf>
    <xf numFmtId="175" fontId="12" fillId="0" borderId="67" xfId="25" applyNumberFormat="1" applyFont="1" applyBorder="1" applyAlignment="1" applyProtection="1">
      <alignment horizontal="center" vertical="center"/>
    </xf>
    <xf numFmtId="175" fontId="12" fillId="0" borderId="68" xfId="25" applyNumberFormat="1" applyFont="1" applyBorder="1" applyAlignment="1" applyProtection="1">
      <alignment horizontal="center" vertical="center"/>
    </xf>
    <xf numFmtId="175" fontId="12" fillId="0" borderId="69" xfId="25" applyNumberFormat="1" applyFont="1" applyBorder="1" applyAlignment="1" applyProtection="1">
      <alignment horizontal="center" vertical="center"/>
    </xf>
    <xf numFmtId="0" fontId="159" fillId="0" borderId="70" xfId="25" applyFont="1" applyBorder="1" applyAlignment="1" applyProtection="1">
      <alignment horizontal="center" vertical="center"/>
    </xf>
    <xf numFmtId="0" fontId="159" fillId="0" borderId="70" xfId="25" applyFont="1" applyBorder="1" applyAlignment="1" applyProtection="1">
      <alignment horizontal="left" vertical="center"/>
    </xf>
    <xf numFmtId="39" fontId="159" fillId="0" borderId="70" xfId="25" applyNumberFormat="1" applyFont="1" applyBorder="1" applyAlignment="1" applyProtection="1">
      <alignment horizontal="right" vertical="center"/>
    </xf>
    <xf numFmtId="0" fontId="161" fillId="0" borderId="70" xfId="25" applyFont="1" applyBorder="1" applyAlignment="1" applyProtection="1">
      <alignment horizontal="left" vertical="center"/>
    </xf>
    <xf numFmtId="0" fontId="162" fillId="0" borderId="70" xfId="25" applyFont="1" applyBorder="1" applyAlignment="1" applyProtection="1">
      <alignment horizontal="left" vertical="center"/>
    </xf>
    <xf numFmtId="39" fontId="162" fillId="0" borderId="70" xfId="25" applyNumberFormat="1" applyFont="1" applyBorder="1" applyAlignment="1" applyProtection="1">
      <alignment horizontal="right" vertical="center"/>
    </xf>
    <xf numFmtId="0" fontId="62" fillId="0" borderId="0" xfId="25" applyFont="1" applyAlignment="1" applyProtection="1">
      <alignment horizontal="center"/>
    </xf>
    <xf numFmtId="39" fontId="12" fillId="0" borderId="70" xfId="142" applyNumberFormat="1" applyFont="1" applyBorder="1" applyAlignment="1" applyProtection="1">
      <alignment horizontal="right"/>
      <protection locked="0"/>
    </xf>
    <xf numFmtId="39" fontId="12" fillId="0" borderId="70" xfId="154" applyNumberFormat="1" applyFont="1" applyBorder="1" applyAlignment="1" applyProtection="1">
      <alignment horizontal="right"/>
      <protection locked="0"/>
    </xf>
    <xf numFmtId="39" fontId="12" fillId="0" borderId="70" xfId="3" applyNumberFormat="1" applyFont="1" applyBorder="1" applyAlignment="1" applyProtection="1">
      <alignment horizontal="right"/>
      <protection locked="0"/>
    </xf>
    <xf numFmtId="4" fontId="57" fillId="0" borderId="70" xfId="33" applyNumberFormat="1" applyFont="1" applyBorder="1" applyAlignment="1" applyProtection="1">
      <alignment horizontal="right"/>
      <protection locked="0"/>
    </xf>
    <xf numFmtId="39" fontId="57" fillId="0" borderId="70" xfId="3" applyNumberFormat="1" applyFont="1" applyBorder="1" applyAlignment="1" applyProtection="1">
      <alignment horizontal="right"/>
      <protection locked="0"/>
    </xf>
    <xf numFmtId="4" fontId="12" fillId="0" borderId="70" xfId="154" applyNumberFormat="1" applyFont="1" applyBorder="1" applyAlignment="1" applyProtection="1">
      <alignment horizontal="right"/>
      <protection locked="0"/>
    </xf>
    <xf numFmtId="39" fontId="76" fillId="0" borderId="70" xfId="3" applyNumberFormat="1" applyFont="1" applyBorder="1" applyAlignment="1" applyProtection="1">
      <alignment horizontal="right"/>
      <protection locked="0"/>
    </xf>
    <xf numFmtId="4" fontId="78" fillId="0" borderId="70" xfId="33" applyNumberFormat="1" applyFont="1" applyBorder="1" applyAlignment="1" applyProtection="1">
      <alignment horizontal="right"/>
      <protection locked="0"/>
    </xf>
    <xf numFmtId="4" fontId="12" fillId="0" borderId="70" xfId="89" applyNumberFormat="1" applyFont="1" applyBorder="1" applyAlignment="1" applyProtection="1">
      <alignment horizontal="right"/>
      <protection locked="0"/>
    </xf>
    <xf numFmtId="4" fontId="57" fillId="9" borderId="70" xfId="89" applyNumberFormat="1" applyFont="1" applyFill="1" applyBorder="1" applyAlignment="1" applyProtection="1">
      <alignment horizontal="right"/>
      <protection locked="0"/>
    </xf>
    <xf numFmtId="4" fontId="12" fillId="5" borderId="70" xfId="89" applyNumberFormat="1" applyFont="1" applyFill="1" applyBorder="1" applyAlignment="1" applyProtection="1">
      <alignment horizontal="right"/>
      <protection locked="0"/>
    </xf>
    <xf numFmtId="2" fontId="57" fillId="0" borderId="70" xfId="89" applyNumberFormat="1" applyFont="1" applyBorder="1" applyAlignment="1" applyProtection="1">
      <alignment horizontal="right"/>
      <protection locked="0"/>
    </xf>
    <xf numFmtId="4" fontId="12" fillId="0" borderId="70" xfId="22" applyNumberFormat="1" applyFont="1" applyBorder="1" applyAlignment="1" applyProtection="1">
      <alignment horizontal="right"/>
      <protection locked="0"/>
    </xf>
    <xf numFmtId="4" fontId="12" fillId="0" borderId="70" xfId="140" applyNumberFormat="1" applyFont="1" applyBorder="1" applyAlignment="1" applyProtection="1">
      <alignment horizontal="right"/>
      <protection locked="0"/>
    </xf>
    <xf numFmtId="39" fontId="64" fillId="5" borderId="70" xfId="211" applyNumberFormat="1" applyFont="1" applyFill="1" applyBorder="1" applyAlignment="1" applyProtection="1">
      <alignment horizontal="right"/>
      <protection locked="0"/>
    </xf>
    <xf numFmtId="4" fontId="12" fillId="0" borderId="70" xfId="3" applyNumberFormat="1" applyFont="1" applyBorder="1" applyAlignment="1" applyProtection="1">
      <alignment horizontal="right"/>
      <protection locked="0"/>
    </xf>
    <xf numFmtId="4" fontId="64" fillId="0" borderId="70" xfId="154" applyNumberFormat="1" applyFont="1" applyBorder="1" applyAlignment="1" applyProtection="1">
      <alignment horizontal="right" vertical="center"/>
      <protection locked="0"/>
    </xf>
    <xf numFmtId="39" fontId="64" fillId="0" borderId="70" xfId="3" applyNumberFormat="1" applyFont="1" applyBorder="1" applyAlignment="1" applyProtection="1">
      <alignment horizontal="right"/>
      <protection locked="0"/>
    </xf>
    <xf numFmtId="173" fontId="12" fillId="0" borderId="70" xfId="154" applyNumberFormat="1" applyFont="1" applyBorder="1" applyAlignment="1" applyProtection="1">
      <alignment horizontal="right"/>
      <protection locked="0"/>
    </xf>
    <xf numFmtId="2" fontId="57" fillId="0" borderId="70" xfId="154" applyNumberFormat="1" applyFont="1" applyBorder="1" applyAlignment="1" applyProtection="1">
      <alignment horizontal="right"/>
      <protection locked="0"/>
    </xf>
    <xf numFmtId="0" fontId="237" fillId="0" borderId="0" xfId="201" applyFont="1" applyFill="1" applyAlignment="1" applyProtection="1">
      <alignment vertical="center"/>
    </xf>
    <xf numFmtId="39" fontId="12" fillId="0" borderId="70" xfId="215" applyNumberFormat="1" applyFont="1" applyBorder="1" applyAlignment="1" applyProtection="1">
      <alignment horizontal="right"/>
      <protection locked="0"/>
    </xf>
    <xf numFmtId="2" fontId="57" fillId="0" borderId="70" xfId="3" applyNumberFormat="1" applyFont="1" applyBorder="1" applyAlignment="1" applyProtection="1">
      <alignment horizontal="right"/>
      <protection locked="0"/>
    </xf>
    <xf numFmtId="0" fontId="237" fillId="0" borderId="0" xfId="201" applyFont="1" applyFill="1" applyAlignment="1" applyProtection="1">
      <alignment horizontal="left" vertical="center"/>
    </xf>
    <xf numFmtId="172" fontId="237" fillId="0" borderId="0" xfId="201" applyNumberFormat="1" applyFont="1" applyFill="1" applyAlignment="1" applyProtection="1">
      <alignment vertical="center"/>
    </xf>
    <xf numFmtId="39" fontId="202" fillId="0" borderId="70" xfId="3" applyNumberFormat="1" applyFont="1" applyBorder="1" applyAlignment="1" applyProtection="1">
      <alignment horizontal="right"/>
      <protection locked="0"/>
    </xf>
    <xf numFmtId="39" fontId="12" fillId="0" borderId="70" xfId="218" applyNumberFormat="1" applyFont="1" applyBorder="1" applyAlignment="1" applyProtection="1">
      <alignment horizontal="right"/>
      <protection locked="0"/>
    </xf>
    <xf numFmtId="39" fontId="12" fillId="0" borderId="70" xfId="89" applyNumberFormat="1" applyFont="1" applyBorder="1" applyAlignment="1" applyProtection="1">
      <alignment horizontal="right"/>
      <protection locked="0"/>
    </xf>
    <xf numFmtId="4" fontId="12" fillId="0" borderId="70" xfId="218" applyNumberFormat="1" applyFont="1" applyBorder="1" applyAlignment="1" applyProtection="1">
      <alignment horizontal="right"/>
      <protection locked="0"/>
    </xf>
    <xf numFmtId="0" fontId="85" fillId="0" borderId="0" xfId="79" applyFont="1" applyAlignment="1" applyProtection="1">
      <alignment horizontal="left" vertical="center"/>
    </xf>
    <xf numFmtId="4" fontId="135" fillId="0" borderId="70" xfId="218" applyNumberFormat="1" applyFont="1" applyBorder="1" applyAlignment="1" applyProtection="1">
      <alignment horizontal="right"/>
      <protection locked="0"/>
    </xf>
    <xf numFmtId="4" fontId="57" fillId="0" borderId="70" xfId="3" applyNumberFormat="1" applyFont="1" applyBorder="1" applyAlignment="1" applyProtection="1">
      <alignment horizontal="right"/>
      <protection locked="0"/>
    </xf>
    <xf numFmtId="4" fontId="76" fillId="0" borderId="70" xfId="3" applyNumberFormat="1" applyFont="1" applyBorder="1" applyAlignment="1" applyProtection="1">
      <alignment horizontal="right"/>
      <protection locked="0"/>
    </xf>
    <xf numFmtId="4" fontId="228" fillId="0" borderId="70" xfId="3" applyNumberFormat="1" applyFont="1" applyBorder="1" applyAlignment="1" applyProtection="1">
      <alignment horizontal="right" vertical="center"/>
      <protection locked="0"/>
    </xf>
    <xf numFmtId="4" fontId="83" fillId="0" borderId="70" xfId="218" applyNumberFormat="1" applyFont="1" applyBorder="1" applyAlignment="1" applyProtection="1">
      <alignment horizontal="right" vertical="center"/>
      <protection locked="0"/>
    </xf>
    <xf numFmtId="4" fontId="76" fillId="0" borderId="70" xfId="218" applyNumberFormat="1" applyFont="1" applyBorder="1" applyAlignment="1" applyProtection="1">
      <alignment horizontal="right"/>
      <protection locked="0"/>
    </xf>
    <xf numFmtId="4" fontId="326" fillId="0" borderId="70" xfId="218" applyNumberFormat="1" applyFont="1" applyBorder="1" applyAlignment="1" applyProtection="1">
      <alignment horizontal="right"/>
      <protection locked="0"/>
    </xf>
    <xf numFmtId="4" fontId="64" fillId="0" borderId="70" xfId="218" applyNumberFormat="1" applyFont="1" applyBorder="1" applyAlignment="1" applyProtection="1">
      <alignment horizontal="right"/>
      <protection locked="0"/>
    </xf>
    <xf numFmtId="37" fontId="12" fillId="0" borderId="70" xfId="76" applyNumberFormat="1" applyFont="1" applyBorder="1" applyAlignment="1" applyProtection="1">
      <alignment horizontal="right"/>
    </xf>
    <xf numFmtId="49" fontId="12" fillId="0" borderId="70" xfId="76" applyNumberFormat="1" applyFont="1" applyBorder="1" applyAlignment="1" applyProtection="1">
      <alignment horizontal="left" wrapText="1"/>
    </xf>
    <xf numFmtId="0" fontId="12" fillId="0" borderId="70" xfId="76" applyFont="1" applyBorder="1" applyAlignment="1" applyProtection="1">
      <alignment horizontal="left" wrapText="1"/>
    </xf>
    <xf numFmtId="0" fontId="12" fillId="0" borderId="70" xfId="76" applyFont="1" applyBorder="1" applyAlignment="1" applyProtection="1">
      <alignment wrapText="1"/>
    </xf>
    <xf numFmtId="4" fontId="12" fillId="0" borderId="70" xfId="76" applyNumberFormat="1" applyFont="1" applyBorder="1" applyAlignment="1" applyProtection="1">
      <alignment horizontal="right"/>
    </xf>
    <xf numFmtId="39" fontId="12" fillId="0" borderId="70" xfId="76" applyNumberFormat="1" applyFont="1" applyBorder="1" applyAlignment="1" applyProtection="1">
      <alignment horizontal="center"/>
    </xf>
    <xf numFmtId="0" fontId="71" fillId="0" borderId="70" xfId="76" applyFont="1" applyBorder="1" applyAlignment="1" applyProtection="1">
      <alignment horizontal="left" wrapText="1"/>
    </xf>
    <xf numFmtId="172" fontId="57" fillId="0" borderId="70" xfId="76" applyNumberFormat="1" applyFont="1" applyBorder="1" applyAlignment="1" applyProtection="1">
      <alignment horizontal="right"/>
    </xf>
    <xf numFmtId="0" fontId="57" fillId="0" borderId="70" xfId="76" applyFont="1" applyBorder="1" applyAlignment="1" applyProtection="1">
      <alignment horizontal="left" wrapText="1"/>
    </xf>
    <xf numFmtId="172" fontId="15" fillId="0" borderId="70" xfId="76" applyNumberFormat="1" applyBorder="1" applyAlignment="1" applyProtection="1">
      <alignment horizontal="left" vertical="top"/>
    </xf>
    <xf numFmtId="37" fontId="76" fillId="0" borderId="70" xfId="76" applyNumberFormat="1" applyFont="1" applyBorder="1" applyAlignment="1" applyProtection="1">
      <alignment horizontal="right"/>
    </xf>
    <xf numFmtId="49" fontId="76" fillId="0" borderId="70" xfId="76" applyNumberFormat="1" applyFont="1" applyBorder="1" applyAlignment="1" applyProtection="1">
      <alignment horizontal="left" wrapText="1"/>
    </xf>
    <xf numFmtId="0" fontId="76" fillId="0" borderId="70" xfId="76" applyFont="1" applyBorder="1" applyAlignment="1" applyProtection="1">
      <alignment horizontal="left" wrapText="1"/>
    </xf>
    <xf numFmtId="0" fontId="76" fillId="0" borderId="70" xfId="76" applyFont="1" applyBorder="1" applyAlignment="1" applyProtection="1">
      <alignment wrapText="1"/>
    </xf>
    <xf numFmtId="39" fontId="76" fillId="0" borderId="70" xfId="76" applyNumberFormat="1" applyFont="1" applyBorder="1" applyAlignment="1" applyProtection="1">
      <alignment horizontal="center"/>
    </xf>
    <xf numFmtId="37" fontId="64" fillId="0" borderId="70" xfId="76" applyNumberFormat="1" applyFont="1" applyBorder="1" applyAlignment="1" applyProtection="1">
      <alignment horizontal="right"/>
    </xf>
    <xf numFmtId="0" fontId="64" fillId="0" borderId="70" xfId="76" applyFont="1" applyBorder="1" applyAlignment="1" applyProtection="1">
      <alignment horizontal="left" wrapText="1"/>
    </xf>
    <xf numFmtId="0" fontId="77" fillId="0" borderId="70" xfId="76" applyFont="1" applyBorder="1" applyAlignment="1" applyProtection="1">
      <alignment horizontal="left" wrapText="1"/>
    </xf>
    <xf numFmtId="0" fontId="326" fillId="0" borderId="70" xfId="76" applyFont="1" applyBorder="1" applyAlignment="1" applyProtection="1">
      <alignment horizontal="left" wrapText="1"/>
    </xf>
    <xf numFmtId="172" fontId="78" fillId="0" borderId="70" xfId="76" applyNumberFormat="1" applyFont="1" applyBorder="1" applyAlignment="1" applyProtection="1">
      <alignment horizontal="right"/>
    </xf>
    <xf numFmtId="4" fontId="64" fillId="0" borderId="70" xfId="76" applyNumberFormat="1" applyFont="1" applyBorder="1" applyAlignment="1" applyProtection="1">
      <alignment horizontal="right"/>
    </xf>
    <xf numFmtId="0" fontId="15" fillId="0" borderId="70" xfId="76" applyBorder="1" applyAlignment="1" applyProtection="1">
      <alignment horizontal="left" vertical="top"/>
    </xf>
    <xf numFmtId="4" fontId="12" fillId="0" borderId="70" xfId="156" applyNumberFormat="1" applyFont="1" applyBorder="1" applyAlignment="1" applyProtection="1">
      <alignment horizontal="right"/>
      <protection locked="0"/>
    </xf>
    <xf numFmtId="39" fontId="64" fillId="0" borderId="70" xfId="219" applyNumberFormat="1" applyFont="1" applyBorder="1" applyAlignment="1" applyProtection="1">
      <alignment horizontal="right"/>
      <protection locked="0"/>
    </xf>
    <xf numFmtId="39" fontId="12" fillId="0" borderId="70" xfId="219" applyNumberFormat="1" applyFont="1" applyBorder="1" applyAlignment="1" applyProtection="1">
      <alignment horizontal="right"/>
      <protection locked="0"/>
    </xf>
    <xf numFmtId="4" fontId="202" fillId="0" borderId="70" xfId="3" applyNumberFormat="1" applyFont="1" applyBorder="1" applyAlignment="1" applyProtection="1">
      <alignment horizontal="right"/>
      <protection locked="0"/>
    </xf>
    <xf numFmtId="4" fontId="64" fillId="0" borderId="70" xfId="3" applyNumberFormat="1" applyFont="1" applyBorder="1" applyAlignment="1" applyProtection="1">
      <alignment horizontal="right"/>
      <protection locked="0"/>
    </xf>
    <xf numFmtId="37" fontId="12" fillId="0" borderId="70" xfId="79" applyNumberFormat="1" applyFont="1" applyBorder="1" applyAlignment="1" applyProtection="1">
      <alignment horizontal="right"/>
    </xf>
    <xf numFmtId="0" fontId="12" fillId="0" borderId="70" xfId="79" applyFont="1" applyBorder="1" applyAlignment="1" applyProtection="1">
      <alignment horizontal="left" wrapText="1"/>
    </xf>
    <xf numFmtId="4" fontId="12" fillId="0" borderId="70" xfId="79" applyNumberFormat="1" applyFont="1" applyBorder="1" applyAlignment="1" applyProtection="1">
      <alignment horizontal="right"/>
    </xf>
    <xf numFmtId="4" fontId="57" fillId="9" borderId="70" xfId="156" applyNumberFormat="1" applyFont="1" applyFill="1" applyBorder="1" applyAlignment="1" applyProtection="1">
      <alignment horizontal="right"/>
      <protection locked="0"/>
    </xf>
    <xf numFmtId="4" fontId="12" fillId="5" borderId="70" xfId="156" applyNumberFormat="1" applyFont="1" applyFill="1" applyBorder="1" applyAlignment="1" applyProtection="1">
      <alignment horizontal="right"/>
      <protection locked="0"/>
    </xf>
    <xf numFmtId="2" fontId="57" fillId="0" borderId="70" xfId="156" applyNumberFormat="1" applyFont="1" applyBorder="1" applyAlignment="1" applyProtection="1">
      <alignment horizontal="right"/>
      <protection locked="0"/>
    </xf>
    <xf numFmtId="39" fontId="12" fillId="0" borderId="70" xfId="217" applyNumberFormat="1" applyFont="1" applyBorder="1" applyAlignment="1" applyProtection="1">
      <alignment horizontal="right"/>
      <protection locked="0"/>
    </xf>
    <xf numFmtId="39" fontId="202" fillId="0" borderId="70" xfId="217" applyNumberFormat="1" applyFont="1" applyBorder="1" applyAlignment="1" applyProtection="1">
      <alignment horizontal="right"/>
      <protection locked="0"/>
    </xf>
    <xf numFmtId="39" fontId="12" fillId="0" borderId="70" xfId="227" applyNumberFormat="1" applyFont="1" applyBorder="1" applyAlignment="1" applyProtection="1">
      <alignment horizontal="right"/>
      <protection locked="0"/>
    </xf>
    <xf numFmtId="4" fontId="12" fillId="0" borderId="70" xfId="217" applyNumberFormat="1" applyFont="1" applyBorder="1" applyAlignment="1" applyProtection="1">
      <alignment horizontal="right"/>
      <protection locked="0"/>
    </xf>
    <xf numFmtId="4" fontId="57" fillId="0" borderId="70" xfId="217" applyNumberFormat="1" applyFont="1" applyBorder="1" applyAlignment="1" applyProtection="1">
      <alignment horizontal="right"/>
      <protection locked="0"/>
    </xf>
    <xf numFmtId="39" fontId="12" fillId="0" borderId="70" xfId="79" applyNumberFormat="1" applyFont="1" applyBorder="1" applyAlignment="1" applyProtection="1">
      <alignment horizontal="right"/>
    </xf>
    <xf numFmtId="39" fontId="12" fillId="0" borderId="70" xfId="79" applyNumberFormat="1" applyFont="1" applyBorder="1" applyAlignment="1" applyProtection="1">
      <alignment horizontal="center"/>
    </xf>
    <xf numFmtId="0" fontId="154" fillId="0" borderId="70" xfId="79" applyFont="1" applyBorder="1" applyAlignment="1" applyProtection="1">
      <alignment horizontal="left" vertical="center"/>
    </xf>
    <xf numFmtId="4" fontId="159" fillId="0" borderId="70" xfId="25" applyNumberFormat="1" applyFont="1" applyBorder="1" applyAlignment="1" applyProtection="1">
      <alignment horizontal="right" vertical="center"/>
    </xf>
    <xf numFmtId="4" fontId="162" fillId="0" borderId="70" xfId="25" applyNumberFormat="1" applyFont="1" applyBorder="1" applyAlignment="1" applyProtection="1">
      <alignment horizontal="right" vertical="center"/>
    </xf>
    <xf numFmtId="0" fontId="161" fillId="0" borderId="73" xfId="25" applyFont="1" applyBorder="1" applyAlignment="1" applyProtection="1">
      <alignment horizontal="left" vertical="center"/>
    </xf>
    <xf numFmtId="39" fontId="162" fillId="0" borderId="73" xfId="25" applyNumberFormat="1" applyFont="1" applyBorder="1" applyAlignment="1" applyProtection="1">
      <alignment horizontal="right" vertical="center"/>
    </xf>
    <xf numFmtId="39" fontId="64" fillId="0" borderId="70" xfId="215" applyNumberFormat="1" applyFont="1" applyBorder="1" applyAlignment="1" applyProtection="1">
      <alignment horizontal="right"/>
      <protection locked="0"/>
    </xf>
    <xf numFmtId="4" fontId="12" fillId="0" borderId="70" xfId="215" applyNumberFormat="1" applyFont="1" applyBorder="1" applyAlignment="1" applyProtection="1">
      <alignment horizontal="right"/>
      <protection locked="0"/>
    </xf>
    <xf numFmtId="0" fontId="185" fillId="0" borderId="0" xfId="64" applyFont="1" applyFill="1" applyAlignment="1" applyProtection="1"/>
    <xf numFmtId="0" fontId="42" fillId="0" borderId="0" xfId="64" applyFill="1" applyAlignment="1" applyProtection="1"/>
    <xf numFmtId="4" fontId="12" fillId="0" borderId="70" xfId="6" applyNumberFormat="1" applyFont="1" applyBorder="1" applyAlignment="1" applyProtection="1">
      <alignment horizontal="right"/>
      <protection locked="0"/>
    </xf>
    <xf numFmtId="39" fontId="12" fillId="0" borderId="70" xfId="6" applyNumberFormat="1" applyFont="1" applyBorder="1" applyAlignment="1" applyProtection="1">
      <alignment horizontal="right"/>
      <protection locked="0"/>
    </xf>
    <xf numFmtId="0" fontId="82" fillId="0" borderId="0" xfId="25" applyFont="1" applyAlignment="1" applyProtection="1"/>
    <xf numFmtId="4" fontId="57" fillId="9" borderId="70" xfId="215" applyNumberFormat="1" applyFont="1" applyFill="1" applyBorder="1" applyAlignment="1" applyProtection="1">
      <alignment horizontal="right"/>
      <protection locked="0"/>
    </xf>
    <xf numFmtId="39" fontId="76" fillId="0" borderId="70" xfId="215" applyNumberFormat="1" applyFont="1" applyBorder="1" applyAlignment="1" applyProtection="1">
      <alignment horizontal="right"/>
      <protection locked="0"/>
    </xf>
    <xf numFmtId="0" fontId="237" fillId="0" borderId="0" xfId="127" applyFont="1" applyFill="1" applyAlignment="1" applyProtection="1">
      <alignment vertical="center"/>
    </xf>
    <xf numFmtId="4" fontId="12" fillId="0" borderId="70" xfId="232" applyNumberFormat="1" applyFont="1" applyBorder="1" applyAlignment="1" applyProtection="1">
      <alignment horizontal="right"/>
      <protection locked="0"/>
    </xf>
    <xf numFmtId="39" fontId="12" fillId="0" borderId="70" xfId="232" applyNumberFormat="1" applyFont="1" applyBorder="1" applyAlignment="1" applyProtection="1">
      <alignment horizontal="right"/>
      <protection locked="0"/>
    </xf>
    <xf numFmtId="0" fontId="32" fillId="0" borderId="0" xfId="125" applyFont="1" applyAlignment="1" applyProtection="1"/>
    <xf numFmtId="0" fontId="175" fillId="0" borderId="0" xfId="125" applyFont="1" applyAlignment="1" applyProtection="1">
      <alignment horizontal="left" vertical="center"/>
    </xf>
    <xf numFmtId="39" fontId="12" fillId="0" borderId="70" xfId="70" applyNumberFormat="1" applyFont="1" applyBorder="1" applyAlignment="1" applyProtection="1">
      <alignment horizontal="right"/>
      <protection locked="0"/>
    </xf>
    <xf numFmtId="39" fontId="83" fillId="0" borderId="70" xfId="232" applyNumberFormat="1" applyFont="1" applyBorder="1" applyAlignment="1" applyProtection="1">
      <alignment horizontal="right"/>
      <protection locked="0"/>
    </xf>
    <xf numFmtId="39" fontId="12" fillId="0" borderId="70" xfId="22" applyNumberFormat="1" applyFont="1" applyBorder="1" applyAlignment="1" applyProtection="1">
      <alignment horizontal="right"/>
      <protection locked="0"/>
    </xf>
    <xf numFmtId="4" fontId="57" fillId="9" borderId="70" xfId="232" applyNumberFormat="1" applyFont="1" applyFill="1" applyBorder="1" applyAlignment="1" applyProtection="1">
      <alignment horizontal="right"/>
      <protection locked="0"/>
    </xf>
    <xf numFmtId="4" fontId="64" fillId="0" borderId="70" xfId="232" applyNumberFormat="1" applyFont="1" applyBorder="1" applyAlignment="1" applyProtection="1">
      <alignment horizontal="right"/>
      <protection locked="0"/>
    </xf>
    <xf numFmtId="4" fontId="71" fillId="9" borderId="70" xfId="3" applyNumberFormat="1" applyFont="1" applyFill="1" applyBorder="1" applyAlignment="1" applyProtection="1">
      <alignment horizontal="right"/>
      <protection locked="0"/>
    </xf>
    <xf numFmtId="4" fontId="78" fillId="9" borderId="70" xfId="232" applyNumberFormat="1" applyFont="1" applyFill="1" applyBorder="1" applyAlignment="1" applyProtection="1">
      <alignment horizontal="right"/>
      <protection locked="0"/>
    </xf>
    <xf numFmtId="4" fontId="71" fillId="9" borderId="70" xfId="232" applyNumberFormat="1" applyFont="1" applyFill="1" applyBorder="1" applyAlignment="1" applyProtection="1">
      <alignment horizontal="right"/>
      <protection locked="0"/>
    </xf>
    <xf numFmtId="39" fontId="83" fillId="0" borderId="70" xfId="232" applyNumberFormat="1" applyFont="1" applyBorder="1" applyAlignment="1" applyProtection="1">
      <alignment horizontal="right" vertical="center"/>
      <protection locked="0"/>
    </xf>
    <xf numFmtId="4" fontId="57" fillId="9" borderId="70" xfId="34" applyNumberFormat="1" applyFont="1" applyFill="1" applyBorder="1" applyAlignment="1" applyProtection="1">
      <alignment horizontal="right"/>
      <protection locked="0"/>
    </xf>
    <xf numFmtId="0" fontId="12" fillId="0" borderId="70" xfId="125" applyFont="1" applyBorder="1" applyAlignment="1" applyProtection="1">
      <alignment horizontal="left" wrapText="1"/>
    </xf>
    <xf numFmtId="0" fontId="12" fillId="0" borderId="70" xfId="125" applyFont="1" applyBorder="1" applyAlignment="1" applyProtection="1">
      <alignment horizontal="left" shrinkToFit="1"/>
    </xf>
    <xf numFmtId="172" fontId="12" fillId="0" borderId="70" xfId="125" applyNumberFormat="1" applyFont="1" applyBorder="1" applyAlignment="1" applyProtection="1">
      <alignment shrinkToFit="1"/>
    </xf>
    <xf numFmtId="0" fontId="33" fillId="0" borderId="0" xfId="201" applyFill="1" applyAlignment="1" applyProtection="1"/>
    <xf numFmtId="4" fontId="64" fillId="0" borderId="70" xfId="234" applyNumberFormat="1" applyFont="1" applyBorder="1" applyAlignment="1" applyProtection="1">
      <alignment horizontal="right"/>
      <protection locked="0"/>
    </xf>
    <xf numFmtId="39" fontId="12" fillId="0" borderId="70" xfId="235" applyNumberFormat="1" applyFont="1" applyBorder="1" applyAlignment="1" applyProtection="1">
      <alignment horizontal="right"/>
      <protection locked="0"/>
    </xf>
    <xf numFmtId="39" fontId="202" fillId="0" borderId="70" xfId="235" applyNumberFormat="1" applyFont="1" applyBorder="1" applyAlignment="1" applyProtection="1">
      <alignment horizontal="right"/>
      <protection locked="0"/>
    </xf>
    <xf numFmtId="0" fontId="205" fillId="0" borderId="70" xfId="25" applyFont="1" applyBorder="1" applyAlignment="1" applyProtection="1">
      <alignment horizontal="left"/>
    </xf>
    <xf numFmtId="0" fontId="13" fillId="0" borderId="70" xfId="25" applyFont="1" applyBorder="1" applyAlignment="1" applyProtection="1">
      <alignment wrapText="1"/>
    </xf>
    <xf numFmtId="0" fontId="205" fillId="0" borderId="70" xfId="25" applyFont="1" applyBorder="1" applyAlignment="1" applyProtection="1"/>
    <xf numFmtId="0" fontId="13" fillId="0" borderId="70" xfId="192" applyFont="1" applyBorder="1" applyAlignment="1" applyProtection="1"/>
    <xf numFmtId="4" fontId="12" fillId="0" borderId="70" xfId="237" applyNumberFormat="1" applyFont="1" applyBorder="1" applyAlignment="1" applyProtection="1">
      <alignment horizontal="right"/>
      <protection locked="0"/>
    </xf>
    <xf numFmtId="39" fontId="12" fillId="0" borderId="70" xfId="237" applyNumberFormat="1" applyFont="1" applyBorder="1" applyAlignment="1" applyProtection="1">
      <alignment horizontal="right"/>
      <protection locked="0"/>
    </xf>
    <xf numFmtId="0" fontId="70" fillId="0" borderId="0" xfId="192" applyFont="1" applyAlignment="1" applyProtection="1">
      <alignment vertical="center"/>
    </xf>
    <xf numFmtId="4" fontId="12" fillId="0" borderId="70" xfId="238" applyNumberFormat="1" applyFont="1" applyBorder="1" applyAlignment="1" applyProtection="1">
      <alignment horizontal="right"/>
      <protection locked="0"/>
    </xf>
    <xf numFmtId="0" fontId="237" fillId="0" borderId="0" xfId="207" applyFont="1" applyFill="1" applyAlignment="1" applyProtection="1">
      <alignment vertical="center"/>
    </xf>
    <xf numFmtId="0" fontId="185" fillId="0" borderId="0" xfId="207" applyFont="1" applyFill="1" applyAlignment="1" applyProtection="1">
      <alignment vertical="center"/>
    </xf>
    <xf numFmtId="4" fontId="57" fillId="0" borderId="70" xfId="241" applyNumberFormat="1" applyFont="1" applyBorder="1" applyAlignment="1" applyProtection="1">
      <alignment horizontal="right"/>
      <protection locked="0"/>
    </xf>
    <xf numFmtId="4" fontId="12" fillId="0" borderId="70" xfId="234" applyNumberFormat="1" applyFont="1" applyBorder="1" applyAlignment="1" applyProtection="1">
      <alignment horizontal="right"/>
      <protection locked="0"/>
    </xf>
    <xf numFmtId="4" fontId="57" fillId="9" borderId="70" xfId="234" applyNumberFormat="1" applyFont="1" applyFill="1" applyBorder="1" applyAlignment="1" applyProtection="1">
      <alignment horizontal="right"/>
      <protection locked="0"/>
    </xf>
    <xf numFmtId="2" fontId="57" fillId="0" borderId="70" xfId="234" applyNumberFormat="1" applyFont="1" applyBorder="1" applyAlignment="1" applyProtection="1">
      <alignment horizontal="right"/>
      <protection locked="0"/>
    </xf>
    <xf numFmtId="4" fontId="57" fillId="9" borderId="70" xfId="142" applyNumberFormat="1" applyFont="1" applyFill="1" applyBorder="1" applyAlignment="1" applyProtection="1">
      <alignment horizontal="right"/>
      <protection locked="0"/>
    </xf>
    <xf numFmtId="4" fontId="57" fillId="9" borderId="70" xfId="237" applyNumberFormat="1" applyFont="1" applyFill="1" applyBorder="1" applyAlignment="1" applyProtection="1">
      <alignment horizontal="right"/>
      <protection locked="0"/>
    </xf>
    <xf numFmtId="2" fontId="57" fillId="0" borderId="70" xfId="237" applyNumberFormat="1" applyFont="1" applyBorder="1" applyAlignment="1" applyProtection="1">
      <alignment horizontal="right"/>
      <protection locked="0"/>
    </xf>
    <xf numFmtId="0" fontId="64" fillId="0" borderId="0" xfId="79" applyFont="1" applyAlignment="1" applyProtection="1">
      <alignment horizontal="left"/>
    </xf>
    <xf numFmtId="0" fontId="12" fillId="0" borderId="0" xfId="12" applyFont="1" applyAlignment="1" applyProtection="1">
      <alignment horizontal="left"/>
    </xf>
    <xf numFmtId="172" fontId="12" fillId="0" borderId="0" xfId="12" applyNumberFormat="1" applyFont="1" applyAlignment="1" applyProtection="1">
      <alignment horizontal="left"/>
    </xf>
    <xf numFmtId="0" fontId="62" fillId="0" borderId="0" xfId="12" applyFont="1" applyAlignment="1" applyProtection="1">
      <alignment horizontal="left"/>
    </xf>
    <xf numFmtId="0" fontId="12" fillId="0" borderId="0" xfId="42" applyFont="1" applyAlignment="1" applyProtection="1">
      <alignment horizontal="left"/>
    </xf>
    <xf numFmtId="172" fontId="12" fillId="0" borderId="0" xfId="42" applyNumberFormat="1" applyFont="1" applyAlignment="1" applyProtection="1">
      <alignment horizontal="left"/>
    </xf>
    <xf numFmtId="0" fontId="62" fillId="0" borderId="0" xfId="42" applyFont="1" applyAlignment="1" applyProtection="1">
      <alignment horizontal="left"/>
    </xf>
    <xf numFmtId="0" fontId="15" fillId="0" borderId="0" xfId="42" applyAlignment="1" applyProtection="1">
      <alignment horizontal="left" vertical="top"/>
    </xf>
    <xf numFmtId="0" fontId="66" fillId="0" borderId="33" xfId="42" applyFont="1" applyBorder="1" applyAlignment="1" applyProtection="1">
      <alignment horizontal="center" vertical="center" wrapText="1"/>
    </xf>
    <xf numFmtId="172" fontId="66" fillId="0" borderId="33" xfId="42" applyNumberFormat="1" applyFont="1" applyBorder="1" applyAlignment="1" applyProtection="1">
      <alignment horizontal="center" vertical="center" wrapText="1"/>
    </xf>
    <xf numFmtId="37" fontId="64" fillId="0" borderId="0" xfId="42" applyNumberFormat="1" applyFont="1" applyAlignment="1" applyProtection="1">
      <alignment horizontal="right"/>
    </xf>
    <xf numFmtId="0" fontId="64" fillId="0" borderId="0" xfId="42" applyFont="1" applyAlignment="1" applyProtection="1">
      <alignment horizontal="left" wrapText="1"/>
    </xf>
    <xf numFmtId="172" fontId="64" fillId="0" borderId="0" xfId="42" applyNumberFormat="1" applyFont="1" applyAlignment="1" applyProtection="1">
      <alignment horizontal="right"/>
    </xf>
    <xf numFmtId="4" fontId="64" fillId="0" borderId="0" xfId="42" applyNumberFormat="1" applyFont="1" applyAlignment="1" applyProtection="1">
      <alignment horizontal="right"/>
    </xf>
    <xf numFmtId="39" fontId="64" fillId="0" borderId="70" xfId="237" applyNumberFormat="1" applyFont="1" applyBorder="1" applyAlignment="1" applyProtection="1">
      <alignment horizontal="right"/>
      <protection locked="0"/>
    </xf>
    <xf numFmtId="39" fontId="76" fillId="0" borderId="70" xfId="237" applyNumberFormat="1" applyFont="1" applyBorder="1" applyAlignment="1" applyProtection="1">
      <alignment horizontal="right"/>
      <protection locked="0"/>
    </xf>
    <xf numFmtId="4" fontId="12" fillId="5" borderId="70" xfId="237" applyNumberFormat="1" applyFont="1" applyFill="1" applyBorder="1" applyAlignment="1" applyProtection="1">
      <alignment horizontal="right"/>
      <protection locked="0"/>
    </xf>
    <xf numFmtId="37" fontId="156" fillId="0" borderId="0" xfId="42" applyNumberFormat="1" applyFont="1" applyAlignment="1" applyProtection="1">
      <alignment horizontal="right"/>
    </xf>
    <xf numFmtId="0" fontId="156" fillId="0" borderId="0" xfId="42" applyFont="1" applyAlignment="1" applyProtection="1">
      <alignment horizontal="left" wrapText="1"/>
    </xf>
    <xf numFmtId="172" fontId="156" fillId="0" borderId="0" xfId="42" applyNumberFormat="1" applyFont="1" applyAlignment="1" applyProtection="1">
      <alignment horizontal="right"/>
    </xf>
    <xf numFmtId="39" fontId="156" fillId="0" borderId="0" xfId="42" applyNumberFormat="1" applyFont="1" applyAlignment="1" applyProtection="1">
      <alignment horizontal="right"/>
    </xf>
    <xf numFmtId="37" fontId="15" fillId="0" borderId="0" xfId="42" applyNumberFormat="1" applyAlignment="1" applyProtection="1">
      <alignment horizontal="right" vertical="top"/>
    </xf>
    <xf numFmtId="0" fontId="15" fillId="0" borderId="0" xfId="42" applyAlignment="1" applyProtection="1">
      <alignment horizontal="left" vertical="top" wrapText="1"/>
    </xf>
    <xf numFmtId="172" fontId="15" fillId="0" borderId="0" xfId="42" applyNumberFormat="1" applyAlignment="1" applyProtection="1">
      <alignment horizontal="right" vertical="top"/>
    </xf>
    <xf numFmtId="39" fontId="15" fillId="0" borderId="0" xfId="42" applyNumberFormat="1" applyAlignment="1" applyProtection="1">
      <alignment horizontal="right" vertical="top"/>
    </xf>
    <xf numFmtId="0" fontId="64" fillId="0" borderId="39" xfId="42" applyFont="1" applyBorder="1" applyAlignment="1" applyProtection="1">
      <alignment horizontal="left"/>
    </xf>
    <xf numFmtId="0" fontId="83" fillId="0" borderId="40" xfId="42" applyFont="1" applyBorder="1" applyAlignment="1" applyProtection="1">
      <alignment horizontal="center"/>
    </xf>
    <xf numFmtId="172" fontId="83" fillId="0" borderId="40" xfId="42" applyNumberFormat="1" applyFont="1" applyBorder="1" applyAlignment="1" applyProtection="1">
      <alignment horizontal="right"/>
    </xf>
    <xf numFmtId="39" fontId="83" fillId="0" borderId="40" xfId="42" applyNumberFormat="1" applyFont="1" applyBorder="1" applyAlignment="1" applyProtection="1">
      <alignment horizontal="right"/>
    </xf>
    <xf numFmtId="39" fontId="64" fillId="0" borderId="33" xfId="42" applyNumberFormat="1" applyFont="1" applyBorder="1" applyAlignment="1" applyProtection="1">
      <alignment horizontal="right"/>
    </xf>
    <xf numFmtId="37" fontId="64" fillId="0" borderId="0" xfId="42" applyNumberFormat="1" applyFont="1" applyAlignment="1" applyProtection="1">
      <alignment horizontal="center"/>
    </xf>
    <xf numFmtId="0" fontId="88" fillId="0" borderId="0" xfId="42" applyFont="1" applyAlignment="1" applyProtection="1">
      <alignment horizontal="center"/>
    </xf>
    <xf numFmtId="0" fontId="64" fillId="0" borderId="0" xfId="42" applyFont="1" applyAlignment="1" applyProtection="1">
      <alignment horizontal="left"/>
    </xf>
    <xf numFmtId="0" fontId="83" fillId="0" borderId="0" xfId="42" applyFont="1" applyAlignment="1" applyProtection="1">
      <alignment horizontal="center"/>
    </xf>
    <xf numFmtId="172" fontId="83" fillId="0" borderId="0" xfId="42" applyNumberFormat="1" applyFont="1" applyAlignment="1" applyProtection="1">
      <alignment horizontal="right"/>
    </xf>
    <xf numFmtId="39" fontId="83" fillId="0" borderId="0" xfId="42" applyNumberFormat="1" applyFont="1" applyAlignment="1" applyProtection="1">
      <alignment horizontal="right"/>
    </xf>
    <xf numFmtId="39" fontId="64" fillId="0" borderId="0" xfId="42" applyNumberFormat="1" applyFont="1" applyAlignment="1" applyProtection="1">
      <alignment horizontal="right"/>
    </xf>
    <xf numFmtId="0" fontId="62" fillId="0" borderId="0" xfId="79" applyFont="1" applyAlignment="1" applyProtection="1">
      <alignment horizontal="left"/>
    </xf>
    <xf numFmtId="0" fontId="15" fillId="0" borderId="0" xfId="79" applyAlignment="1" applyProtection="1">
      <alignment vertical="top"/>
    </xf>
    <xf numFmtId="172" fontId="15" fillId="0" borderId="0" xfId="79" applyNumberFormat="1" applyAlignment="1" applyProtection="1">
      <alignment vertical="top"/>
    </xf>
    <xf numFmtId="0" fontId="70" fillId="0" borderId="0" xfId="125" applyFont="1" applyAlignment="1" applyProtection="1"/>
    <xf numFmtId="4" fontId="346" fillId="0" borderId="70" xfId="237" applyNumberFormat="1" applyFont="1" applyBorder="1" applyAlignment="1" applyProtection="1">
      <alignment horizontal="right"/>
      <protection locked="0"/>
    </xf>
    <xf numFmtId="0" fontId="203" fillId="0" borderId="0" xfId="125" applyFont="1" applyAlignment="1" applyProtection="1"/>
    <xf numFmtId="0" fontId="82" fillId="0" borderId="0" xfId="125" applyFont="1" applyAlignment="1" applyProtection="1"/>
    <xf numFmtId="39" fontId="64" fillId="0" borderId="70" xfId="244" applyNumberFormat="1" applyFont="1" applyBorder="1" applyAlignment="1" applyProtection="1">
      <alignment horizontal="right"/>
      <protection locked="0"/>
    </xf>
    <xf numFmtId="39" fontId="12" fillId="0" borderId="70" xfId="244" applyNumberFormat="1" applyFont="1" applyBorder="1" applyAlignment="1" applyProtection="1">
      <alignment horizontal="right"/>
      <protection locked="0"/>
    </xf>
    <xf numFmtId="4" fontId="64" fillId="0" borderId="34" xfId="237" applyNumberFormat="1" applyFont="1" applyBorder="1" applyAlignment="1" applyProtection="1">
      <alignment horizontal="right"/>
      <protection locked="0"/>
    </xf>
    <xf numFmtId="39" fontId="12" fillId="0" borderId="34" xfId="237" applyNumberFormat="1" applyFont="1" applyBorder="1" applyAlignment="1" applyProtection="1">
      <alignment horizontal="right"/>
      <protection locked="0"/>
    </xf>
    <xf numFmtId="39" fontId="64" fillId="0" borderId="34" xfId="244" applyNumberFormat="1" applyFont="1" applyBorder="1" applyAlignment="1" applyProtection="1">
      <alignment horizontal="right"/>
      <protection locked="0"/>
    </xf>
    <xf numFmtId="0" fontId="32" fillId="0" borderId="0" xfId="45" applyAlignment="1" applyProtection="1"/>
    <xf numFmtId="0" fontId="32" fillId="0" borderId="0" xfId="45" applyAlignment="1" applyProtection="1">
      <alignment horizontal="left" vertical="top"/>
    </xf>
    <xf numFmtId="4" fontId="264" fillId="9" borderId="34" xfId="140" applyNumberFormat="1" applyFont="1" applyFill="1" applyBorder="1" applyAlignment="1" applyProtection="1">
      <alignment horizontal="right"/>
      <protection locked="0"/>
    </xf>
    <xf numFmtId="4" fontId="264" fillId="9" borderId="70" xfId="140" applyNumberFormat="1" applyFont="1" applyFill="1" applyBorder="1" applyAlignment="1" applyProtection="1">
      <alignment horizontal="right"/>
      <protection locked="0"/>
    </xf>
    <xf numFmtId="4" fontId="71" fillId="9" borderId="70" xfId="140" applyNumberFormat="1" applyFont="1" applyFill="1" applyBorder="1" applyAlignment="1" applyProtection="1">
      <alignment horizontal="right"/>
      <protection locked="0"/>
    </xf>
    <xf numFmtId="4" fontId="71" fillId="9" borderId="70" xfId="22" applyNumberFormat="1" applyFont="1" applyFill="1" applyBorder="1" applyAlignment="1" applyProtection="1">
      <alignment horizontal="right"/>
      <protection locked="0"/>
    </xf>
    <xf numFmtId="4" fontId="71" fillId="9" borderId="70" xfId="32" applyNumberFormat="1" applyFont="1" applyFill="1" applyBorder="1" applyAlignment="1" applyProtection="1">
      <alignment horizontal="right"/>
      <protection locked="0"/>
    </xf>
    <xf numFmtId="4" fontId="71" fillId="9" borderId="70" xfId="34" applyNumberFormat="1" applyFont="1" applyFill="1" applyBorder="1" applyAlignment="1" applyProtection="1">
      <alignment horizontal="right"/>
      <protection locked="0"/>
    </xf>
    <xf numFmtId="4" fontId="57" fillId="9" borderId="70" xfId="195" applyNumberFormat="1" applyFont="1" applyFill="1" applyBorder="1" applyAlignment="1" applyProtection="1">
      <alignment horizontal="right"/>
      <protection locked="0"/>
    </xf>
    <xf numFmtId="4" fontId="78" fillId="9" borderId="34" xfId="184" applyNumberFormat="1" applyFont="1" applyFill="1" applyBorder="1" applyAlignment="1" applyProtection="1">
      <alignment horizontal="right"/>
      <protection locked="0"/>
    </xf>
    <xf numFmtId="4" fontId="264" fillId="9" borderId="34" xfId="184" applyNumberFormat="1" applyFont="1" applyFill="1" applyBorder="1" applyAlignment="1" applyProtection="1">
      <alignment horizontal="right"/>
      <protection locked="0"/>
    </xf>
    <xf numFmtId="4" fontId="264" fillId="9" borderId="34" xfId="197" applyNumberFormat="1" applyFont="1" applyFill="1" applyBorder="1" applyAlignment="1" applyProtection="1">
      <alignment horizontal="right"/>
      <protection locked="0"/>
    </xf>
    <xf numFmtId="4" fontId="264" fillId="9" borderId="70" xfId="197" applyNumberFormat="1" applyFont="1" applyFill="1" applyBorder="1" applyAlignment="1" applyProtection="1">
      <alignment horizontal="right"/>
      <protection locked="0"/>
    </xf>
    <xf numFmtId="4" fontId="12" fillId="0" borderId="70" xfId="196" applyNumberFormat="1" applyFont="1" applyBorder="1" applyAlignment="1" applyProtection="1">
      <alignment horizontal="right"/>
      <protection locked="0"/>
    </xf>
    <xf numFmtId="0" fontId="70" fillId="0" borderId="0" xfId="0" applyFont="1" applyAlignment="1" applyProtection="1">
      <alignment horizontal="right" vertical="center"/>
    </xf>
    <xf numFmtId="0" fontId="74" fillId="0" borderId="0" xfId="0" applyFont="1" applyAlignment="1" applyProtection="1">
      <alignment horizontal="right" vertical="center"/>
    </xf>
    <xf numFmtId="0" fontId="70" fillId="0" borderId="0" xfId="0" applyFont="1" applyAlignment="1" applyProtection="1">
      <alignment horizontal="left" vertical="center"/>
    </xf>
    <xf numFmtId="0" fontId="80" fillId="0" borderId="0" xfId="25" applyFont="1" applyAlignment="1" applyProtection="1">
      <alignment vertical="center"/>
    </xf>
    <xf numFmtId="4" fontId="205" fillId="0" borderId="18" xfId="0" applyNumberFormat="1" applyFont="1" applyBorder="1" applyAlignment="1" applyProtection="1"/>
    <xf numFmtId="0" fontId="56" fillId="0" borderId="63" xfId="0" applyFont="1" applyBorder="1" applyAlignment="1" applyProtection="1">
      <alignment horizontal="right"/>
    </xf>
    <xf numFmtId="0" fontId="205" fillId="0" borderId="63" xfId="0" applyFont="1" applyBorder="1" applyAlignment="1" applyProtection="1">
      <alignment horizontal="left"/>
    </xf>
    <xf numFmtId="0" fontId="205" fillId="0" borderId="63" xfId="0" applyFont="1" applyBorder="1" applyAlignment="1" applyProtection="1"/>
    <xf numFmtId="0" fontId="212" fillId="0" borderId="63" xfId="0" applyFont="1" applyBorder="1" applyAlignment="1" applyProtection="1"/>
    <xf numFmtId="0" fontId="350" fillId="0" borderId="76" xfId="7" applyFont="1" applyBorder="1" applyAlignment="1" applyProtection="1"/>
    <xf numFmtId="0" fontId="350" fillId="0" borderId="76" xfId="0" applyFont="1" applyBorder="1" applyAlignment="1" applyProtection="1"/>
    <xf numFmtId="4" fontId="350" fillId="0" borderId="76" xfId="0" applyNumberFormat="1" applyFont="1" applyBorder="1" applyAlignment="1" applyProtection="1"/>
    <xf numFmtId="0" fontId="303" fillId="0" borderId="76" xfId="0" applyFont="1" applyBorder="1" applyAlignment="1" applyProtection="1"/>
    <xf numFmtId="0" fontId="212" fillId="0" borderId="63" xfId="192" applyFont="1" applyBorder="1" applyAlignment="1" applyProtection="1">
      <alignment wrapText="1"/>
    </xf>
    <xf numFmtId="0" fontId="56" fillId="0" borderId="63" xfId="0" applyFont="1" applyBorder="1" applyAlignment="1" applyProtection="1"/>
    <xf numFmtId="0" fontId="205" fillId="0" borderId="63" xfId="124" applyFont="1" applyBorder="1" applyAlignment="1" applyProtection="1"/>
    <xf numFmtId="172" fontId="13" fillId="0" borderId="63" xfId="124" applyNumberFormat="1" applyFont="1" applyBorder="1" applyAlignment="1" applyProtection="1"/>
    <xf numFmtId="4" fontId="205" fillId="0" borderId="63" xfId="124" applyNumberFormat="1" applyFont="1" applyBorder="1" applyAlignment="1" applyProtection="1"/>
    <xf numFmtId="0" fontId="212" fillId="0" borderId="63" xfId="124" applyFont="1" applyBorder="1" applyAlignment="1" applyProtection="1">
      <alignment wrapText="1"/>
    </xf>
    <xf numFmtId="4" fontId="64" fillId="0" borderId="18" xfId="204" applyNumberFormat="1" applyFont="1" applyBorder="1" applyAlignment="1" applyProtection="1">
      <alignment horizontal="right"/>
      <protection locked="0"/>
    </xf>
    <xf numFmtId="0" fontId="0" fillId="0" borderId="63" xfId="0" applyBorder="1" applyAlignment="1" applyProtection="1"/>
    <xf numFmtId="4" fontId="56" fillId="0" borderId="63" xfId="0" applyNumberFormat="1" applyFont="1" applyBorder="1" applyAlignment="1" applyProtection="1"/>
    <xf numFmtId="4" fontId="12" fillId="0" borderId="18" xfId="22" applyNumberFormat="1" applyFont="1" applyBorder="1" applyAlignment="1" applyProtection="1">
      <alignment horizontal="right"/>
      <protection locked="0"/>
    </xf>
    <xf numFmtId="0" fontId="13" fillId="0" borderId="63" xfId="0" applyFont="1" applyBorder="1" applyAlignment="1" applyProtection="1"/>
    <xf numFmtId="172" fontId="13" fillId="0" borderId="63" xfId="0" applyNumberFormat="1" applyFont="1" applyBorder="1" applyAlignment="1" applyProtection="1"/>
    <xf numFmtId="4" fontId="205" fillId="0" borderId="63" xfId="0" applyNumberFormat="1" applyFont="1" applyBorder="1" applyAlignment="1" applyProtection="1"/>
    <xf numFmtId="0" fontId="56" fillId="0" borderId="63" xfId="0" applyFont="1" applyBorder="1" applyAlignment="1" applyProtection="1">
      <alignment horizontal="left"/>
    </xf>
    <xf numFmtId="0" fontId="205" fillId="0" borderId="63" xfId="124" applyFont="1" applyBorder="1" applyAlignment="1" applyProtection="1">
      <alignment horizontal="right"/>
    </xf>
    <xf numFmtId="0" fontId="13" fillId="0" borderId="63" xfId="124" applyFont="1" applyBorder="1" applyAlignment="1" applyProtection="1"/>
    <xf numFmtId="0" fontId="30" fillId="0" borderId="63" xfId="124" applyBorder="1" applyAlignment="1" applyProtection="1"/>
    <xf numFmtId="4" fontId="12" fillId="0" borderId="18" xfId="67" applyNumberFormat="1" applyFont="1" applyBorder="1" applyAlignment="1" applyProtection="1">
      <alignment horizontal="right"/>
      <protection locked="0"/>
    </xf>
    <xf numFmtId="0" fontId="13" fillId="0" borderId="63" xfId="124" applyFont="1" applyBorder="1" applyAlignment="1" applyProtection="1">
      <alignment wrapText="1"/>
    </xf>
    <xf numFmtId="0" fontId="169" fillId="0" borderId="0" xfId="0" applyFont="1" applyAlignment="1" applyProtection="1">
      <alignment vertical="center"/>
    </xf>
    <xf numFmtId="0" fontId="288" fillId="0" borderId="0" xfId="0" applyFont="1" applyAlignment="1" applyProtection="1"/>
    <xf numFmtId="0" fontId="289" fillId="0" borderId="0" xfId="0" applyFont="1" applyAlignment="1" applyProtection="1"/>
    <xf numFmtId="0" fontId="290" fillId="0" borderId="0" xfId="0" applyFont="1" applyAlignment="1" applyProtection="1">
      <alignment horizontal="right"/>
    </xf>
    <xf numFmtId="0" fontId="0" fillId="0" borderId="0" xfId="0" applyAlignment="1" applyProtection="1">
      <alignment horizontal="right"/>
    </xf>
    <xf numFmtId="0" fontId="290" fillId="0" borderId="0" xfId="0" applyFont="1" applyAlignment="1" applyProtection="1">
      <alignment horizontal="left"/>
    </xf>
    <xf numFmtId="0" fontId="91" fillId="0" borderId="0" xfId="0" applyFont="1" applyAlignment="1" applyProtection="1">
      <alignment vertical="center"/>
    </xf>
    <xf numFmtId="0" fontId="288" fillId="0" borderId="0" xfId="0" applyFont="1" applyAlignment="1" applyProtection="1">
      <alignment horizontal="left" vertical="center"/>
    </xf>
    <xf numFmtId="0" fontId="288" fillId="0" borderId="0" xfId="0" applyFont="1" applyAlignment="1" applyProtection="1">
      <alignment horizontal="center" vertical="center"/>
    </xf>
    <xf numFmtId="0" fontId="70" fillId="0" borderId="0" xfId="0" applyFont="1" applyAlignment="1" applyProtection="1"/>
    <xf numFmtId="4" fontId="169" fillId="0" borderId="0" xfId="0" applyNumberFormat="1" applyFont="1" applyAlignment="1" applyProtection="1">
      <alignment vertical="center"/>
    </xf>
    <xf numFmtId="4" fontId="264" fillId="0" borderId="80" xfId="43" applyNumberFormat="1" applyFont="1" applyBorder="1" applyAlignment="1" applyProtection="1">
      <alignment horizontal="right"/>
      <protection locked="0"/>
    </xf>
    <xf numFmtId="2" fontId="57" fillId="0" borderId="34" xfId="4" applyNumberFormat="1" applyFont="1" applyBorder="1" applyAlignment="1" applyProtection="1">
      <alignment horizontal="right"/>
      <protection locked="0"/>
    </xf>
    <xf numFmtId="4" fontId="264" fillId="0" borderId="80" xfId="119" applyNumberFormat="1" applyFont="1" applyBorder="1" applyAlignment="1" applyProtection="1">
      <alignment horizontal="right"/>
      <protection locked="0"/>
    </xf>
    <xf numFmtId="4" fontId="264" fillId="0" borderId="34" xfId="196" applyNumberFormat="1" applyFont="1" applyBorder="1" applyAlignment="1" applyProtection="1">
      <alignment horizontal="right"/>
      <protection locked="0"/>
    </xf>
    <xf numFmtId="4" fontId="264" fillId="0" borderId="34" xfId="89" applyNumberFormat="1" applyFont="1" applyBorder="1" applyAlignment="1" applyProtection="1">
      <alignment horizontal="right"/>
      <protection locked="0"/>
    </xf>
    <xf numFmtId="4" fontId="12" fillId="0" borderId="34" xfId="177" applyNumberFormat="1" applyFont="1" applyBorder="1" applyAlignment="1" applyProtection="1">
      <alignment horizontal="right"/>
      <protection locked="0"/>
    </xf>
    <xf numFmtId="4" fontId="71" fillId="0" borderId="34" xfId="177" applyNumberFormat="1" applyFont="1" applyBorder="1" applyAlignment="1" applyProtection="1">
      <alignment horizontal="right"/>
      <protection locked="0"/>
    </xf>
    <xf numFmtId="4" fontId="264" fillId="0" borderId="34" xfId="33" applyNumberFormat="1" applyFont="1" applyBorder="1" applyAlignment="1" applyProtection="1">
      <alignment shrinkToFit="1"/>
      <protection locked="0"/>
    </xf>
    <xf numFmtId="4" fontId="264" fillId="0" borderId="80" xfId="33" applyNumberFormat="1" applyFont="1" applyBorder="1" applyAlignment="1" applyProtection="1">
      <alignment shrinkToFit="1"/>
      <protection locked="0"/>
    </xf>
    <xf numFmtId="0" fontId="175" fillId="0" borderId="0" xfId="25" applyFont="1" applyAlignment="1" applyProtection="1">
      <alignment horizontal="left" vertical="center"/>
    </xf>
    <xf numFmtId="0" fontId="169" fillId="0" borderId="0" xfId="25" applyFont="1" applyAlignment="1" applyProtection="1">
      <alignment vertical="center"/>
    </xf>
    <xf numFmtId="0" fontId="74" fillId="0" borderId="0" xfId="25" applyFont="1" applyAlignment="1" applyProtection="1"/>
    <xf numFmtId="0" fontId="70" fillId="0" borderId="0" xfId="25" applyFont="1" applyAlignment="1" applyProtection="1">
      <alignment vertical="center"/>
    </xf>
    <xf numFmtId="2" fontId="72" fillId="0" borderId="0" xfId="25" applyNumberFormat="1" applyFont="1" applyAlignment="1" applyProtection="1">
      <alignment vertical="center"/>
    </xf>
    <xf numFmtId="0" fontId="72" fillId="0" borderId="0" xfId="25" applyFont="1" applyAlignment="1" applyProtection="1">
      <alignment vertical="center"/>
    </xf>
    <xf numFmtId="0" fontId="74" fillId="0" borderId="0" xfId="25" applyFont="1" applyAlignment="1" applyProtection="1">
      <alignment vertical="center"/>
    </xf>
    <xf numFmtId="0" fontId="70" fillId="0" borderId="0" xfId="26" applyFont="1" applyAlignment="1" applyProtection="1"/>
    <xf numFmtId="0" fontId="226" fillId="0" borderId="0" xfId="26" applyFont="1" applyAlignment="1" applyProtection="1"/>
    <xf numFmtId="0" fontId="3" fillId="0" borderId="0" xfId="228"/>
    <xf numFmtId="0" fontId="3" fillId="0" borderId="0" xfId="228" applyAlignment="1">
      <alignment horizontal="left" vertical="top"/>
    </xf>
    <xf numFmtId="0" fontId="30" fillId="0" borderId="0" xfId="130" applyAlignment="1" applyProtection="1">
      <alignment vertical="top"/>
    </xf>
    <xf numFmtId="0" fontId="12" fillId="0" borderId="0" xfId="228" applyFont="1" applyAlignment="1">
      <alignment horizontal="left"/>
    </xf>
    <xf numFmtId="0" fontId="62" fillId="0" borderId="0" xfId="228" applyFont="1" applyAlignment="1">
      <alignment horizontal="left"/>
    </xf>
    <xf numFmtId="0" fontId="63" fillId="0" borderId="0" xfId="228" applyFont="1" applyAlignment="1">
      <alignment horizontal="left"/>
    </xf>
    <xf numFmtId="0" fontId="62" fillId="0" borderId="0" xfId="228" applyFont="1" applyAlignment="1">
      <alignment horizontal="center"/>
    </xf>
    <xf numFmtId="0" fontId="201" fillId="0" borderId="0" xfId="228" applyFont="1" applyAlignment="1">
      <alignment horizontal="right" vertical="top"/>
    </xf>
    <xf numFmtId="0" fontId="66" fillId="0" borderId="33" xfId="228" applyFont="1" applyBorder="1" applyAlignment="1">
      <alignment horizontal="center" vertical="center" wrapText="1"/>
    </xf>
    <xf numFmtId="0" fontId="66" fillId="0" borderId="39" xfId="228" applyFont="1" applyBorder="1" applyAlignment="1">
      <alignment horizontal="center" vertical="center" wrapText="1"/>
    </xf>
    <xf numFmtId="0" fontId="66" fillId="0" borderId="15" xfId="228" applyFont="1" applyBorder="1" applyAlignment="1">
      <alignment horizontal="center" vertical="center" wrapText="1"/>
    </xf>
    <xf numFmtId="37" fontId="64" fillId="0" borderId="0" xfId="228" applyNumberFormat="1" applyFont="1" applyAlignment="1">
      <alignment horizontal="right"/>
    </xf>
    <xf numFmtId="0" fontId="64" fillId="0" borderId="0" xfId="228" applyFont="1" applyAlignment="1">
      <alignment horizontal="left" wrapText="1"/>
    </xf>
    <xf numFmtId="176" fontId="64" fillId="0" borderId="0" xfId="228" applyNumberFormat="1" applyFont="1" applyAlignment="1">
      <alignment horizontal="right"/>
    </xf>
    <xf numFmtId="39" fontId="64" fillId="0" borderId="0" xfId="228" applyNumberFormat="1" applyFont="1" applyAlignment="1">
      <alignment horizontal="right"/>
    </xf>
    <xf numFmtId="37" fontId="12" fillId="0" borderId="70" xfId="215" applyNumberFormat="1" applyFont="1" applyBorder="1" applyAlignment="1">
      <alignment horizontal="right"/>
    </xf>
    <xf numFmtId="0" fontId="12" fillId="0" borderId="70" xfId="3" applyFont="1" applyBorder="1" applyAlignment="1">
      <alignment horizontal="left" wrapText="1"/>
    </xf>
    <xf numFmtId="0" fontId="64" fillId="0" borderId="70" xfId="215" applyFont="1" applyBorder="1" applyAlignment="1">
      <alignment horizontal="left" wrapText="1"/>
    </xf>
    <xf numFmtId="172" fontId="64" fillId="0" borderId="70" xfId="215" applyNumberFormat="1" applyFont="1" applyBorder="1" applyAlignment="1">
      <alignment horizontal="right"/>
    </xf>
    <xf numFmtId="39" fontId="64" fillId="0" borderId="70" xfId="215" applyNumberFormat="1" applyFont="1" applyBorder="1" applyAlignment="1">
      <alignment horizontal="right"/>
    </xf>
    <xf numFmtId="39" fontId="12" fillId="0" borderId="70" xfId="215" applyNumberFormat="1" applyFont="1" applyBorder="1" applyAlignment="1">
      <alignment horizontal="center"/>
    </xf>
    <xf numFmtId="0" fontId="3" fillId="0" borderId="0" xfId="215" applyAlignment="1">
      <alignment horizontal="left" vertical="top"/>
    </xf>
    <xf numFmtId="0" fontId="246" fillId="0" borderId="0" xfId="215" applyFont="1" applyAlignment="1">
      <alignment horizontal="left" vertical="top"/>
    </xf>
    <xf numFmtId="1" fontId="12" fillId="0" borderId="70" xfId="215" applyNumberFormat="1" applyFont="1" applyBorder="1" applyAlignment="1">
      <alignment horizontal="right"/>
    </xf>
    <xf numFmtId="0" fontId="12" fillId="0" borderId="70" xfId="215" applyFont="1" applyBorder="1" applyAlignment="1">
      <alignment horizontal="left" wrapText="1"/>
    </xf>
    <xf numFmtId="172" fontId="12" fillId="0" borderId="70" xfId="215" applyNumberFormat="1" applyFont="1" applyBorder="1" applyAlignment="1">
      <alignment horizontal="right"/>
    </xf>
    <xf numFmtId="39" fontId="12" fillId="0" borderId="70" xfId="215" applyNumberFormat="1" applyFont="1" applyBorder="1" applyAlignment="1">
      <alignment horizontal="right"/>
    </xf>
    <xf numFmtId="4" fontId="12" fillId="0" borderId="70" xfId="129" applyNumberFormat="1" applyFont="1" applyBorder="1" applyAlignment="1">
      <alignment horizontal="right"/>
    </xf>
    <xf numFmtId="0" fontId="213" fillId="0" borderId="0" xfId="45" applyFont="1" applyAlignment="1" applyProtection="1">
      <alignment horizontal="right" vertical="center"/>
    </xf>
    <xf numFmtId="0" fontId="247" fillId="0" borderId="0" xfId="45" applyFont="1" applyAlignment="1" applyProtection="1">
      <alignment horizontal="left" vertical="center"/>
    </xf>
    <xf numFmtId="0" fontId="3" fillId="0" borderId="0" xfId="215" applyAlignment="1">
      <alignment vertical="top"/>
    </xf>
    <xf numFmtId="49" fontId="12" fillId="0" borderId="70" xfId="215" applyNumberFormat="1" applyFont="1" applyBorder="1" applyAlignment="1">
      <alignment horizontal="left" wrapText="1"/>
    </xf>
    <xf numFmtId="172" fontId="12" fillId="0" borderId="70" xfId="67" applyNumberFormat="1" applyFont="1" applyBorder="1" applyAlignment="1">
      <alignment horizontal="right"/>
    </xf>
    <xf numFmtId="0" fontId="311" fillId="0" borderId="0" xfId="215" applyFont="1" applyAlignment="1">
      <alignment horizontal="left" vertical="center"/>
    </xf>
    <xf numFmtId="0" fontId="57" fillId="0" borderId="70" xfId="215" applyFont="1" applyBorder="1" applyAlignment="1">
      <alignment horizontal="left" wrapText="1"/>
    </xf>
    <xf numFmtId="172" fontId="57" fillId="0" borderId="70" xfId="215" applyNumberFormat="1" applyFont="1" applyBorder="1" applyAlignment="1">
      <alignment horizontal="right"/>
    </xf>
    <xf numFmtId="0" fontId="312" fillId="0" borderId="0" xfId="215" applyFont="1" applyAlignment="1">
      <alignment horizontal="left" vertical="center"/>
    </xf>
    <xf numFmtId="49" fontId="12" fillId="0" borderId="70" xfId="215" applyNumberFormat="1" applyFont="1" applyBorder="1" applyAlignment="1">
      <alignment horizontal="right" wrapText="1"/>
    </xf>
    <xf numFmtId="172" fontId="3" fillId="0" borderId="70" xfId="215" applyNumberFormat="1" applyBorder="1" applyAlignment="1">
      <alignment horizontal="left" vertical="top"/>
    </xf>
    <xf numFmtId="2" fontId="12" fillId="0" borderId="70" xfId="215" applyNumberFormat="1" applyFont="1" applyBorder="1" applyAlignment="1">
      <alignment horizontal="center"/>
    </xf>
    <xf numFmtId="37" fontId="57" fillId="0" borderId="70" xfId="25" applyNumberFormat="1" applyFont="1" applyBorder="1" applyAlignment="1" applyProtection="1">
      <alignment horizontal="right"/>
    </xf>
    <xf numFmtId="49" fontId="83" fillId="0" borderId="70" xfId="25" applyNumberFormat="1" applyFont="1" applyBorder="1" applyAlignment="1" applyProtection="1">
      <alignment horizontal="left" wrapText="1"/>
    </xf>
    <xf numFmtId="0" fontId="83" fillId="0" borderId="70" xfId="25" applyFont="1" applyBorder="1" applyAlignment="1" applyProtection="1">
      <alignment horizontal="left" wrapText="1"/>
    </xf>
    <xf numFmtId="0" fontId="57" fillId="0" borderId="70" xfId="44" applyFont="1" applyBorder="1" applyAlignment="1" applyProtection="1">
      <alignment horizontal="left" vertical="center" wrapText="1"/>
    </xf>
    <xf numFmtId="0" fontId="57" fillId="0" borderId="70" xfId="25" applyFont="1" applyBorder="1" applyAlignment="1" applyProtection="1">
      <alignment horizontal="left" wrapText="1"/>
    </xf>
    <xf numFmtId="172" fontId="117" fillId="0" borderId="70" xfId="25" applyNumberFormat="1" applyFont="1" applyBorder="1" applyAlignment="1" applyProtection="1">
      <alignment horizontal="right" wrapText="1"/>
    </xf>
    <xf numFmtId="4" fontId="12" fillId="0" borderId="70" xfId="25" applyNumberFormat="1" applyFont="1" applyBorder="1" applyAlignment="1" applyProtection="1">
      <alignment horizontal="right"/>
    </xf>
    <xf numFmtId="0" fontId="15" fillId="0" borderId="70" xfId="25" applyBorder="1" applyAlignment="1" applyProtection="1">
      <alignment horizontal="left" vertical="top"/>
    </xf>
    <xf numFmtId="2" fontId="224" fillId="0" borderId="0" xfId="25" applyNumberFormat="1" applyFont="1" applyAlignment="1" applyProtection="1">
      <alignment vertical="center"/>
    </xf>
    <xf numFmtId="2" fontId="15" fillId="0" borderId="0" xfId="25" applyNumberFormat="1" applyAlignment="1" applyProtection="1">
      <alignment horizontal="left" vertical="center"/>
    </xf>
    <xf numFmtId="2" fontId="15" fillId="0" borderId="0" xfId="25" applyNumberFormat="1" applyAlignment="1" applyProtection="1">
      <alignment horizontal="left" vertical="top"/>
    </xf>
    <xf numFmtId="0" fontId="254" fillId="0" borderId="0" xfId="25" applyFont="1" applyAlignment="1" applyProtection="1">
      <alignment horizontal="left" vertical="center"/>
    </xf>
    <xf numFmtId="0" fontId="15" fillId="0" borderId="0" xfId="25" applyAlignment="1" applyProtection="1">
      <alignment horizontal="left" vertical="top"/>
    </xf>
    <xf numFmtId="0" fontId="85" fillId="0" borderId="0" xfId="45" applyFont="1" applyAlignment="1" applyProtection="1">
      <alignment horizontal="left" vertical="center"/>
    </xf>
    <xf numFmtId="1" fontId="12" fillId="0" borderId="70" xfId="33" applyNumberFormat="1" applyFont="1" applyBorder="1" applyAlignment="1">
      <alignment horizontal="right" wrapText="1"/>
    </xf>
    <xf numFmtId="49" fontId="12" fillId="0" borderId="70" xfId="33" applyNumberFormat="1" applyFont="1" applyBorder="1" applyAlignment="1">
      <alignment horizontal="left" wrapText="1"/>
    </xf>
    <xf numFmtId="0" fontId="57" fillId="0" borderId="70" xfId="33" applyFont="1" applyBorder="1" applyAlignment="1">
      <alignment horizontal="left" wrapText="1"/>
    </xf>
    <xf numFmtId="0" fontId="57" fillId="0" borderId="70" xfId="221" applyFont="1" applyBorder="1" applyAlignment="1">
      <alignment horizontal="left" wrapText="1"/>
    </xf>
    <xf numFmtId="0" fontId="57" fillId="0" borderId="70" xfId="3" applyFont="1" applyBorder="1" applyAlignment="1">
      <alignment horizontal="left" wrapText="1"/>
    </xf>
    <xf numFmtId="172" fontId="57" fillId="0" borderId="70" xfId="3" applyNumberFormat="1" applyFont="1" applyBorder="1" applyAlignment="1">
      <alignment horizontal="right"/>
    </xf>
    <xf numFmtId="4" fontId="12" fillId="0" borderId="70" xfId="33" applyNumberFormat="1" applyFont="1" applyBorder="1" applyAlignment="1">
      <alignment horizontal="right"/>
    </xf>
    <xf numFmtId="39" fontId="12" fillId="0" borderId="70" xfId="33" applyNumberFormat="1" applyFont="1" applyBorder="1" applyAlignment="1">
      <alignment horizontal="center"/>
    </xf>
    <xf numFmtId="0" fontId="101" fillId="0" borderId="0" xfId="33" applyFont="1" applyAlignment="1">
      <alignment horizontal="left" vertical="top"/>
    </xf>
    <xf numFmtId="0" fontId="37" fillId="0" borderId="0" xfId="33" applyAlignment="1">
      <alignment horizontal="left" vertical="top"/>
    </xf>
    <xf numFmtId="171" fontId="37" fillId="0" borderId="0" xfId="33" applyNumberFormat="1" applyAlignment="1">
      <alignment horizontal="left" vertical="top"/>
    </xf>
    <xf numFmtId="0" fontId="69" fillId="0" borderId="0" xfId="33" applyFont="1" applyAlignment="1">
      <alignment horizontal="left" vertical="top"/>
    </xf>
    <xf numFmtId="172" fontId="57" fillId="0" borderId="70" xfId="33" applyNumberFormat="1" applyFont="1" applyBorder="1" applyAlignment="1">
      <alignment horizontal="right"/>
    </xf>
    <xf numFmtId="37" fontId="12" fillId="0" borderId="70" xfId="3" applyNumberFormat="1" applyFont="1" applyBorder="1" applyAlignment="1">
      <alignment horizontal="right"/>
    </xf>
    <xf numFmtId="39" fontId="12" fillId="0" borderId="70" xfId="3" applyNumberFormat="1" applyFont="1" applyBorder="1" applyAlignment="1">
      <alignment horizontal="right"/>
    </xf>
    <xf numFmtId="0" fontId="63" fillId="0" borderId="0" xfId="3" applyFont="1" applyAlignment="1">
      <alignment vertical="center"/>
    </xf>
    <xf numFmtId="172" fontId="63" fillId="0" borderId="0" xfId="3" applyNumberFormat="1" applyFont="1" applyAlignment="1">
      <alignment horizontal="right" vertical="center"/>
    </xf>
    <xf numFmtId="0" fontId="14" fillId="0" borderId="0" xfId="3"/>
    <xf numFmtId="39" fontId="12" fillId="0" borderId="70" xfId="3" applyNumberFormat="1" applyFont="1" applyBorder="1" applyAlignment="1">
      <alignment horizontal="center"/>
    </xf>
    <xf numFmtId="39" fontId="57" fillId="0" borderId="70" xfId="3" applyNumberFormat="1" applyFont="1" applyBorder="1" applyAlignment="1">
      <alignment horizontal="right"/>
    </xf>
    <xf numFmtId="172" fontId="12" fillId="0" borderId="70" xfId="3" applyNumberFormat="1" applyFont="1" applyBorder="1" applyAlignment="1">
      <alignment horizontal="right"/>
    </xf>
    <xf numFmtId="0" fontId="64" fillId="0" borderId="70" xfId="3" applyFont="1" applyBorder="1" applyAlignment="1">
      <alignment horizontal="left" wrapText="1"/>
    </xf>
    <xf numFmtId="172" fontId="64" fillId="0" borderId="70" xfId="3" applyNumberFormat="1" applyFont="1" applyBorder="1" applyAlignment="1">
      <alignment horizontal="right"/>
    </xf>
    <xf numFmtId="4" fontId="64" fillId="0" borderId="70" xfId="3" applyNumberFormat="1" applyFont="1" applyBorder="1" applyAlignment="1">
      <alignment horizontal="right"/>
    </xf>
    <xf numFmtId="0" fontId="14" fillId="0" borderId="70" xfId="3" applyBorder="1" applyAlignment="1">
      <alignment horizontal="left" vertical="top"/>
    </xf>
    <xf numFmtId="4" fontId="12" fillId="0" borderId="70" xfId="3" applyNumberFormat="1" applyFont="1" applyBorder="1" applyAlignment="1">
      <alignment horizontal="right"/>
    </xf>
    <xf numFmtId="0" fontId="14" fillId="0" borderId="0" xfId="3" applyAlignment="1">
      <alignment vertical="center"/>
    </xf>
    <xf numFmtId="0" fontId="202" fillId="0" borderId="70" xfId="3" applyFont="1" applyBorder="1" applyAlignment="1">
      <alignment horizontal="left" wrapText="1"/>
    </xf>
    <xf numFmtId="172" fontId="57" fillId="0" borderId="70" xfId="3" applyNumberFormat="1" applyFont="1" applyBorder="1"/>
    <xf numFmtId="4" fontId="202" fillId="0" borderId="70" xfId="3" applyNumberFormat="1" applyFont="1" applyBorder="1" applyAlignment="1">
      <alignment horizontal="right"/>
    </xf>
    <xf numFmtId="39" fontId="202" fillId="0" borderId="70" xfId="3" applyNumberFormat="1" applyFont="1" applyBorder="1" applyAlignment="1">
      <alignment horizontal="center"/>
    </xf>
    <xf numFmtId="0" fontId="31" fillId="0" borderId="0" xfId="36" applyAlignment="1">
      <alignment vertical="top"/>
    </xf>
    <xf numFmtId="0" fontId="31" fillId="0" borderId="0" xfId="36" applyAlignment="1">
      <alignment horizontal="left" vertical="top"/>
    </xf>
    <xf numFmtId="2" fontId="31" fillId="0" borderId="0" xfId="36" applyNumberFormat="1" applyAlignment="1">
      <alignment horizontal="left" vertical="top"/>
    </xf>
    <xf numFmtId="37" fontId="83" fillId="0" borderId="70" xfId="224" applyNumberFormat="1" applyFont="1" applyBorder="1" applyAlignment="1" applyProtection="1">
      <alignment horizontal="right"/>
    </xf>
    <xf numFmtId="49" fontId="83" fillId="0" borderId="70" xfId="224" applyNumberFormat="1" applyFont="1" applyBorder="1" applyAlignment="1" applyProtection="1">
      <alignment horizontal="left" wrapText="1"/>
    </xf>
    <xf numFmtId="0" fontId="258" fillId="0" borderId="70" xfId="224" applyFont="1" applyBorder="1" applyAlignment="1" applyProtection="1">
      <alignment horizontal="left" wrapText="1"/>
    </xf>
    <xf numFmtId="0" fontId="57" fillId="0" borderId="70" xfId="224" applyFont="1" applyBorder="1" applyAlignment="1" applyProtection="1">
      <alignment horizontal="left" wrapText="1"/>
    </xf>
    <xf numFmtId="172" fontId="57" fillId="0" borderId="70" xfId="224" applyNumberFormat="1" applyFont="1" applyBorder="1" applyAlignment="1" applyProtection="1">
      <alignment horizontal="right" wrapText="1"/>
    </xf>
    <xf numFmtId="4" fontId="12" fillId="0" borderId="70" xfId="224" applyNumberFormat="1" applyFont="1" applyBorder="1" applyAlignment="1" applyProtection="1">
      <alignment horizontal="right"/>
    </xf>
    <xf numFmtId="0" fontId="31" fillId="0" borderId="70" xfId="224" applyFont="1" applyBorder="1" applyAlignment="1" applyProtection="1">
      <alignment horizontal="left" vertical="top" wrapText="1"/>
    </xf>
    <xf numFmtId="0" fontId="31" fillId="0" borderId="0" xfId="224" applyFont="1" applyAlignment="1" applyProtection="1">
      <alignment horizontal="left" vertical="top"/>
    </xf>
    <xf numFmtId="0" fontId="84" fillId="0" borderId="0" xfId="3" applyFont="1"/>
    <xf numFmtId="0" fontId="148" fillId="0" borderId="0" xfId="3" applyFont="1" applyAlignment="1">
      <alignment horizontal="left" vertical="center"/>
    </xf>
    <xf numFmtId="0" fontId="155" fillId="0" borderId="0" xfId="3" applyFont="1" applyAlignment="1">
      <alignment horizontal="center" vertical="center"/>
    </xf>
    <xf numFmtId="0" fontId="327" fillId="0" borderId="0" xfId="3" applyFont="1" applyAlignment="1">
      <alignment horizontal="left" vertical="center"/>
    </xf>
    <xf numFmtId="0" fontId="112" fillId="0" borderId="0" xfId="3" applyFont="1" applyAlignment="1">
      <alignment horizontal="left" vertical="center"/>
    </xf>
    <xf numFmtId="0" fontId="78" fillId="0" borderId="0" xfId="3" applyFont="1" applyAlignment="1">
      <alignment horizontal="left" vertical="center" wrapText="1"/>
    </xf>
    <xf numFmtId="0" fontId="12" fillId="0" borderId="0" xfId="3" applyFont="1" applyAlignment="1">
      <alignment horizontal="left" vertical="center" wrapText="1"/>
    </xf>
    <xf numFmtId="2" fontId="76" fillId="0" borderId="0" xfId="3" applyNumberFormat="1" applyFont="1" applyAlignment="1">
      <alignment horizontal="right" vertical="center"/>
    </xf>
    <xf numFmtId="39" fontId="12" fillId="0" borderId="0" xfId="3" applyNumberFormat="1" applyFont="1" applyAlignment="1">
      <alignment horizontal="right"/>
    </xf>
    <xf numFmtId="39" fontId="12" fillId="0" borderId="0" xfId="3" applyNumberFormat="1" applyFont="1" applyAlignment="1">
      <alignment horizontal="center"/>
    </xf>
    <xf numFmtId="0" fontId="14" fillId="0" borderId="0" xfId="3" applyAlignment="1">
      <alignment horizontal="left" vertical="top"/>
    </xf>
    <xf numFmtId="0" fontId="293" fillId="0" borderId="0" xfId="3" applyFont="1" applyAlignment="1">
      <alignment horizontal="left" vertical="center" textRotation="90" wrapText="1"/>
    </xf>
    <xf numFmtId="0" fontId="15" fillId="0" borderId="70" xfId="3" applyFont="1" applyBorder="1" applyAlignment="1">
      <alignment vertical="top"/>
    </xf>
    <xf numFmtId="0" fontId="155" fillId="0" borderId="0" xfId="3" applyFont="1" applyAlignment="1">
      <alignment horizontal="left" vertical="center"/>
    </xf>
    <xf numFmtId="39" fontId="64" fillId="0" borderId="0" xfId="3" applyNumberFormat="1" applyFont="1" applyAlignment="1">
      <alignment horizontal="right" vertical="center"/>
    </xf>
    <xf numFmtId="37" fontId="83" fillId="0" borderId="70" xfId="215" applyNumberFormat="1" applyFont="1" applyBorder="1" applyAlignment="1">
      <alignment horizontal="right"/>
    </xf>
    <xf numFmtId="49" fontId="83" fillId="0" borderId="70" xfId="215" applyNumberFormat="1" applyFont="1" applyBorder="1" applyAlignment="1">
      <alignment horizontal="left" wrapText="1"/>
    </xf>
    <xf numFmtId="0" fontId="83" fillId="0" borderId="70" xfId="215" applyFont="1" applyBorder="1" applyAlignment="1">
      <alignment horizontal="left" wrapText="1"/>
    </xf>
    <xf numFmtId="4" fontId="12" fillId="0" borderId="70" xfId="215" applyNumberFormat="1" applyFont="1" applyBorder="1" applyAlignment="1">
      <alignment horizontal="right"/>
    </xf>
    <xf numFmtId="0" fontId="3" fillId="0" borderId="70" xfId="215" applyBorder="1" applyAlignment="1">
      <alignment horizontal="left" vertical="top"/>
    </xf>
    <xf numFmtId="0" fontId="145" fillId="0" borderId="0" xfId="215" applyFont="1" applyAlignment="1">
      <alignment horizontal="left" vertical="center"/>
    </xf>
    <xf numFmtId="49" fontId="12" fillId="0" borderId="70" xfId="3" applyNumberFormat="1" applyFont="1" applyBorder="1" applyAlignment="1">
      <alignment horizontal="right" wrapText="1"/>
    </xf>
    <xf numFmtId="49" fontId="12" fillId="0" borderId="70" xfId="3" applyNumberFormat="1" applyFont="1" applyBorder="1" applyAlignment="1">
      <alignment horizontal="left" wrapText="1"/>
    </xf>
    <xf numFmtId="0" fontId="84" fillId="0" borderId="0" xfId="3" applyFont="1" applyAlignment="1">
      <alignment vertical="center"/>
    </xf>
    <xf numFmtId="4" fontId="203" fillId="0" borderId="0" xfId="3" applyNumberFormat="1" applyFont="1"/>
    <xf numFmtId="172" fontId="203" fillId="0" borderId="0" xfId="3" applyNumberFormat="1" applyFont="1"/>
    <xf numFmtId="0" fontId="203" fillId="0" borderId="0" xfId="3" applyFont="1"/>
    <xf numFmtId="39" fontId="202" fillId="0" borderId="70" xfId="3" applyNumberFormat="1" applyFont="1" applyBorder="1" applyAlignment="1">
      <alignment horizontal="right"/>
    </xf>
    <xf numFmtId="172" fontId="84" fillId="0" borderId="0" xfId="3" applyNumberFormat="1" applyFont="1" applyAlignment="1">
      <alignment vertical="center"/>
    </xf>
    <xf numFmtId="37" fontId="156" fillId="0" borderId="0" xfId="228" applyNumberFormat="1" applyFont="1" applyAlignment="1">
      <alignment horizontal="right"/>
    </xf>
    <xf numFmtId="0" fontId="156" fillId="0" borderId="0" xfId="228" applyFont="1" applyAlignment="1">
      <alignment horizontal="left" wrapText="1"/>
    </xf>
    <xf numFmtId="176" fontId="156" fillId="0" borderId="0" xfId="228" applyNumberFormat="1" applyFont="1" applyAlignment="1">
      <alignment horizontal="right"/>
    </xf>
    <xf numFmtId="39" fontId="156" fillId="0" borderId="0" xfId="228" applyNumberFormat="1" applyFont="1" applyAlignment="1">
      <alignment horizontal="right"/>
    </xf>
    <xf numFmtId="37" fontId="12" fillId="0" borderId="51" xfId="228" applyNumberFormat="1" applyFont="1" applyBorder="1" applyAlignment="1">
      <alignment horizontal="right"/>
    </xf>
    <xf numFmtId="0" fontId="12" fillId="0" borderId="51" xfId="228" applyFont="1" applyBorder="1" applyAlignment="1">
      <alignment horizontal="left" wrapText="1"/>
    </xf>
    <xf numFmtId="0" fontId="12" fillId="0" borderId="51" xfId="228" applyFont="1" applyBorder="1" applyAlignment="1">
      <alignment horizontal="center" wrapText="1"/>
    </xf>
    <xf numFmtId="176" fontId="12" fillId="0" borderId="51" xfId="228" applyNumberFormat="1" applyFont="1" applyBorder="1" applyAlignment="1">
      <alignment horizontal="right"/>
    </xf>
    <xf numFmtId="39" fontId="12" fillId="0" borderId="51" xfId="228" applyNumberFormat="1" applyFont="1" applyBorder="1" applyAlignment="1">
      <alignment horizontal="right"/>
    </xf>
    <xf numFmtId="0" fontId="172" fillId="0" borderId="0" xfId="228" applyFont="1" applyAlignment="1">
      <alignment horizontal="left" vertical="top"/>
    </xf>
    <xf numFmtId="0" fontId="64" fillId="0" borderId="39" xfId="228" applyFont="1" applyBorder="1" applyAlignment="1">
      <alignment horizontal="left"/>
    </xf>
    <xf numFmtId="0" fontId="83" fillId="0" borderId="40" xfId="228" applyFont="1" applyBorder="1" applyAlignment="1">
      <alignment horizontal="center"/>
    </xf>
    <xf numFmtId="176" fontId="83" fillId="0" borderId="40" xfId="228" applyNumberFormat="1" applyFont="1" applyBorder="1" applyAlignment="1">
      <alignment horizontal="right"/>
    </xf>
    <xf numFmtId="39" fontId="12" fillId="0" borderId="40" xfId="228" applyNumberFormat="1" applyFont="1" applyBorder="1" applyAlignment="1">
      <alignment horizontal="right"/>
    </xf>
    <xf numFmtId="39" fontId="64" fillId="0" borderId="33" xfId="228" applyNumberFormat="1" applyFont="1" applyBorder="1" applyAlignment="1">
      <alignment horizontal="right"/>
    </xf>
    <xf numFmtId="39" fontId="202" fillId="0" borderId="0" xfId="228" applyNumberFormat="1" applyFont="1" applyAlignment="1">
      <alignment horizontal="center"/>
    </xf>
    <xf numFmtId="37" fontId="83" fillId="0" borderId="0" xfId="228" applyNumberFormat="1" applyFont="1" applyAlignment="1">
      <alignment horizontal="right"/>
    </xf>
    <xf numFmtId="0" fontId="83" fillId="0" borderId="0" xfId="228" applyFont="1" applyAlignment="1">
      <alignment horizontal="left" wrapText="1"/>
    </xf>
    <xf numFmtId="0" fontId="12" fillId="0" borderId="0" xfId="228" applyFont="1" applyAlignment="1">
      <alignment horizontal="left" wrapText="1"/>
    </xf>
    <xf numFmtId="0" fontId="83" fillId="0" borderId="0" xfId="228" applyFont="1" applyAlignment="1">
      <alignment horizontal="center" wrapText="1"/>
    </xf>
    <xf numFmtId="176" fontId="83" fillId="0" borderId="0" xfId="228" applyNumberFormat="1" applyFont="1" applyAlignment="1">
      <alignment horizontal="right"/>
    </xf>
    <xf numFmtId="39" fontId="83" fillId="0" borderId="0" xfId="228" applyNumberFormat="1" applyFont="1" applyAlignment="1">
      <alignment horizontal="right"/>
    </xf>
    <xf numFmtId="39" fontId="12" fillId="0" borderId="0" xfId="228" applyNumberFormat="1" applyFont="1" applyAlignment="1">
      <alignment horizontal="right"/>
    </xf>
    <xf numFmtId="0" fontId="13" fillId="0" borderId="0" xfId="176" applyFont="1" applyAlignment="1">
      <alignment vertical="center"/>
    </xf>
    <xf numFmtId="0" fontId="13" fillId="0" borderId="0" xfId="176" applyFont="1" applyAlignment="1">
      <alignment vertical="center" wrapText="1"/>
    </xf>
    <xf numFmtId="0" fontId="13" fillId="0" borderId="0" xfId="176" applyFont="1" applyAlignment="1">
      <alignment horizontal="center" vertical="center" wrapText="1"/>
    </xf>
    <xf numFmtId="0" fontId="3" fillId="0" borderId="0" xfId="215"/>
    <xf numFmtId="0" fontId="31" fillId="0" borderId="0" xfId="156" applyAlignment="1">
      <alignment vertical="top"/>
    </xf>
    <xf numFmtId="0" fontId="172" fillId="0" borderId="0" xfId="156" applyFont="1" applyAlignment="1">
      <alignment horizontal="left" vertical="top"/>
    </xf>
    <xf numFmtId="0" fontId="31" fillId="0" borderId="0" xfId="156"/>
    <xf numFmtId="4" fontId="83" fillId="0" borderId="70" xfId="25" applyNumberFormat="1" applyFont="1" applyBorder="1" applyAlignment="1">
      <alignment horizontal="right"/>
      <protection locked="0"/>
    </xf>
    <xf numFmtId="4" fontId="83" fillId="0" borderId="70" xfId="224" applyNumberFormat="1" applyFont="1" applyBorder="1" applyAlignment="1">
      <alignment horizontal="right"/>
      <protection locked="0"/>
    </xf>
    <xf numFmtId="0" fontId="12" fillId="0" borderId="0" xfId="89" applyFont="1" applyAlignment="1">
      <alignment horizontal="left"/>
    </xf>
    <xf numFmtId="172" fontId="12" fillId="0" borderId="0" xfId="89" applyNumberFormat="1" applyFont="1" applyAlignment="1">
      <alignment horizontal="left"/>
    </xf>
    <xf numFmtId="0" fontId="62" fillId="0" borderId="0" xfId="89" applyFont="1" applyAlignment="1">
      <alignment horizontal="left"/>
    </xf>
    <xf numFmtId="172" fontId="62" fillId="0" borderId="0" xfId="228" applyNumberFormat="1" applyFont="1" applyAlignment="1">
      <alignment horizontal="left"/>
    </xf>
    <xf numFmtId="0" fontId="62" fillId="0" borderId="0" xfId="215" applyFont="1" applyAlignment="1">
      <alignment horizontal="left"/>
    </xf>
    <xf numFmtId="0" fontId="63" fillId="0" borderId="0" xfId="215" applyFont="1" applyAlignment="1">
      <alignment horizontal="left"/>
    </xf>
    <xf numFmtId="0" fontId="62" fillId="0" borderId="0" xfId="215" applyFont="1" applyAlignment="1">
      <alignment horizontal="center"/>
    </xf>
    <xf numFmtId="172" fontId="62" fillId="0" borderId="0" xfId="215" applyNumberFormat="1" applyFont="1" applyAlignment="1">
      <alignment horizontal="left"/>
    </xf>
    <xf numFmtId="0" fontId="201" fillId="0" borderId="0" xfId="215" applyFont="1" applyAlignment="1">
      <alignment horizontal="right" vertical="top"/>
    </xf>
    <xf numFmtId="0" fontId="66" fillId="0" borderId="33" xfId="215" applyFont="1" applyBorder="1" applyAlignment="1">
      <alignment horizontal="center" vertical="center" wrapText="1"/>
    </xf>
    <xf numFmtId="172" fontId="66" fillId="0" borderId="33" xfId="215" applyNumberFormat="1" applyFont="1" applyBorder="1" applyAlignment="1">
      <alignment horizontal="center" vertical="center" wrapText="1"/>
    </xf>
    <xf numFmtId="0" fontId="66" fillId="0" borderId="39" xfId="215" applyFont="1" applyBorder="1" applyAlignment="1">
      <alignment horizontal="center" vertical="center" wrapText="1"/>
    </xf>
    <xf numFmtId="0" fontId="66" fillId="0" borderId="15" xfId="215" applyFont="1" applyBorder="1" applyAlignment="1">
      <alignment horizontal="center" vertical="center" wrapText="1"/>
    </xf>
    <xf numFmtId="37" fontId="64" fillId="0" borderId="0" xfId="215" applyNumberFormat="1" applyFont="1" applyAlignment="1">
      <alignment horizontal="right"/>
    </xf>
    <xf numFmtId="0" fontId="64" fillId="0" borderId="0" xfId="215" applyFont="1" applyAlignment="1">
      <alignment horizontal="left" wrapText="1"/>
    </xf>
    <xf numFmtId="172" fontId="64" fillId="0" borderId="0" xfId="215" applyNumberFormat="1" applyFont="1" applyAlignment="1">
      <alignment horizontal="right"/>
    </xf>
    <xf numFmtId="39" fontId="64" fillId="0" borderId="0" xfId="215" applyNumberFormat="1" applyFont="1" applyAlignment="1">
      <alignment horizontal="right"/>
    </xf>
    <xf numFmtId="0" fontId="101" fillId="0" borderId="0" xfId="33" applyFont="1" applyAlignment="1">
      <alignment horizontal="left" vertical="center"/>
    </xf>
    <xf numFmtId="1" fontId="12" fillId="0" borderId="70" xfId="24" applyNumberFormat="1" applyFont="1" applyBorder="1" applyAlignment="1" applyProtection="1">
      <alignment horizontal="right" wrapText="1"/>
    </xf>
    <xf numFmtId="49" fontId="12" fillId="0" borderId="70" xfId="24" applyNumberFormat="1" applyFont="1" applyBorder="1" applyAlignment="1" applyProtection="1">
      <alignment horizontal="left" wrapText="1"/>
    </xf>
    <xf numFmtId="0" fontId="57" fillId="0" borderId="70" xfId="24" applyFont="1" applyBorder="1" applyAlignment="1" applyProtection="1">
      <alignment horizontal="left" wrapText="1"/>
    </xf>
    <xf numFmtId="0" fontId="57" fillId="0" borderId="70" xfId="36" applyFont="1" applyBorder="1" applyAlignment="1">
      <alignment horizontal="left" wrapText="1"/>
    </xf>
    <xf numFmtId="4" fontId="12" fillId="0" borderId="70" xfId="24" applyNumberFormat="1" applyFont="1" applyBorder="1" applyAlignment="1" applyProtection="1">
      <alignment horizontal="right"/>
    </xf>
    <xf numFmtId="39" fontId="12" fillId="0" borderId="70" xfId="24" applyNumberFormat="1" applyFont="1" applyBorder="1" applyAlignment="1" applyProtection="1">
      <alignment horizontal="center"/>
    </xf>
    <xf numFmtId="0" fontId="69" fillId="0" borderId="0" xfId="24" applyFont="1" applyAlignment="1" applyProtection="1">
      <alignment horizontal="left" vertical="top"/>
    </xf>
    <xf numFmtId="0" fontId="32" fillId="0" borderId="0" xfId="24" applyAlignment="1" applyProtection="1">
      <alignment horizontal="left" vertical="top"/>
    </xf>
    <xf numFmtId="171" fontId="32" fillId="0" borderId="0" xfId="24" applyNumberFormat="1" applyAlignment="1" applyProtection="1">
      <alignment horizontal="left" vertical="top"/>
    </xf>
    <xf numFmtId="2" fontId="63" fillId="0" borderId="0" xfId="3" applyNumberFormat="1" applyFont="1" applyAlignment="1">
      <alignment horizontal="right" vertical="center"/>
    </xf>
    <xf numFmtId="0" fontId="20" fillId="0" borderId="0" xfId="33" applyFont="1" applyAlignment="1">
      <alignment horizontal="center" vertical="center"/>
    </xf>
    <xf numFmtId="0" fontId="328" fillId="0" borderId="0" xfId="33" applyFont="1" applyAlignment="1">
      <alignment horizontal="center" vertical="center"/>
    </xf>
    <xf numFmtId="172" fontId="20" fillId="0" borderId="0" xfId="33" applyNumberFormat="1" applyFont="1" applyAlignment="1">
      <alignment horizontal="center" vertical="center"/>
    </xf>
    <xf numFmtId="37" fontId="76" fillId="0" borderId="70" xfId="3" applyNumberFormat="1" applyFont="1" applyBorder="1" applyAlignment="1">
      <alignment horizontal="right"/>
    </xf>
    <xf numFmtId="0" fontId="76" fillId="0" borderId="70" xfId="3" applyFont="1" applyBorder="1" applyAlignment="1">
      <alignment horizontal="left" wrapText="1"/>
    </xf>
    <xf numFmtId="172" fontId="76" fillId="0" borderId="70" xfId="67" applyNumberFormat="1" applyFont="1" applyBorder="1" applyAlignment="1">
      <alignment horizontal="right"/>
    </xf>
    <xf numFmtId="39" fontId="76" fillId="0" borderId="70" xfId="3" applyNumberFormat="1" applyFont="1" applyBorder="1" applyAlignment="1">
      <alignment horizontal="right"/>
    </xf>
    <xf numFmtId="4" fontId="76" fillId="0" borderId="70" xfId="129" applyNumberFormat="1" applyFont="1" applyBorder="1" applyAlignment="1">
      <alignment horizontal="right"/>
    </xf>
    <xf numFmtId="39" fontId="76" fillId="0" borderId="70" xfId="3" applyNumberFormat="1" applyFont="1" applyBorder="1" applyAlignment="1">
      <alignment horizontal="center"/>
    </xf>
    <xf numFmtId="1" fontId="76" fillId="0" borderId="70" xfId="24" applyNumberFormat="1" applyFont="1" applyBorder="1" applyAlignment="1" applyProtection="1">
      <alignment horizontal="right" wrapText="1"/>
    </xf>
    <xf numFmtId="49" fontId="76" fillId="0" borderId="70" xfId="24" applyNumberFormat="1" applyFont="1" applyBorder="1" applyAlignment="1" applyProtection="1">
      <alignment horizontal="left" wrapText="1"/>
    </xf>
    <xf numFmtId="0" fontId="78" fillId="0" borderId="70" xfId="24" applyFont="1" applyBorder="1" applyAlignment="1" applyProtection="1">
      <alignment horizontal="left" wrapText="1"/>
    </xf>
    <xf numFmtId="0" fontId="78" fillId="0" borderId="70" xfId="36" applyFont="1" applyBorder="1" applyAlignment="1">
      <alignment horizontal="left" wrapText="1"/>
    </xf>
    <xf numFmtId="0" fontId="78" fillId="0" borderId="70" xfId="3" applyFont="1" applyBorder="1" applyAlignment="1">
      <alignment horizontal="left" wrapText="1"/>
    </xf>
    <xf numFmtId="172" fontId="78" fillId="0" borderId="70" xfId="3" applyNumberFormat="1" applyFont="1" applyBorder="1" applyAlignment="1">
      <alignment horizontal="right"/>
    </xf>
    <xf numFmtId="4" fontId="76" fillId="0" borderId="70" xfId="24" applyNumberFormat="1" applyFont="1" applyBorder="1" applyAlignment="1" applyProtection="1">
      <alignment horizontal="right"/>
    </xf>
    <xf numFmtId="39" fontId="76" fillId="0" borderId="70" xfId="24" applyNumberFormat="1" applyFont="1" applyBorder="1" applyAlignment="1" applyProtection="1">
      <alignment horizontal="center"/>
    </xf>
    <xf numFmtId="172" fontId="76" fillId="0" borderId="70" xfId="3" applyNumberFormat="1" applyFont="1" applyBorder="1" applyAlignment="1">
      <alignment horizontal="right"/>
    </xf>
    <xf numFmtId="39" fontId="12" fillId="0" borderId="70" xfId="45" applyNumberFormat="1" applyFont="1" applyBorder="1" applyAlignment="1" applyProtection="1">
      <alignment horizontal="center"/>
    </xf>
    <xf numFmtId="37" fontId="12" fillId="0" borderId="70" xfId="6" applyNumberFormat="1" applyFont="1" applyBorder="1" applyAlignment="1">
      <alignment horizontal="right"/>
    </xf>
    <xf numFmtId="49" fontId="12" fillId="0" borderId="70" xfId="6" applyNumberFormat="1" applyFont="1" applyBorder="1" applyAlignment="1">
      <alignment horizontal="left" wrapText="1"/>
    </xf>
    <xf numFmtId="0" fontId="12" fillId="0" borderId="70" xfId="6" applyFont="1" applyBorder="1" applyAlignment="1">
      <alignment horizontal="left" wrapText="1"/>
    </xf>
    <xf numFmtId="0" fontId="57" fillId="0" borderId="70" xfId="6" applyFont="1" applyBorder="1" applyAlignment="1">
      <alignment horizontal="left" wrapText="1"/>
    </xf>
    <xf numFmtId="172" fontId="12" fillId="0" borderId="70" xfId="6" applyNumberFormat="1" applyFont="1" applyBorder="1" applyAlignment="1">
      <alignment horizontal="right"/>
    </xf>
    <xf numFmtId="4" fontId="12" fillId="0" borderId="70" xfId="6" applyNumberFormat="1" applyFont="1" applyBorder="1" applyAlignment="1">
      <alignment horizontal="right"/>
    </xf>
    <xf numFmtId="39" fontId="12" fillId="0" borderId="70" xfId="6" applyNumberFormat="1" applyFont="1" applyBorder="1" applyAlignment="1">
      <alignment horizontal="center"/>
    </xf>
    <xf numFmtId="2" fontId="80" fillId="0" borderId="0" xfId="6" applyNumberFormat="1" applyFont="1" applyAlignment="1">
      <alignment horizontal="left" vertical="center"/>
    </xf>
    <xf numFmtId="0" fontId="16" fillId="0" borderId="0" xfId="6" applyAlignment="1">
      <alignment horizontal="left" vertical="top"/>
    </xf>
    <xf numFmtId="0" fontId="16" fillId="0" borderId="0" xfId="6"/>
    <xf numFmtId="2" fontId="16" fillId="0" borderId="0" xfId="6" applyNumberFormat="1"/>
    <xf numFmtId="0" fontId="81" fillId="0" borderId="70" xfId="3" applyFont="1" applyBorder="1" applyAlignment="1">
      <alignment horizontal="left" wrapText="1"/>
    </xf>
    <xf numFmtId="0" fontId="64" fillId="0" borderId="70" xfId="6" applyFont="1" applyBorder="1" applyAlignment="1">
      <alignment horizontal="left" wrapText="1"/>
    </xf>
    <xf numFmtId="172" fontId="81" fillId="0" borderId="70" xfId="3" applyNumberFormat="1" applyFont="1" applyBorder="1" applyAlignment="1">
      <alignment horizontal="right"/>
    </xf>
    <xf numFmtId="39" fontId="12" fillId="0" borderId="70" xfId="6" applyNumberFormat="1" applyFont="1" applyBorder="1" applyAlignment="1">
      <alignment horizontal="right"/>
    </xf>
    <xf numFmtId="2" fontId="80" fillId="0" borderId="0" xfId="25" applyNumberFormat="1" applyFont="1" applyAlignment="1" applyProtection="1">
      <alignment horizontal="left" vertical="center"/>
    </xf>
    <xf numFmtId="37" fontId="83" fillId="0" borderId="70" xfId="25" applyNumberFormat="1" applyFont="1" applyBorder="1" applyAlignment="1" applyProtection="1">
      <alignment horizontal="right"/>
    </xf>
    <xf numFmtId="172" fontId="57" fillId="0" borderId="70" xfId="25" applyNumberFormat="1" applyFont="1" applyBorder="1" applyAlignment="1" applyProtection="1">
      <alignment horizontal="right" wrapText="1"/>
    </xf>
    <xf numFmtId="0" fontId="82" fillId="0" borderId="0" xfId="6" applyFont="1" applyAlignment="1">
      <alignment horizontal="left" vertical="center"/>
    </xf>
    <xf numFmtId="172" fontId="16" fillId="0" borderId="0" xfId="6" applyNumberFormat="1"/>
    <xf numFmtId="2" fontId="74" fillId="0" borderId="0" xfId="25" applyNumberFormat="1" applyFont="1" applyAlignment="1" applyProtection="1">
      <alignment horizontal="left" vertical="top"/>
    </xf>
    <xf numFmtId="0" fontId="82" fillId="0" borderId="0" xfId="25" applyFont="1" applyAlignment="1" applyProtection="1">
      <alignment horizontal="left" vertical="top"/>
    </xf>
    <xf numFmtId="0" fontId="74" fillId="0" borderId="0" xfId="25" applyFont="1" applyAlignment="1" applyProtection="1">
      <alignment horizontal="left" vertical="top"/>
    </xf>
    <xf numFmtId="172" fontId="3" fillId="0" borderId="0" xfId="215" applyNumberFormat="1" applyAlignment="1">
      <alignment horizontal="left" vertical="top"/>
    </xf>
    <xf numFmtId="0" fontId="39" fillId="0" borderId="0" xfId="215" applyFont="1" applyAlignment="1">
      <alignment horizontal="left" vertical="top"/>
    </xf>
    <xf numFmtId="0" fontId="124" fillId="0" borderId="0" xfId="215" applyFont="1" applyAlignment="1">
      <alignment horizontal="left" vertical="top"/>
    </xf>
    <xf numFmtId="1" fontId="71" fillId="0" borderId="70" xfId="215" applyNumberFormat="1" applyFont="1" applyBorder="1" applyAlignment="1">
      <alignment horizontal="right"/>
    </xf>
    <xf numFmtId="0" fontId="71" fillId="0" borderId="70" xfId="215" applyFont="1" applyBorder="1" applyAlignment="1">
      <alignment horizontal="left" wrapText="1"/>
    </xf>
    <xf numFmtId="4" fontId="57" fillId="5" borderId="70" xfId="215" applyNumberFormat="1" applyFont="1" applyFill="1" applyBorder="1" applyAlignment="1">
      <alignment horizontal="right"/>
    </xf>
    <xf numFmtId="39" fontId="12" fillId="5" borderId="70" xfId="215" applyNumberFormat="1" applyFont="1" applyFill="1" applyBorder="1" applyAlignment="1">
      <alignment horizontal="center"/>
    </xf>
    <xf numFmtId="37" fontId="71" fillId="0" borderId="70" xfId="25" applyNumberFormat="1" applyFont="1" applyBorder="1" applyAlignment="1" applyProtection="1">
      <alignment horizontal="right"/>
    </xf>
    <xf numFmtId="0" fontId="12" fillId="0" borderId="70" xfId="25" applyFont="1" applyBorder="1" applyAlignment="1" applyProtection="1">
      <alignment horizontal="left" wrapText="1"/>
    </xf>
    <xf numFmtId="0" fontId="71" fillId="0" borderId="70" xfId="3" applyFont="1" applyBorder="1" applyAlignment="1">
      <alignment horizontal="left" wrapText="1"/>
    </xf>
    <xf numFmtId="0" fontId="71" fillId="0" borderId="70" xfId="25" applyFont="1" applyBorder="1" applyAlignment="1" applyProtection="1">
      <alignment horizontal="left" wrapText="1"/>
    </xf>
    <xf numFmtId="172" fontId="57" fillId="0" borderId="70" xfId="25" applyNumberFormat="1" applyFont="1" applyBorder="1" applyAlignment="1" applyProtection="1">
      <alignment horizontal="right"/>
    </xf>
    <xf numFmtId="4" fontId="71" fillId="0" borderId="70" xfId="129" applyNumberFormat="1" applyFont="1" applyBorder="1" applyAlignment="1">
      <alignment horizontal="right"/>
    </xf>
    <xf numFmtId="39" fontId="71" fillId="0" borderId="70" xfId="12" applyNumberFormat="1" applyFont="1" applyBorder="1" applyAlignment="1" applyProtection="1">
      <alignment horizontal="center"/>
    </xf>
    <xf numFmtId="0" fontId="82" fillId="0" borderId="0" xfId="3" applyFont="1" applyAlignment="1">
      <alignment horizontal="left" vertical="center"/>
    </xf>
    <xf numFmtId="0" fontId="14" fillId="0" borderId="0" xfId="3" applyAlignment="1">
      <alignment horizontal="left" vertical="center"/>
    </xf>
    <xf numFmtId="0" fontId="32" fillId="0" borderId="0" xfId="3" applyFont="1" applyAlignment="1">
      <alignment vertical="center"/>
    </xf>
    <xf numFmtId="0" fontId="71" fillId="0" borderId="0" xfId="3" applyFont="1" applyAlignment="1">
      <alignment horizontal="left"/>
    </xf>
    <xf numFmtId="0" fontId="39" fillId="0" borderId="0" xfId="3" applyFont="1" applyAlignment="1">
      <alignment horizontal="left" vertical="top"/>
    </xf>
    <xf numFmtId="0" fontId="12" fillId="0" borderId="0" xfId="3" applyFont="1" applyAlignment="1">
      <alignment horizontal="left" vertical="top"/>
    </xf>
    <xf numFmtId="0" fontId="32" fillId="0" borderId="0" xfId="3" applyFont="1"/>
    <xf numFmtId="37" fontId="12" fillId="0" borderId="70" xfId="25" applyNumberFormat="1" applyFont="1" applyBorder="1" applyAlignment="1" applyProtection="1">
      <alignment horizontal="right"/>
    </xf>
    <xf numFmtId="49" fontId="12" fillId="0" borderId="70" xfId="25" applyNumberFormat="1" applyFont="1" applyBorder="1" applyAlignment="1" applyProtection="1">
      <alignment horizontal="left" wrapText="1"/>
    </xf>
    <xf numFmtId="2" fontId="145" fillId="0" borderId="0" xfId="215" applyNumberFormat="1" applyFont="1" applyAlignment="1">
      <alignment horizontal="left" vertical="center"/>
    </xf>
    <xf numFmtId="1" fontId="71" fillId="0" borderId="70" xfId="195" applyNumberFormat="1" applyFont="1" applyBorder="1" applyAlignment="1">
      <alignment horizontal="right"/>
    </xf>
    <xf numFmtId="0" fontId="71" fillId="0" borderId="70" xfId="195" applyFont="1" applyBorder="1" applyAlignment="1">
      <alignment horizontal="left" wrapText="1"/>
    </xf>
    <xf numFmtId="172" fontId="71" fillId="0" borderId="70" xfId="195" applyNumberFormat="1" applyFont="1" applyBorder="1" applyAlignment="1">
      <alignment horizontal="right"/>
    </xf>
    <xf numFmtId="4" fontId="71" fillId="0" borderId="70" xfId="195" applyNumberFormat="1" applyFont="1" applyBorder="1" applyAlignment="1">
      <alignment horizontal="right"/>
    </xf>
    <xf numFmtId="0" fontId="16" fillId="0" borderId="0" xfId="22" applyAlignment="1">
      <alignment horizontal="left" vertical="top"/>
    </xf>
    <xf numFmtId="0" fontId="16" fillId="0" borderId="0" xfId="22"/>
    <xf numFmtId="1" fontId="71" fillId="0" borderId="70" xfId="142" applyNumberFormat="1" applyFont="1" applyBorder="1" applyAlignment="1">
      <alignment horizontal="right"/>
    </xf>
    <xf numFmtId="0" fontId="12" fillId="0" borderId="70" xfId="142" applyFont="1" applyBorder="1" applyAlignment="1">
      <alignment horizontal="left" wrapText="1"/>
    </xf>
    <xf numFmtId="0" fontId="71" fillId="0" borderId="70" xfId="140" applyFont="1" applyBorder="1" applyAlignment="1">
      <alignment horizontal="left" wrapText="1"/>
    </xf>
    <xf numFmtId="0" fontId="71" fillId="0" borderId="70" xfId="142" applyFont="1" applyBorder="1" applyAlignment="1">
      <alignment horizontal="left" wrapText="1"/>
    </xf>
    <xf numFmtId="172" fontId="57" fillId="0" borderId="70" xfId="142" applyNumberFormat="1" applyFont="1" applyBorder="1" applyAlignment="1">
      <alignment horizontal="right"/>
    </xf>
    <xf numFmtId="4" fontId="57" fillId="0" borderId="70" xfId="67" applyNumberFormat="1" applyFont="1" applyBorder="1" applyAlignment="1">
      <alignment horizontal="right"/>
    </xf>
    <xf numFmtId="0" fontId="14" fillId="0" borderId="0" xfId="142" applyAlignment="1">
      <alignment horizontal="left" vertical="top"/>
    </xf>
    <xf numFmtId="0" fontId="71" fillId="0" borderId="70" xfId="32" applyFont="1" applyBorder="1" applyAlignment="1">
      <alignment horizontal="left" wrapText="1"/>
    </xf>
    <xf numFmtId="0" fontId="71" fillId="0" borderId="70" xfId="12" applyFont="1" applyBorder="1" applyAlignment="1" applyProtection="1">
      <alignment horizontal="left" wrapText="1"/>
    </xf>
    <xf numFmtId="37" fontId="71" fillId="0" borderId="70" xfId="42" applyNumberFormat="1" applyFont="1" applyBorder="1" applyAlignment="1" applyProtection="1">
      <alignment horizontal="right"/>
    </xf>
    <xf numFmtId="49" fontId="83" fillId="0" borderId="70" xfId="42" applyNumberFormat="1" applyFont="1" applyBorder="1" applyAlignment="1" applyProtection="1">
      <alignment horizontal="left" wrapText="1"/>
    </xf>
    <xf numFmtId="0" fontId="83" fillId="0" borderId="70" xfId="42" applyFont="1" applyBorder="1" applyAlignment="1" applyProtection="1">
      <alignment horizontal="left" wrapText="1"/>
    </xf>
    <xf numFmtId="0" fontId="57" fillId="0" borderId="70" xfId="12" applyFont="1" applyBorder="1" applyAlignment="1" applyProtection="1">
      <alignment horizontal="left" wrapText="1"/>
    </xf>
    <xf numFmtId="0" fontId="71" fillId="0" borderId="70" xfId="42" applyFont="1" applyBorder="1" applyAlignment="1" applyProtection="1">
      <alignment horizontal="left" wrapText="1"/>
    </xf>
    <xf numFmtId="172" fontId="57" fillId="0" borderId="70" xfId="42" applyNumberFormat="1" applyFont="1" applyBorder="1" applyAlignment="1" applyProtection="1">
      <alignment horizontal="right" wrapText="1"/>
    </xf>
    <xf numFmtId="4" fontId="57" fillId="0" borderId="70" xfId="42" applyNumberFormat="1" applyFont="1" applyBorder="1" applyAlignment="1" applyProtection="1">
      <alignment horizontal="right"/>
    </xf>
    <xf numFmtId="0" fontId="38" fillId="0" borderId="70" xfId="42" applyFont="1" applyBorder="1" applyAlignment="1" applyProtection="1">
      <alignment horizontal="left" vertical="top"/>
    </xf>
    <xf numFmtId="0" fontId="84" fillId="0" borderId="0" xfId="3" applyFont="1" applyAlignment="1">
      <alignment horizontal="left" vertical="top"/>
    </xf>
    <xf numFmtId="0" fontId="38" fillId="0" borderId="0" xfId="42" applyFont="1" applyAlignment="1" applyProtection="1">
      <alignment horizontal="left" vertical="top"/>
    </xf>
    <xf numFmtId="37" fontId="83" fillId="0" borderId="70" xfId="6" applyNumberFormat="1" applyFont="1" applyBorder="1" applyAlignment="1">
      <alignment horizontal="right"/>
    </xf>
    <xf numFmtId="49" fontId="83" fillId="0" borderId="70" xfId="6" applyNumberFormat="1" applyFont="1" applyBorder="1" applyAlignment="1">
      <alignment horizontal="left" wrapText="1"/>
    </xf>
    <xf numFmtId="0" fontId="83" fillId="0" borderId="70" xfId="6" applyFont="1" applyBorder="1" applyAlignment="1">
      <alignment horizontal="left" wrapText="1"/>
    </xf>
    <xf numFmtId="172" fontId="57" fillId="0" borderId="70" xfId="6" applyNumberFormat="1" applyFont="1" applyBorder="1" applyAlignment="1">
      <alignment horizontal="right"/>
    </xf>
    <xf numFmtId="0" fontId="85" fillId="0" borderId="70" xfId="6" applyFont="1" applyBorder="1" applyAlignment="1">
      <alignment horizontal="right" vertical="center"/>
    </xf>
    <xf numFmtId="0" fontId="154" fillId="0" borderId="0" xfId="215" applyFont="1" applyAlignment="1">
      <alignment horizontal="left" vertical="center"/>
    </xf>
    <xf numFmtId="0" fontId="15" fillId="0" borderId="0" xfId="215" applyFont="1" applyAlignment="1">
      <alignment horizontal="left" vertical="top"/>
    </xf>
    <xf numFmtId="37" fontId="76" fillId="0" borderId="70" xfId="215" applyNumberFormat="1" applyFont="1" applyBorder="1" applyAlignment="1">
      <alignment horizontal="right"/>
    </xf>
    <xf numFmtId="0" fontId="76" fillId="0" borderId="70" xfId="215" applyFont="1" applyBorder="1" applyAlignment="1">
      <alignment horizontal="left" wrapText="1"/>
    </xf>
    <xf numFmtId="39" fontId="76" fillId="0" borderId="70" xfId="215" applyNumberFormat="1" applyFont="1" applyBorder="1" applyAlignment="1">
      <alignment horizontal="center"/>
    </xf>
    <xf numFmtId="0" fontId="38" fillId="0" borderId="0" xfId="34" applyFont="1" applyAlignment="1">
      <alignment horizontal="left" vertical="top"/>
    </xf>
    <xf numFmtId="39" fontId="64" fillId="0" borderId="70" xfId="3" applyNumberFormat="1" applyFont="1" applyBorder="1" applyAlignment="1">
      <alignment horizontal="right"/>
    </xf>
    <xf numFmtId="0" fontId="20" fillId="0" borderId="0" xfId="3" applyFont="1"/>
    <xf numFmtId="0" fontId="60" fillId="0" borderId="0" xfId="215" applyFont="1" applyAlignment="1">
      <alignment horizontal="left" vertical="center"/>
    </xf>
    <xf numFmtId="172" fontId="32" fillId="0" borderId="0" xfId="24" applyNumberFormat="1" applyAlignment="1" applyProtection="1">
      <alignment horizontal="left" vertical="top"/>
    </xf>
    <xf numFmtId="0" fontId="32" fillId="0" borderId="0" xfId="24" applyAlignment="1" applyProtection="1">
      <alignment horizontal="left" vertical="center"/>
    </xf>
    <xf numFmtId="0" fontId="91" fillId="0" borderId="0" xfId="215" applyFont="1" applyAlignment="1">
      <alignment horizontal="left" vertical="center"/>
    </xf>
    <xf numFmtId="0" fontId="3" fillId="0" borderId="0" xfId="215" applyAlignment="1">
      <alignment horizontal="left" vertical="center"/>
    </xf>
    <xf numFmtId="0" fontId="80" fillId="0" borderId="0" xfId="24" applyFont="1" applyAlignment="1" applyProtection="1">
      <alignment horizontal="left" vertical="center"/>
    </xf>
    <xf numFmtId="173" fontId="32" fillId="0" borderId="0" xfId="24" applyNumberFormat="1" applyAlignment="1" applyProtection="1">
      <alignment horizontal="left" vertical="top"/>
    </xf>
    <xf numFmtId="39" fontId="137" fillId="0" borderId="70" xfId="24" applyNumberFormat="1" applyFont="1" applyBorder="1" applyAlignment="1" applyProtection="1">
      <alignment horizontal="right"/>
    </xf>
    <xf numFmtId="0" fontId="125" fillId="0" borderId="0" xfId="215" applyFont="1" applyAlignment="1">
      <alignment horizontal="right" vertical="center"/>
    </xf>
    <xf numFmtId="0" fontId="57" fillId="0" borderId="70" xfId="215" applyFont="1" applyBorder="1" applyAlignment="1">
      <alignment horizontal="left" vertical="center" wrapText="1"/>
    </xf>
    <xf numFmtId="172" fontId="3" fillId="0" borderId="0" xfId="215" applyNumberFormat="1"/>
    <xf numFmtId="0" fontId="163" fillId="0" borderId="70" xfId="215" applyFont="1" applyBorder="1" applyAlignment="1">
      <alignment horizontal="right" vertical="center"/>
    </xf>
    <xf numFmtId="0" fontId="93" fillId="0" borderId="0" xfId="215" applyFont="1" applyAlignment="1">
      <alignment vertical="center"/>
    </xf>
    <xf numFmtId="37" fontId="12" fillId="0" borderId="70" xfId="223" applyNumberFormat="1" applyFont="1" applyBorder="1" applyAlignment="1">
      <alignment horizontal="right"/>
    </xf>
    <xf numFmtId="0" fontId="12" fillId="0" borderId="70" xfId="223" applyFont="1" applyBorder="1" applyAlignment="1">
      <alignment horizontal="left" wrapText="1"/>
    </xf>
    <xf numFmtId="0" fontId="69" fillId="0" borderId="0" xfId="215" applyFont="1" applyAlignment="1">
      <alignment horizontal="left" vertical="top"/>
    </xf>
    <xf numFmtId="0" fontId="3" fillId="5" borderId="0" xfId="215" applyFill="1" applyAlignment="1">
      <alignment horizontal="left" vertical="top"/>
    </xf>
    <xf numFmtId="172" fontId="37" fillId="0" borderId="0" xfId="33" applyNumberFormat="1" applyAlignment="1">
      <alignment horizontal="left" vertical="top"/>
    </xf>
    <xf numFmtId="0" fontId="80" fillId="0" borderId="0" xfId="33" applyFont="1" applyAlignment="1">
      <alignment horizontal="left" vertical="top"/>
    </xf>
    <xf numFmtId="1" fontId="83" fillId="0" borderId="70" xfId="215" applyNumberFormat="1" applyFont="1" applyBorder="1" applyAlignment="1">
      <alignment horizontal="right"/>
    </xf>
    <xf numFmtId="0" fontId="125" fillId="0" borderId="0" xfId="215" applyFont="1" applyAlignment="1">
      <alignment horizontal="left" vertical="center"/>
    </xf>
    <xf numFmtId="172" fontId="12" fillId="0" borderId="70" xfId="3" applyNumberFormat="1" applyFont="1" applyBorder="1"/>
    <xf numFmtId="0" fontId="92" fillId="0" borderId="70" xfId="3" applyFont="1" applyBorder="1" applyAlignment="1">
      <alignment horizontal="left" vertical="top"/>
    </xf>
    <xf numFmtId="37" fontId="156" fillId="0" borderId="0" xfId="215" applyNumberFormat="1" applyFont="1" applyAlignment="1">
      <alignment horizontal="right"/>
    </xf>
    <xf numFmtId="0" fontId="156" fillId="0" borderId="0" xfId="215" applyFont="1" applyAlignment="1">
      <alignment horizontal="left" wrapText="1"/>
    </xf>
    <xf numFmtId="172" fontId="156" fillId="0" borderId="0" xfId="215" applyNumberFormat="1" applyFont="1" applyAlignment="1">
      <alignment horizontal="right"/>
    </xf>
    <xf numFmtId="39" fontId="156" fillId="0" borderId="0" xfId="215" applyNumberFormat="1" applyFont="1" applyAlignment="1">
      <alignment horizontal="right"/>
    </xf>
    <xf numFmtId="37" fontId="12" fillId="0" borderId="51" xfId="215" applyNumberFormat="1" applyFont="1" applyBorder="1" applyAlignment="1">
      <alignment horizontal="right"/>
    </xf>
    <xf numFmtId="0" fontId="12" fillId="0" borderId="51" xfId="215" applyFont="1" applyBorder="1" applyAlignment="1">
      <alignment horizontal="left" wrapText="1"/>
    </xf>
    <xf numFmtId="0" fontId="12" fillId="0" borderId="51" xfId="215" applyFont="1" applyBorder="1" applyAlignment="1">
      <alignment horizontal="center" wrapText="1"/>
    </xf>
    <xf numFmtId="172" fontId="12" fillId="0" borderId="51" xfId="215" applyNumberFormat="1" applyFont="1" applyBorder="1" applyAlignment="1">
      <alignment horizontal="right"/>
    </xf>
    <xf numFmtId="39" fontId="12" fillId="0" borderId="51" xfId="215" applyNumberFormat="1" applyFont="1" applyBorder="1" applyAlignment="1">
      <alignment horizontal="right"/>
    </xf>
    <xf numFmtId="0" fontId="172" fillId="0" borderId="0" xfId="215" applyFont="1" applyAlignment="1">
      <alignment horizontal="left" vertical="top"/>
    </xf>
    <xf numFmtId="0" fontId="64" fillId="0" borderId="39" xfId="215" applyFont="1" applyBorder="1" applyAlignment="1">
      <alignment horizontal="left"/>
    </xf>
    <xf numFmtId="0" fontId="83" fillId="0" borderId="40" xfId="215" applyFont="1" applyBorder="1" applyAlignment="1">
      <alignment horizontal="center"/>
    </xf>
    <xf numFmtId="172" fontId="83" fillId="0" borderId="40" xfId="215" applyNumberFormat="1" applyFont="1" applyBorder="1" applyAlignment="1">
      <alignment horizontal="right"/>
    </xf>
    <xf numFmtId="39" fontId="12" fillId="0" borderId="40" xfId="215" applyNumberFormat="1" applyFont="1" applyBorder="1" applyAlignment="1">
      <alignment horizontal="right"/>
    </xf>
    <xf numFmtId="39" fontId="64" fillId="0" borderId="33" xfId="215" applyNumberFormat="1" applyFont="1" applyBorder="1" applyAlignment="1">
      <alignment horizontal="right"/>
    </xf>
    <xf numFmtId="39" fontId="202" fillId="0" borderId="0" xfId="215" applyNumberFormat="1" applyFont="1" applyAlignment="1">
      <alignment horizontal="center"/>
    </xf>
    <xf numFmtId="37" fontId="83" fillId="0" borderId="0" xfId="215" applyNumberFormat="1" applyFont="1" applyAlignment="1">
      <alignment horizontal="right"/>
    </xf>
    <xf numFmtId="0" fontId="83" fillId="0" borderId="0" xfId="215" applyFont="1" applyAlignment="1">
      <alignment horizontal="left" wrapText="1"/>
    </xf>
    <xf numFmtId="0" fontId="12" fillId="0" borderId="0" xfId="215" applyFont="1" applyAlignment="1">
      <alignment horizontal="left" wrapText="1"/>
    </xf>
    <xf numFmtId="0" fontId="83" fillId="0" borderId="0" xfId="215" applyFont="1" applyAlignment="1">
      <alignment horizontal="center" wrapText="1"/>
    </xf>
    <xf numFmtId="172" fontId="83" fillId="0" borderId="0" xfId="215" applyNumberFormat="1" applyFont="1" applyAlignment="1">
      <alignment horizontal="right"/>
    </xf>
    <xf numFmtId="39" fontId="83" fillId="0" borderId="0" xfId="215" applyNumberFormat="1" applyFont="1" applyAlignment="1">
      <alignment horizontal="right"/>
    </xf>
    <xf numFmtId="39" fontId="12" fillId="0" borderId="0" xfId="215" applyNumberFormat="1" applyFont="1" applyAlignment="1">
      <alignment horizontal="right"/>
    </xf>
    <xf numFmtId="172" fontId="13" fillId="0" borderId="0" xfId="176" applyNumberFormat="1" applyFont="1" applyAlignment="1">
      <alignment vertical="center"/>
    </xf>
    <xf numFmtId="4" fontId="57" fillId="0" borderId="70" xfId="24" applyNumberFormat="1" applyFont="1" applyBorder="1" applyAlignment="1">
      <alignment horizontal="right"/>
      <protection locked="0"/>
    </xf>
    <xf numFmtId="4" fontId="78" fillId="0" borderId="70" xfId="24" applyNumberFormat="1" applyFont="1" applyBorder="1" applyAlignment="1">
      <alignment horizontal="right"/>
      <protection locked="0"/>
    </xf>
    <xf numFmtId="4" fontId="12" fillId="0" borderId="70" xfId="25" applyNumberFormat="1" applyFont="1" applyBorder="1" applyAlignment="1">
      <alignment horizontal="right"/>
      <protection locked="0"/>
    </xf>
    <xf numFmtId="4" fontId="57" fillId="9" borderId="70" xfId="25" applyNumberFormat="1" applyFont="1" applyFill="1" applyBorder="1" applyAlignment="1">
      <alignment horizontal="right"/>
      <protection locked="0"/>
    </xf>
    <xf numFmtId="4" fontId="57" fillId="0" borderId="70" xfId="42" applyNumberFormat="1" applyFont="1" applyBorder="1" applyAlignment="1">
      <alignment horizontal="right"/>
      <protection locked="0"/>
    </xf>
    <xf numFmtId="0" fontId="31" fillId="0" borderId="0" xfId="89" applyAlignment="1">
      <alignment horizontal="left"/>
    </xf>
    <xf numFmtId="0" fontId="31" fillId="0" borderId="0" xfId="89" applyAlignment="1">
      <alignment horizontal="left" vertical="top"/>
    </xf>
    <xf numFmtId="0" fontId="31" fillId="0" borderId="0" xfId="89"/>
    <xf numFmtId="0" fontId="64" fillId="0" borderId="0" xfId="154" applyFont="1" applyAlignment="1">
      <alignment horizontal="left"/>
    </xf>
    <xf numFmtId="0" fontId="12" fillId="0" borderId="0" xfId="154" applyFont="1" applyAlignment="1">
      <alignment horizontal="left"/>
    </xf>
    <xf numFmtId="0" fontId="62" fillId="0" borderId="0" xfId="154" applyFont="1" applyAlignment="1">
      <alignment horizontal="left"/>
    </xf>
    <xf numFmtId="0" fontId="31" fillId="0" borderId="0" xfId="154" applyAlignment="1">
      <alignment horizontal="left" vertical="top"/>
    </xf>
    <xf numFmtId="0" fontId="31" fillId="0" borderId="0" xfId="154"/>
    <xf numFmtId="0" fontId="3" fillId="0" borderId="0" xfId="229"/>
    <xf numFmtId="0" fontId="65" fillId="0" borderId="0" xfId="3" applyFont="1" applyAlignment="1">
      <alignment horizontal="left" vertical="center"/>
    </xf>
    <xf numFmtId="0" fontId="91" fillId="0" borderId="0" xfId="229" applyFont="1"/>
    <xf numFmtId="0" fontId="163" fillId="0" borderId="0" xfId="229" applyFont="1"/>
    <xf numFmtId="0" fontId="199" fillId="0" borderId="0" xfId="3" applyFont="1" applyAlignment="1">
      <alignment horizontal="left" vertical="center"/>
    </xf>
    <xf numFmtId="0" fontId="200" fillId="0" borderId="0" xfId="130" applyFont="1" applyAlignment="1" applyProtection="1">
      <alignment vertical="top"/>
    </xf>
    <xf numFmtId="0" fontId="62" fillId="0" borderId="0" xfId="229" applyFont="1" applyAlignment="1">
      <alignment horizontal="left"/>
    </xf>
    <xf numFmtId="0" fontId="63" fillId="0" borderId="0" xfId="229" applyFont="1" applyAlignment="1">
      <alignment horizontal="left"/>
    </xf>
    <xf numFmtId="0" fontId="62" fillId="0" borderId="0" xfId="229" applyFont="1" applyAlignment="1">
      <alignment horizontal="center"/>
    </xf>
    <xf numFmtId="0" fontId="201" fillId="0" borderId="0" xfId="229" applyFont="1" applyAlignment="1">
      <alignment horizontal="right" vertical="top"/>
    </xf>
    <xf numFmtId="0" fontId="66" fillId="0" borderId="33" xfId="229" applyFont="1" applyBorder="1" applyAlignment="1">
      <alignment horizontal="center" vertical="center" wrapText="1"/>
    </xf>
    <xf numFmtId="0" fontId="66" fillId="0" borderId="39" xfId="229" applyFont="1" applyBorder="1" applyAlignment="1">
      <alignment horizontal="center" vertical="center" wrapText="1"/>
    </xf>
    <xf numFmtId="0" fontId="66" fillId="0" borderId="15" xfId="229" applyFont="1" applyBorder="1" applyAlignment="1">
      <alignment horizontal="center" vertical="center" wrapText="1"/>
    </xf>
    <xf numFmtId="37" fontId="12" fillId="5" borderId="74" xfId="229" applyNumberFormat="1" applyFont="1" applyFill="1" applyBorder="1" applyAlignment="1">
      <alignment horizontal="right"/>
    </xf>
    <xf numFmtId="0" fontId="64" fillId="0" borderId="0" xfId="3" applyFont="1" applyAlignment="1">
      <alignment horizontal="left" wrapText="1"/>
    </xf>
    <xf numFmtId="0" fontId="64" fillId="5" borderId="74" xfId="229" applyFont="1" applyFill="1" applyBorder="1" applyAlignment="1">
      <alignment horizontal="left" wrapText="1"/>
    </xf>
    <xf numFmtId="2" fontId="64" fillId="5" borderId="74" xfId="229" applyNumberFormat="1" applyFont="1" applyFill="1" applyBorder="1" applyAlignment="1">
      <alignment horizontal="right"/>
    </xf>
    <xf numFmtId="39" fontId="64" fillId="5" borderId="74" xfId="229" applyNumberFormat="1" applyFont="1" applyFill="1" applyBorder="1" applyAlignment="1">
      <alignment horizontal="right"/>
    </xf>
    <xf numFmtId="39" fontId="202" fillId="5" borderId="74" xfId="229" applyNumberFormat="1" applyFont="1" applyFill="1" applyBorder="1" applyAlignment="1">
      <alignment horizontal="center"/>
    </xf>
    <xf numFmtId="2" fontId="64" fillId="0" borderId="70" xfId="3" applyNumberFormat="1" applyFont="1" applyBorder="1" applyAlignment="1">
      <alignment horizontal="right"/>
    </xf>
    <xf numFmtId="173" fontId="14" fillId="0" borderId="0" xfId="3" applyNumberFormat="1" applyAlignment="1">
      <alignment horizontal="left" vertical="top"/>
    </xf>
    <xf numFmtId="0" fontId="14" fillId="0" borderId="0" xfId="3" applyAlignment="1">
      <alignment vertical="top"/>
    </xf>
    <xf numFmtId="0" fontId="203" fillId="0" borderId="0" xfId="3" applyFont="1" applyAlignment="1">
      <alignment vertical="top"/>
    </xf>
    <xf numFmtId="37" fontId="12" fillId="0" borderId="70" xfId="125" applyNumberFormat="1" applyFont="1" applyBorder="1" applyAlignment="1" applyProtection="1">
      <alignment horizontal="right"/>
    </xf>
    <xf numFmtId="172" fontId="12" fillId="0" borderId="70" xfId="125" applyNumberFormat="1" applyFont="1" applyBorder="1" applyAlignment="1" applyProtection="1">
      <alignment horizontal="right" wrapText="1"/>
    </xf>
    <xf numFmtId="39" fontId="12" fillId="0" borderId="70" xfId="125" applyNumberFormat="1" applyFont="1" applyBorder="1" applyAlignment="1" applyProtection="1">
      <alignment horizontal="right"/>
    </xf>
    <xf numFmtId="0" fontId="174" fillId="0" borderId="0" xfId="125" applyFont="1" applyAlignment="1" applyProtection="1">
      <alignment horizontal="left" vertical="center"/>
    </xf>
    <xf numFmtId="0" fontId="165" fillId="0" borderId="0" xfId="25" applyFont="1" applyAlignment="1" applyProtection="1">
      <alignment horizontal="left" vertical="center"/>
    </xf>
    <xf numFmtId="0" fontId="30" fillId="0" borderId="0" xfId="125" applyAlignment="1" applyProtection="1">
      <alignment horizontal="left" vertical="top"/>
    </xf>
    <xf numFmtId="0" fontId="57" fillId="0" borderId="70" xfId="38" applyFont="1" applyBorder="1" applyAlignment="1" applyProtection="1">
      <alignment horizontal="left" wrapText="1"/>
    </xf>
    <xf numFmtId="37" fontId="12" fillId="0" borderId="70" xfId="38" applyNumberFormat="1" applyFont="1" applyBorder="1" applyAlignment="1" applyProtection="1">
      <alignment horizontal="right"/>
    </xf>
    <xf numFmtId="0" fontId="12" fillId="0" borderId="70" xfId="38" applyFont="1" applyBorder="1" applyAlignment="1" applyProtection="1">
      <alignment horizontal="left" wrapText="1"/>
    </xf>
    <xf numFmtId="172" fontId="57" fillId="0" borderId="70" xfId="125" applyNumberFormat="1" applyFont="1" applyBorder="1" applyAlignment="1" applyProtection="1">
      <alignment horizontal="right"/>
    </xf>
    <xf numFmtId="39" fontId="57" fillId="0" borderId="70" xfId="38" applyNumberFormat="1" applyFont="1" applyBorder="1" applyAlignment="1" applyProtection="1">
      <alignment horizontal="right"/>
    </xf>
    <xf numFmtId="39" fontId="12" fillId="0" borderId="70" xfId="38" applyNumberFormat="1" applyFont="1" applyBorder="1" applyAlignment="1" applyProtection="1">
      <alignment horizontal="center"/>
    </xf>
    <xf numFmtId="37" fontId="64" fillId="0" borderId="70" xfId="125" applyNumberFormat="1" applyFont="1" applyBorder="1" applyAlignment="1" applyProtection="1">
      <alignment horizontal="right"/>
    </xf>
    <xf numFmtId="0" fontId="64" fillId="0" borderId="70" xfId="125" applyFont="1" applyBorder="1" applyAlignment="1" applyProtection="1">
      <alignment horizontal="left" wrapText="1"/>
    </xf>
    <xf numFmtId="4" fontId="64" fillId="0" borderId="70" xfId="125" applyNumberFormat="1" applyFont="1" applyBorder="1" applyAlignment="1" applyProtection="1">
      <alignment horizontal="right"/>
    </xf>
    <xf numFmtId="0" fontId="30" fillId="0" borderId="70" xfId="125" applyBorder="1" applyAlignment="1" applyProtection="1">
      <alignment vertical="top"/>
    </xf>
    <xf numFmtId="37" fontId="12" fillId="0" borderId="70" xfId="232" applyNumberFormat="1" applyFont="1" applyBorder="1" applyAlignment="1">
      <alignment horizontal="right"/>
    </xf>
    <xf numFmtId="0" fontId="12" fillId="0" borderId="70" xfId="232" applyFont="1" applyBorder="1" applyAlignment="1">
      <alignment horizontal="left" wrapText="1"/>
    </xf>
    <xf numFmtId="172" fontId="12" fillId="0" borderId="70" xfId="232" applyNumberFormat="1" applyFont="1" applyBorder="1" applyAlignment="1">
      <alignment horizontal="right" wrapText="1"/>
    </xf>
    <xf numFmtId="4" fontId="12" fillId="0" borderId="70" xfId="232" applyNumberFormat="1" applyFont="1" applyBorder="1" applyAlignment="1">
      <alignment horizontal="right"/>
    </xf>
    <xf numFmtId="0" fontId="148" fillId="0" borderId="0" xfId="232" applyFont="1" applyAlignment="1">
      <alignment horizontal="left" vertical="center"/>
    </xf>
    <xf numFmtId="0" fontId="3" fillId="0" borderId="0" xfId="232" applyAlignment="1">
      <alignment horizontal="left" vertical="top"/>
    </xf>
    <xf numFmtId="0" fontId="3" fillId="0" borderId="0" xfId="232" applyAlignment="1">
      <alignment vertical="top"/>
    </xf>
    <xf numFmtId="173" fontId="104" fillId="0" borderId="0" xfId="232" applyNumberFormat="1" applyFont="1" applyAlignment="1">
      <alignment vertical="center"/>
    </xf>
    <xf numFmtId="0" fontId="105" fillId="0" borderId="0" xfId="232" applyFont="1" applyAlignment="1">
      <alignment vertical="center"/>
    </xf>
    <xf numFmtId="4" fontId="103" fillId="0" borderId="0" xfId="232" applyNumberFormat="1" applyFont="1" applyAlignment="1">
      <alignment horizontal="center" vertical="center"/>
    </xf>
    <xf numFmtId="0" fontId="32" fillId="0" borderId="0" xfId="232" applyFont="1" applyAlignment="1">
      <alignment horizontal="left" vertical="top"/>
    </xf>
    <xf numFmtId="0" fontId="57" fillId="0" borderId="70" xfId="232" applyFont="1" applyBorder="1" applyAlignment="1">
      <alignment horizontal="left" wrapText="1"/>
    </xf>
    <xf numFmtId="39" fontId="12" fillId="0" borderId="70" xfId="232" applyNumberFormat="1" applyFont="1" applyBorder="1" applyAlignment="1">
      <alignment horizontal="center"/>
    </xf>
    <xf numFmtId="37" fontId="12" fillId="0" borderId="70" xfId="45" applyNumberFormat="1" applyFont="1" applyBorder="1" applyAlignment="1" applyProtection="1">
      <alignment horizontal="right"/>
    </xf>
    <xf numFmtId="0" fontId="12" fillId="0" borderId="70" xfId="45" applyFont="1" applyBorder="1" applyAlignment="1" applyProtection="1">
      <alignment horizontal="left" wrapText="1"/>
    </xf>
    <xf numFmtId="172" fontId="12" fillId="0" borderId="70" xfId="45" applyNumberFormat="1" applyFont="1" applyBorder="1" applyAlignment="1" applyProtection="1">
      <alignment horizontal="right" wrapText="1"/>
    </xf>
    <xf numFmtId="39" fontId="12" fillId="0" borderId="70" xfId="45" applyNumberFormat="1" applyFont="1" applyBorder="1" applyAlignment="1" applyProtection="1">
      <alignment horizontal="right"/>
    </xf>
    <xf numFmtId="0" fontId="174" fillId="0" borderId="0" xfId="45" applyFont="1" applyAlignment="1" applyProtection="1">
      <alignment horizontal="left" vertical="center"/>
    </xf>
    <xf numFmtId="0" fontId="165" fillId="0" borderId="0" xfId="22" applyFont="1" applyAlignment="1">
      <alignment horizontal="left" vertical="center"/>
    </xf>
    <xf numFmtId="2" fontId="329" fillId="0" borderId="0" xfId="45" applyNumberFormat="1" applyFont="1" applyAlignment="1" applyProtection="1">
      <alignment horizontal="right" vertical="center"/>
    </xf>
    <xf numFmtId="39" fontId="12" fillId="0" borderId="70" xfId="232" applyNumberFormat="1" applyFont="1" applyBorder="1" applyAlignment="1">
      <alignment horizontal="right"/>
    </xf>
    <xf numFmtId="0" fontId="60" fillId="0" borderId="0" xfId="232" applyFont="1" applyAlignment="1">
      <alignment horizontal="left" vertical="top"/>
    </xf>
    <xf numFmtId="172" fontId="57" fillId="0" borderId="70" xfId="45" applyNumberFormat="1" applyFont="1" applyBorder="1" applyAlignment="1" applyProtection="1">
      <alignment horizontal="right"/>
    </xf>
    <xf numFmtId="172" fontId="12" fillId="0" borderId="70" xfId="125" applyNumberFormat="1" applyFont="1" applyBorder="1" applyAlignment="1" applyProtection="1"/>
    <xf numFmtId="4" fontId="12" fillId="0" borderId="70" xfId="125" applyNumberFormat="1" applyFont="1" applyBorder="1" applyAlignment="1" applyProtection="1">
      <alignment horizontal="right"/>
    </xf>
    <xf numFmtId="39" fontId="12" fillId="0" borderId="70" xfId="125" applyNumberFormat="1" applyFont="1" applyBorder="1" applyAlignment="1" applyProtection="1">
      <alignment horizontal="center"/>
    </xf>
    <xf numFmtId="0" fontId="330" fillId="0" borderId="0" xfId="125" applyFont="1" applyAlignment="1" applyProtection="1">
      <alignment horizontal="left" vertical="center"/>
    </xf>
    <xf numFmtId="0" fontId="30" fillId="0" borderId="0" xfId="125" applyAlignment="1" applyProtection="1">
      <alignment horizontal="right" vertical="top"/>
    </xf>
    <xf numFmtId="37" fontId="331" fillId="0" borderId="70" xfId="125" applyNumberFormat="1" applyFont="1" applyBorder="1" applyAlignment="1" applyProtection="1">
      <alignment horizontal="right"/>
    </xf>
    <xf numFmtId="0" fontId="331" fillId="0" borderId="70" xfId="125" applyFont="1" applyBorder="1" applyAlignment="1" applyProtection="1">
      <alignment horizontal="left" wrapText="1"/>
    </xf>
    <xf numFmtId="0" fontId="57" fillId="0" borderId="70" xfId="125" applyFont="1" applyBorder="1" applyAlignment="1" applyProtection="1">
      <alignment horizontal="left" wrapText="1"/>
    </xf>
    <xf numFmtId="39" fontId="13" fillId="0" borderId="70" xfId="125" applyNumberFormat="1" applyFont="1" applyBorder="1" applyAlignment="1" applyProtection="1">
      <alignment horizontal="center"/>
    </xf>
    <xf numFmtId="0" fontId="169" fillId="0" borderId="0" xfId="125" applyFont="1" applyAlignment="1" applyProtection="1">
      <alignment horizontal="left" vertical="center"/>
    </xf>
    <xf numFmtId="2" fontId="30" fillId="0" borderId="0" xfId="125" applyNumberFormat="1" applyAlignment="1" applyProtection="1">
      <alignment horizontal="right" vertical="top"/>
    </xf>
    <xf numFmtId="0" fontId="12" fillId="0" borderId="70" xfId="70" applyFont="1" applyBorder="1" applyAlignment="1">
      <alignment horizontal="left" wrapText="1"/>
    </xf>
    <xf numFmtId="37" fontId="12" fillId="0" borderId="70" xfId="70" applyNumberFormat="1" applyFont="1" applyBorder="1" applyAlignment="1">
      <alignment horizontal="right"/>
    </xf>
    <xf numFmtId="39" fontId="12" fillId="0" borderId="70" xfId="70" applyNumberFormat="1" applyFont="1" applyBorder="1" applyAlignment="1">
      <alignment horizontal="right"/>
    </xf>
    <xf numFmtId="0" fontId="104" fillId="0" borderId="0" xfId="125" applyFont="1" applyAlignment="1" applyProtection="1">
      <alignment horizontal="left" vertical="top"/>
    </xf>
    <xf numFmtId="0" fontId="30" fillId="5" borderId="0" xfId="125" applyFill="1" applyAlignment="1" applyProtection="1">
      <alignment horizontal="left" vertical="top"/>
    </xf>
    <xf numFmtId="49" fontId="12" fillId="0" borderId="70" xfId="232" applyNumberFormat="1" applyFont="1" applyBorder="1" applyAlignment="1">
      <alignment horizontal="left" wrapText="1"/>
    </xf>
    <xf numFmtId="0" fontId="311" fillId="0" borderId="0" xfId="232" applyFont="1" applyAlignment="1">
      <alignment horizontal="left" vertical="center"/>
    </xf>
    <xf numFmtId="37" fontId="83" fillId="0" borderId="70" xfId="232" applyNumberFormat="1" applyFont="1" applyBorder="1" applyAlignment="1">
      <alignment horizontal="right"/>
    </xf>
    <xf numFmtId="49" fontId="83" fillId="0" borderId="70" xfId="232" applyNumberFormat="1" applyFont="1" applyBorder="1" applyAlignment="1">
      <alignment horizontal="left" wrapText="1"/>
    </xf>
    <xf numFmtId="0" fontId="83" fillId="0" borderId="70" xfId="232" applyFont="1" applyBorder="1" applyAlignment="1">
      <alignment horizontal="left" wrapText="1"/>
    </xf>
    <xf numFmtId="172" fontId="57" fillId="0" borderId="70" xfId="232" applyNumberFormat="1" applyFont="1" applyBorder="1" applyAlignment="1">
      <alignment horizontal="right"/>
    </xf>
    <xf numFmtId="0" fontId="3" fillId="0" borderId="70" xfId="232" applyBorder="1" applyAlignment="1">
      <alignment horizontal="right" vertical="center"/>
    </xf>
    <xf numFmtId="0" fontId="332" fillId="0" borderId="0" xfId="126" applyFont="1" applyFill="1" applyAlignment="1" applyProtection="1">
      <alignment horizontal="left" vertical="center"/>
    </xf>
    <xf numFmtId="0" fontId="134" fillId="0" borderId="0" xfId="232" applyFont="1" applyAlignment="1">
      <alignment horizontal="left" vertical="center"/>
    </xf>
    <xf numFmtId="0" fontId="134" fillId="0" borderId="0" xfId="232" applyFont="1" applyAlignment="1">
      <alignment horizontal="right" vertical="center"/>
    </xf>
    <xf numFmtId="0" fontId="3" fillId="0" borderId="0" xfId="232" applyAlignment="1">
      <alignment horizontal="left" vertical="center"/>
    </xf>
    <xf numFmtId="0" fontId="46" fillId="0" borderId="0" xfId="126" applyFill="1" applyAlignment="1" applyProtection="1">
      <alignment horizontal="left" vertical="center"/>
    </xf>
    <xf numFmtId="49" fontId="12" fillId="0" borderId="70" xfId="232" applyNumberFormat="1" applyFont="1" applyBorder="1" applyAlignment="1">
      <alignment horizontal="right" wrapText="1"/>
    </xf>
    <xf numFmtId="172" fontId="12" fillId="0" borderId="70" xfId="232" applyNumberFormat="1" applyFont="1" applyBorder="1" applyAlignment="1">
      <alignment horizontal="right"/>
    </xf>
    <xf numFmtId="0" fontId="312" fillId="0" borderId="0" xfId="232" applyFont="1" applyAlignment="1">
      <alignment horizontal="left" vertical="center"/>
    </xf>
    <xf numFmtId="172" fontId="12" fillId="0" borderId="70" xfId="232" applyNumberFormat="1" applyFont="1" applyBorder="1" applyAlignment="1">
      <alignment horizontal="left" wrapText="1"/>
    </xf>
    <xf numFmtId="0" fontId="86" fillId="0" borderId="70" xfId="232" applyFont="1" applyBorder="1" applyAlignment="1">
      <alignment horizontal="right" vertical="center"/>
    </xf>
    <xf numFmtId="0" fontId="57" fillId="0" borderId="70" xfId="232" applyFont="1" applyBorder="1" applyAlignment="1">
      <alignment horizontal="left" vertical="center" wrapText="1"/>
    </xf>
    <xf numFmtId="172" fontId="3" fillId="0" borderId="70" xfId="232" applyNumberFormat="1" applyBorder="1" applyAlignment="1">
      <alignment horizontal="left" vertical="top"/>
    </xf>
    <xf numFmtId="2" fontId="12" fillId="0" borderId="70" xfId="232" applyNumberFormat="1" applyFont="1" applyBorder="1" applyAlignment="1">
      <alignment horizontal="center"/>
    </xf>
    <xf numFmtId="37" fontId="57" fillId="0" borderId="70" xfId="125" applyNumberFormat="1" applyFont="1" applyBorder="1" applyAlignment="1" applyProtection="1">
      <alignment horizontal="right"/>
    </xf>
    <xf numFmtId="49" fontId="83" fillId="0" borderId="70" xfId="125" applyNumberFormat="1" applyFont="1" applyBorder="1" applyAlignment="1" applyProtection="1">
      <alignment horizontal="left" wrapText="1"/>
    </xf>
    <xf numFmtId="0" fontId="83" fillId="0" borderId="70" xfId="125" applyFont="1" applyBorder="1" applyAlignment="1" applyProtection="1">
      <alignment horizontal="left" wrapText="1"/>
    </xf>
    <xf numFmtId="172" fontId="117" fillId="0" borderId="70" xfId="125" applyNumberFormat="1" applyFont="1" applyBorder="1" applyAlignment="1" applyProtection="1">
      <alignment horizontal="right" wrapText="1"/>
    </xf>
    <xf numFmtId="2" fontId="30" fillId="0" borderId="70" xfId="125" applyNumberFormat="1" applyBorder="1" applyAlignment="1" applyProtection="1">
      <alignment horizontal="left" vertical="top"/>
    </xf>
    <xf numFmtId="0" fontId="70" fillId="0" borderId="0" xfId="125" applyFont="1" applyAlignment="1" applyProtection="1">
      <alignment horizontal="left" vertical="center"/>
    </xf>
    <xf numFmtId="2" fontId="30" fillId="0" borderId="0" xfId="125" applyNumberFormat="1" applyAlignment="1" applyProtection="1">
      <alignment horizontal="left" vertical="center"/>
    </xf>
    <xf numFmtId="2" fontId="30" fillId="0" borderId="0" xfId="125" applyNumberFormat="1" applyAlignment="1" applyProtection="1">
      <alignment horizontal="left" vertical="top"/>
    </xf>
    <xf numFmtId="0" fontId="85" fillId="0" borderId="0" xfId="125" applyFont="1" applyAlignment="1" applyProtection="1">
      <alignment horizontal="left" vertical="center"/>
    </xf>
    <xf numFmtId="0" fontId="213" fillId="0" borderId="0" xfId="125" applyFont="1" applyAlignment="1" applyProtection="1">
      <alignment horizontal="left" vertical="center"/>
    </xf>
    <xf numFmtId="0" fontId="30" fillId="0" borderId="0" xfId="125" applyAlignment="1" applyProtection="1">
      <alignment horizontal="left" vertical="center"/>
    </xf>
    <xf numFmtId="0" fontId="104" fillId="0" borderId="0" xfId="125" applyFont="1" applyAlignment="1" applyProtection="1">
      <alignment horizontal="left" vertical="center"/>
    </xf>
    <xf numFmtId="0" fontId="80" fillId="0" borderId="0" xfId="125" applyFont="1" applyAlignment="1" applyProtection="1">
      <alignment horizontal="left" vertical="center"/>
    </xf>
    <xf numFmtId="0" fontId="333" fillId="0" borderId="0" xfId="125" applyFont="1" applyAlignment="1" applyProtection="1">
      <alignment horizontal="left" vertical="center"/>
    </xf>
    <xf numFmtId="0" fontId="223" fillId="0" borderId="0" xfId="125" applyFont="1" applyAlignment="1" applyProtection="1">
      <alignment horizontal="right" vertical="top"/>
    </xf>
    <xf numFmtId="0" fontId="223" fillId="0" borderId="0" xfId="125" applyFont="1" applyAlignment="1" applyProtection="1">
      <alignment horizontal="left" vertical="top"/>
    </xf>
    <xf numFmtId="0" fontId="334" fillId="0" borderId="0" xfId="125" applyFont="1" applyAlignment="1" applyProtection="1">
      <alignment horizontal="left" vertical="center"/>
    </xf>
    <xf numFmtId="0" fontId="335" fillId="0" borderId="0" xfId="125" applyFont="1" applyAlignment="1" applyProtection="1">
      <alignment horizontal="left" vertical="center"/>
    </xf>
    <xf numFmtId="0" fontId="336" fillId="0" borderId="0" xfId="125" applyFont="1" applyAlignment="1" applyProtection="1">
      <alignment horizontal="left" vertical="center"/>
    </xf>
    <xf numFmtId="49" fontId="12" fillId="0" borderId="70" xfId="125" applyNumberFormat="1" applyFont="1" applyBorder="1" applyAlignment="1" applyProtection="1">
      <alignment horizontal="left" wrapText="1"/>
    </xf>
    <xf numFmtId="49" fontId="12" fillId="0" borderId="70" xfId="125" applyNumberFormat="1" applyFont="1" applyBorder="1" applyAlignment="1" applyProtection="1">
      <alignment horizontal="center"/>
    </xf>
    <xf numFmtId="39" fontId="12" fillId="0" borderId="0" xfId="232" applyNumberFormat="1" applyFont="1" applyAlignment="1">
      <alignment horizontal="center"/>
    </xf>
    <xf numFmtId="39" fontId="84" fillId="0" borderId="0" xfId="232" applyNumberFormat="1" applyFont="1" applyAlignment="1">
      <alignment horizontal="left" vertical="center"/>
    </xf>
    <xf numFmtId="49" fontId="12" fillId="0" borderId="70" xfId="125" applyNumberFormat="1" applyFont="1" applyBorder="1" applyAlignment="1" applyProtection="1">
      <alignment horizontal="right" wrapText="1"/>
    </xf>
    <xf numFmtId="172" fontId="12" fillId="0" borderId="70" xfId="125" applyNumberFormat="1" applyFont="1" applyBorder="1" applyAlignment="1" applyProtection="1">
      <alignment horizontal="right"/>
    </xf>
    <xf numFmtId="172" fontId="12" fillId="0" borderId="70" xfId="25" applyNumberFormat="1" applyFont="1" applyBorder="1" applyAlignment="1" applyProtection="1">
      <alignment horizontal="right"/>
    </xf>
    <xf numFmtId="39" fontId="12" fillId="0" borderId="70" xfId="25" applyNumberFormat="1" applyFont="1" applyBorder="1" applyAlignment="1" applyProtection="1">
      <alignment horizontal="center"/>
    </xf>
    <xf numFmtId="37" fontId="12" fillId="0" borderId="70" xfId="22" applyNumberFormat="1" applyFont="1" applyBorder="1" applyAlignment="1">
      <alignment horizontal="right"/>
    </xf>
    <xf numFmtId="49" fontId="12" fillId="0" borderId="70" xfId="22" applyNumberFormat="1" applyFont="1" applyBorder="1" applyAlignment="1">
      <alignment horizontal="left" wrapText="1"/>
    </xf>
    <xf numFmtId="0" fontId="64" fillId="0" borderId="70" xfId="22" applyFont="1" applyBorder="1" applyAlignment="1">
      <alignment horizontal="left" wrapText="1"/>
    </xf>
    <xf numFmtId="39" fontId="12" fillId="0" borderId="70" xfId="22" applyNumberFormat="1" applyFont="1" applyBorder="1" applyAlignment="1">
      <alignment horizontal="right"/>
    </xf>
    <xf numFmtId="39" fontId="12" fillId="0" borderId="70" xfId="22" applyNumberFormat="1" applyFont="1" applyBorder="1" applyAlignment="1">
      <alignment horizontal="center"/>
    </xf>
    <xf numFmtId="0" fontId="82" fillId="0" borderId="0" xfId="22" applyFont="1" applyAlignment="1">
      <alignment horizontal="left" vertical="center"/>
    </xf>
    <xf numFmtId="2" fontId="16" fillId="0" borderId="0" xfId="22" applyNumberFormat="1" applyAlignment="1">
      <alignment horizontal="left" vertical="top"/>
    </xf>
    <xf numFmtId="1" fontId="71" fillId="0" borderId="70" xfId="232" applyNumberFormat="1" applyFont="1" applyBorder="1" applyAlignment="1">
      <alignment horizontal="right"/>
    </xf>
    <xf numFmtId="0" fontId="71" fillId="0" borderId="70" xfId="232" applyFont="1" applyBorder="1" applyAlignment="1">
      <alignment horizontal="left" wrapText="1"/>
    </xf>
    <xf numFmtId="4" fontId="57" fillId="5" borderId="70" xfId="232" applyNumberFormat="1" applyFont="1" applyFill="1" applyBorder="1" applyAlignment="1">
      <alignment horizontal="right"/>
    </xf>
    <xf numFmtId="1" fontId="71" fillId="0" borderId="70" xfId="156" applyNumberFormat="1" applyFont="1" applyBorder="1" applyAlignment="1">
      <alignment horizontal="right"/>
    </xf>
    <xf numFmtId="0" fontId="71" fillId="0" borderId="70" xfId="156" applyFont="1" applyBorder="1" applyAlignment="1">
      <alignment horizontal="left" wrapText="1"/>
    </xf>
    <xf numFmtId="0" fontId="71" fillId="0" borderId="70" xfId="22" applyFont="1" applyBorder="1" applyAlignment="1">
      <alignment horizontal="left" wrapText="1"/>
    </xf>
    <xf numFmtId="172" fontId="71" fillId="0" borderId="70" xfId="156" applyNumberFormat="1" applyFont="1" applyBorder="1" applyAlignment="1">
      <alignment horizontal="right"/>
    </xf>
    <xf numFmtId="4" fontId="71" fillId="0" borderId="70" xfId="237" applyNumberFormat="1" applyFont="1" applyBorder="1" applyAlignment="1">
      <alignment horizontal="right"/>
    </xf>
    <xf numFmtId="1" fontId="71" fillId="0" borderId="70" xfId="32" applyNumberFormat="1" applyFont="1" applyBorder="1" applyAlignment="1">
      <alignment horizontal="right"/>
    </xf>
    <xf numFmtId="49" fontId="71" fillId="0" borderId="70" xfId="32" applyNumberFormat="1" applyFont="1" applyBorder="1" applyAlignment="1">
      <alignment horizontal="left" wrapText="1"/>
    </xf>
    <xf numFmtId="4" fontId="71" fillId="0" borderId="70" xfId="32" applyNumberFormat="1" applyFont="1" applyBorder="1" applyAlignment="1">
      <alignment horizontal="right"/>
    </xf>
    <xf numFmtId="37" fontId="83" fillId="0" borderId="70" xfId="22" applyNumberFormat="1" applyFont="1" applyBorder="1" applyAlignment="1">
      <alignment horizontal="right"/>
    </xf>
    <xf numFmtId="49" fontId="83" fillId="0" borderId="70" xfId="22" applyNumberFormat="1" applyFont="1" applyBorder="1" applyAlignment="1">
      <alignment horizontal="left" wrapText="1"/>
    </xf>
    <xf numFmtId="0" fontId="83" fillId="0" borderId="70" xfId="22" applyFont="1" applyBorder="1" applyAlignment="1">
      <alignment horizontal="left" wrapText="1"/>
    </xf>
    <xf numFmtId="0" fontId="57" fillId="0" borderId="70" xfId="22" applyFont="1" applyBorder="1" applyAlignment="1">
      <alignment horizontal="left" wrapText="1"/>
    </xf>
    <xf numFmtId="172" fontId="57" fillId="0" borderId="70" xfId="22" applyNumberFormat="1" applyFont="1" applyBorder="1" applyAlignment="1">
      <alignment horizontal="right"/>
    </xf>
    <xf numFmtId="4" fontId="12" fillId="0" borderId="70" xfId="22" applyNumberFormat="1" applyFont="1" applyBorder="1" applyAlignment="1">
      <alignment horizontal="right"/>
    </xf>
    <xf numFmtId="0" fontId="85" fillId="0" borderId="70" xfId="22" applyFont="1" applyBorder="1" applyAlignment="1">
      <alignment horizontal="right" vertical="center"/>
    </xf>
    <xf numFmtId="37" fontId="64" fillId="0" borderId="70" xfId="232" applyNumberFormat="1" applyFont="1" applyBorder="1" applyAlignment="1">
      <alignment horizontal="right"/>
    </xf>
    <xf numFmtId="0" fontId="64" fillId="0" borderId="70" xfId="232" applyFont="1" applyBorder="1" applyAlignment="1">
      <alignment horizontal="left" wrapText="1"/>
    </xf>
    <xf numFmtId="172" fontId="64" fillId="0" borderId="70" xfId="232" applyNumberFormat="1" applyFont="1" applyBorder="1" applyAlignment="1">
      <alignment horizontal="right"/>
    </xf>
    <xf numFmtId="4" fontId="64" fillId="0" borderId="70" xfId="232" applyNumberFormat="1" applyFont="1" applyBorder="1" applyAlignment="1">
      <alignment horizontal="right"/>
    </xf>
    <xf numFmtId="0" fontId="3" fillId="0" borderId="70" xfId="232" applyBorder="1" applyAlignment="1">
      <alignment horizontal="left" vertical="top"/>
    </xf>
    <xf numFmtId="0" fontId="115" fillId="0" borderId="0" xfId="232" applyFont="1" applyAlignment="1">
      <alignment vertical="center"/>
    </xf>
    <xf numFmtId="0" fontId="101" fillId="0" borderId="0" xfId="232" applyFont="1" applyAlignment="1">
      <alignment horizontal="left" vertical="center"/>
    </xf>
    <xf numFmtId="0" fontId="15" fillId="0" borderId="0" xfId="232" applyFont="1" applyAlignment="1">
      <alignment horizontal="left" vertical="top"/>
    </xf>
    <xf numFmtId="37" fontId="76" fillId="0" borderId="70" xfId="45" applyNumberFormat="1" applyFont="1" applyBorder="1" applyAlignment="1" applyProtection="1">
      <alignment horizontal="right"/>
    </xf>
    <xf numFmtId="0" fontId="76" fillId="0" borderId="70" xfId="45" applyFont="1" applyBorder="1" applyAlignment="1" applyProtection="1">
      <alignment horizontal="left" wrapText="1"/>
    </xf>
    <xf numFmtId="172" fontId="76" fillId="0" borderId="70" xfId="45" applyNumberFormat="1" applyFont="1" applyBorder="1" applyAlignment="1" applyProtection="1">
      <alignment horizontal="right"/>
    </xf>
    <xf numFmtId="39" fontId="76" fillId="0" borderId="70" xfId="45" applyNumberFormat="1" applyFont="1" applyBorder="1" applyAlignment="1" applyProtection="1">
      <alignment horizontal="right"/>
    </xf>
    <xf numFmtId="39" fontId="76" fillId="0" borderId="70" xfId="45" applyNumberFormat="1" applyFont="1" applyBorder="1" applyAlignment="1" applyProtection="1">
      <alignment horizontal="center"/>
    </xf>
    <xf numFmtId="0" fontId="80" fillId="0" borderId="0" xfId="232" applyFont="1" applyAlignment="1">
      <alignment horizontal="left" vertical="center"/>
    </xf>
    <xf numFmtId="0" fontId="292" fillId="0" borderId="0" xfId="45" applyFont="1" applyAlignment="1" applyProtection="1">
      <alignment vertical="top" wrapText="1"/>
    </xf>
    <xf numFmtId="0" fontId="57" fillId="0" borderId="0" xfId="45" applyFont="1" applyAlignment="1" applyProtection="1">
      <alignment horizontal="left" wrapText="1"/>
    </xf>
    <xf numFmtId="39" fontId="84" fillId="0" borderId="0" xfId="45" applyNumberFormat="1" applyFont="1" applyAlignment="1" applyProtection="1">
      <alignment horizontal="left" vertical="center"/>
    </xf>
    <xf numFmtId="2" fontId="12" fillId="0" borderId="0" xfId="45" applyNumberFormat="1" applyFont="1" applyAlignment="1" applyProtection="1">
      <alignment horizontal="right"/>
    </xf>
    <xf numFmtId="39" fontId="12" fillId="0" borderId="0" xfId="45" applyNumberFormat="1" applyFont="1" applyAlignment="1" applyProtection="1">
      <alignment horizontal="right"/>
    </xf>
    <xf numFmtId="39" fontId="12" fillId="0" borderId="0" xfId="45" applyNumberFormat="1" applyFont="1" applyAlignment="1" applyProtection="1">
      <alignment horizontal="center"/>
    </xf>
    <xf numFmtId="0" fontId="293" fillId="0" borderId="0" xfId="45" applyFont="1" applyAlignment="1" applyProtection="1">
      <alignment horizontal="left" vertical="center" textRotation="90" wrapText="1"/>
    </xf>
    <xf numFmtId="0" fontId="78" fillId="0" borderId="70" xfId="45" applyFont="1" applyBorder="1" applyAlignment="1" applyProtection="1">
      <alignment horizontal="left" wrapText="1"/>
    </xf>
    <xf numFmtId="2" fontId="78" fillId="0" borderId="70" xfId="45" applyNumberFormat="1" applyFont="1" applyBorder="1" applyAlignment="1" applyProtection="1">
      <alignment horizontal="left"/>
    </xf>
    <xf numFmtId="172" fontId="78" fillId="0" borderId="70" xfId="45" applyNumberFormat="1" applyFont="1" applyBorder="1" applyAlignment="1" applyProtection="1">
      <alignment horizontal="right"/>
    </xf>
    <xf numFmtId="0" fontId="112" fillId="0" borderId="70" xfId="45" applyFont="1" applyBorder="1" applyAlignment="1" applyProtection="1">
      <alignment vertical="top"/>
    </xf>
    <xf numFmtId="0" fontId="155" fillId="0" borderId="0" xfId="232" applyFont="1" applyAlignment="1">
      <alignment horizontal="left" vertical="center"/>
    </xf>
    <xf numFmtId="39" fontId="64" fillId="0" borderId="0" xfId="3" applyNumberFormat="1" applyFont="1" applyAlignment="1">
      <alignment horizontal="left"/>
    </xf>
    <xf numFmtId="0" fontId="292" fillId="0" borderId="0" xfId="232" applyFont="1" applyAlignment="1">
      <alignment vertical="top" wrapText="1"/>
    </xf>
    <xf numFmtId="0" fontId="292" fillId="0" borderId="0" xfId="232" applyFont="1" applyAlignment="1">
      <alignment vertical="top"/>
    </xf>
    <xf numFmtId="0" fontId="57" fillId="0" borderId="0" xfId="232" applyFont="1" applyAlignment="1">
      <alignment horizontal="left" wrapText="1"/>
    </xf>
    <xf numFmtId="0" fontId="12" fillId="0" borderId="0" xfId="232" applyFont="1" applyAlignment="1">
      <alignment horizontal="left" wrapText="1"/>
    </xf>
    <xf numFmtId="2" fontId="12" fillId="0" borderId="0" xfId="232" applyNumberFormat="1" applyFont="1" applyAlignment="1">
      <alignment horizontal="right"/>
    </xf>
    <xf numFmtId="39" fontId="12" fillId="0" borderId="0" xfId="232" applyNumberFormat="1" applyFont="1" applyAlignment="1">
      <alignment horizontal="right"/>
    </xf>
    <xf numFmtId="0" fontId="293" fillId="0" borderId="0" xfId="232" applyFont="1" applyAlignment="1">
      <alignment horizontal="left" vertical="center" textRotation="90" wrapText="1"/>
    </xf>
    <xf numFmtId="37" fontId="135" fillId="0" borderId="70" xfId="232" applyNumberFormat="1" applyFont="1" applyBorder="1" applyAlignment="1">
      <alignment horizontal="right"/>
    </xf>
    <xf numFmtId="49" fontId="135" fillId="0" borderId="70" xfId="232" applyNumberFormat="1" applyFont="1" applyBorder="1" applyAlignment="1">
      <alignment horizontal="left" wrapText="1"/>
    </xf>
    <xf numFmtId="0" fontId="140" fillId="0" borderId="70" xfId="232" applyFont="1" applyBorder="1" applyAlignment="1">
      <alignment horizontal="right" wrapText="1"/>
    </xf>
    <xf numFmtId="172" fontId="83" fillId="0" borderId="70" xfId="232" applyNumberFormat="1" applyFont="1" applyBorder="1" applyAlignment="1">
      <alignment horizontal="right"/>
    </xf>
    <xf numFmtId="37" fontId="71" fillId="0" borderId="70" xfId="3" applyNumberFormat="1" applyFont="1" applyBorder="1" applyAlignment="1">
      <alignment horizontal="right"/>
    </xf>
    <xf numFmtId="9" fontId="71" fillId="0" borderId="70" xfId="3" applyNumberFormat="1" applyFont="1" applyBorder="1" applyAlignment="1">
      <alignment horizontal="left" wrapText="1"/>
    </xf>
    <xf numFmtId="4" fontId="71" fillId="0" borderId="70" xfId="3" applyNumberFormat="1" applyFont="1" applyBorder="1" applyAlignment="1">
      <alignment horizontal="right"/>
    </xf>
    <xf numFmtId="0" fontId="15" fillId="0" borderId="0" xfId="232" applyFont="1" applyAlignment="1">
      <alignment horizontal="right" vertical="center"/>
    </xf>
    <xf numFmtId="0" fontId="15" fillId="0" borderId="0" xfId="3" applyFont="1" applyAlignment="1">
      <alignment horizontal="left" vertical="center"/>
    </xf>
    <xf numFmtId="2" fontId="12" fillId="0" borderId="0" xfId="3" applyNumberFormat="1" applyFont="1" applyAlignment="1">
      <alignment horizontal="right" vertical="center"/>
    </xf>
    <xf numFmtId="39" fontId="12" fillId="0" borderId="0" xfId="3" applyNumberFormat="1" applyFont="1" applyAlignment="1">
      <alignment horizontal="left"/>
    </xf>
    <xf numFmtId="37" fontId="77" fillId="0" borderId="70" xfId="232" applyNumberFormat="1" applyFont="1" applyBorder="1" applyAlignment="1">
      <alignment horizontal="right"/>
    </xf>
    <xf numFmtId="0" fontId="77" fillId="0" borderId="70" xfId="3" applyFont="1" applyBorder="1" applyAlignment="1">
      <alignment horizontal="left" wrapText="1"/>
    </xf>
    <xf numFmtId="0" fontId="78" fillId="0" borderId="70" xfId="232" applyFont="1" applyBorder="1" applyAlignment="1">
      <alignment horizontal="left" wrapText="1"/>
    </xf>
    <xf numFmtId="0" fontId="77" fillId="0" borderId="70" xfId="232" applyFont="1" applyBorder="1" applyAlignment="1">
      <alignment horizontal="left" wrapText="1"/>
    </xf>
    <xf numFmtId="172" fontId="78" fillId="0" borderId="70" xfId="232" applyNumberFormat="1" applyFont="1" applyBorder="1" applyAlignment="1">
      <alignment horizontal="right"/>
    </xf>
    <xf numFmtId="4" fontId="78" fillId="0" borderId="70" xfId="125" applyNumberFormat="1" applyFont="1" applyBorder="1" applyAlignment="1" applyProtection="1">
      <alignment horizontal="right"/>
    </xf>
    <xf numFmtId="39" fontId="77" fillId="0" borderId="70" xfId="12" applyNumberFormat="1" applyFont="1" applyBorder="1" applyAlignment="1" applyProtection="1">
      <alignment horizontal="center"/>
    </xf>
    <xf numFmtId="0" fontId="112" fillId="0" borderId="0" xfId="232" applyFont="1" applyAlignment="1">
      <alignment horizontal="right" vertical="center"/>
    </xf>
    <xf numFmtId="0" fontId="112" fillId="0" borderId="0" xfId="232" applyFont="1" applyAlignment="1">
      <alignment horizontal="left" vertical="center"/>
    </xf>
    <xf numFmtId="37" fontId="76" fillId="0" borderId="0" xfId="232" applyNumberFormat="1" applyFont="1" applyAlignment="1">
      <alignment horizontal="right"/>
    </xf>
    <xf numFmtId="0" fontId="76" fillId="0" borderId="0" xfId="232" applyFont="1" applyAlignment="1">
      <alignment horizontal="left" wrapText="1"/>
    </xf>
    <xf numFmtId="0" fontId="78" fillId="0" borderId="0" xfId="232" applyFont="1" applyAlignment="1">
      <alignment horizontal="left" wrapText="1"/>
    </xf>
    <xf numFmtId="2" fontId="76" fillId="0" borderId="0" xfId="232" applyNumberFormat="1" applyFont="1" applyAlignment="1">
      <alignment horizontal="right" vertical="center"/>
    </xf>
    <xf numFmtId="37" fontId="71" fillId="0" borderId="70" xfId="232" applyNumberFormat="1" applyFont="1" applyBorder="1" applyAlignment="1">
      <alignment horizontal="right"/>
    </xf>
    <xf numFmtId="0" fontId="119" fillId="0" borderId="70" xfId="232" applyFont="1" applyBorder="1" applyAlignment="1">
      <alignment horizontal="left" wrapText="1"/>
    </xf>
    <xf numFmtId="0" fontId="112" fillId="0" borderId="0" xfId="125" applyFont="1" applyAlignment="1" applyProtection="1">
      <alignment horizontal="right" vertical="center"/>
    </xf>
    <xf numFmtId="0" fontId="112" fillId="0" borderId="0" xfId="125" applyFont="1" applyAlignment="1" applyProtection="1">
      <alignment horizontal="left" vertical="center"/>
    </xf>
    <xf numFmtId="37" fontId="76" fillId="0" borderId="0" xfId="125" applyNumberFormat="1" applyFont="1" applyAlignment="1" applyProtection="1">
      <alignment horizontal="right"/>
    </xf>
    <xf numFmtId="0" fontId="76" fillId="0" borderId="0" xfId="125" applyFont="1" applyAlignment="1" applyProtection="1">
      <alignment horizontal="left" wrapText="1"/>
    </xf>
    <xf numFmtId="0" fontId="78" fillId="0" borderId="0" xfId="125" applyFont="1" applyAlignment="1" applyProtection="1">
      <alignment horizontal="left" vertical="center" wrapText="1"/>
    </xf>
    <xf numFmtId="0" fontId="76" fillId="0" borderId="0" xfId="125" applyFont="1" applyAlignment="1" applyProtection="1">
      <alignment horizontal="left" vertical="center" wrapText="1"/>
    </xf>
    <xf numFmtId="2" fontId="12" fillId="0" borderId="0" xfId="125" applyNumberFormat="1" applyFont="1" applyAlignment="1" applyProtection="1">
      <alignment horizontal="right" vertical="center"/>
    </xf>
    <xf numFmtId="39" fontId="12" fillId="0" borderId="0" xfId="232" applyNumberFormat="1" applyFont="1" applyAlignment="1">
      <alignment horizontal="left" vertical="center"/>
    </xf>
    <xf numFmtId="4" fontId="57" fillId="0" borderId="70" xfId="125" applyNumberFormat="1" applyFont="1" applyBorder="1" applyAlignment="1" applyProtection="1">
      <alignment horizontal="right"/>
    </xf>
    <xf numFmtId="0" fontId="15" fillId="0" borderId="0" xfId="232" applyFont="1" applyAlignment="1">
      <alignment horizontal="left" vertical="center"/>
    </xf>
    <xf numFmtId="37" fontId="12" fillId="0" borderId="0" xfId="232" applyNumberFormat="1" applyFont="1" applyAlignment="1">
      <alignment horizontal="right" vertical="center"/>
    </xf>
    <xf numFmtId="0" fontId="12" fillId="0" borderId="0" xfId="232" applyFont="1" applyAlignment="1">
      <alignment horizontal="left" vertical="center" wrapText="1"/>
    </xf>
    <xf numFmtId="0" fontId="57" fillId="0" borderId="0" xfId="232" applyFont="1" applyAlignment="1">
      <alignment horizontal="left" vertical="center" wrapText="1"/>
    </xf>
    <xf numFmtId="2" fontId="12" fillId="0" borderId="0" xfId="232" applyNumberFormat="1" applyFont="1" applyAlignment="1">
      <alignment horizontal="right" vertical="center"/>
    </xf>
    <xf numFmtId="0" fontId="12" fillId="0" borderId="70" xfId="232" applyFont="1" applyBorder="1" applyAlignment="1">
      <alignment horizontal="right" vertical="center"/>
    </xf>
    <xf numFmtId="2" fontId="57" fillId="0" borderId="70" xfId="232" applyNumberFormat="1" applyFont="1" applyBorder="1" applyAlignment="1">
      <alignment horizontal="left"/>
    </xf>
    <xf numFmtId="0" fontId="281" fillId="0" borderId="0" xfId="232" applyFont="1" applyAlignment="1">
      <alignment vertical="top"/>
    </xf>
    <xf numFmtId="0" fontId="112" fillId="0" borderId="0" xfId="232" applyFont="1" applyAlignment="1">
      <alignment horizontal="left" vertical="top"/>
    </xf>
    <xf numFmtId="0" fontId="337" fillId="0" borderId="0" xfId="232" applyFont="1" applyAlignment="1">
      <alignment horizontal="left" wrapText="1"/>
    </xf>
    <xf numFmtId="2" fontId="76" fillId="0" borderId="0" xfId="232" applyNumberFormat="1" applyFont="1" applyAlignment="1">
      <alignment horizontal="right"/>
    </xf>
    <xf numFmtId="39" fontId="76" fillId="0" borderId="0" xfId="232" applyNumberFormat="1" applyFont="1" applyAlignment="1">
      <alignment horizontal="right"/>
    </xf>
    <xf numFmtId="0" fontId="112" fillId="0" borderId="0" xfId="232" applyFont="1" applyAlignment="1">
      <alignment horizontal="right" vertical="top"/>
    </xf>
    <xf numFmtId="0" fontId="64" fillId="0" borderId="70" xfId="232" applyFont="1" applyBorder="1" applyAlignment="1">
      <alignment horizontal="center" wrapText="1"/>
    </xf>
    <xf numFmtId="39" fontId="12" fillId="0" borderId="70" xfId="26" applyNumberFormat="1" applyFont="1" applyBorder="1" applyAlignment="1" applyProtection="1">
      <alignment horizontal="center"/>
    </xf>
    <xf numFmtId="172" fontId="3" fillId="0" borderId="0" xfId="232" applyNumberFormat="1" applyAlignment="1">
      <alignment horizontal="left" vertical="top"/>
    </xf>
    <xf numFmtId="0" fontId="155" fillId="0" borderId="0" xfId="232" applyFont="1" applyAlignment="1">
      <alignment horizontal="center" vertical="center"/>
    </xf>
    <xf numFmtId="0" fontId="148" fillId="0" borderId="0" xfId="45" applyFont="1" applyAlignment="1" applyProtection="1">
      <alignment horizontal="left" vertical="center"/>
    </xf>
    <xf numFmtId="0" fontId="12" fillId="0" borderId="0" xfId="45" applyFont="1" applyAlignment="1" applyProtection="1">
      <alignment horizontal="left" wrapText="1"/>
    </xf>
    <xf numFmtId="172" fontId="12" fillId="0" borderId="70" xfId="45" applyNumberFormat="1" applyFont="1" applyBorder="1" applyAlignment="1" applyProtection="1">
      <alignment horizontal="right"/>
    </xf>
    <xf numFmtId="0" fontId="14" fillId="0" borderId="0" xfId="232" applyFont="1" applyAlignment="1">
      <alignment vertical="top"/>
    </xf>
    <xf numFmtId="173" fontId="3" fillId="0" borderId="0" xfId="232" applyNumberFormat="1" applyAlignment="1">
      <alignment horizontal="left" vertical="top"/>
    </xf>
    <xf numFmtId="0" fontId="199" fillId="0" borderId="0" xfId="232" applyFont="1" applyAlignment="1">
      <alignment horizontal="left" vertical="center"/>
    </xf>
    <xf numFmtId="0" fontId="57" fillId="0" borderId="70" xfId="45" applyFont="1" applyBorder="1" applyAlignment="1" applyProtection="1">
      <alignment horizontal="left" wrapText="1"/>
    </xf>
    <xf numFmtId="0" fontId="63" fillId="0" borderId="0" xfId="232" applyFont="1" applyAlignment="1">
      <alignment vertical="center"/>
    </xf>
    <xf numFmtId="173" fontId="69" fillId="0" borderId="0" xfId="232" applyNumberFormat="1" applyFont="1" applyAlignment="1">
      <alignment horizontal="left" vertical="top"/>
    </xf>
    <xf numFmtId="0" fontId="69" fillId="0" borderId="0" xfId="45" applyFont="1" applyAlignment="1" applyProtection="1">
      <alignment horizontal="right" vertical="top"/>
    </xf>
    <xf numFmtId="37" fontId="12" fillId="0" borderId="0" xfId="45" applyNumberFormat="1" applyFont="1" applyAlignment="1" applyProtection="1">
      <alignment horizontal="right"/>
    </xf>
    <xf numFmtId="0" fontId="21" fillId="0" borderId="0" xfId="45" applyFont="1" applyAlignment="1" applyProtection="1">
      <alignment horizontal="left" vertical="center"/>
    </xf>
    <xf numFmtId="0" fontId="32" fillId="0" borderId="0" xfId="45" applyAlignment="1" applyProtection="1">
      <alignment horizontal="left" vertical="center"/>
    </xf>
    <xf numFmtId="0" fontId="145" fillId="0" borderId="0" xfId="232" applyFont="1" applyAlignment="1">
      <alignment vertical="center"/>
    </xf>
    <xf numFmtId="172" fontId="15" fillId="0" borderId="0" xfId="25" applyNumberFormat="1" applyAlignment="1" applyProtection="1">
      <alignment horizontal="left" vertical="top"/>
    </xf>
    <xf numFmtId="37" fontId="76" fillId="0" borderId="70" xfId="45" applyNumberFormat="1" applyFont="1" applyBorder="1" applyAlignment="1" applyProtection="1">
      <alignment horizontal="right" vertical="center"/>
    </xf>
    <xf numFmtId="0" fontId="76" fillId="0" borderId="70" xfId="45" applyFont="1" applyBorder="1" applyAlignment="1" applyProtection="1">
      <alignment horizontal="left" vertical="center" wrapText="1"/>
    </xf>
    <xf numFmtId="0" fontId="12" fillId="0" borderId="70" xfId="25" applyFont="1" applyBorder="1" applyAlignment="1" applyProtection="1">
      <alignment horizontal="left" vertical="center" wrapText="1"/>
    </xf>
    <xf numFmtId="172" fontId="117" fillId="0" borderId="70" xfId="232" applyNumberFormat="1" applyFont="1" applyBorder="1" applyAlignment="1">
      <alignment horizontal="right" vertical="center" wrapText="1"/>
    </xf>
    <xf numFmtId="39" fontId="12" fillId="0" borderId="70" xfId="232" applyNumberFormat="1" applyFont="1" applyBorder="1" applyAlignment="1">
      <alignment horizontal="right" vertical="center"/>
    </xf>
    <xf numFmtId="0" fontId="3" fillId="0" borderId="70" xfId="232" applyBorder="1" applyAlignment="1">
      <alignment horizontal="left" vertical="center"/>
    </xf>
    <xf numFmtId="0" fontId="3" fillId="0" borderId="0" xfId="232" applyAlignment="1">
      <alignment vertical="center"/>
    </xf>
    <xf numFmtId="172" fontId="117" fillId="0" borderId="70" xfId="232" applyNumberFormat="1" applyFont="1" applyBorder="1" applyAlignment="1">
      <alignment horizontal="right" wrapText="1"/>
    </xf>
    <xf numFmtId="0" fontId="12" fillId="0" borderId="70" xfId="33" applyFont="1" applyBorder="1" applyAlignment="1">
      <alignment horizontal="left" wrapText="1"/>
    </xf>
    <xf numFmtId="4" fontId="12" fillId="5" borderId="70" xfId="125" applyNumberFormat="1" applyFont="1" applyFill="1" applyBorder="1" applyAlignment="1" applyProtection="1">
      <alignment horizontal="right"/>
    </xf>
    <xf numFmtId="0" fontId="85" fillId="0" borderId="0" xfId="125" applyFont="1" applyAlignment="1" applyProtection="1">
      <alignment vertical="center"/>
    </xf>
    <xf numFmtId="37" fontId="83" fillId="0" borderId="70" xfId="125" applyNumberFormat="1" applyFont="1" applyBorder="1" applyAlignment="1" applyProtection="1">
      <alignment horizontal="right"/>
    </xf>
    <xf numFmtId="172" fontId="57" fillId="0" borderId="70" xfId="125" applyNumberFormat="1" applyFont="1" applyBorder="1" applyAlignment="1" applyProtection="1">
      <alignment horizontal="right" wrapText="1"/>
    </xf>
    <xf numFmtId="4" fontId="30" fillId="0" borderId="0" xfId="125" applyNumberFormat="1" applyAlignment="1" applyProtection="1">
      <alignment vertical="top"/>
    </xf>
    <xf numFmtId="0" fontId="15" fillId="0" borderId="70" xfId="125" applyFont="1" applyBorder="1" applyAlignment="1" applyProtection="1">
      <alignment horizontal="center" vertical="center"/>
    </xf>
    <xf numFmtId="0" fontId="30" fillId="0" borderId="0" xfId="125" applyAlignment="1" applyProtection="1">
      <alignment vertical="top"/>
    </xf>
    <xf numFmtId="0" fontId="15" fillId="0" borderId="0" xfId="22" applyFont="1" applyAlignment="1">
      <alignment horizontal="left" vertical="center"/>
    </xf>
    <xf numFmtId="0" fontId="30" fillId="0" borderId="0" xfId="125" applyAlignment="1" applyProtection="1">
      <alignment vertical="center"/>
    </xf>
    <xf numFmtId="4" fontId="57" fillId="5" borderId="70" xfId="125" applyNumberFormat="1" applyFont="1" applyFill="1" applyBorder="1" applyAlignment="1" applyProtection="1">
      <alignment horizontal="right"/>
    </xf>
    <xf numFmtId="0" fontId="30" fillId="0" borderId="70" xfId="125" applyBorder="1" applyAlignment="1" applyProtection="1">
      <alignment horizontal="left" vertical="top"/>
    </xf>
    <xf numFmtId="2" fontId="338" fillId="0" borderId="0" xfId="125" applyNumberFormat="1" applyFont="1" applyAlignment="1" applyProtection="1">
      <alignment vertical="center"/>
    </xf>
    <xf numFmtId="0" fontId="15" fillId="0" borderId="0" xfId="25" applyAlignment="1" applyProtection="1">
      <alignment vertical="center"/>
    </xf>
    <xf numFmtId="0" fontId="103" fillId="0" borderId="0" xfId="125" applyFont="1" applyAlignment="1" applyProtection="1">
      <alignment horizontal="left" vertical="center"/>
    </xf>
    <xf numFmtId="2" fontId="176" fillId="0" borderId="0" xfId="125" applyNumberFormat="1" applyFont="1" applyAlignment="1" applyProtection="1">
      <alignment horizontal="right" vertical="center"/>
    </xf>
    <xf numFmtId="172" fontId="64" fillId="0" borderId="70" xfId="125" applyNumberFormat="1" applyFont="1" applyBorder="1" applyAlignment="1" applyProtection="1">
      <alignment horizontal="right"/>
    </xf>
    <xf numFmtId="4" fontId="32" fillId="0" borderId="0" xfId="125" applyNumberFormat="1" applyFont="1" applyAlignment="1" applyProtection="1">
      <alignment horizontal="left" vertical="top"/>
    </xf>
    <xf numFmtId="172" fontId="32" fillId="0" borderId="0" xfId="125" applyNumberFormat="1" applyFont="1" applyAlignment="1" applyProtection="1">
      <alignment horizontal="left" vertical="top"/>
    </xf>
    <xf numFmtId="172" fontId="57" fillId="0" borderId="70" xfId="26" applyNumberFormat="1" applyFont="1" applyBorder="1" applyAlignment="1" applyProtection="1">
      <alignment horizontal="right"/>
    </xf>
    <xf numFmtId="39" fontId="64" fillId="0" borderId="70" xfId="125" applyNumberFormat="1" applyFont="1" applyBorder="1" applyAlignment="1" applyProtection="1">
      <alignment horizontal="center"/>
    </xf>
    <xf numFmtId="0" fontId="80" fillId="0" borderId="0" xfId="125" applyFont="1" applyAlignment="1" applyProtection="1">
      <alignment horizontal="right" vertical="center"/>
    </xf>
    <xf numFmtId="0" fontId="105" fillId="0" borderId="0" xfId="125" applyFont="1" applyAlignment="1" applyProtection="1">
      <alignment vertical="center"/>
    </xf>
    <xf numFmtId="4" fontId="103" fillId="0" borderId="0" xfId="125" applyNumberFormat="1" applyFont="1" applyAlignment="1" applyProtection="1">
      <alignment horizontal="center" vertical="center"/>
    </xf>
    <xf numFmtId="0" fontId="202" fillId="0" borderId="70" xfId="125" applyFont="1" applyBorder="1" applyAlignment="1" applyProtection="1">
      <alignment horizontal="left" wrapText="1"/>
    </xf>
    <xf numFmtId="172" fontId="71" fillId="0" borderId="70" xfId="125" applyNumberFormat="1" applyFont="1" applyBorder="1" applyAlignment="1" applyProtection="1">
      <alignment horizontal="right"/>
    </xf>
    <xf numFmtId="4" fontId="202" fillId="0" borderId="70" xfId="125" applyNumberFormat="1" applyFont="1" applyBorder="1" applyAlignment="1" applyProtection="1">
      <alignment horizontal="right"/>
    </xf>
    <xf numFmtId="39" fontId="202" fillId="0" borderId="70" xfId="125" applyNumberFormat="1" applyFont="1" applyBorder="1" applyAlignment="1" applyProtection="1">
      <alignment horizontal="center"/>
    </xf>
    <xf numFmtId="37" fontId="156" fillId="0" borderId="0" xfId="229" applyNumberFormat="1" applyFont="1" applyAlignment="1">
      <alignment horizontal="right"/>
    </xf>
    <xf numFmtId="0" fontId="156" fillId="0" borderId="0" xfId="229" applyFont="1" applyAlignment="1">
      <alignment horizontal="left" wrapText="1"/>
    </xf>
    <xf numFmtId="176" fontId="156" fillId="0" borderId="0" xfId="229" applyNumberFormat="1" applyFont="1" applyAlignment="1">
      <alignment horizontal="right"/>
    </xf>
    <xf numFmtId="39" fontId="156" fillId="0" borderId="0" xfId="229" applyNumberFormat="1" applyFont="1" applyAlignment="1">
      <alignment horizontal="right"/>
    </xf>
    <xf numFmtId="0" fontId="3" fillId="0" borderId="0" xfId="229" applyAlignment="1">
      <alignment horizontal="left" vertical="top"/>
    </xf>
    <xf numFmtId="37" fontId="12" fillId="0" borderId="51" xfId="229" applyNumberFormat="1" applyFont="1" applyBorder="1" applyAlignment="1">
      <alignment horizontal="right"/>
    </xf>
    <xf numFmtId="0" fontId="12" fillId="0" borderId="51" xfId="229" applyFont="1" applyBorder="1" applyAlignment="1">
      <alignment horizontal="left" wrapText="1"/>
    </xf>
    <xf numFmtId="0" fontId="12" fillId="0" borderId="51" xfId="229" applyFont="1" applyBorder="1" applyAlignment="1">
      <alignment horizontal="center" wrapText="1"/>
    </xf>
    <xf numFmtId="176" fontId="12" fillId="0" borderId="51" xfId="229" applyNumberFormat="1" applyFont="1" applyBorder="1" applyAlignment="1">
      <alignment horizontal="right"/>
    </xf>
    <xf numFmtId="39" fontId="12" fillId="0" borderId="51" xfId="229" applyNumberFormat="1" applyFont="1" applyBorder="1" applyAlignment="1">
      <alignment horizontal="right"/>
    </xf>
    <xf numFmtId="0" fontId="172" fillId="0" borderId="0" xfId="229" applyFont="1" applyAlignment="1">
      <alignment horizontal="left" vertical="top"/>
    </xf>
    <xf numFmtId="0" fontId="64" fillId="0" borderId="39" xfId="3" applyFont="1" applyBorder="1" applyAlignment="1">
      <alignment horizontal="left"/>
    </xf>
    <xf numFmtId="0" fontId="83" fillId="0" borderId="40" xfId="229" applyFont="1" applyBorder="1" applyAlignment="1">
      <alignment horizontal="center"/>
    </xf>
    <xf numFmtId="176" fontId="83" fillId="0" borderId="40" xfId="229" applyNumberFormat="1" applyFont="1" applyBorder="1" applyAlignment="1">
      <alignment horizontal="right"/>
    </xf>
    <xf numFmtId="39" fontId="12" fillId="0" borderId="40" xfId="229" applyNumberFormat="1" applyFont="1" applyBorder="1" applyAlignment="1">
      <alignment horizontal="right"/>
    </xf>
    <xf numFmtId="39" fontId="64" fillId="0" borderId="33" xfId="229" applyNumberFormat="1" applyFont="1" applyBorder="1" applyAlignment="1">
      <alignment horizontal="right"/>
    </xf>
    <xf numFmtId="39" fontId="202" fillId="0" borderId="0" xfId="229" applyNumberFormat="1" applyFont="1" applyAlignment="1">
      <alignment horizontal="center"/>
    </xf>
    <xf numFmtId="37" fontId="83" fillId="0" borderId="0" xfId="229" applyNumberFormat="1" applyFont="1" applyAlignment="1">
      <alignment horizontal="right"/>
    </xf>
    <xf numFmtId="0" fontId="83" fillId="0" borderId="0" xfId="229" applyFont="1" applyAlignment="1">
      <alignment horizontal="left" wrapText="1"/>
    </xf>
    <xf numFmtId="0" fontId="12" fillId="0" borderId="0" xfId="229" applyFont="1" applyAlignment="1">
      <alignment horizontal="left" wrapText="1"/>
    </xf>
    <xf numFmtId="0" fontId="83" fillId="0" borderId="0" xfId="229" applyFont="1" applyAlignment="1">
      <alignment horizontal="center" wrapText="1"/>
    </xf>
    <xf numFmtId="176" fontId="83" fillId="0" borderId="0" xfId="229" applyNumberFormat="1" applyFont="1" applyAlignment="1">
      <alignment horizontal="right"/>
    </xf>
    <xf numFmtId="39" fontId="83" fillId="0" borderId="0" xfId="229" applyNumberFormat="1" applyFont="1" applyAlignment="1">
      <alignment horizontal="right"/>
    </xf>
    <xf numFmtId="39" fontId="12" fillId="0" borderId="0" xfId="229" applyNumberFormat="1" applyFont="1" applyAlignment="1">
      <alignment horizontal="right"/>
    </xf>
    <xf numFmtId="0" fontId="13" fillId="0" borderId="0" xfId="16" applyFont="1" applyAlignment="1">
      <alignment vertical="center"/>
    </xf>
    <xf numFmtId="0" fontId="13" fillId="0" borderId="0" xfId="16" applyFont="1" applyAlignment="1">
      <alignment horizontal="center" vertical="center" wrapText="1"/>
    </xf>
    <xf numFmtId="4" fontId="31" fillId="0" borderId="0" xfId="154" applyNumberFormat="1"/>
    <xf numFmtId="0" fontId="31" fillId="0" borderId="0" xfId="154" applyAlignment="1">
      <alignment vertical="top"/>
    </xf>
    <xf numFmtId="0" fontId="172" fillId="0" borderId="0" xfId="154" applyFont="1" applyAlignment="1">
      <alignment horizontal="left" vertical="top"/>
    </xf>
    <xf numFmtId="39" fontId="12" fillId="0" borderId="70" xfId="125" applyNumberFormat="1" applyFont="1" applyBorder="1" applyAlignment="1">
      <alignment horizontal="right"/>
      <protection locked="0"/>
    </xf>
    <xf numFmtId="39" fontId="57" fillId="0" borderId="70" xfId="38" applyNumberFormat="1" applyFont="1" applyBorder="1" applyAlignment="1">
      <alignment horizontal="right"/>
      <protection locked="0"/>
    </xf>
    <xf numFmtId="4" fontId="64" fillId="0" borderId="70" xfId="125" applyNumberFormat="1" applyFont="1" applyBorder="1" applyAlignment="1">
      <alignment horizontal="right"/>
      <protection locked="0"/>
    </xf>
    <xf numFmtId="39" fontId="12" fillId="0" borderId="70" xfId="45" applyNumberFormat="1" applyFont="1" applyBorder="1" applyAlignment="1">
      <alignment horizontal="right"/>
      <protection locked="0"/>
    </xf>
    <xf numFmtId="4" fontId="12" fillId="0" borderId="70" xfId="125" applyNumberFormat="1" applyFont="1" applyBorder="1" applyAlignment="1">
      <alignment horizontal="right"/>
      <protection locked="0"/>
    </xf>
    <xf numFmtId="4" fontId="331" fillId="0" borderId="70" xfId="125" applyNumberFormat="1" applyFont="1" applyBorder="1" applyAlignment="1">
      <alignment horizontal="right"/>
      <protection locked="0"/>
    </xf>
    <xf numFmtId="4" fontId="83" fillId="0" borderId="70" xfId="125" applyNumberFormat="1" applyFont="1" applyBorder="1" applyAlignment="1">
      <alignment horizontal="right"/>
      <protection locked="0"/>
    </xf>
    <xf numFmtId="39" fontId="76" fillId="0" borderId="70" xfId="45" applyNumberFormat="1" applyFont="1" applyBorder="1" applyAlignment="1">
      <alignment horizontal="right"/>
      <protection locked="0"/>
    </xf>
    <xf numFmtId="4" fontId="83" fillId="5" borderId="70" xfId="125" applyNumberFormat="1" applyFont="1" applyFill="1" applyBorder="1" applyAlignment="1">
      <alignment horizontal="right"/>
      <protection locked="0"/>
    </xf>
    <xf numFmtId="4" fontId="57" fillId="9" borderId="70" xfId="125" applyNumberFormat="1" applyFont="1" applyFill="1" applyBorder="1" applyAlignment="1">
      <alignment horizontal="right"/>
      <protection locked="0"/>
    </xf>
    <xf numFmtId="4" fontId="202" fillId="0" borderId="70" xfId="125" applyNumberFormat="1" applyFont="1" applyBorder="1" applyAlignment="1">
      <alignment horizontal="right"/>
      <protection locked="0"/>
    </xf>
    <xf numFmtId="0" fontId="2" fillId="0" borderId="0" xfId="245"/>
    <xf numFmtId="0" fontId="2" fillId="0" borderId="0" xfId="246" applyAlignment="1">
      <alignment horizontal="left" wrapText="1"/>
    </xf>
    <xf numFmtId="0" fontId="30" fillId="0" borderId="0" xfId="214" applyAlignment="1" applyProtection="1">
      <alignment vertical="top"/>
    </xf>
    <xf numFmtId="172" fontId="30" fillId="0" borderId="0" xfId="214" applyNumberFormat="1" applyAlignment="1" applyProtection="1">
      <alignment vertical="top"/>
    </xf>
    <xf numFmtId="0" fontId="62" fillId="0" borderId="0" xfId="245" applyFont="1" applyAlignment="1">
      <alignment horizontal="left"/>
    </xf>
    <xf numFmtId="0" fontId="63" fillId="0" borderId="0" xfId="245" applyFont="1" applyAlignment="1">
      <alignment horizontal="left"/>
    </xf>
    <xf numFmtId="0" fontId="62" fillId="0" borderId="0" xfId="245" applyFont="1" applyAlignment="1">
      <alignment horizontal="center"/>
    </xf>
    <xf numFmtId="172" fontId="62" fillId="0" borderId="0" xfId="245" applyNumberFormat="1" applyFont="1" applyAlignment="1">
      <alignment horizontal="left"/>
    </xf>
    <xf numFmtId="0" fontId="201" fillId="0" borderId="0" xfId="245" applyFont="1" applyAlignment="1">
      <alignment horizontal="right" vertical="top"/>
    </xf>
    <xf numFmtId="0" fontId="66" fillId="0" borderId="33" xfId="245" applyFont="1" applyBorder="1" applyAlignment="1">
      <alignment horizontal="center" vertical="center" wrapText="1"/>
    </xf>
    <xf numFmtId="172" fontId="66" fillId="0" borderId="33" xfId="245" applyNumberFormat="1" applyFont="1" applyBorder="1" applyAlignment="1">
      <alignment horizontal="center" vertical="center" wrapText="1"/>
    </xf>
    <xf numFmtId="0" fontId="66" fillId="0" borderId="33" xfId="156" applyFont="1" applyBorder="1" applyAlignment="1">
      <alignment horizontal="center" vertical="center" wrapText="1"/>
    </xf>
    <xf numFmtId="0" fontId="66" fillId="0" borderId="15" xfId="245" applyFont="1" applyBorder="1" applyAlignment="1">
      <alignment horizontal="center" vertical="center" wrapText="1"/>
    </xf>
    <xf numFmtId="0" fontId="32" fillId="0" borderId="0" xfId="156" applyFont="1" applyAlignment="1">
      <alignment horizontal="left" vertical="center"/>
    </xf>
    <xf numFmtId="0" fontId="31" fillId="0" borderId="0" xfId="156" applyAlignment="1">
      <alignment horizontal="left" vertical="center"/>
    </xf>
    <xf numFmtId="0" fontId="91" fillId="0" borderId="0" xfId="245" applyFont="1" applyAlignment="1">
      <alignment horizontal="center" vertical="center"/>
    </xf>
    <xf numFmtId="3" fontId="66" fillId="0" borderId="33" xfId="245" applyNumberFormat="1" applyFont="1" applyBorder="1" applyAlignment="1">
      <alignment horizontal="center" vertical="center" wrapText="1"/>
    </xf>
    <xf numFmtId="0" fontId="66" fillId="0" borderId="39" xfId="245" applyFont="1" applyBorder="1" applyAlignment="1">
      <alignment horizontal="center" vertical="center" wrapText="1"/>
    </xf>
    <xf numFmtId="37" fontId="12" fillId="0" borderId="74" xfId="245" applyNumberFormat="1" applyFont="1" applyBorder="1" applyAlignment="1">
      <alignment horizontal="right"/>
    </xf>
    <xf numFmtId="0" fontId="64" fillId="0" borderId="0" xfId="244" applyFont="1" applyAlignment="1">
      <alignment horizontal="left" wrapText="1"/>
    </xf>
    <xf numFmtId="0" fontId="64" fillId="0" borderId="74" xfId="245" applyFont="1" applyBorder="1" applyAlignment="1">
      <alignment horizontal="left" wrapText="1"/>
    </xf>
    <xf numFmtId="172" fontId="64" fillId="0" borderId="74" xfId="245" applyNumberFormat="1" applyFont="1" applyBorder="1" applyAlignment="1">
      <alignment horizontal="right"/>
    </xf>
    <xf numFmtId="39" fontId="64" fillId="0" borderId="74" xfId="245" applyNumberFormat="1" applyFont="1" applyBorder="1" applyAlignment="1">
      <alignment horizontal="right"/>
    </xf>
    <xf numFmtId="39" fontId="202" fillId="0" borderId="74" xfId="245" applyNumberFormat="1" applyFont="1" applyBorder="1" applyAlignment="1">
      <alignment horizontal="center"/>
    </xf>
    <xf numFmtId="39" fontId="64" fillId="0" borderId="70" xfId="125" applyNumberFormat="1" applyFont="1" applyBorder="1" applyAlignment="1" applyProtection="1">
      <alignment horizontal="right"/>
    </xf>
    <xf numFmtId="4" fontId="12" fillId="0" borderId="70" xfId="214" applyNumberFormat="1" applyFont="1" applyBorder="1" applyAlignment="1" applyProtection="1">
      <alignment horizontal="right"/>
    </xf>
    <xf numFmtId="37" fontId="12" fillId="0" borderId="70" xfId="142" applyNumberFormat="1" applyFont="1" applyBorder="1" applyAlignment="1">
      <alignment horizontal="right"/>
    </xf>
    <xf numFmtId="1" fontId="12" fillId="0" borderId="70" xfId="237" applyNumberFormat="1" applyFont="1" applyBorder="1" applyAlignment="1">
      <alignment horizontal="right"/>
    </xf>
    <xf numFmtId="0" fontId="12" fillId="0" borderId="70" xfId="237" applyFont="1" applyBorder="1" applyAlignment="1">
      <alignment horizontal="left" wrapText="1"/>
    </xf>
    <xf numFmtId="172" fontId="12" fillId="0" borderId="70" xfId="237" applyNumberFormat="1" applyFont="1" applyBorder="1" applyAlignment="1">
      <alignment horizontal="right"/>
    </xf>
    <xf numFmtId="4" fontId="12" fillId="0" borderId="70" xfId="237" applyNumberFormat="1" applyFont="1" applyBorder="1" applyAlignment="1">
      <alignment horizontal="right"/>
    </xf>
    <xf numFmtId="0" fontId="2" fillId="0" borderId="0" xfId="237" applyAlignment="1">
      <alignment horizontal="left" vertical="top"/>
    </xf>
    <xf numFmtId="172" fontId="57" fillId="0" borderId="70" xfId="237" applyNumberFormat="1" applyFont="1" applyBorder="1" applyAlignment="1">
      <alignment horizontal="right"/>
    </xf>
    <xf numFmtId="0" fontId="93" fillId="0" borderId="0" xfId="237" applyFont="1" applyAlignment="1">
      <alignment horizontal="left" vertical="center"/>
    </xf>
    <xf numFmtId="49" fontId="12" fillId="0" borderId="70" xfId="237" applyNumberFormat="1" applyFont="1" applyBorder="1" applyAlignment="1">
      <alignment horizontal="right" wrapText="1"/>
    </xf>
    <xf numFmtId="49" fontId="12" fillId="0" borderId="70" xfId="237" applyNumberFormat="1" applyFont="1" applyBorder="1" applyAlignment="1">
      <alignment horizontal="left" wrapText="1"/>
    </xf>
    <xf numFmtId="39" fontId="12" fillId="0" borderId="70" xfId="237" applyNumberFormat="1" applyFont="1" applyBorder="1" applyAlignment="1">
      <alignment horizontal="right"/>
    </xf>
    <xf numFmtId="39" fontId="12" fillId="0" borderId="0" xfId="237" applyNumberFormat="1" applyFont="1" applyAlignment="1">
      <alignment horizontal="center"/>
    </xf>
    <xf numFmtId="0" fontId="57" fillId="0" borderId="70" xfId="237" applyFont="1" applyBorder="1" applyAlignment="1">
      <alignment horizontal="left" wrapText="1"/>
    </xf>
    <xf numFmtId="0" fontId="2" fillId="0" borderId="70" xfId="237" applyBorder="1" applyAlignment="1">
      <alignment vertical="top"/>
    </xf>
    <xf numFmtId="39" fontId="12" fillId="0" borderId="0" xfId="237" applyNumberFormat="1" applyFont="1" applyAlignment="1">
      <alignment horizontal="left"/>
    </xf>
    <xf numFmtId="172" fontId="12" fillId="0" borderId="70" xfId="79" applyNumberFormat="1" applyFont="1" applyBorder="1" applyAlignment="1" applyProtection="1">
      <alignment horizontal="right" wrapText="1"/>
    </xf>
    <xf numFmtId="0" fontId="71" fillId="0" borderId="70" xfId="237" applyFont="1" applyBorder="1" applyAlignment="1">
      <alignment horizontal="left" wrapText="1"/>
    </xf>
    <xf numFmtId="0" fontId="64" fillId="0" borderId="70" xfId="25" applyFont="1" applyBorder="1" applyAlignment="1" applyProtection="1">
      <alignment horizontal="left" wrapText="1"/>
    </xf>
    <xf numFmtId="39" fontId="12" fillId="0" borderId="70" xfId="25" applyNumberFormat="1" applyFont="1" applyBorder="1" applyAlignment="1" applyProtection="1">
      <alignment horizontal="right"/>
    </xf>
    <xf numFmtId="0" fontId="82" fillId="0" borderId="0" xfId="25" applyFont="1" applyAlignment="1" applyProtection="1">
      <alignment horizontal="left" vertical="center"/>
    </xf>
    <xf numFmtId="0" fontId="71" fillId="0" borderId="70" xfId="125" applyFont="1" applyBorder="1" applyAlignment="1" applyProtection="1">
      <alignment horizontal="left" wrapText="1"/>
    </xf>
    <xf numFmtId="0" fontId="74" fillId="0" borderId="0" xfId="125" applyFont="1" applyAlignment="1" applyProtection="1">
      <alignment horizontal="left" vertical="top"/>
    </xf>
    <xf numFmtId="0" fontId="203" fillId="0" borderId="0" xfId="125" applyFont="1" applyAlignment="1" applyProtection="1">
      <alignment horizontal="left" vertical="top"/>
    </xf>
    <xf numFmtId="37" fontId="71" fillId="0" borderId="70" xfId="125" applyNumberFormat="1" applyFont="1" applyBorder="1" applyAlignment="1" applyProtection="1">
      <alignment horizontal="right"/>
    </xf>
    <xf numFmtId="4" fontId="57" fillId="0" borderId="70" xfId="237" applyNumberFormat="1" applyFont="1" applyBorder="1" applyAlignment="1">
      <alignment horizontal="right"/>
    </xf>
    <xf numFmtId="0" fontId="14" fillId="0" borderId="0" xfId="125" applyFont="1" applyAlignment="1" applyProtection="1">
      <alignment horizontal="left" vertical="center"/>
    </xf>
    <xf numFmtId="0" fontId="14" fillId="0" borderId="0" xfId="125" applyFont="1" applyAlignment="1" applyProtection="1">
      <alignment horizontal="left" vertical="top"/>
    </xf>
    <xf numFmtId="0" fontId="53" fillId="0" borderId="0" xfId="3" applyFont="1" applyAlignment="1">
      <alignment horizontal="left" vertical="top"/>
    </xf>
    <xf numFmtId="0" fontId="4" fillId="0" borderId="0" xfId="195" applyAlignment="1">
      <alignment horizontal="left" vertical="top"/>
    </xf>
    <xf numFmtId="0" fontId="31" fillId="0" borderId="0" xfId="156" applyAlignment="1">
      <alignment horizontal="left" vertical="top"/>
    </xf>
    <xf numFmtId="0" fontId="14" fillId="0" borderId="0" xfId="3" applyAlignment="1">
      <alignment horizontal="right"/>
    </xf>
    <xf numFmtId="0" fontId="20" fillId="0" borderId="0" xfId="3" applyFont="1" applyAlignment="1">
      <alignment horizontal="left" vertical="top"/>
    </xf>
    <xf numFmtId="0" fontId="57" fillId="0" borderId="70" xfId="199" applyFont="1" applyBorder="1" applyAlignment="1" applyProtection="1">
      <alignment horizontal="left" vertical="center" wrapText="1"/>
    </xf>
    <xf numFmtId="0" fontId="85" fillId="0" borderId="70" xfId="125" applyFont="1" applyBorder="1" applyAlignment="1" applyProtection="1">
      <alignment horizontal="right" vertical="center"/>
    </xf>
    <xf numFmtId="2" fontId="85" fillId="0" borderId="0" xfId="125" applyNumberFormat="1" applyFont="1" applyAlignment="1" applyProtection="1">
      <alignment vertical="center"/>
    </xf>
    <xf numFmtId="0" fontId="64" fillId="0" borderId="70" xfId="237" applyFont="1" applyBorder="1" applyAlignment="1">
      <alignment horizontal="left" wrapText="1"/>
    </xf>
    <xf numFmtId="172" fontId="64" fillId="0" borderId="70" xfId="237" applyNumberFormat="1" applyFont="1" applyBorder="1" applyAlignment="1">
      <alignment horizontal="right"/>
    </xf>
    <xf numFmtId="39" fontId="12" fillId="0" borderId="70" xfId="237" applyNumberFormat="1" applyFont="1" applyBorder="1" applyAlignment="1">
      <alignment horizontal="center"/>
    </xf>
    <xf numFmtId="0" fontId="89" fillId="0" borderId="0" xfId="237" applyFont="1" applyAlignment="1">
      <alignment horizontal="left" vertical="top"/>
    </xf>
    <xf numFmtId="0" fontId="99" fillId="0" borderId="0" xfId="237" applyFont="1" applyAlignment="1">
      <alignment horizontal="left" vertical="top"/>
    </xf>
    <xf numFmtId="172" fontId="12" fillId="0" borderId="70" xfId="237" applyNumberFormat="1" applyFont="1" applyBorder="1"/>
    <xf numFmtId="0" fontId="347" fillId="0" borderId="0" xfId="237" applyFont="1" applyAlignment="1">
      <alignment vertical="center"/>
    </xf>
    <xf numFmtId="37" fontId="64" fillId="0" borderId="70" xfId="244" applyNumberFormat="1" applyFont="1" applyBorder="1" applyAlignment="1">
      <alignment horizontal="right"/>
    </xf>
    <xf numFmtId="0" fontId="64" fillId="0" borderId="70" xfId="244" applyFont="1" applyBorder="1" applyAlignment="1">
      <alignment horizontal="left" wrapText="1"/>
    </xf>
    <xf numFmtId="172" fontId="64" fillId="0" borderId="70" xfId="244" applyNumberFormat="1" applyFont="1" applyBorder="1" applyAlignment="1">
      <alignment horizontal="right"/>
    </xf>
    <xf numFmtId="39" fontId="64" fillId="0" borderId="70" xfId="244" applyNumberFormat="1" applyFont="1" applyBorder="1" applyAlignment="1">
      <alignment horizontal="right"/>
    </xf>
    <xf numFmtId="0" fontId="14" fillId="0" borderId="70" xfId="244" applyBorder="1" applyAlignment="1">
      <alignment horizontal="left" vertical="top"/>
    </xf>
    <xf numFmtId="0" fontId="14" fillId="0" borderId="0" xfId="244" applyAlignment="1">
      <alignment horizontal="left" vertical="top"/>
    </xf>
    <xf numFmtId="37" fontId="12" fillId="0" borderId="70" xfId="237" applyNumberFormat="1" applyFont="1" applyBorder="1" applyAlignment="1">
      <alignment horizontal="right"/>
    </xf>
    <xf numFmtId="0" fontId="348" fillId="0" borderId="0" xfId="237" applyFont="1" applyAlignment="1">
      <alignment vertical="top"/>
    </xf>
    <xf numFmtId="0" fontId="348" fillId="0" borderId="0" xfId="237" applyFont="1" applyAlignment="1">
      <alignment vertical="top" wrapText="1"/>
    </xf>
    <xf numFmtId="0" fontId="57" fillId="0" borderId="0" xfId="237" applyFont="1" applyAlignment="1">
      <alignment horizontal="left" wrapText="1"/>
    </xf>
    <xf numFmtId="0" fontId="12" fillId="0" borderId="0" xfId="237" applyFont="1" applyAlignment="1">
      <alignment horizontal="left" wrapText="1"/>
    </xf>
    <xf numFmtId="2" fontId="12" fillId="0" borderId="0" xfId="237" applyNumberFormat="1" applyFont="1" applyAlignment="1">
      <alignment horizontal="right"/>
    </xf>
    <xf numFmtId="39" fontId="12" fillId="0" borderId="0" xfId="237" applyNumberFormat="1" applyFont="1" applyAlignment="1">
      <alignment horizontal="right"/>
    </xf>
    <xf numFmtId="0" fontId="293" fillId="0" borderId="0" xfId="237" applyFont="1" applyAlignment="1">
      <alignment horizontal="left" vertical="center" textRotation="90" wrapText="1"/>
    </xf>
    <xf numFmtId="0" fontId="57" fillId="0" borderId="70" xfId="237" applyFont="1" applyBorder="1" applyAlignment="1">
      <alignment horizontal="left" vertical="center" wrapText="1"/>
    </xf>
    <xf numFmtId="0" fontId="60" fillId="0" borderId="0" xfId="237" applyFont="1" applyAlignment="1">
      <alignment horizontal="left" vertical="center"/>
    </xf>
    <xf numFmtId="0" fontId="46" fillId="0" borderId="0" xfId="207" applyFill="1" applyAlignment="1" applyProtection="1">
      <alignment horizontal="left" vertical="top"/>
    </xf>
    <xf numFmtId="0" fontId="20" fillId="0" borderId="0" xfId="125" applyFont="1" applyAlignment="1" applyProtection="1">
      <alignment horizontal="right" vertical="center"/>
    </xf>
    <xf numFmtId="0" fontId="349" fillId="0" borderId="0" xfId="131" applyFont="1" applyAlignment="1" applyProtection="1">
      <alignment horizontal="left" vertical="center"/>
    </xf>
    <xf numFmtId="7" fontId="142" fillId="0" borderId="70" xfId="237" applyNumberFormat="1" applyFont="1" applyBorder="1" applyAlignment="1">
      <alignment horizontal="right"/>
    </xf>
    <xf numFmtId="0" fontId="46" fillId="0" borderId="0" xfId="207" applyFill="1" applyAlignment="1" applyProtection="1">
      <alignment horizontal="left" vertical="center"/>
    </xf>
    <xf numFmtId="0" fontId="204" fillId="0" borderId="0" xfId="131" applyFont="1" applyAlignment="1" applyProtection="1">
      <alignment horizontal="center" vertical="center"/>
    </xf>
    <xf numFmtId="4" fontId="2" fillId="0" borderId="0" xfId="237" applyNumberFormat="1" applyAlignment="1">
      <alignment horizontal="left" vertical="top"/>
    </xf>
    <xf numFmtId="37" fontId="12" fillId="0" borderId="70" xfId="244" applyNumberFormat="1" applyFont="1" applyBorder="1" applyAlignment="1">
      <alignment horizontal="right"/>
    </xf>
    <xf numFmtId="0" fontId="12" fillId="0" borderId="70" xfId="244" applyFont="1" applyBorder="1" applyAlignment="1">
      <alignment horizontal="left" wrapText="1"/>
    </xf>
    <xf numFmtId="172" fontId="12" fillId="0" borderId="70" xfId="244" applyNumberFormat="1" applyFont="1" applyBorder="1" applyAlignment="1">
      <alignment horizontal="right"/>
    </xf>
    <xf numFmtId="39" fontId="12" fillId="0" borderId="70" xfId="244" applyNumberFormat="1" applyFont="1" applyBorder="1" applyAlignment="1">
      <alignment horizontal="right"/>
    </xf>
    <xf numFmtId="0" fontId="15" fillId="0" borderId="0" xfId="131" applyAlignment="1" applyProtection="1">
      <alignment horizontal="left" vertical="top"/>
    </xf>
    <xf numFmtId="0" fontId="203" fillId="0" borderId="0" xfId="244" applyFont="1" applyAlignment="1">
      <alignment vertical="top"/>
    </xf>
    <xf numFmtId="0" fontId="203" fillId="0" borderId="0" xfId="244" applyFont="1" applyAlignment="1">
      <alignment horizontal="left" vertical="top"/>
    </xf>
    <xf numFmtId="2" fontId="176" fillId="0" borderId="0" xfId="125" applyNumberFormat="1" applyFont="1" applyAlignment="1" applyProtection="1">
      <alignment horizontal="left" vertical="center"/>
    </xf>
    <xf numFmtId="39" fontId="12" fillId="0" borderId="71" xfId="237" applyNumberFormat="1" applyFont="1" applyBorder="1" applyAlignment="1">
      <alignment horizontal="right"/>
    </xf>
    <xf numFmtId="0" fontId="91" fillId="0" borderId="0" xfId="237" applyFont="1" applyAlignment="1">
      <alignment horizontal="left" vertical="center"/>
    </xf>
    <xf numFmtId="37" fontId="12" fillId="0" borderId="70" xfId="131" applyNumberFormat="1" applyFont="1" applyBorder="1" applyAlignment="1" applyProtection="1">
      <alignment horizontal="right"/>
    </xf>
    <xf numFmtId="49" fontId="12" fillId="0" borderId="70" xfId="244" applyNumberFormat="1" applyFont="1" applyBorder="1" applyAlignment="1">
      <alignment horizontal="left" wrapText="1"/>
    </xf>
    <xf numFmtId="0" fontId="12" fillId="0" borderId="70" xfId="131" applyFont="1" applyBorder="1" applyAlignment="1" applyProtection="1">
      <alignment horizontal="left" wrapText="1"/>
    </xf>
    <xf numFmtId="172" fontId="57" fillId="0" borderId="70" xfId="12" applyNumberFormat="1" applyFont="1" applyBorder="1" applyAlignment="1" applyProtection="1">
      <alignment horizontal="right"/>
    </xf>
    <xf numFmtId="39" fontId="12" fillId="0" borderId="71" xfId="131" applyNumberFormat="1" applyFont="1" applyBorder="1" applyAlignment="1" applyProtection="1">
      <alignment horizontal="right"/>
    </xf>
    <xf numFmtId="0" fontId="15" fillId="0" borderId="63" xfId="131" applyBorder="1" applyAlignment="1" applyProtection="1">
      <alignment horizontal="right" vertical="top"/>
    </xf>
    <xf numFmtId="0" fontId="153" fillId="0" borderId="0" xfId="131" applyFont="1" applyAlignment="1" applyProtection="1">
      <alignment horizontal="left" vertical="top"/>
    </xf>
    <xf numFmtId="1" fontId="64" fillId="0" borderId="34" xfId="237" applyNumberFormat="1" applyFont="1" applyBorder="1" applyAlignment="1">
      <alignment horizontal="right"/>
    </xf>
    <xf numFmtId="0" fontId="64" fillId="0" borderId="34" xfId="237" applyFont="1" applyBorder="1" applyAlignment="1">
      <alignment horizontal="left" wrapText="1"/>
    </xf>
    <xf numFmtId="172" fontId="64" fillId="0" borderId="34" xfId="237" applyNumberFormat="1" applyFont="1" applyBorder="1" applyAlignment="1">
      <alignment horizontal="right"/>
    </xf>
    <xf numFmtId="4" fontId="64" fillId="0" borderId="34" xfId="237" applyNumberFormat="1" applyFont="1" applyBorder="1" applyAlignment="1">
      <alignment horizontal="right"/>
    </xf>
    <xf numFmtId="0" fontId="15" fillId="0" borderId="18" xfId="131" applyBorder="1" applyAlignment="1" applyProtection="1">
      <alignment horizontal="left" vertical="top"/>
    </xf>
    <xf numFmtId="37" fontId="12" fillId="0" borderId="34" xfId="125" applyNumberFormat="1" applyFont="1" applyBorder="1" applyAlignment="1" applyProtection="1">
      <alignment horizontal="right"/>
    </xf>
    <xf numFmtId="0" fontId="12" fillId="0" borderId="34" xfId="125" applyFont="1" applyBorder="1" applyAlignment="1" applyProtection="1">
      <alignment horizontal="left" wrapText="1"/>
    </xf>
    <xf numFmtId="2" fontId="12" fillId="0" borderId="34" xfId="125" applyNumberFormat="1" applyFont="1" applyBorder="1" applyAlignment="1" applyProtection="1"/>
    <xf numFmtId="4" fontId="12" fillId="0" borderId="34" xfId="125" applyNumberFormat="1" applyFont="1" applyBorder="1" applyAlignment="1" applyProtection="1">
      <alignment horizontal="right"/>
    </xf>
    <xf numFmtId="39" fontId="12" fillId="0" borderId="34" xfId="237" applyNumberFormat="1" applyFont="1" applyBorder="1" applyAlignment="1">
      <alignment horizontal="center"/>
    </xf>
    <xf numFmtId="37" fontId="331" fillId="0" borderId="34" xfId="125" applyNumberFormat="1" applyFont="1" applyBorder="1" applyAlignment="1" applyProtection="1">
      <alignment horizontal="right"/>
    </xf>
    <xf numFmtId="0" fontId="331" fillId="0" borderId="34" xfId="125" applyFont="1" applyBorder="1" applyAlignment="1" applyProtection="1">
      <alignment horizontal="left" wrapText="1"/>
    </xf>
    <xf numFmtId="0" fontId="57" fillId="0" borderId="34" xfId="125" applyFont="1" applyBorder="1" applyAlignment="1" applyProtection="1">
      <alignment horizontal="left" wrapText="1"/>
    </xf>
    <xf numFmtId="2" fontId="57" fillId="0" borderId="34" xfId="125" applyNumberFormat="1" applyFont="1" applyBorder="1" applyAlignment="1" applyProtection="1">
      <alignment horizontal="right"/>
    </xf>
    <xf numFmtId="39" fontId="13" fillId="0" borderId="34" xfId="125" applyNumberFormat="1" applyFont="1" applyBorder="1" applyAlignment="1" applyProtection="1">
      <alignment horizontal="center"/>
    </xf>
    <xf numFmtId="37" fontId="57" fillId="0" borderId="34" xfId="125" applyNumberFormat="1" applyFont="1" applyBorder="1" applyAlignment="1" applyProtection="1">
      <alignment horizontal="right"/>
    </xf>
    <xf numFmtId="49" fontId="83" fillId="0" borderId="34" xfId="125" applyNumberFormat="1" applyFont="1" applyBorder="1" applyAlignment="1" applyProtection="1">
      <alignment horizontal="left" wrapText="1"/>
    </xf>
    <xf numFmtId="0" fontId="83" fillId="0" borderId="34" xfId="125" applyFont="1" applyBorder="1" applyAlignment="1" applyProtection="1">
      <alignment horizontal="left" wrapText="1"/>
    </xf>
    <xf numFmtId="0" fontId="57" fillId="0" borderId="34" xfId="44" applyFont="1" applyBorder="1" applyAlignment="1" applyProtection="1">
      <alignment horizontal="left" vertical="center" wrapText="1"/>
    </xf>
    <xf numFmtId="172" fontId="117" fillId="0" borderId="34" xfId="125" applyNumberFormat="1" applyFont="1" applyBorder="1" applyAlignment="1" applyProtection="1">
      <alignment horizontal="right" wrapText="1"/>
    </xf>
    <xf numFmtId="2" fontId="30" fillId="0" borderId="34" xfId="125" applyNumberFormat="1" applyBorder="1" applyAlignment="1" applyProtection="1">
      <alignment horizontal="left" vertical="top"/>
    </xf>
    <xf numFmtId="37" fontId="12" fillId="0" borderId="34" xfId="237" applyNumberFormat="1" applyFont="1" applyBorder="1" applyAlignment="1">
      <alignment horizontal="right"/>
    </xf>
    <xf numFmtId="49" fontId="12" fillId="0" borderId="34" xfId="237" applyNumberFormat="1" applyFont="1" applyBorder="1" applyAlignment="1">
      <alignment horizontal="left" wrapText="1"/>
    </xf>
    <xf numFmtId="0" fontId="12" fillId="0" borderId="34" xfId="237" applyFont="1" applyBorder="1" applyAlignment="1">
      <alignment horizontal="left" wrapText="1"/>
    </xf>
    <xf numFmtId="172" fontId="12" fillId="0" borderId="34" xfId="79" applyNumberFormat="1" applyFont="1" applyBorder="1" applyAlignment="1" applyProtection="1">
      <alignment horizontal="right" wrapText="1"/>
    </xf>
    <xf numFmtId="39" fontId="12" fillId="0" borderId="34" xfId="237" applyNumberFormat="1" applyFont="1" applyBorder="1" applyAlignment="1">
      <alignment horizontal="right"/>
    </xf>
    <xf numFmtId="4" fontId="12" fillId="0" borderId="34" xfId="214" applyNumberFormat="1" applyFont="1" applyBorder="1" applyAlignment="1" applyProtection="1">
      <alignment horizontal="right"/>
    </xf>
    <xf numFmtId="0" fontId="20" fillId="0" borderId="0" xfId="125" applyFont="1" applyAlignment="1" applyProtection="1">
      <alignment horizontal="right"/>
    </xf>
    <xf numFmtId="0" fontId="14" fillId="0" borderId="34" xfId="237" applyFont="1" applyBorder="1" applyAlignment="1">
      <alignment horizontal="left" wrapText="1"/>
    </xf>
    <xf numFmtId="0" fontId="57" fillId="0" borderId="34" xfId="237" applyFont="1" applyBorder="1" applyAlignment="1">
      <alignment horizontal="left" wrapText="1"/>
    </xf>
    <xf numFmtId="172" fontId="57" fillId="0" borderId="34" xfId="237" applyNumberFormat="1" applyFont="1" applyBorder="1" applyAlignment="1">
      <alignment horizontal="right"/>
    </xf>
    <xf numFmtId="0" fontId="20" fillId="0" borderId="0" xfId="125" applyFont="1" applyAlignment="1" applyProtection="1">
      <alignment horizontal="right" vertical="top"/>
    </xf>
    <xf numFmtId="0" fontId="14" fillId="0" borderId="34" xfId="237" applyFont="1" applyBorder="1" applyAlignment="1">
      <alignment horizontal="left" vertical="top" wrapText="1"/>
    </xf>
    <xf numFmtId="0" fontId="20" fillId="0" borderId="0" xfId="125" applyFont="1" applyAlignment="1" applyProtection="1">
      <alignment horizontal="left" vertical="center"/>
    </xf>
    <xf numFmtId="37" fontId="12" fillId="0" borderId="34" xfId="244" applyNumberFormat="1" applyFont="1" applyBorder="1" applyAlignment="1">
      <alignment horizontal="right"/>
    </xf>
    <xf numFmtId="0" fontId="64" fillId="0" borderId="34" xfId="244" applyFont="1" applyBorder="1" applyAlignment="1">
      <alignment horizontal="left" wrapText="1"/>
    </xf>
    <xf numFmtId="172" fontId="64" fillId="0" borderId="34" xfId="244" applyNumberFormat="1" applyFont="1" applyBorder="1" applyAlignment="1">
      <alignment horizontal="right"/>
    </xf>
    <xf numFmtId="39" fontId="64" fillId="0" borderId="34" xfId="244" applyNumberFormat="1" applyFont="1" applyBorder="1" applyAlignment="1">
      <alignment horizontal="right"/>
    </xf>
    <xf numFmtId="0" fontId="14" fillId="0" borderId="34" xfId="244" applyBorder="1" applyAlignment="1">
      <alignment horizontal="left" vertical="top"/>
    </xf>
    <xf numFmtId="173" fontId="14" fillId="0" borderId="0" xfId="244" applyNumberFormat="1" applyAlignment="1">
      <alignment horizontal="left" vertical="top"/>
    </xf>
    <xf numFmtId="0" fontId="14" fillId="0" borderId="0" xfId="244" applyAlignment="1">
      <alignment vertical="top"/>
    </xf>
    <xf numFmtId="0" fontId="20" fillId="0" borderId="0" xfId="244" applyFont="1" applyAlignment="1">
      <alignment vertical="top"/>
    </xf>
    <xf numFmtId="49" fontId="12" fillId="0" borderId="34" xfId="46" applyNumberFormat="1" applyFont="1" applyBorder="1" applyAlignment="1" applyProtection="1">
      <alignment horizontal="left" wrapText="1"/>
    </xf>
    <xf numFmtId="39" fontId="12" fillId="0" borderId="34" xfId="142" applyNumberFormat="1" applyFont="1" applyBorder="1" applyAlignment="1">
      <alignment horizontal="center"/>
    </xf>
    <xf numFmtId="0" fontId="115" fillId="0" borderId="0" xfId="46" applyFont="1" applyAlignment="1" applyProtection="1">
      <alignment vertical="center"/>
    </xf>
    <xf numFmtId="0" fontId="115" fillId="0" borderId="0" xfId="46" applyFont="1" applyAlignment="1" applyProtection="1">
      <alignment vertical="top" wrapText="1"/>
    </xf>
    <xf numFmtId="0" fontId="32" fillId="0" borderId="0" xfId="46" applyAlignment="1" applyProtection="1">
      <alignment horizontal="left" vertical="top"/>
    </xf>
    <xf numFmtId="0" fontId="343" fillId="0" borderId="0" xfId="46" applyFont="1" applyAlignment="1" applyProtection="1">
      <alignment vertical="center"/>
    </xf>
    <xf numFmtId="0" fontId="70" fillId="0" borderId="0" xfId="46" applyFont="1" applyAlignment="1" applyProtection="1">
      <alignment horizontal="left" vertical="top"/>
    </xf>
    <xf numFmtId="0" fontId="12" fillId="0" borderId="0" xfId="46" applyFont="1" applyAlignment="1" applyProtection="1">
      <alignment horizontal="left" wrapText="1"/>
    </xf>
    <xf numFmtId="2" fontId="12" fillId="0" borderId="0" xfId="46" applyNumberFormat="1" applyFont="1" applyAlignment="1" applyProtection="1">
      <alignment horizontal="right"/>
    </xf>
    <xf numFmtId="39" fontId="12" fillId="0" borderId="0" xfId="46" applyNumberFormat="1" applyFont="1" applyAlignment="1" applyProtection="1">
      <alignment horizontal="right"/>
    </xf>
    <xf numFmtId="39" fontId="12" fillId="0" borderId="0" xfId="46" applyNumberFormat="1" applyFont="1" applyAlignment="1" applyProtection="1">
      <alignment horizontal="center"/>
    </xf>
    <xf numFmtId="171" fontId="293" fillId="0" borderId="0" xfId="46" applyNumberFormat="1" applyFont="1" applyAlignment="1" applyProtection="1">
      <alignment horizontal="left" vertical="center" textRotation="90" wrapText="1"/>
    </xf>
    <xf numFmtId="0" fontId="13" fillId="0" borderId="0" xfId="46" applyFont="1" applyAlignment="1" applyProtection="1">
      <alignment vertical="top" wrapText="1"/>
    </xf>
    <xf numFmtId="0" fontId="13" fillId="0" borderId="0" xfId="46" applyFont="1" applyAlignment="1" applyProtection="1">
      <alignment vertical="top"/>
    </xf>
    <xf numFmtId="0" fontId="202" fillId="0" borderId="34" xfId="46" applyFont="1" applyBorder="1" applyAlignment="1" applyProtection="1">
      <alignment horizontal="left" wrapText="1"/>
    </xf>
    <xf numFmtId="0" fontId="57" fillId="0" borderId="34" xfId="46" applyFont="1" applyBorder="1" applyAlignment="1" applyProtection="1">
      <alignment horizontal="left" wrapText="1"/>
    </xf>
    <xf numFmtId="172" fontId="57" fillId="0" borderId="34" xfId="46" applyNumberFormat="1" applyFont="1" applyBorder="1" applyAlignment="1" applyProtection="1"/>
    <xf numFmtId="39" fontId="202" fillId="0" borderId="34" xfId="46" applyNumberFormat="1" applyFont="1" applyBorder="1" applyAlignment="1" applyProtection="1">
      <alignment horizontal="right"/>
    </xf>
    <xf numFmtId="39" fontId="202" fillId="0" borderId="34" xfId="46" applyNumberFormat="1" applyFont="1" applyBorder="1" applyAlignment="1" applyProtection="1">
      <alignment horizontal="center"/>
    </xf>
    <xf numFmtId="37" fontId="156" fillId="0" borderId="0" xfId="245" applyNumberFormat="1" applyFont="1" applyAlignment="1">
      <alignment horizontal="right"/>
    </xf>
    <xf numFmtId="0" fontId="156" fillId="0" borderId="0" xfId="245" applyFont="1" applyAlignment="1">
      <alignment horizontal="left" wrapText="1"/>
    </xf>
    <xf numFmtId="172" fontId="156" fillId="0" borderId="0" xfId="245" applyNumberFormat="1" applyFont="1" applyAlignment="1">
      <alignment horizontal="right"/>
    </xf>
    <xf numFmtId="39" fontId="156" fillId="0" borderId="0" xfId="245" applyNumberFormat="1" applyFont="1" applyAlignment="1">
      <alignment horizontal="right"/>
    </xf>
    <xf numFmtId="0" fontId="2" fillId="0" borderId="0" xfId="245" applyAlignment="1">
      <alignment horizontal="left" vertical="top"/>
    </xf>
    <xf numFmtId="37" fontId="12" fillId="0" borderId="51" xfId="245" applyNumberFormat="1" applyFont="1" applyBorder="1" applyAlignment="1">
      <alignment horizontal="right"/>
    </xf>
    <xf numFmtId="0" fontId="12" fillId="0" borderId="51" xfId="245" applyFont="1" applyBorder="1" applyAlignment="1">
      <alignment horizontal="left" wrapText="1"/>
    </xf>
    <xf numFmtId="0" fontId="12" fillId="0" borderId="51" xfId="245" applyFont="1" applyBorder="1" applyAlignment="1">
      <alignment horizontal="center" wrapText="1"/>
    </xf>
    <xf numFmtId="172" fontId="12" fillId="0" borderId="51" xfId="245" applyNumberFormat="1" applyFont="1" applyBorder="1" applyAlignment="1">
      <alignment horizontal="right"/>
    </xf>
    <xf numFmtId="39" fontId="12" fillId="0" borderId="51" xfId="245" applyNumberFormat="1" applyFont="1" applyBorder="1" applyAlignment="1">
      <alignment horizontal="right"/>
    </xf>
    <xf numFmtId="0" fontId="172" fillId="0" borderId="0" xfId="245" applyFont="1" applyAlignment="1">
      <alignment horizontal="left" vertical="top"/>
    </xf>
    <xf numFmtId="0" fontId="64" fillId="0" borderId="39" xfId="244" applyFont="1" applyBorder="1" applyAlignment="1">
      <alignment horizontal="left"/>
    </xf>
    <xf numFmtId="0" fontId="83" fillId="0" borderId="40" xfId="245" applyFont="1" applyBorder="1" applyAlignment="1">
      <alignment horizontal="center"/>
    </xf>
    <xf numFmtId="172" fontId="83" fillId="0" borderId="40" xfId="245" applyNumberFormat="1" applyFont="1" applyBorder="1" applyAlignment="1">
      <alignment horizontal="right"/>
    </xf>
    <xf numFmtId="39" fontId="12" fillId="0" borderId="40" xfId="245" applyNumberFormat="1" applyFont="1" applyBorder="1" applyAlignment="1">
      <alignment horizontal="right"/>
    </xf>
    <xf numFmtId="39" fontId="64" fillId="0" borderId="33" xfId="245" applyNumberFormat="1" applyFont="1" applyBorder="1" applyAlignment="1">
      <alignment horizontal="right"/>
    </xf>
    <xf numFmtId="39" fontId="202" fillId="0" borderId="0" xfId="245" applyNumberFormat="1" applyFont="1" applyAlignment="1">
      <alignment horizontal="center"/>
    </xf>
    <xf numFmtId="37" fontId="83" fillId="0" borderId="0" xfId="245" applyNumberFormat="1" applyFont="1" applyAlignment="1">
      <alignment horizontal="right"/>
    </xf>
    <xf numFmtId="0" fontId="83" fillId="0" borderId="0" xfId="245" applyFont="1" applyAlignment="1">
      <alignment horizontal="left" wrapText="1"/>
    </xf>
    <xf numFmtId="0" fontId="12" fillId="0" borderId="0" xfId="245" applyFont="1" applyAlignment="1">
      <alignment horizontal="left" wrapText="1"/>
    </xf>
    <xf numFmtId="0" fontId="83" fillId="0" borderId="0" xfId="245" applyFont="1" applyAlignment="1">
      <alignment horizontal="center" wrapText="1"/>
    </xf>
    <xf numFmtId="172" fontId="83" fillId="0" borderId="0" xfId="245" applyNumberFormat="1" applyFont="1" applyAlignment="1">
      <alignment horizontal="right"/>
    </xf>
    <xf numFmtId="39" fontId="83" fillId="0" borderId="0" xfId="245" applyNumberFormat="1" applyFont="1" applyAlignment="1">
      <alignment horizontal="right"/>
    </xf>
    <xf numFmtId="39" fontId="12" fillId="0" borderId="0" xfId="245" applyNumberFormat="1" applyFont="1" applyAlignment="1">
      <alignment horizontal="right"/>
    </xf>
    <xf numFmtId="172" fontId="13" fillId="0" borderId="0" xfId="16" applyNumberFormat="1" applyFont="1" applyAlignment="1">
      <alignment vertical="center"/>
    </xf>
    <xf numFmtId="0" fontId="2" fillId="0" borderId="0" xfId="237"/>
    <xf numFmtId="172" fontId="2" fillId="0" borderId="0" xfId="245" applyNumberFormat="1"/>
    <xf numFmtId="39" fontId="12" fillId="0" borderId="70" xfId="25" applyNumberFormat="1" applyFont="1" applyBorder="1" applyAlignment="1">
      <alignment horizontal="right"/>
      <protection locked="0"/>
    </xf>
    <xf numFmtId="39" fontId="64" fillId="0" borderId="70" xfId="125" applyNumberFormat="1" applyFont="1" applyBorder="1" applyAlignment="1">
      <alignment horizontal="right"/>
      <protection locked="0"/>
    </xf>
    <xf numFmtId="39" fontId="12" fillId="0" borderId="70" xfId="131" applyNumberFormat="1" applyFont="1" applyBorder="1" applyAlignment="1">
      <alignment horizontal="right"/>
      <protection locked="0"/>
    </xf>
    <xf numFmtId="4" fontId="12" fillId="0" borderId="34" xfId="125" applyNumberFormat="1" applyFont="1" applyBorder="1" applyAlignment="1">
      <alignment horizontal="right"/>
      <protection locked="0"/>
    </xf>
    <xf numFmtId="4" fontId="331" fillId="0" borderId="34" xfId="125" applyNumberFormat="1" applyFont="1" applyBorder="1" applyAlignment="1">
      <alignment horizontal="right"/>
      <protection locked="0"/>
    </xf>
    <xf numFmtId="4" fontId="83" fillId="0" borderId="34" xfId="125" applyNumberFormat="1" applyFont="1" applyBorder="1" applyAlignment="1">
      <alignment horizontal="right"/>
      <protection locked="0"/>
    </xf>
    <xf numFmtId="39" fontId="12" fillId="0" borderId="34" xfId="46" applyNumberFormat="1" applyFont="1" applyBorder="1" applyAlignment="1">
      <alignment horizontal="right"/>
      <protection locked="0"/>
    </xf>
    <xf numFmtId="39" fontId="202" fillId="0" borderId="34" xfId="46" applyNumberFormat="1" applyFont="1" applyBorder="1" applyAlignment="1">
      <alignment horizontal="right"/>
      <protection locked="0"/>
    </xf>
    <xf numFmtId="172" fontId="62" fillId="0" borderId="0" xfId="154" applyNumberFormat="1" applyFont="1" applyAlignment="1">
      <alignment horizontal="left"/>
    </xf>
    <xf numFmtId="0" fontId="217" fillId="0" borderId="0" xfId="45" applyFont="1" applyAlignment="1" applyProtection="1">
      <alignment horizontal="left" vertical="center"/>
    </xf>
    <xf numFmtId="0" fontId="15" fillId="0" borderId="0" xfId="12" applyAlignment="1" applyProtection="1">
      <alignment horizontal="left" vertical="top"/>
    </xf>
    <xf numFmtId="0" fontId="15" fillId="0" borderId="0" xfId="42" applyAlignment="1" applyProtection="1">
      <alignment vertical="top"/>
    </xf>
    <xf numFmtId="0" fontId="15" fillId="0" borderId="0" xfId="12" applyAlignment="1" applyProtection="1">
      <alignment horizontal="left" wrapText="1"/>
    </xf>
    <xf numFmtId="0" fontId="104" fillId="0" borderId="0" xfId="42" applyFont="1" applyAlignment="1" applyProtection="1">
      <alignment vertical="top"/>
    </xf>
    <xf numFmtId="0" fontId="85" fillId="0" borderId="0" xfId="42" applyFont="1" applyAlignment="1" applyProtection="1">
      <alignment horizontal="left" vertical="center"/>
    </xf>
    <xf numFmtId="0" fontId="293" fillId="0" borderId="0" xfId="42" applyFont="1" applyAlignment="1" applyProtection="1">
      <alignment horizontal="left" vertical="center" textRotation="90" wrapText="1"/>
    </xf>
    <xf numFmtId="0" fontId="342" fillId="0" borderId="0" xfId="42" applyFont="1" applyAlignment="1" applyProtection="1">
      <alignment horizontal="left" vertical="center" textRotation="90" wrapText="1"/>
    </xf>
    <xf numFmtId="0" fontId="12" fillId="0" borderId="0" xfId="42" applyFont="1" applyAlignment="1" applyProtection="1">
      <alignment horizontal="left" vertical="top"/>
    </xf>
    <xf numFmtId="39" fontId="15" fillId="0" borderId="0" xfId="42" applyNumberFormat="1" applyAlignment="1" applyProtection="1">
      <alignment horizontal="left" vertical="top"/>
    </xf>
    <xf numFmtId="37" fontId="64" fillId="0" borderId="70" xfId="12" applyNumberFormat="1" applyFont="1" applyBorder="1" applyAlignment="1" applyProtection="1">
      <alignment horizontal="right"/>
    </xf>
    <xf numFmtId="0" fontId="64" fillId="0" borderId="70" xfId="12" applyFont="1" applyBorder="1" applyAlignment="1" applyProtection="1">
      <alignment horizontal="left" wrapText="1"/>
    </xf>
    <xf numFmtId="172" fontId="64" fillId="0" borderId="70" xfId="12" applyNumberFormat="1" applyFont="1" applyBorder="1" applyAlignment="1" applyProtection="1">
      <alignment horizontal="right"/>
    </xf>
    <xf numFmtId="4" fontId="64" fillId="0" borderId="70" xfId="12" applyNumberFormat="1" applyFont="1" applyBorder="1" applyAlignment="1" applyProtection="1">
      <alignment horizontal="right"/>
    </xf>
    <xf numFmtId="0" fontId="15" fillId="0" borderId="70" xfId="12" applyBorder="1" applyAlignment="1" applyProtection="1">
      <alignment vertical="top"/>
    </xf>
    <xf numFmtId="0" fontId="12" fillId="0" borderId="0" xfId="12" applyFont="1" applyAlignment="1" applyProtection="1">
      <alignment horizontal="left" vertical="top"/>
    </xf>
    <xf numFmtId="0" fontId="15" fillId="0" borderId="0" xfId="12" applyAlignment="1" applyProtection="1">
      <alignment horizontal="left" vertical="center"/>
    </xf>
    <xf numFmtId="49" fontId="12" fillId="0" borderId="70" xfId="45" applyNumberFormat="1" applyFont="1" applyBorder="1" applyAlignment="1" applyProtection="1">
      <alignment horizontal="left" wrapText="1"/>
    </xf>
    <xf numFmtId="0" fontId="135" fillId="0" borderId="64" xfId="45" applyFont="1" applyBorder="1" applyAlignment="1" applyProtection="1">
      <alignment horizontal="left" vertical="center"/>
    </xf>
    <xf numFmtId="0" fontId="84" fillId="0" borderId="0" xfId="45" applyFont="1" applyAlignment="1" applyProtection="1">
      <alignment horizontal="left" vertical="center"/>
    </xf>
    <xf numFmtId="0" fontId="84" fillId="0" borderId="64" xfId="45" applyFont="1" applyBorder="1" applyAlignment="1" applyProtection="1">
      <alignment horizontal="left" vertical="center"/>
    </xf>
    <xf numFmtId="0" fontId="343" fillId="0" borderId="0" xfId="45" applyFont="1" applyAlignment="1" applyProtection="1">
      <alignment vertical="top" wrapText="1"/>
    </xf>
    <xf numFmtId="172" fontId="12" fillId="0" borderId="70" xfId="3" applyNumberFormat="1" applyFont="1" applyBorder="1" applyAlignment="1">
      <alignment horizontal="right" wrapText="1"/>
    </xf>
    <xf numFmtId="0" fontId="12" fillId="0" borderId="0" xfId="237" applyFont="1" applyAlignment="1">
      <alignment horizontal="left" vertical="top"/>
    </xf>
    <xf numFmtId="2" fontId="99" fillId="0" borderId="0" xfId="237" applyNumberFormat="1" applyFont="1" applyAlignment="1">
      <alignment horizontal="left" vertical="top"/>
    </xf>
    <xf numFmtId="0" fontId="203" fillId="0" borderId="0" xfId="237" applyFont="1" applyAlignment="1">
      <alignment horizontal="left" vertical="top"/>
    </xf>
    <xf numFmtId="0" fontId="64" fillId="0" borderId="0" xfId="237" applyFont="1" applyAlignment="1">
      <alignment horizontal="left" vertical="top"/>
    </xf>
    <xf numFmtId="0" fontId="47" fillId="0" borderId="0" xfId="127" applyFill="1" applyAlignment="1" applyProtection="1">
      <alignment horizontal="left" vertical="top"/>
    </xf>
    <xf numFmtId="172" fontId="71" fillId="0" borderId="70" xfId="3" applyNumberFormat="1" applyFont="1" applyBorder="1" applyAlignment="1">
      <alignment horizontal="right" wrapText="1"/>
    </xf>
    <xf numFmtId="0" fontId="344" fillId="0" borderId="0" xfId="237" applyFont="1" applyAlignment="1">
      <alignment vertical="top" wrapText="1"/>
    </xf>
    <xf numFmtId="0" fontId="292" fillId="0" borderId="0" xfId="237" applyFont="1" applyAlignment="1">
      <alignment vertical="top" wrapText="1"/>
    </xf>
    <xf numFmtId="2" fontId="20" fillId="0" borderId="0" xfId="45" applyNumberFormat="1" applyFont="1" applyAlignment="1" applyProtection="1">
      <alignment horizontal="left" vertical="center"/>
    </xf>
    <xf numFmtId="37" fontId="64" fillId="0" borderId="70" xfId="237" applyNumberFormat="1" applyFont="1" applyBorder="1" applyAlignment="1">
      <alignment horizontal="right"/>
    </xf>
    <xf numFmtId="39" fontId="64" fillId="0" borderId="70" xfId="237" applyNumberFormat="1" applyFont="1" applyBorder="1" applyAlignment="1">
      <alignment horizontal="right"/>
    </xf>
    <xf numFmtId="0" fontId="65" fillId="0" borderId="0" xfId="237" applyFont="1" applyAlignment="1">
      <alignment horizontal="left" vertical="center"/>
    </xf>
    <xf numFmtId="0" fontId="148" fillId="0" borderId="0" xfId="237" applyFont="1" applyAlignment="1">
      <alignment horizontal="left" vertical="center"/>
    </xf>
    <xf numFmtId="0" fontId="165" fillId="0" borderId="0" xfId="237" applyFont="1" applyAlignment="1">
      <alignment horizontal="center" vertical="center" wrapText="1"/>
    </xf>
    <xf numFmtId="0" fontId="63" fillId="0" borderId="0" xfId="237" applyFont="1" applyAlignment="1">
      <alignment horizontal="left" vertical="center"/>
    </xf>
    <xf numFmtId="2" fontId="63" fillId="0" borderId="0" xfId="237" applyNumberFormat="1" applyFont="1" applyAlignment="1">
      <alignment horizontal="left" vertical="center"/>
    </xf>
    <xf numFmtId="0" fontId="165" fillId="0" borderId="0" xfId="237" applyFont="1" applyAlignment="1">
      <alignment horizontal="left" vertical="center"/>
    </xf>
    <xf numFmtId="0" fontId="12" fillId="0" borderId="0" xfId="237" applyFont="1"/>
    <xf numFmtId="4" fontId="112" fillId="0" borderId="0" xfId="237" applyNumberFormat="1" applyFont="1" applyAlignment="1">
      <alignment horizontal="right" vertical="center"/>
    </xf>
    <xf numFmtId="0" fontId="112" fillId="0" borderId="0" xfId="237" applyFont="1" applyAlignment="1">
      <alignment horizontal="left" vertical="center"/>
    </xf>
    <xf numFmtId="37" fontId="76" fillId="0" borderId="0" xfId="237" applyNumberFormat="1" applyFont="1" applyAlignment="1">
      <alignment horizontal="right"/>
    </xf>
    <xf numFmtId="0" fontId="76" fillId="0" borderId="0" xfId="237" applyFont="1" applyAlignment="1">
      <alignment horizontal="left" wrapText="1"/>
    </xf>
    <xf numFmtId="0" fontId="78" fillId="0" borderId="0" xfId="237" applyFont="1" applyAlignment="1">
      <alignment horizontal="left" wrapText="1"/>
    </xf>
    <xf numFmtId="2" fontId="76" fillId="0" borderId="0" xfId="237" applyNumberFormat="1" applyFont="1" applyAlignment="1">
      <alignment horizontal="right"/>
    </xf>
    <xf numFmtId="39" fontId="76" fillId="0" borderId="0" xfId="237" applyNumberFormat="1" applyFont="1" applyAlignment="1">
      <alignment horizontal="right"/>
    </xf>
    <xf numFmtId="0" fontId="112" fillId="0" borderId="0" xfId="237" applyFont="1" applyAlignment="1">
      <alignment horizontal="right" vertical="center"/>
    </xf>
    <xf numFmtId="0" fontId="15" fillId="0" borderId="0" xfId="237" applyFont="1" applyAlignment="1">
      <alignment horizontal="left" vertical="top"/>
    </xf>
    <xf numFmtId="0" fontId="84" fillId="0" borderId="70" xfId="237" applyFont="1" applyBorder="1" applyAlignment="1">
      <alignment horizontal="center" vertical="center" wrapText="1"/>
    </xf>
    <xf numFmtId="37" fontId="76" fillId="0" borderId="70" xfId="237" applyNumberFormat="1" applyFont="1" applyBorder="1" applyAlignment="1">
      <alignment horizontal="right"/>
    </xf>
    <xf numFmtId="49" fontId="76" fillId="0" borderId="70" xfId="237" applyNumberFormat="1" applyFont="1" applyBorder="1" applyAlignment="1">
      <alignment horizontal="left" wrapText="1"/>
    </xf>
    <xf numFmtId="0" fontId="76" fillId="0" borderId="0" xfId="237" applyFont="1"/>
    <xf numFmtId="0" fontId="76" fillId="0" borderId="70" xfId="237" applyFont="1" applyBorder="1" applyAlignment="1">
      <alignment horizontal="left" wrapText="1"/>
    </xf>
    <xf numFmtId="172" fontId="76" fillId="0" borderId="70" xfId="237" applyNumberFormat="1" applyFont="1" applyBorder="1" applyAlignment="1">
      <alignment horizontal="right"/>
    </xf>
    <xf numFmtId="39" fontId="76" fillId="0" borderId="70" xfId="237" applyNumberFormat="1" applyFont="1" applyBorder="1" applyAlignment="1">
      <alignment horizontal="right"/>
    </xf>
    <xf numFmtId="37" fontId="326" fillId="0" borderId="70" xfId="237" applyNumberFormat="1" applyFont="1" applyBorder="1" applyAlignment="1">
      <alignment horizontal="right"/>
    </xf>
    <xf numFmtId="0" fontId="326" fillId="0" borderId="70" xfId="237" applyFont="1" applyBorder="1" applyAlignment="1">
      <alignment horizontal="left" wrapText="1"/>
    </xf>
    <xf numFmtId="0" fontId="78" fillId="0" borderId="70" xfId="237" applyFont="1" applyBorder="1" applyAlignment="1">
      <alignment horizontal="left" wrapText="1"/>
    </xf>
    <xf numFmtId="172" fontId="78" fillId="0" borderId="70" xfId="237" applyNumberFormat="1" applyFont="1" applyBorder="1" applyAlignment="1">
      <alignment horizontal="right"/>
    </xf>
    <xf numFmtId="39" fontId="326" fillId="0" borderId="70" xfId="237" applyNumberFormat="1" applyFont="1" applyBorder="1" applyAlignment="1">
      <alignment horizontal="right"/>
    </xf>
    <xf numFmtId="0" fontId="112" fillId="0" borderId="70" xfId="237" applyFont="1" applyBorder="1" applyAlignment="1">
      <alignment horizontal="left" vertical="top"/>
    </xf>
    <xf numFmtId="0" fontId="83" fillId="0" borderId="70" xfId="237" applyFont="1" applyBorder="1" applyAlignment="1">
      <alignment horizontal="left" vertical="center" wrapText="1"/>
    </xf>
    <xf numFmtId="0" fontId="19" fillId="0" borderId="0" xfId="237" applyFont="1" applyAlignment="1">
      <alignment horizontal="left" vertical="center" wrapText="1"/>
    </xf>
    <xf numFmtId="0" fontId="12" fillId="0" borderId="70" xfId="237" applyFont="1" applyBorder="1" applyAlignment="1">
      <alignment wrapText="1"/>
    </xf>
    <xf numFmtId="4" fontId="36" fillId="0" borderId="0" xfId="27" applyNumberFormat="1" applyFont="1" applyFill="1" applyAlignment="1" applyProtection="1">
      <alignment horizontal="left" vertical="center"/>
    </xf>
    <xf numFmtId="0" fontId="76" fillId="0" borderId="0" xfId="237" applyFont="1" applyAlignment="1">
      <alignment horizontal="left"/>
    </xf>
    <xf numFmtId="0" fontId="76" fillId="0" borderId="70" xfId="237" applyFont="1" applyBorder="1"/>
    <xf numFmtId="4" fontId="101" fillId="0" borderId="0" xfId="237" applyNumberFormat="1" applyFont="1" applyAlignment="1">
      <alignment horizontal="left" vertical="center"/>
    </xf>
    <xf numFmtId="0" fontId="2" fillId="0" borderId="70" xfId="237" applyBorder="1" applyAlignment="1">
      <alignment horizontal="left" vertical="top"/>
    </xf>
    <xf numFmtId="49" fontId="12" fillId="0" borderId="70" xfId="45" applyNumberFormat="1" applyFont="1" applyBorder="1" applyAlignment="1" applyProtection="1">
      <alignment horizontal="right" wrapText="1"/>
    </xf>
    <xf numFmtId="49" fontId="83" fillId="0" borderId="70" xfId="45" applyNumberFormat="1" applyFont="1" applyBorder="1" applyAlignment="1" applyProtection="1">
      <alignment horizontal="left" wrapText="1"/>
    </xf>
    <xf numFmtId="0" fontId="83" fillId="0" borderId="70" xfId="45" applyFont="1" applyBorder="1" applyAlignment="1" applyProtection="1">
      <alignment horizontal="left" wrapText="1"/>
    </xf>
    <xf numFmtId="0" fontId="71" fillId="0" borderId="70" xfId="199" applyFont="1" applyBorder="1" applyAlignment="1" applyProtection="1">
      <alignment horizontal="left" vertical="center" wrapText="1"/>
    </xf>
    <xf numFmtId="0" fontId="291" fillId="0" borderId="70" xfId="45" applyFont="1" applyBorder="1" applyAlignment="1" applyProtection="1">
      <alignment horizontal="center" vertical="center" wrapText="1"/>
    </xf>
    <xf numFmtId="172" fontId="57" fillId="0" borderId="70" xfId="45" applyNumberFormat="1" applyFont="1" applyBorder="1" applyAlignment="1" applyProtection="1">
      <alignment horizontal="left" wrapText="1"/>
    </xf>
    <xf numFmtId="4" fontId="12" fillId="0" borderId="70" xfId="45" applyNumberFormat="1" applyFont="1" applyBorder="1" applyAlignment="1" applyProtection="1">
      <alignment horizontal="right"/>
    </xf>
    <xf numFmtId="0" fontId="32" fillId="0" borderId="70" xfId="45" applyBorder="1" applyAlignment="1" applyProtection="1">
      <alignment horizontal="right" vertical="center"/>
    </xf>
    <xf numFmtId="0" fontId="111" fillId="0" borderId="0" xfId="45" applyFont="1" applyAlignment="1" applyProtection="1">
      <alignment horizontal="left" vertical="center"/>
    </xf>
    <xf numFmtId="0" fontId="101" fillId="0" borderId="0" xfId="45" applyFont="1" applyAlignment="1" applyProtection="1">
      <alignment horizontal="left" vertical="center"/>
    </xf>
    <xf numFmtId="0" fontId="292" fillId="0" borderId="0" xfId="45" applyFont="1" applyAlignment="1" applyProtection="1">
      <alignment vertical="center" wrapText="1"/>
    </xf>
    <xf numFmtId="4" fontId="39" fillId="0" borderId="0" xfId="237" applyNumberFormat="1" applyFont="1" applyAlignment="1">
      <alignment horizontal="left" vertical="center"/>
    </xf>
    <xf numFmtId="4" fontId="15" fillId="0" borderId="0" xfId="237" applyNumberFormat="1" applyFont="1" applyAlignment="1">
      <alignment horizontal="left" vertical="center"/>
    </xf>
    <xf numFmtId="0" fontId="12" fillId="0" borderId="0" xfId="237" applyFont="1" applyAlignment="1">
      <alignment wrapText="1"/>
    </xf>
    <xf numFmtId="4" fontId="70" fillId="0" borderId="0" xfId="237" applyNumberFormat="1" applyFont="1" applyAlignment="1">
      <alignment horizontal="left" vertical="center"/>
    </xf>
    <xf numFmtId="0" fontId="157" fillId="0" borderId="0" xfId="45" applyFont="1" applyAlignment="1" applyProtection="1">
      <alignment horizontal="left" vertical="center"/>
    </xf>
    <xf numFmtId="39" fontId="12" fillId="0" borderId="70" xfId="45" applyNumberFormat="1" applyFont="1" applyBorder="1" applyAlignment="1" applyProtection="1">
      <alignment vertical="center"/>
    </xf>
    <xf numFmtId="0" fontId="292" fillId="0" borderId="0" xfId="45" applyFont="1" applyAlignment="1" applyProtection="1">
      <alignment horizontal="left" vertical="center"/>
    </xf>
    <xf numFmtId="0" fontId="46" fillId="0" borderId="0" xfId="207" applyFill="1" applyBorder="1" applyAlignment="1" applyProtection="1">
      <alignment horizontal="left" vertical="center"/>
    </xf>
    <xf numFmtId="0" fontId="84" fillId="0" borderId="70" xfId="3" applyFont="1" applyBorder="1" applyAlignment="1">
      <alignment horizontal="center" wrapText="1"/>
    </xf>
    <xf numFmtId="39" fontId="12" fillId="0" borderId="70" xfId="45" applyNumberFormat="1" applyFont="1" applyBorder="1" applyAlignment="1" applyProtection="1">
      <alignment horizontal="right" vertical="center"/>
    </xf>
    <xf numFmtId="172" fontId="12" fillId="0" borderId="70" xfId="45" applyNumberFormat="1" applyFont="1" applyBorder="1" applyAlignment="1" applyProtection="1">
      <alignment horizontal="left" wrapText="1"/>
    </xf>
    <xf numFmtId="172" fontId="2" fillId="0" borderId="0" xfId="237" applyNumberFormat="1" applyAlignment="1">
      <alignment horizontal="left" vertical="top"/>
    </xf>
    <xf numFmtId="0" fontId="39" fillId="0" borderId="0" xfId="237" applyFont="1" applyAlignment="1">
      <alignment horizontal="left" vertical="top"/>
    </xf>
    <xf numFmtId="0" fontId="124" fillId="0" borderId="0" xfId="237" applyFont="1" applyAlignment="1">
      <alignment horizontal="left" vertical="top"/>
    </xf>
    <xf numFmtId="1" fontId="71" fillId="0" borderId="70" xfId="237" applyNumberFormat="1" applyFont="1" applyBorder="1" applyAlignment="1">
      <alignment horizontal="right"/>
    </xf>
    <xf numFmtId="4" fontId="57" fillId="5" borderId="70" xfId="237" applyNumberFormat="1" applyFont="1" applyFill="1" applyBorder="1" applyAlignment="1">
      <alignment horizontal="right"/>
    </xf>
    <xf numFmtId="4" fontId="12" fillId="5" borderId="70" xfId="237" applyNumberFormat="1" applyFont="1" applyFill="1" applyBorder="1" applyAlignment="1">
      <alignment horizontal="right"/>
    </xf>
    <xf numFmtId="39" fontId="12" fillId="5" borderId="70" xfId="237" applyNumberFormat="1" applyFont="1" applyFill="1" applyBorder="1" applyAlignment="1">
      <alignment horizontal="center"/>
    </xf>
    <xf numFmtId="0" fontId="345" fillId="0" borderId="0" xfId="237" applyFont="1" applyAlignment="1">
      <alignment horizontal="left" vertical="center"/>
    </xf>
    <xf numFmtId="0" fontId="145" fillId="0" borderId="0" xfId="237" applyFont="1" applyAlignment="1">
      <alignment horizontal="left" vertical="center"/>
    </xf>
    <xf numFmtId="37" fontId="83" fillId="0" borderId="70" xfId="237" applyNumberFormat="1" applyFont="1" applyBorder="1" applyAlignment="1">
      <alignment horizontal="right"/>
    </xf>
    <xf numFmtId="49" fontId="83" fillId="0" borderId="70" xfId="237" applyNumberFormat="1" applyFont="1" applyBorder="1" applyAlignment="1">
      <alignment horizontal="left" wrapText="1"/>
    </xf>
    <xf numFmtId="0" fontId="39" fillId="0" borderId="0" xfId="3" applyFont="1" applyAlignment="1">
      <alignment horizontal="left" vertical="center"/>
    </xf>
    <xf numFmtId="0" fontId="12" fillId="0" borderId="0" xfId="3" applyFont="1" applyAlignment="1">
      <alignment horizontal="left" vertical="center"/>
    </xf>
    <xf numFmtId="0" fontId="2" fillId="0" borderId="0" xfId="237" applyAlignment="1">
      <alignment horizontal="left" vertical="center"/>
    </xf>
    <xf numFmtId="0" fontId="12" fillId="0" borderId="70" xfId="195" applyFont="1" applyBorder="1" applyAlignment="1">
      <alignment horizontal="left" wrapText="1"/>
    </xf>
    <xf numFmtId="0" fontId="57" fillId="0" borderId="70" xfId="195" applyFont="1" applyBorder="1" applyAlignment="1">
      <alignment horizontal="left" wrapText="1"/>
    </xf>
    <xf numFmtId="172" fontId="57" fillId="0" borderId="70" xfId="195" applyNumberFormat="1" applyFont="1" applyBorder="1" applyAlignment="1">
      <alignment horizontal="right"/>
    </xf>
    <xf numFmtId="4" fontId="57" fillId="0" borderId="70" xfId="195" applyNumberFormat="1" applyFont="1" applyBorder="1" applyAlignment="1">
      <alignment horizontal="right"/>
    </xf>
    <xf numFmtId="37" fontId="71" fillId="0" borderId="70" xfId="34" applyNumberFormat="1" applyFont="1" applyBorder="1" applyAlignment="1">
      <alignment horizontal="right"/>
    </xf>
    <xf numFmtId="49" fontId="71" fillId="0" borderId="70" xfId="34" applyNumberFormat="1" applyFont="1" applyBorder="1" applyAlignment="1">
      <alignment horizontal="left" wrapText="1"/>
    </xf>
    <xf numFmtId="0" fontId="71" fillId="0" borderId="70" xfId="34" applyFont="1" applyBorder="1" applyAlignment="1">
      <alignment horizontal="left" wrapText="1"/>
    </xf>
    <xf numFmtId="172" fontId="71" fillId="0" borderId="70" xfId="34" applyNumberFormat="1" applyFont="1" applyBorder="1" applyAlignment="1">
      <alignment horizontal="right" wrapText="1"/>
    </xf>
    <xf numFmtId="4" fontId="71" fillId="0" borderId="70" xfId="34" applyNumberFormat="1" applyFont="1" applyBorder="1" applyAlignment="1">
      <alignment horizontal="right"/>
    </xf>
    <xf numFmtId="37" fontId="12" fillId="0" borderId="70" xfId="12" applyNumberFormat="1" applyFont="1" applyBorder="1" applyAlignment="1" applyProtection="1">
      <alignment horizontal="right"/>
    </xf>
    <xf numFmtId="0" fontId="12" fillId="0" borderId="70" xfId="12" applyFont="1" applyBorder="1" applyAlignment="1" applyProtection="1">
      <alignment horizontal="left" wrapText="1"/>
    </xf>
    <xf numFmtId="172" fontId="12" fillId="0" borderId="70" xfId="12" applyNumberFormat="1" applyFont="1" applyBorder="1" applyAlignment="1" applyProtection="1">
      <alignment horizontal="right"/>
    </xf>
    <xf numFmtId="4" fontId="12" fillId="0" borderId="70" xfId="12" applyNumberFormat="1" applyFont="1" applyBorder="1" applyAlignment="1" applyProtection="1">
      <alignment horizontal="right"/>
    </xf>
    <xf numFmtId="0" fontId="104" fillId="0" borderId="0" xfId="12" applyFont="1" applyAlignment="1" applyProtection="1">
      <alignment horizontal="left" vertical="top"/>
    </xf>
    <xf numFmtId="0" fontId="63" fillId="0" borderId="0" xfId="3" applyFont="1" applyAlignment="1">
      <alignment horizontal="left" vertical="center"/>
    </xf>
    <xf numFmtId="172" fontId="202" fillId="0" borderId="70" xfId="3" applyNumberFormat="1" applyFont="1" applyBorder="1" applyAlignment="1">
      <alignment horizontal="left" wrapText="1"/>
    </xf>
    <xf numFmtId="39" fontId="135" fillId="0" borderId="70" xfId="45" applyNumberFormat="1" applyFont="1" applyBorder="1" applyAlignment="1">
      <alignment horizontal="right"/>
      <protection locked="0"/>
    </xf>
    <xf numFmtId="4" fontId="12" fillId="0" borderId="70" xfId="12" applyNumberFormat="1" applyFont="1" applyBorder="1" applyAlignment="1">
      <alignment horizontal="right"/>
      <protection locked="0"/>
    </xf>
    <xf numFmtId="0" fontId="12" fillId="0" borderId="0" xfId="237" applyFont="1" applyAlignment="1">
      <alignment horizontal="left"/>
    </xf>
    <xf numFmtId="0" fontId="62" fillId="0" borderId="0" xfId="237" applyFont="1" applyAlignment="1">
      <alignment horizontal="left"/>
    </xf>
    <xf numFmtId="0" fontId="2" fillId="0" borderId="0" xfId="236" applyAlignment="1">
      <alignment horizontal="left" vertical="top"/>
    </xf>
    <xf numFmtId="0" fontId="2" fillId="0" borderId="0" xfId="236"/>
    <xf numFmtId="0" fontId="63" fillId="0" borderId="0" xfId="237" applyFont="1" applyAlignment="1">
      <alignment horizontal="left"/>
    </xf>
    <xf numFmtId="0" fontId="62" fillId="0" borderId="0" xfId="237" applyFont="1" applyAlignment="1">
      <alignment horizontal="center"/>
    </xf>
    <xf numFmtId="0" fontId="201" fillId="0" borderId="0" xfId="237" applyFont="1" applyAlignment="1">
      <alignment horizontal="right" vertical="top"/>
    </xf>
    <xf numFmtId="0" fontId="66" fillId="0" borderId="33" xfId="237" applyFont="1" applyBorder="1" applyAlignment="1">
      <alignment horizontal="center" vertical="center" wrapText="1"/>
    </xf>
    <xf numFmtId="0" fontId="66" fillId="0" borderId="39" xfId="237" applyFont="1" applyBorder="1" applyAlignment="1">
      <alignment horizontal="center" vertical="center" wrapText="1"/>
    </xf>
    <xf numFmtId="0" fontId="66" fillId="0" borderId="15" xfId="237" applyFont="1" applyBorder="1" applyAlignment="1">
      <alignment horizontal="center" vertical="center" wrapText="1"/>
    </xf>
    <xf numFmtId="0" fontId="309" fillId="0" borderId="0" xfId="237" applyFont="1" applyAlignment="1">
      <alignment horizontal="left" vertical="center"/>
    </xf>
    <xf numFmtId="0" fontId="145" fillId="0" borderId="0" xfId="237" applyFont="1"/>
    <xf numFmtId="0" fontId="13" fillId="0" borderId="70" xfId="176" applyFont="1" applyBorder="1"/>
    <xf numFmtId="49" fontId="205" fillId="0" borderId="70" xfId="237" applyNumberFormat="1" applyFont="1" applyBorder="1" applyAlignment="1">
      <alignment horizontal="left"/>
    </xf>
    <xf numFmtId="0" fontId="100" fillId="0" borderId="70" xfId="25" applyFont="1" applyBorder="1" applyAlignment="1" applyProtection="1">
      <alignment horizontal="left" wrapText="1"/>
    </xf>
    <xf numFmtId="0" fontId="70" fillId="0" borderId="0" xfId="25" applyFont="1" applyAlignment="1" applyProtection="1">
      <alignment horizontal="left" vertical="center"/>
    </xf>
    <xf numFmtId="0" fontId="92" fillId="0" borderId="0" xfId="25" applyFont="1" applyAlignment="1" applyProtection="1">
      <alignment horizontal="left" vertical="center"/>
    </xf>
    <xf numFmtId="0" fontId="92" fillId="0" borderId="0" xfId="25" applyFont="1" applyAlignment="1" applyProtection="1">
      <alignment horizontal="left" vertical="top"/>
    </xf>
    <xf numFmtId="0" fontId="2" fillId="0" borderId="0" xfId="237" applyAlignment="1">
      <alignment vertical="center"/>
    </xf>
    <xf numFmtId="0" fontId="125" fillId="0" borderId="0" xfId="237" applyFont="1" applyAlignment="1">
      <alignment vertical="center"/>
    </xf>
    <xf numFmtId="0" fontId="180" fillId="0" borderId="0" xfId="3" applyFont="1"/>
    <xf numFmtId="0" fontId="324" fillId="0" borderId="0" xfId="237" applyFont="1" applyAlignment="1">
      <alignment vertical="center"/>
    </xf>
    <xf numFmtId="0" fontId="39" fillId="0" borderId="0" xfId="3" applyFont="1"/>
    <xf numFmtId="0" fontId="205" fillId="0" borderId="70" xfId="237" applyFont="1" applyBorder="1" applyAlignment="1">
      <alignment horizontal="right"/>
    </xf>
    <xf numFmtId="0" fontId="112" fillId="0" borderId="0" xfId="25" applyFont="1" applyAlignment="1" applyProtection="1">
      <alignment horizontal="left" vertical="center"/>
    </xf>
    <xf numFmtId="0" fontId="339" fillId="0" borderId="0" xfId="3" applyFont="1"/>
    <xf numFmtId="1" fontId="12" fillId="0" borderId="70" xfId="192" applyNumberFormat="1" applyFont="1" applyBorder="1" applyAlignment="1" applyProtection="1">
      <alignment horizontal="right"/>
    </xf>
    <xf numFmtId="0" fontId="12" fillId="0" borderId="70" xfId="192" applyFont="1" applyBorder="1" applyAlignment="1" applyProtection="1">
      <alignment horizontal="left" wrapText="1"/>
    </xf>
    <xf numFmtId="0" fontId="250" fillId="0" borderId="0" xfId="192" applyFont="1" applyAlignment="1" applyProtection="1">
      <alignment horizontal="left" vertical="center"/>
    </xf>
    <xf numFmtId="0" fontId="74" fillId="0" borderId="0" xfId="192" applyFont="1" applyAlignment="1" applyProtection="1">
      <alignment horizontal="left" vertical="top"/>
    </xf>
    <xf numFmtId="0" fontId="57" fillId="0" borderId="70" xfId="123" applyFont="1" applyBorder="1" applyAlignment="1" applyProtection="1">
      <alignment horizontal="left" wrapText="1"/>
    </xf>
    <xf numFmtId="172" fontId="57" fillId="0" borderId="70" xfId="123" applyNumberFormat="1" applyFont="1" applyBorder="1" applyAlignment="1" applyProtection="1">
      <alignment horizontal="right"/>
    </xf>
    <xf numFmtId="39" fontId="12" fillId="0" borderId="70" xfId="192" applyNumberFormat="1" applyFont="1" applyBorder="1" applyAlignment="1" applyProtection="1">
      <alignment horizontal="center"/>
    </xf>
    <xf numFmtId="0" fontId="176" fillId="0" borderId="0" xfId="33" applyFont="1" applyAlignment="1">
      <alignment horizontal="left" vertical="center"/>
    </xf>
    <xf numFmtId="0" fontId="37" fillId="0" borderId="0" xfId="33" applyAlignment="1">
      <alignment horizontal="left" vertical="center"/>
    </xf>
    <xf numFmtId="0" fontId="39" fillId="0" borderId="0" xfId="3" applyFont="1" applyAlignment="1">
      <alignment vertical="center"/>
    </xf>
    <xf numFmtId="49" fontId="12" fillId="0" borderId="70" xfId="3" applyNumberFormat="1" applyFont="1" applyBorder="1" applyAlignment="1">
      <alignment horizontal="right"/>
    </xf>
    <xf numFmtId="0" fontId="100" fillId="0" borderId="70" xfId="3" applyFont="1" applyBorder="1" applyAlignment="1">
      <alignment horizontal="left" wrapText="1"/>
    </xf>
    <xf numFmtId="171" fontId="37" fillId="0" borderId="0" xfId="33" applyNumberFormat="1" applyAlignment="1">
      <alignment horizontal="left" vertical="center"/>
    </xf>
    <xf numFmtId="49" fontId="12" fillId="0" borderId="70" xfId="33" applyNumberFormat="1" applyFont="1" applyBorder="1" applyAlignment="1">
      <alignment horizontal="right" wrapText="1"/>
    </xf>
    <xf numFmtId="0" fontId="27" fillId="0" borderId="0" xfId="140" applyAlignment="1">
      <alignment horizontal="left" vertical="top"/>
    </xf>
    <xf numFmtId="0" fontId="27" fillId="0" borderId="0" xfId="140"/>
    <xf numFmtId="0" fontId="199" fillId="0" borderId="0" xfId="33" applyFont="1" applyAlignment="1">
      <alignment horizontal="left" vertical="center"/>
    </xf>
    <xf numFmtId="39" fontId="12" fillId="0" borderId="70" xfId="33" applyNumberFormat="1" applyFont="1" applyBorder="1" applyAlignment="1">
      <alignment horizontal="right"/>
    </xf>
    <xf numFmtId="0" fontId="91" fillId="0" borderId="0" xfId="237" applyFont="1" applyAlignment="1">
      <alignment vertical="center"/>
    </xf>
    <xf numFmtId="0" fontId="29" fillId="0" borderId="0" xfId="238" applyFont="1" applyAlignment="1">
      <alignment horizontal="left" vertical="top"/>
    </xf>
    <xf numFmtId="49" fontId="83" fillId="0" borderId="70" xfId="238" applyNumberFormat="1" applyFont="1" applyBorder="1" applyAlignment="1">
      <alignment horizontal="right"/>
    </xf>
    <xf numFmtId="49" fontId="83" fillId="0" borderId="70" xfId="238" applyNumberFormat="1" applyFont="1" applyBorder="1" applyAlignment="1">
      <alignment horizontal="left" wrapText="1"/>
    </xf>
    <xf numFmtId="0" fontId="83" fillId="0" borderId="70" xfId="238" applyFont="1" applyBorder="1" applyAlignment="1">
      <alignment horizontal="left" wrapText="1"/>
    </xf>
    <xf numFmtId="0" fontId="57" fillId="0" borderId="70" xfId="238" applyFont="1" applyBorder="1" applyAlignment="1">
      <alignment horizontal="left" wrapText="1"/>
    </xf>
    <xf numFmtId="172" fontId="57" fillId="0" borderId="70" xfId="238" applyNumberFormat="1" applyFont="1" applyBorder="1" applyAlignment="1">
      <alignment horizontal="right"/>
    </xf>
    <xf numFmtId="4" fontId="12" fillId="0" borderId="70" xfId="238" applyNumberFormat="1" applyFont="1" applyBorder="1" applyAlignment="1">
      <alignment horizontal="right"/>
    </xf>
    <xf numFmtId="0" fontId="111" fillId="0" borderId="70" xfId="238" applyFont="1" applyBorder="1" applyAlignment="1">
      <alignment horizontal="right" vertical="center"/>
    </xf>
    <xf numFmtId="0" fontId="27" fillId="0" borderId="0" xfId="238" applyAlignment="1">
      <alignment horizontal="left" vertical="top"/>
    </xf>
    <xf numFmtId="0" fontId="27" fillId="0" borderId="0" xfId="238"/>
    <xf numFmtId="37" fontId="83" fillId="0" borderId="70" xfId="140" applyNumberFormat="1" applyFont="1" applyBorder="1" applyAlignment="1">
      <alignment horizontal="right"/>
    </xf>
    <xf numFmtId="49" fontId="83" fillId="0" borderId="70" xfId="140" applyNumberFormat="1" applyFont="1" applyBorder="1" applyAlignment="1">
      <alignment horizontal="left" wrapText="1"/>
    </xf>
    <xf numFmtId="0" fontId="83" fillId="0" borderId="70" xfId="140" applyFont="1" applyBorder="1" applyAlignment="1">
      <alignment horizontal="left" wrapText="1"/>
    </xf>
    <xf numFmtId="0" fontId="57" fillId="0" borderId="70" xfId="140" applyFont="1" applyBorder="1" applyAlignment="1">
      <alignment horizontal="left" wrapText="1"/>
    </xf>
    <xf numFmtId="172" fontId="57" fillId="0" borderId="70" xfId="140" applyNumberFormat="1" applyFont="1" applyBorder="1" applyAlignment="1">
      <alignment horizontal="right"/>
    </xf>
    <xf numFmtId="4" fontId="12" fillId="0" borderId="70" xfId="140" applyNumberFormat="1" applyFont="1" applyBorder="1" applyAlignment="1">
      <alignment horizontal="right"/>
    </xf>
    <xf numFmtId="0" fontId="111" fillId="0" borderId="70" xfId="140" applyFont="1" applyBorder="1" applyAlignment="1">
      <alignment horizontal="right" vertical="center"/>
    </xf>
    <xf numFmtId="181" fontId="57" fillId="0" borderId="70" xfId="3" applyNumberFormat="1" applyFont="1" applyBorder="1" applyAlignment="1">
      <alignment horizontal="right"/>
    </xf>
    <xf numFmtId="181" fontId="57" fillId="0" borderId="70" xfId="33" applyNumberFormat="1" applyFont="1" applyBorder="1" applyAlignment="1">
      <alignment horizontal="right"/>
    </xf>
    <xf numFmtId="0" fontId="27" fillId="0" borderId="0" xfId="238" applyAlignment="1">
      <alignment vertical="center"/>
    </xf>
    <xf numFmtId="0" fontId="85" fillId="0" borderId="0" xfId="237" applyFont="1" applyAlignment="1">
      <alignment horizontal="left" vertical="center"/>
    </xf>
    <xf numFmtId="2" fontId="2" fillId="0" borderId="0" xfId="237" applyNumberFormat="1" applyAlignment="1">
      <alignment horizontal="left" vertical="top"/>
    </xf>
    <xf numFmtId="37" fontId="12" fillId="0" borderId="70" xfId="240" applyNumberFormat="1" applyFont="1" applyBorder="1" applyAlignment="1">
      <alignment horizontal="right"/>
    </xf>
    <xf numFmtId="0" fontId="12" fillId="0" borderId="70" xfId="240" applyFont="1" applyBorder="1" applyAlignment="1">
      <alignment horizontal="left" wrapText="1"/>
    </xf>
    <xf numFmtId="0" fontId="2" fillId="5" borderId="0" xfId="237" applyFill="1" applyAlignment="1">
      <alignment horizontal="left" vertical="top"/>
    </xf>
    <xf numFmtId="0" fontId="71" fillId="0" borderId="70" xfId="236" applyFont="1" applyBorder="1" applyAlignment="1">
      <alignment horizontal="left" wrapText="1"/>
    </xf>
    <xf numFmtId="0" fontId="57" fillId="0" borderId="70" xfId="236" applyFont="1" applyBorder="1" applyAlignment="1">
      <alignment horizontal="left" wrapText="1"/>
    </xf>
    <xf numFmtId="0" fontId="71" fillId="0" borderId="70" xfId="36" applyFont="1" applyBorder="1" applyAlignment="1">
      <alignment horizontal="left" wrapText="1"/>
    </xf>
    <xf numFmtId="39" fontId="137" fillId="0" borderId="70" xfId="33" applyNumberFormat="1" applyFont="1" applyBorder="1" applyAlignment="1">
      <alignment horizontal="right"/>
    </xf>
    <xf numFmtId="2" fontId="85" fillId="0" borderId="0" xfId="237" applyNumberFormat="1" applyFont="1" applyAlignment="1">
      <alignment horizontal="left" vertical="center"/>
    </xf>
    <xf numFmtId="2" fontId="57" fillId="0" borderId="70" xfId="3" applyNumberFormat="1" applyFont="1" applyBorder="1" applyAlignment="1">
      <alignment horizontal="right"/>
    </xf>
    <xf numFmtId="2" fontId="69" fillId="0" borderId="0" xfId="33" applyNumberFormat="1" applyFont="1" applyAlignment="1">
      <alignment horizontal="left" vertical="top"/>
    </xf>
    <xf numFmtId="49" fontId="12" fillId="0" borderId="70" xfId="240" applyNumberFormat="1" applyFont="1" applyBorder="1" applyAlignment="1">
      <alignment horizontal="right"/>
    </xf>
    <xf numFmtId="49" fontId="12" fillId="0" borderId="70" xfId="241" applyNumberFormat="1" applyFont="1" applyBorder="1" applyAlignment="1">
      <alignment horizontal="right" wrapText="1"/>
    </xf>
    <xf numFmtId="49" fontId="12" fillId="0" borderId="70" xfId="241" applyNumberFormat="1" applyFont="1" applyBorder="1" applyAlignment="1">
      <alignment horizontal="left" wrapText="1"/>
    </xf>
    <xf numFmtId="0" fontId="57" fillId="0" borderId="70" xfId="241" applyFont="1" applyBorder="1" applyAlignment="1">
      <alignment horizontal="left" wrapText="1"/>
    </xf>
    <xf numFmtId="0" fontId="212" fillId="0" borderId="70" xfId="237" applyFont="1" applyBorder="1"/>
    <xf numFmtId="4" fontId="12" fillId="0" borderId="70" xfId="241" applyNumberFormat="1" applyFont="1" applyBorder="1" applyAlignment="1">
      <alignment horizontal="right"/>
    </xf>
    <xf numFmtId="39" fontId="12" fillId="0" borderId="70" xfId="241" applyNumberFormat="1" applyFont="1" applyBorder="1" applyAlignment="1">
      <alignment horizontal="center"/>
    </xf>
    <xf numFmtId="0" fontId="37" fillId="0" borderId="0" xfId="241" applyAlignment="1">
      <alignment horizontal="left" vertical="top"/>
    </xf>
    <xf numFmtId="171" fontId="37" fillId="0" borderId="0" xfId="241" applyNumberFormat="1" applyAlignment="1">
      <alignment horizontal="left" vertical="top"/>
    </xf>
    <xf numFmtId="0" fontId="340" fillId="0" borderId="0" xfId="242" applyFont="1" applyFill="1" applyAlignment="1" applyProtection="1">
      <alignment horizontal="left" vertical="top"/>
    </xf>
    <xf numFmtId="0" fontId="57" fillId="0" borderId="70" xfId="243" applyFont="1" applyBorder="1" applyAlignment="1">
      <alignment horizontal="left" wrapText="1"/>
    </xf>
    <xf numFmtId="0" fontId="69" fillId="0" borderId="0" xfId="241" applyFont="1" applyAlignment="1">
      <alignment horizontal="left" vertical="top"/>
    </xf>
    <xf numFmtId="0" fontId="238" fillId="0" borderId="0" xfId="241" applyFont="1" applyAlignment="1">
      <alignment horizontal="left" vertical="top"/>
    </xf>
    <xf numFmtId="0" fontId="85" fillId="0" borderId="0" xfId="241" applyFont="1" applyAlignment="1">
      <alignment horizontal="left" vertical="center"/>
    </xf>
    <xf numFmtId="171" fontId="238" fillId="0" borderId="0" xfId="241" applyNumberFormat="1" applyFont="1" applyAlignment="1">
      <alignment horizontal="left" vertical="top"/>
    </xf>
    <xf numFmtId="0" fontId="46" fillId="0" borderId="0" xfId="242" applyFill="1" applyAlignment="1" applyProtection="1">
      <alignment horizontal="left" vertical="top"/>
    </xf>
    <xf numFmtId="181" fontId="12" fillId="0" borderId="70" xfId="237" applyNumberFormat="1" applyFont="1" applyBorder="1" applyAlignment="1">
      <alignment horizontal="right"/>
    </xf>
    <xf numFmtId="4" fontId="12" fillId="0" borderId="70" xfId="142" applyNumberFormat="1" applyFont="1" applyBorder="1" applyAlignment="1">
      <alignment horizontal="right"/>
    </xf>
    <xf numFmtId="4" fontId="222" fillId="0" borderId="0" xfId="237" applyNumberFormat="1" applyFont="1" applyAlignment="1">
      <alignment horizontal="center" vertical="center"/>
    </xf>
    <xf numFmtId="4" fontId="223" fillId="0" borderId="0" xfId="237" applyNumberFormat="1" applyFont="1" applyAlignment="1">
      <alignment horizontal="center" vertical="center"/>
    </xf>
    <xf numFmtId="0" fontId="224" fillId="0" borderId="0" xfId="67" applyFont="1" applyAlignment="1">
      <alignment horizontal="center" vertical="center"/>
    </xf>
    <xf numFmtId="0" fontId="83" fillId="0" borderId="70" xfId="237" applyFont="1" applyBorder="1" applyAlignment="1">
      <alignment horizontal="left" wrapText="1"/>
    </xf>
    <xf numFmtId="0" fontId="14" fillId="0" borderId="0" xfId="3" applyAlignment="1">
      <alignment horizontal="right" vertical="center"/>
    </xf>
    <xf numFmtId="2" fontId="145" fillId="0" borderId="0" xfId="237" applyNumberFormat="1" applyFont="1" applyAlignment="1">
      <alignment horizontal="left" vertical="center"/>
    </xf>
    <xf numFmtId="0" fontId="12" fillId="0" borderId="70" xfId="22" applyFont="1" applyBorder="1" applyAlignment="1">
      <alignment horizontal="left" wrapText="1"/>
    </xf>
    <xf numFmtId="172" fontId="12" fillId="0" borderId="70" xfId="22" applyNumberFormat="1" applyFont="1" applyBorder="1" applyAlignment="1">
      <alignment horizontal="right"/>
    </xf>
    <xf numFmtId="2" fontId="101" fillId="0" borderId="0" xfId="22" applyNumberFormat="1" applyFont="1" applyAlignment="1">
      <alignment horizontal="left" vertical="center"/>
    </xf>
    <xf numFmtId="2" fontId="82" fillId="0" borderId="0" xfId="6" applyNumberFormat="1" applyFont="1" applyAlignment="1">
      <alignment horizontal="left" vertical="center"/>
    </xf>
    <xf numFmtId="181" fontId="74" fillId="0" borderId="0" xfId="25" applyNumberFormat="1" applyFont="1" applyAlignment="1" applyProtection="1">
      <alignment horizontal="left" vertical="top"/>
    </xf>
    <xf numFmtId="172" fontId="82" fillId="0" borderId="0" xfId="25" applyNumberFormat="1" applyFont="1" applyAlignment="1" applyProtection="1">
      <alignment horizontal="left" vertical="top"/>
    </xf>
    <xf numFmtId="37" fontId="71" fillId="0" borderId="70" xfId="199" applyNumberFormat="1" applyFont="1" applyBorder="1" applyAlignment="1" applyProtection="1">
      <alignment horizontal="right"/>
    </xf>
    <xf numFmtId="49" fontId="83" fillId="0" borderId="70" xfId="199" applyNumberFormat="1" applyFont="1" applyBorder="1" applyAlignment="1" applyProtection="1">
      <alignment horizontal="left" wrapText="1"/>
    </xf>
    <xf numFmtId="0" fontId="71" fillId="0" borderId="70" xfId="199" applyFont="1" applyBorder="1" applyAlignment="1" applyProtection="1">
      <alignment horizontal="left" wrapText="1"/>
    </xf>
    <xf numFmtId="0" fontId="38" fillId="0" borderId="0" xfId="199" applyFont="1" applyAlignment="1" applyProtection="1">
      <alignment horizontal="right" vertical="top"/>
    </xf>
    <xf numFmtId="0" fontId="38" fillId="0" borderId="0" xfId="199" applyFont="1" applyAlignment="1" applyProtection="1">
      <alignment horizontal="left" vertical="top"/>
    </xf>
    <xf numFmtId="37" fontId="156" fillId="0" borderId="0" xfId="237" applyNumberFormat="1" applyFont="1" applyAlignment="1">
      <alignment horizontal="right"/>
    </xf>
    <xf numFmtId="0" fontId="156" fillId="0" borderId="0" xfId="237" applyFont="1" applyAlignment="1">
      <alignment horizontal="left" wrapText="1"/>
    </xf>
    <xf numFmtId="176" fontId="156" fillId="0" borderId="0" xfId="237" applyNumberFormat="1" applyFont="1" applyAlignment="1">
      <alignment horizontal="right"/>
    </xf>
    <xf numFmtId="39" fontId="156" fillId="0" borderId="0" xfId="237" applyNumberFormat="1" applyFont="1" applyAlignment="1">
      <alignment horizontal="right"/>
    </xf>
    <xf numFmtId="37" fontId="12" fillId="0" borderId="51" xfId="237" applyNumberFormat="1" applyFont="1" applyBorder="1" applyAlignment="1">
      <alignment horizontal="right"/>
    </xf>
    <xf numFmtId="0" fontId="12" fillId="0" borderId="51" xfId="237" applyFont="1" applyBorder="1" applyAlignment="1">
      <alignment horizontal="left" wrapText="1"/>
    </xf>
    <xf numFmtId="0" fontId="12" fillId="0" borderId="51" xfId="237" applyFont="1" applyBorder="1" applyAlignment="1">
      <alignment horizontal="center" wrapText="1"/>
    </xf>
    <xf numFmtId="176" fontId="12" fillId="0" borderId="51" xfId="237" applyNumberFormat="1" applyFont="1" applyBorder="1" applyAlignment="1">
      <alignment horizontal="right"/>
    </xf>
    <xf numFmtId="39" fontId="12" fillId="0" borderId="51" xfId="237" applyNumberFormat="1" applyFont="1" applyBorder="1" applyAlignment="1">
      <alignment horizontal="right"/>
    </xf>
    <xf numFmtId="0" fontId="172" fillId="0" borderId="0" xfId="237" applyFont="1" applyAlignment="1">
      <alignment horizontal="left" vertical="top"/>
    </xf>
    <xf numFmtId="0" fontId="64" fillId="0" borderId="39" xfId="237" applyFont="1" applyBorder="1" applyAlignment="1">
      <alignment horizontal="left"/>
    </xf>
    <xf numFmtId="0" fontId="83" fillId="0" borderId="40" xfId="237" applyFont="1" applyBorder="1" applyAlignment="1">
      <alignment horizontal="center"/>
    </xf>
    <xf numFmtId="176" fontId="83" fillId="0" borderId="40" xfId="237" applyNumberFormat="1" applyFont="1" applyBorder="1" applyAlignment="1">
      <alignment horizontal="right"/>
    </xf>
    <xf numFmtId="39" fontId="12" fillId="0" borderId="40" xfId="237" applyNumberFormat="1" applyFont="1" applyBorder="1" applyAlignment="1">
      <alignment horizontal="right"/>
    </xf>
    <xf numFmtId="39" fontId="64" fillId="0" borderId="33" xfId="237" applyNumberFormat="1" applyFont="1" applyBorder="1" applyAlignment="1">
      <alignment horizontal="right"/>
    </xf>
    <xf numFmtId="39" fontId="202" fillId="0" borderId="0" xfId="237" applyNumberFormat="1" applyFont="1" applyAlignment="1">
      <alignment horizontal="center"/>
    </xf>
    <xf numFmtId="37" fontId="83" fillId="0" borderId="0" xfId="237" applyNumberFormat="1" applyFont="1" applyAlignment="1">
      <alignment horizontal="right"/>
    </xf>
    <xf numFmtId="0" fontId="83" fillId="0" borderId="0" xfId="237" applyFont="1" applyAlignment="1">
      <alignment horizontal="left" wrapText="1"/>
    </xf>
    <xf numFmtId="0" fontId="83" fillId="0" borderId="0" xfId="237" applyFont="1" applyAlignment="1">
      <alignment horizontal="center" wrapText="1"/>
    </xf>
    <xf numFmtId="176" fontId="83" fillId="0" borderId="0" xfId="237" applyNumberFormat="1" applyFont="1" applyAlignment="1">
      <alignment horizontal="right"/>
    </xf>
    <xf numFmtId="39" fontId="83" fillId="0" borderId="0" xfId="237" applyNumberFormat="1" applyFont="1" applyAlignment="1">
      <alignment horizontal="right"/>
    </xf>
    <xf numFmtId="0" fontId="150" fillId="0" borderId="0" xfId="237" applyFont="1"/>
    <xf numFmtId="0" fontId="150" fillId="0" borderId="0" xfId="237" applyFont="1" applyAlignment="1">
      <alignment horizontal="left" vertical="top"/>
    </xf>
    <xf numFmtId="0" fontId="2" fillId="0" borderId="0" xfId="234"/>
    <xf numFmtId="0" fontId="12" fillId="0" borderId="0" xfId="234" applyFont="1" applyAlignment="1">
      <alignment horizontal="left"/>
    </xf>
    <xf numFmtId="0" fontId="62" fillId="0" borderId="0" xfId="234" applyFont="1" applyAlignment="1">
      <alignment horizontal="left"/>
    </xf>
    <xf numFmtId="0" fontId="2" fillId="0" borderId="0" xfId="234" applyAlignment="1">
      <alignment horizontal="left" vertical="top"/>
    </xf>
    <xf numFmtId="0" fontId="63" fillId="0" borderId="0" xfId="234" applyFont="1" applyAlignment="1">
      <alignment horizontal="left"/>
    </xf>
    <xf numFmtId="0" fontId="62" fillId="0" borderId="0" xfId="234" applyFont="1" applyAlignment="1">
      <alignment horizontal="center"/>
    </xf>
    <xf numFmtId="0" fontId="201" fillId="0" borderId="0" xfId="234" applyFont="1" applyAlignment="1">
      <alignment horizontal="right" vertical="top"/>
    </xf>
    <xf numFmtId="0" fontId="66" fillId="0" borderId="33" xfId="234" applyFont="1" applyBorder="1" applyAlignment="1">
      <alignment horizontal="center" vertical="center" wrapText="1"/>
    </xf>
    <xf numFmtId="0" fontId="66" fillId="0" borderId="39" xfId="234" applyFont="1" applyBorder="1" applyAlignment="1">
      <alignment horizontal="center" vertical="center" wrapText="1"/>
    </xf>
    <xf numFmtId="0" fontId="66" fillId="0" borderId="15" xfId="234" applyFont="1" applyBorder="1" applyAlignment="1">
      <alignment horizontal="center" vertical="center" wrapText="1"/>
    </xf>
    <xf numFmtId="0" fontId="309" fillId="0" borderId="0" xfId="234" applyFont="1" applyAlignment="1">
      <alignment horizontal="left" vertical="center"/>
    </xf>
    <xf numFmtId="0" fontId="145" fillId="0" borderId="0" xfId="234" applyFont="1"/>
    <xf numFmtId="49" fontId="205" fillId="0" borderId="70" xfId="234" applyNumberFormat="1" applyFont="1" applyBorder="1" applyAlignment="1">
      <alignment horizontal="left"/>
    </xf>
    <xf numFmtId="0" fontId="57" fillId="0" borderId="70" xfId="234" applyFont="1" applyBorder="1" applyAlignment="1">
      <alignment horizontal="left" wrapText="1"/>
    </xf>
    <xf numFmtId="172" fontId="57" fillId="0" borderId="70" xfId="234" applyNumberFormat="1" applyFont="1" applyBorder="1" applyAlignment="1">
      <alignment horizontal="right"/>
    </xf>
    <xf numFmtId="0" fontId="2" fillId="0" borderId="0" xfId="234" applyAlignment="1">
      <alignment vertical="center"/>
    </xf>
    <xf numFmtId="0" fontId="125" fillId="0" borderId="0" xfId="234" applyFont="1" applyAlignment="1">
      <alignment vertical="center"/>
    </xf>
    <xf numFmtId="0" fontId="78" fillId="0" borderId="70" xfId="234" applyFont="1" applyBorder="1" applyAlignment="1">
      <alignment horizontal="left" wrapText="1"/>
    </xf>
    <xf numFmtId="172" fontId="78" fillId="0" borderId="70" xfId="234" applyNumberFormat="1" applyFont="1" applyBorder="1" applyAlignment="1">
      <alignment horizontal="right"/>
    </xf>
    <xf numFmtId="0" fontId="324" fillId="0" borderId="0" xfId="234" applyFont="1" applyAlignment="1">
      <alignment vertical="center"/>
    </xf>
    <xf numFmtId="0" fontId="205" fillId="0" borderId="70" xfId="234" applyFont="1" applyBorder="1" applyAlignment="1">
      <alignment horizontal="right"/>
    </xf>
    <xf numFmtId="0" fontId="12" fillId="0" borderId="70" xfId="234" applyFont="1" applyBorder="1" applyAlignment="1">
      <alignment horizontal="left" wrapText="1"/>
    </xf>
    <xf numFmtId="39" fontId="12" fillId="0" borderId="70" xfId="234" applyNumberFormat="1" applyFont="1" applyBorder="1" applyAlignment="1">
      <alignment horizontal="center"/>
    </xf>
    <xf numFmtId="0" fontId="85" fillId="0" borderId="0" xfId="234" applyFont="1" applyAlignment="1">
      <alignment horizontal="left" vertical="center"/>
    </xf>
    <xf numFmtId="2" fontId="2" fillId="0" borderId="0" xfId="234" applyNumberFormat="1" applyAlignment="1">
      <alignment horizontal="left" vertical="top"/>
    </xf>
    <xf numFmtId="37" fontId="12" fillId="0" borderId="70" xfId="239" applyNumberFormat="1" applyFont="1" applyBorder="1" applyAlignment="1">
      <alignment horizontal="right"/>
    </xf>
    <xf numFmtId="0" fontId="12" fillId="0" borderId="70" xfId="239" applyFont="1" applyBorder="1" applyAlignment="1">
      <alignment horizontal="left" wrapText="1"/>
    </xf>
    <xf numFmtId="0" fontId="2" fillId="5" borderId="0" xfId="234" applyFill="1" applyAlignment="1">
      <alignment horizontal="left" vertical="top"/>
    </xf>
    <xf numFmtId="2" fontId="85" fillId="0" borderId="0" xfId="234" applyNumberFormat="1" applyFont="1" applyAlignment="1">
      <alignment horizontal="left" vertical="center"/>
    </xf>
    <xf numFmtId="49" fontId="12" fillId="0" borderId="70" xfId="234" applyNumberFormat="1" applyFont="1" applyBorder="1" applyAlignment="1">
      <alignment horizontal="left" wrapText="1"/>
    </xf>
    <xf numFmtId="181" fontId="12" fillId="0" borderId="70" xfId="234" applyNumberFormat="1" applyFont="1" applyBorder="1" applyAlignment="1">
      <alignment horizontal="right"/>
    </xf>
    <xf numFmtId="1" fontId="12" fillId="0" borderId="70" xfId="234" applyNumberFormat="1" applyFont="1" applyBorder="1" applyAlignment="1">
      <alignment horizontal="right"/>
    </xf>
    <xf numFmtId="172" fontId="12" fillId="0" borderId="70" xfId="234" applyNumberFormat="1" applyFont="1" applyBorder="1" applyAlignment="1">
      <alignment horizontal="right"/>
    </xf>
    <xf numFmtId="4" fontId="12" fillId="0" borderId="70" xfId="234" applyNumberFormat="1" applyFont="1" applyBorder="1" applyAlignment="1">
      <alignment horizontal="right"/>
    </xf>
    <xf numFmtId="4" fontId="222" fillId="0" borderId="0" xfId="234" applyNumberFormat="1" applyFont="1" applyAlignment="1">
      <alignment horizontal="center" vertical="center"/>
    </xf>
    <xf numFmtId="4" fontId="223" fillId="0" borderId="0" xfId="234" applyNumberFormat="1" applyFont="1" applyAlignment="1">
      <alignment horizontal="center" vertical="center"/>
    </xf>
    <xf numFmtId="37" fontId="83" fillId="0" borderId="70" xfId="234" applyNumberFormat="1" applyFont="1" applyBorder="1" applyAlignment="1">
      <alignment horizontal="right"/>
    </xf>
    <xf numFmtId="49" fontId="83" fillId="0" borderId="70" xfId="234" applyNumberFormat="1" applyFont="1" applyBorder="1" applyAlignment="1">
      <alignment horizontal="left" wrapText="1"/>
    </xf>
    <xf numFmtId="0" fontId="83" fillId="0" borderId="70" xfId="234" applyFont="1" applyBorder="1" applyAlignment="1">
      <alignment horizontal="left" wrapText="1"/>
    </xf>
    <xf numFmtId="0" fontId="2" fillId="0" borderId="70" xfId="234" applyBorder="1" applyAlignment="1">
      <alignment horizontal="left" vertical="top"/>
    </xf>
    <xf numFmtId="0" fontId="145" fillId="0" borderId="0" xfId="234" applyFont="1" applyAlignment="1">
      <alignment horizontal="left" vertical="center"/>
    </xf>
    <xf numFmtId="1" fontId="71" fillId="0" borderId="70" xfId="234" applyNumberFormat="1" applyFont="1" applyBorder="1" applyAlignment="1">
      <alignment horizontal="right"/>
    </xf>
    <xf numFmtId="0" fontId="71" fillId="0" borderId="70" xfId="234" applyFont="1" applyBorder="1" applyAlignment="1">
      <alignment horizontal="left" wrapText="1"/>
    </xf>
    <xf numFmtId="4" fontId="57" fillId="0" borderId="70" xfId="234" applyNumberFormat="1" applyFont="1" applyBorder="1" applyAlignment="1">
      <alignment horizontal="right"/>
    </xf>
    <xf numFmtId="2" fontId="145" fillId="0" borderId="0" xfId="234" applyNumberFormat="1" applyFont="1" applyAlignment="1">
      <alignment horizontal="left" vertical="center"/>
    </xf>
    <xf numFmtId="37" fontId="156" fillId="0" borderId="0" xfId="234" applyNumberFormat="1" applyFont="1" applyAlignment="1">
      <alignment horizontal="right"/>
    </xf>
    <xf numFmtId="0" fontId="156" fillId="0" borderId="0" xfId="234" applyFont="1" applyAlignment="1">
      <alignment horizontal="left" wrapText="1"/>
    </xf>
    <xf numFmtId="176" fontId="156" fillId="0" borderId="0" xfId="234" applyNumberFormat="1" applyFont="1" applyAlignment="1">
      <alignment horizontal="right"/>
    </xf>
    <xf numFmtId="39" fontId="156" fillId="0" borderId="0" xfId="234" applyNumberFormat="1" applyFont="1" applyAlignment="1">
      <alignment horizontal="right"/>
    </xf>
    <xf numFmtId="37" fontId="12" fillId="0" borderId="51" xfId="234" applyNumberFormat="1" applyFont="1" applyBorder="1" applyAlignment="1">
      <alignment horizontal="right"/>
    </xf>
    <xf numFmtId="0" fontId="12" fillId="0" borderId="51" xfId="234" applyFont="1" applyBorder="1" applyAlignment="1">
      <alignment horizontal="left" wrapText="1"/>
    </xf>
    <xf numFmtId="0" fontId="12" fillId="0" borderId="51" xfId="234" applyFont="1" applyBorder="1" applyAlignment="1">
      <alignment horizontal="center" wrapText="1"/>
    </xf>
    <xf numFmtId="176" fontId="12" fillId="0" borderId="51" xfId="234" applyNumberFormat="1" applyFont="1" applyBorder="1" applyAlignment="1">
      <alignment horizontal="right"/>
    </xf>
    <xf numFmtId="39" fontId="12" fillId="0" borderId="51" xfId="234" applyNumberFormat="1" applyFont="1" applyBorder="1" applyAlignment="1">
      <alignment horizontal="right"/>
    </xf>
    <xf numFmtId="0" fontId="172" fillId="0" borderId="0" xfId="234" applyFont="1" applyAlignment="1">
      <alignment horizontal="left" vertical="top"/>
    </xf>
    <xf numFmtId="0" fontId="64" fillId="0" borderId="39" xfId="234" applyFont="1" applyBorder="1" applyAlignment="1">
      <alignment horizontal="left"/>
    </xf>
    <xf numFmtId="0" fontId="83" fillId="0" borderId="40" xfId="234" applyFont="1" applyBorder="1" applyAlignment="1">
      <alignment horizontal="center"/>
    </xf>
    <xf numFmtId="176" fontId="83" fillId="0" borderId="40" xfId="234" applyNumberFormat="1" applyFont="1" applyBorder="1" applyAlignment="1">
      <alignment horizontal="right"/>
    </xf>
    <xf numFmtId="39" fontId="12" fillId="0" borderId="40" xfId="234" applyNumberFormat="1" applyFont="1" applyBorder="1" applyAlignment="1">
      <alignment horizontal="right"/>
    </xf>
    <xf numFmtId="39" fontId="64" fillId="0" borderId="33" xfId="234" applyNumberFormat="1" applyFont="1" applyBorder="1" applyAlignment="1">
      <alignment horizontal="right"/>
    </xf>
    <xf numFmtId="39" fontId="202" fillId="0" borderId="0" xfId="234" applyNumberFormat="1" applyFont="1" applyAlignment="1">
      <alignment horizontal="center"/>
    </xf>
    <xf numFmtId="37" fontId="83" fillId="0" borderId="0" xfId="234" applyNumberFormat="1" applyFont="1" applyAlignment="1">
      <alignment horizontal="right"/>
    </xf>
    <xf numFmtId="0" fontId="83" fillId="0" borderId="0" xfId="234" applyFont="1" applyAlignment="1">
      <alignment horizontal="left" wrapText="1"/>
    </xf>
    <xf numFmtId="0" fontId="12" fillId="0" borderId="0" xfId="234" applyFont="1" applyAlignment="1">
      <alignment horizontal="left" wrapText="1"/>
    </xf>
    <xf numFmtId="0" fontId="83" fillId="0" borderId="0" xfId="234" applyFont="1" applyAlignment="1">
      <alignment horizontal="center" wrapText="1"/>
    </xf>
    <xf numFmtId="176" fontId="83" fillId="0" borderId="0" xfId="234" applyNumberFormat="1" applyFont="1" applyAlignment="1">
      <alignment horizontal="right"/>
    </xf>
    <xf numFmtId="39" fontId="83" fillId="0" borderId="0" xfId="234" applyNumberFormat="1" applyFont="1" applyAlignment="1">
      <alignment horizontal="right"/>
    </xf>
    <xf numFmtId="39" fontId="12" fillId="0" borderId="0" xfId="234" applyNumberFormat="1" applyFont="1" applyAlignment="1">
      <alignment horizontal="right"/>
    </xf>
    <xf numFmtId="0" fontId="150" fillId="0" borderId="0" xfId="234" applyFont="1"/>
    <xf numFmtId="0" fontId="150" fillId="0" borderId="0" xfId="234" applyFont="1" applyAlignment="1">
      <alignment horizontal="left" vertical="top"/>
    </xf>
    <xf numFmtId="0" fontId="93" fillId="0" borderId="0" xfId="89" applyFont="1" applyAlignment="1">
      <alignment vertical="center"/>
    </xf>
    <xf numFmtId="0" fontId="31" fillId="0" borderId="0" xfId="89" applyAlignment="1">
      <alignment wrapText="1"/>
    </xf>
    <xf numFmtId="0" fontId="61" fillId="5" borderId="0" xfId="206" applyFont="1" applyFill="1" applyAlignment="1">
      <alignment horizontal="left"/>
    </xf>
    <xf numFmtId="4" fontId="0" fillId="0" borderId="0" xfId="0" applyNumberFormat="1" applyAlignment="1" applyProtection="1">
      <alignment horizontal="left" vertical="top"/>
    </xf>
    <xf numFmtId="0" fontId="104" fillId="0" borderId="0" xfId="0" applyFont="1" applyAlignment="1" applyProtection="1">
      <alignment horizontal="right" vertical="top"/>
    </xf>
    <xf numFmtId="0" fontId="0" fillId="0" borderId="0" xfId="0" applyAlignment="1" applyProtection="1">
      <alignment vertical="top"/>
    </xf>
    <xf numFmtId="4" fontId="0" fillId="0" borderId="0" xfId="0" applyNumberFormat="1" applyAlignment="1" applyProtection="1">
      <alignment vertical="top"/>
    </xf>
    <xf numFmtId="1" fontId="64" fillId="0" borderId="49" xfId="0" applyNumberFormat="1" applyFont="1" applyBorder="1" applyAlignment="1" applyProtection="1">
      <alignment horizontal="right"/>
    </xf>
    <xf numFmtId="49" fontId="64" fillId="0" borderId="49" xfId="0" applyNumberFormat="1" applyFont="1" applyBorder="1" applyAlignment="1" applyProtection="1">
      <alignment horizontal="left" wrapText="1"/>
    </xf>
    <xf numFmtId="0" fontId="64" fillId="0" borderId="49" xfId="0" applyFont="1" applyBorder="1" applyAlignment="1" applyProtection="1">
      <alignment horizontal="left" wrapText="1"/>
    </xf>
    <xf numFmtId="0" fontId="64" fillId="0" borderId="0" xfId="0" applyFont="1" applyAlignment="1" applyProtection="1">
      <alignment horizontal="left" wrapText="1"/>
    </xf>
    <xf numFmtId="172" fontId="64" fillId="0" borderId="49" xfId="0" applyNumberFormat="1" applyFont="1" applyBorder="1" applyAlignment="1" applyProtection="1">
      <alignment horizontal="right"/>
    </xf>
    <xf numFmtId="4" fontId="64" fillId="0" borderId="49" xfId="0" applyNumberFormat="1" applyFont="1" applyBorder="1" applyAlignment="1" applyProtection="1">
      <alignment horizontal="right"/>
    </xf>
    <xf numFmtId="1" fontId="12" fillId="0" borderId="62" xfId="178" applyNumberFormat="1" applyFont="1" applyBorder="1" applyAlignment="1" applyProtection="1">
      <alignment horizontal="right"/>
    </xf>
    <xf numFmtId="0" fontId="64" fillId="0" borderId="61" xfId="0" applyFont="1" applyBorder="1" applyAlignment="1" applyProtection="1">
      <alignment horizontal="left" wrapText="1"/>
    </xf>
    <xf numFmtId="172" fontId="64" fillId="0" borderId="61" xfId="0" applyNumberFormat="1" applyFont="1" applyBorder="1" applyAlignment="1" applyProtection="1">
      <alignment horizontal="right"/>
    </xf>
    <xf numFmtId="173" fontId="12" fillId="0" borderId="62" xfId="0" applyNumberFormat="1" applyFont="1" applyBorder="1" applyAlignment="1" applyProtection="1">
      <alignment horizontal="right"/>
    </xf>
    <xf numFmtId="4" fontId="64" fillId="0" borderId="63" xfId="0" applyNumberFormat="1" applyFont="1" applyBorder="1" applyAlignment="1" applyProtection="1">
      <alignment horizontal="right"/>
    </xf>
    <xf numFmtId="0" fontId="0" fillId="0" borderId="65" xfId="0" applyBorder="1" applyAlignment="1" applyProtection="1">
      <alignment horizontal="left" vertical="top"/>
    </xf>
    <xf numFmtId="0" fontId="92" fillId="0" borderId="0" xfId="0" applyFont="1" applyAlignment="1" applyProtection="1">
      <alignment horizontal="left" vertical="top"/>
    </xf>
    <xf numFmtId="0" fontId="57" fillId="0" borderId="0" xfId="0" applyFont="1" applyAlignment="1" applyProtection="1">
      <alignment horizontal="left" vertical="top"/>
    </xf>
    <xf numFmtId="0" fontId="12" fillId="0" borderId="65" xfId="0" applyFont="1" applyBorder="1" applyAlignment="1" applyProtection="1">
      <alignment horizontal="left" wrapText="1"/>
    </xf>
    <xf numFmtId="172" fontId="12" fillId="0" borderId="62" xfId="0" applyNumberFormat="1" applyFont="1" applyBorder="1" applyAlignment="1" applyProtection="1">
      <alignment horizontal="right"/>
    </xf>
    <xf numFmtId="4" fontId="12" fillId="0" borderId="65" xfId="129" applyNumberFormat="1" applyFont="1" applyBorder="1" applyAlignment="1">
      <alignment horizontal="right"/>
    </xf>
    <xf numFmtId="39" fontId="12" fillId="0" borderId="65" xfId="0" applyNumberFormat="1" applyFont="1" applyBorder="1" applyAlignment="1" applyProtection="1">
      <alignment horizontal="center"/>
    </xf>
    <xf numFmtId="1" fontId="12" fillId="0" borderId="63" xfId="178" applyNumberFormat="1" applyFont="1" applyBorder="1" applyAlignment="1" applyProtection="1">
      <alignment horizontal="right"/>
    </xf>
    <xf numFmtId="49" fontId="64" fillId="0" borderId="63" xfId="0" applyNumberFormat="1" applyFont="1" applyBorder="1" applyAlignment="1" applyProtection="1">
      <alignment horizontal="left" wrapText="1"/>
    </xf>
    <xf numFmtId="0" fontId="64" fillId="0" borderId="63" xfId="0" applyFont="1" applyBorder="1" applyAlignment="1" applyProtection="1">
      <alignment horizontal="left" wrapText="1"/>
    </xf>
    <xf numFmtId="0" fontId="57" fillId="0" borderId="63" xfId="0" applyFont="1" applyBorder="1" applyAlignment="1" applyProtection="1">
      <alignment horizontal="left" wrapText="1"/>
    </xf>
    <xf numFmtId="172" fontId="57" fillId="0" borderId="63" xfId="0" applyNumberFormat="1" applyFont="1" applyBorder="1" applyAlignment="1" applyProtection="1">
      <alignment horizontal="right"/>
    </xf>
    <xf numFmtId="4" fontId="12" fillId="0" borderId="18" xfId="0" applyNumberFormat="1" applyFont="1" applyBorder="1" applyAlignment="1" applyProtection="1">
      <alignment horizontal="right"/>
    </xf>
    <xf numFmtId="4" fontId="12" fillId="0" borderId="63" xfId="0" applyNumberFormat="1" applyFont="1" applyBorder="1" applyAlignment="1" applyProtection="1">
      <alignment horizontal="right"/>
    </xf>
    <xf numFmtId="0" fontId="0" fillId="0" borderId="63" xfId="0" applyBorder="1" applyAlignment="1" applyProtection="1">
      <alignment horizontal="left" vertical="top"/>
    </xf>
    <xf numFmtId="0" fontId="0" fillId="0" borderId="0" xfId="0" applyAlignment="1" applyProtection="1">
      <alignment horizontal="left" vertical="center"/>
    </xf>
    <xf numFmtId="0" fontId="12" fillId="0" borderId="63" xfId="0" applyFont="1" applyBorder="1" applyAlignment="1" applyProtection="1">
      <alignment horizontal="left" wrapText="1"/>
    </xf>
    <xf numFmtId="172" fontId="12" fillId="0" borderId="63" xfId="0" applyNumberFormat="1" applyFont="1" applyBorder="1" applyAlignment="1" applyProtection="1">
      <alignment horizontal="right"/>
    </xf>
    <xf numFmtId="4" fontId="12" fillId="0" borderId="63" xfId="129" applyNumberFormat="1" applyFont="1" applyBorder="1" applyAlignment="1">
      <alignment horizontal="right"/>
    </xf>
    <xf numFmtId="39" fontId="12" fillId="0" borderId="63" xfId="0" applyNumberFormat="1" applyFont="1" applyBorder="1" applyAlignment="1" applyProtection="1">
      <alignment horizontal="center"/>
    </xf>
    <xf numFmtId="0" fontId="80" fillId="0" borderId="0" xfId="207" applyFont="1" applyFill="1" applyAlignment="1" applyProtection="1">
      <alignment horizontal="right" vertical="center"/>
    </xf>
    <xf numFmtId="0" fontId="74" fillId="0" borderId="0" xfId="0" applyFont="1" applyAlignment="1" applyProtection="1">
      <alignment horizontal="left" vertical="top"/>
    </xf>
    <xf numFmtId="0" fontId="82" fillId="0" borderId="0" xfId="0" applyFont="1" applyAlignment="1" applyProtection="1">
      <alignment horizontal="left" vertical="top"/>
    </xf>
    <xf numFmtId="0" fontId="45" fillId="0" borderId="0" xfId="122" applyFill="1" applyAlignment="1" applyProtection="1">
      <alignment vertical="top"/>
    </xf>
    <xf numFmtId="0" fontId="80" fillId="0" borderId="0" xfId="0" applyFont="1" applyAlignment="1" applyProtection="1">
      <alignment horizontal="left" vertical="center"/>
    </xf>
    <xf numFmtId="39" fontId="12" fillId="0" borderId="18" xfId="0" applyNumberFormat="1" applyFont="1" applyBorder="1" applyAlignment="1" applyProtection="1">
      <alignment horizontal="right"/>
    </xf>
    <xf numFmtId="0" fontId="15" fillId="0" borderId="0" xfId="36" applyFont="1" applyAlignment="1">
      <alignment horizontal="left" vertical="center"/>
    </xf>
    <xf numFmtId="0" fontId="150" fillId="0" borderId="0" xfId="208" applyFont="1" applyAlignment="1">
      <alignment horizontal="left" vertical="top"/>
    </xf>
    <xf numFmtId="0" fontId="4" fillId="0" borderId="0" xfId="208" applyAlignment="1">
      <alignment horizontal="left" vertical="top"/>
    </xf>
    <xf numFmtId="1" fontId="12" fillId="0" borderId="63" xfId="208" applyNumberFormat="1" applyFont="1" applyBorder="1" applyAlignment="1">
      <alignment horizontal="right"/>
    </xf>
    <xf numFmtId="0" fontId="12" fillId="0" borderId="63" xfId="208" applyFont="1" applyBorder="1" applyAlignment="1">
      <alignment horizontal="left" wrapText="1"/>
    </xf>
    <xf numFmtId="0" fontId="13" fillId="0" borderId="63" xfId="176" applyFont="1" applyBorder="1" applyAlignment="1">
      <alignment vertical="center"/>
    </xf>
    <xf numFmtId="4" fontId="15" fillId="0" borderId="0" xfId="32" applyNumberFormat="1" applyFont="1" applyAlignment="1">
      <alignment horizontal="left" vertical="top"/>
    </xf>
    <xf numFmtId="0" fontId="15" fillId="0" borderId="0" xfId="36" applyFont="1" applyAlignment="1">
      <alignment horizontal="left" vertical="top"/>
    </xf>
    <xf numFmtId="37" fontId="12" fillId="0" borderId="63" xfId="0" applyNumberFormat="1" applyFont="1" applyBorder="1" applyAlignment="1" applyProtection="1">
      <alignment horizontal="right"/>
    </xf>
    <xf numFmtId="172" fontId="12" fillId="0" borderId="63" xfId="190" applyNumberFormat="1" applyFont="1" applyBorder="1" applyAlignment="1">
      <alignment horizontal="right"/>
    </xf>
    <xf numFmtId="4" fontId="223" fillId="0" borderId="0" xfId="0" applyNumberFormat="1" applyFont="1" applyAlignment="1" applyProtection="1">
      <alignment horizontal="center" vertical="center"/>
    </xf>
    <xf numFmtId="4" fontId="222" fillId="0" borderId="0" xfId="0" applyNumberFormat="1" applyFont="1" applyAlignment="1" applyProtection="1">
      <alignment horizontal="center" vertical="center"/>
    </xf>
    <xf numFmtId="4" fontId="106" fillId="0" borderId="0" xfId="124" applyNumberFormat="1" applyFont="1" applyAlignment="1" applyProtection="1">
      <alignment horizontal="center" vertical="center"/>
    </xf>
    <xf numFmtId="4" fontId="74" fillId="0" borderId="0" xfId="0" applyNumberFormat="1" applyFont="1" applyAlignment="1" applyProtection="1">
      <alignment horizontal="center" vertical="center"/>
    </xf>
    <xf numFmtId="1" fontId="12" fillId="0" borderId="63" xfId="204" applyNumberFormat="1" applyFont="1" applyBorder="1" applyAlignment="1">
      <alignment horizontal="right"/>
    </xf>
    <xf numFmtId="0" fontId="12" fillId="0" borderId="63" xfId="204" applyFont="1" applyBorder="1" applyAlignment="1">
      <alignment horizontal="left" wrapText="1"/>
    </xf>
    <xf numFmtId="0" fontId="57" fillId="0" borderId="63" xfId="204" applyFont="1" applyBorder="1" applyAlignment="1">
      <alignment horizontal="left" wrapText="1"/>
    </xf>
    <xf numFmtId="0" fontId="83" fillId="0" borderId="63" xfId="204" applyFont="1" applyBorder="1" applyAlignment="1">
      <alignment horizontal="left" wrapText="1"/>
    </xf>
    <xf numFmtId="172" fontId="57" fillId="0" borderId="63" xfId="204" applyNumberFormat="1" applyFont="1" applyBorder="1" applyAlignment="1">
      <alignment horizontal="right"/>
    </xf>
    <xf numFmtId="4" fontId="12" fillId="0" borderId="63" xfId="204" applyNumberFormat="1" applyFont="1" applyBorder="1" applyAlignment="1">
      <alignment horizontal="right"/>
    </xf>
    <xf numFmtId="0" fontId="4" fillId="0" borderId="63" xfId="204" applyBorder="1" applyAlignment="1">
      <alignment horizontal="left" vertical="top"/>
    </xf>
    <xf numFmtId="0" fontId="4" fillId="0" borderId="0" xfId="204" applyAlignment="1">
      <alignment horizontal="left" vertical="top"/>
    </xf>
    <xf numFmtId="172" fontId="4" fillId="0" borderId="63" xfId="204" applyNumberFormat="1" applyBorder="1" applyAlignment="1">
      <alignment horizontal="left" vertical="top"/>
    </xf>
    <xf numFmtId="4" fontId="57" fillId="0" borderId="0" xfId="0" applyNumberFormat="1" applyFont="1" applyAlignment="1" applyProtection="1">
      <alignment horizontal="center" vertical="center"/>
    </xf>
    <xf numFmtId="37" fontId="264" fillId="0" borderId="63" xfId="0" applyNumberFormat="1" applyFont="1" applyBorder="1" applyAlignment="1" applyProtection="1">
      <alignment horizontal="right"/>
    </xf>
    <xf numFmtId="0" fontId="264" fillId="0" borderId="76" xfId="0" applyFont="1" applyBorder="1" applyAlignment="1" applyProtection="1">
      <alignment horizontal="left" wrapText="1"/>
    </xf>
    <xf numFmtId="172" fontId="264" fillId="0" borderId="63" xfId="190" applyNumberFormat="1" applyFont="1" applyBorder="1" applyAlignment="1">
      <alignment horizontal="right"/>
    </xf>
    <xf numFmtId="39" fontId="264" fillId="0" borderId="63" xfId="0" applyNumberFormat="1" applyFont="1" applyBorder="1" applyAlignment="1" applyProtection="1">
      <alignment horizontal="center"/>
    </xf>
    <xf numFmtId="0" fontId="150" fillId="0" borderId="0" xfId="8" applyFont="1" applyAlignment="1">
      <alignment horizontal="left" vertical="top"/>
    </xf>
    <xf numFmtId="0" fontId="14" fillId="0" borderId="0" xfId="8" applyAlignment="1">
      <alignment horizontal="left" vertical="top"/>
    </xf>
    <xf numFmtId="1" fontId="350" fillId="0" borderId="76" xfId="176" applyNumberFormat="1" applyFont="1" applyBorder="1"/>
    <xf numFmtId="172" fontId="264" fillId="0" borderId="63" xfId="204" applyNumberFormat="1" applyFont="1" applyBorder="1" applyAlignment="1">
      <alignment horizontal="right"/>
    </xf>
    <xf numFmtId="4" fontId="264" fillId="0" borderId="76" xfId="0" applyNumberFormat="1" applyFont="1" applyBorder="1" applyAlignment="1" applyProtection="1">
      <alignment horizontal="right"/>
    </xf>
    <xf numFmtId="39" fontId="264" fillId="0" borderId="76" xfId="0" applyNumberFormat="1" applyFont="1" applyBorder="1" applyAlignment="1" applyProtection="1">
      <alignment horizontal="center"/>
    </xf>
    <xf numFmtId="1" fontId="264" fillId="0" borderId="0" xfId="178" applyNumberFormat="1" applyFont="1" applyAlignment="1" applyProtection="1">
      <alignment horizontal="right"/>
    </xf>
    <xf numFmtId="0" fontId="264" fillId="0" borderId="77" xfId="0" applyFont="1" applyBorder="1" applyAlignment="1" applyProtection="1">
      <alignment horizontal="left" wrapText="1"/>
    </xf>
    <xf numFmtId="0" fontId="270" fillId="0" borderId="0" xfId="0" applyFont="1" applyAlignment="1" applyProtection="1">
      <alignment horizontal="left" vertical="top"/>
    </xf>
    <xf numFmtId="0" fontId="92" fillId="0" borderId="0" xfId="0" applyFont="1" applyAlignment="1" applyProtection="1">
      <alignment horizontal="left" vertical="center"/>
    </xf>
    <xf numFmtId="0" fontId="12" fillId="0" borderId="63" xfId="192" applyFont="1" applyBorder="1" applyAlignment="1" applyProtection="1">
      <alignment horizontal="left" wrapText="1"/>
    </xf>
    <xf numFmtId="0" fontId="74" fillId="0" borderId="0" xfId="192" applyFont="1" applyAlignment="1" applyProtection="1">
      <alignment horizontal="left" vertical="center"/>
    </xf>
    <xf numFmtId="0" fontId="92" fillId="0" borderId="0" xfId="192" applyFont="1" applyAlignment="1" applyProtection="1">
      <alignment horizontal="left" vertical="top"/>
    </xf>
    <xf numFmtId="1" fontId="12" fillId="0" borderId="63" xfId="192" applyNumberFormat="1" applyFont="1" applyBorder="1" applyAlignment="1" applyProtection="1">
      <alignment horizontal="right"/>
    </xf>
    <xf numFmtId="172" fontId="71" fillId="0" borderId="63" xfId="192" applyNumberFormat="1" applyFont="1" applyBorder="1" applyAlignment="1" applyProtection="1">
      <alignment horizontal="right" wrapText="1"/>
    </xf>
    <xf numFmtId="4" fontId="12" fillId="0" borderId="18" xfId="192" applyNumberFormat="1" applyFont="1" applyBorder="1" applyAlignment="1" applyProtection="1">
      <alignment horizontal="right"/>
    </xf>
    <xf numFmtId="4" fontId="12" fillId="0" borderId="63" xfId="192" applyNumberFormat="1" applyFont="1" applyBorder="1" applyAlignment="1" applyProtection="1">
      <alignment horizontal="right"/>
    </xf>
    <xf numFmtId="39" fontId="12" fillId="0" borderId="63" xfId="192" applyNumberFormat="1" applyFont="1" applyBorder="1" applyAlignment="1" applyProtection="1">
      <alignment horizontal="center"/>
    </xf>
    <xf numFmtId="172" fontId="74" fillId="0" borderId="0" xfId="192" applyNumberFormat="1" applyFont="1" applyAlignment="1" applyProtection="1">
      <alignment horizontal="left" vertical="center"/>
    </xf>
    <xf numFmtId="172" fontId="92" fillId="0" borderId="63" xfId="192" applyNumberFormat="1" applyFont="1" applyBorder="1" applyAlignment="1" applyProtection="1">
      <alignment horizontal="left" vertical="top"/>
    </xf>
    <xf numFmtId="0" fontId="100" fillId="0" borderId="63" xfId="0" applyFont="1" applyBorder="1" applyAlignment="1" applyProtection="1">
      <alignment horizontal="left" wrapText="1"/>
    </xf>
    <xf numFmtId="0" fontId="13" fillId="0" borderId="63" xfId="204" applyFont="1" applyBorder="1" applyAlignment="1">
      <alignment horizontal="left"/>
    </xf>
    <xf numFmtId="0" fontId="13" fillId="0" borderId="63" xfId="204" applyFont="1" applyBorder="1"/>
    <xf numFmtId="172" fontId="13" fillId="0" borderId="63" xfId="204" applyNumberFormat="1" applyFont="1" applyBorder="1"/>
    <xf numFmtId="39" fontId="12" fillId="0" borderId="63" xfId="204" applyNumberFormat="1" applyFont="1" applyBorder="1" applyAlignment="1">
      <alignment horizontal="center"/>
    </xf>
    <xf numFmtId="0" fontId="105" fillId="0" borderId="0" xfId="0" applyFont="1" applyAlignment="1" applyProtection="1">
      <alignment vertical="center"/>
    </xf>
    <xf numFmtId="0" fontId="150" fillId="0" borderId="0" xfId="204" applyFont="1" applyAlignment="1">
      <alignment horizontal="left" vertical="top"/>
    </xf>
    <xf numFmtId="172" fontId="64" fillId="0" borderId="63" xfId="0" applyNumberFormat="1" applyFont="1" applyBorder="1" applyAlignment="1" applyProtection="1">
      <alignment horizontal="right"/>
    </xf>
    <xf numFmtId="0" fontId="45" fillId="0" borderId="0" xfId="122" applyFill="1" applyAlignment="1" applyProtection="1">
      <alignment horizontal="left" vertical="top"/>
    </xf>
    <xf numFmtId="1" fontId="13" fillId="0" borderId="63" xfId="176" applyNumberFormat="1" applyFont="1" applyBorder="1"/>
    <xf numFmtId="172" fontId="57" fillId="0" borderId="63" xfId="124" applyNumberFormat="1" applyFont="1" applyBorder="1" applyAlignment="1" applyProtection="1">
      <alignment horizontal="right"/>
    </xf>
    <xf numFmtId="0" fontId="71" fillId="0" borderId="63" xfId="124" applyFont="1" applyBorder="1" applyAlignment="1" applyProtection="1">
      <alignment horizontal="left" wrapText="1"/>
    </xf>
    <xf numFmtId="172" fontId="92" fillId="0" borderId="63" xfId="0" applyNumberFormat="1" applyFont="1" applyBorder="1" applyAlignment="1" applyProtection="1">
      <alignment horizontal="left" vertical="top"/>
    </xf>
    <xf numFmtId="4" fontId="92" fillId="0" borderId="0" xfId="0" applyNumberFormat="1" applyFont="1" applyAlignment="1" applyProtection="1">
      <alignment horizontal="left" vertical="top"/>
    </xf>
    <xf numFmtId="4" fontId="57" fillId="0" borderId="63" xfId="0" applyNumberFormat="1" applyFont="1" applyBorder="1" applyAlignment="1" applyProtection="1">
      <alignment horizontal="right"/>
    </xf>
    <xf numFmtId="1" fontId="12" fillId="0" borderId="63" xfId="0" applyNumberFormat="1" applyFont="1" applyBorder="1" applyAlignment="1" applyProtection="1">
      <alignment horizontal="right"/>
    </xf>
    <xf numFmtId="0" fontId="70" fillId="0" borderId="0" xfId="0" applyFont="1" applyAlignment="1" applyProtection="1">
      <alignment horizontal="left" vertical="top"/>
    </xf>
    <xf numFmtId="49" fontId="12" fillId="0" borderId="63" xfId="45" applyNumberFormat="1" applyFont="1" applyBorder="1" applyAlignment="1" applyProtection="1">
      <alignment horizontal="right" wrapText="1"/>
    </xf>
    <xf numFmtId="49" fontId="83" fillId="0" borderId="63" xfId="45" applyNumberFormat="1" applyFont="1" applyBorder="1" applyAlignment="1" applyProtection="1">
      <alignment horizontal="left" wrapText="1"/>
    </xf>
    <xf numFmtId="0" fontId="83" fillId="0" borderId="63" xfId="45" applyFont="1" applyBorder="1" applyAlignment="1" applyProtection="1">
      <alignment horizontal="left" wrapText="1"/>
    </xf>
    <xf numFmtId="0" fontId="71" fillId="0" borderId="63" xfId="44" applyFont="1" applyBorder="1" applyAlignment="1" applyProtection="1">
      <alignment horizontal="left" vertical="center" wrapText="1"/>
    </xf>
    <xf numFmtId="0" fontId="291" fillId="0" borderId="63" xfId="45" applyFont="1" applyBorder="1" applyAlignment="1" applyProtection="1">
      <alignment horizontal="center" vertical="center" wrapText="1"/>
    </xf>
    <xf numFmtId="172" fontId="57" fillId="0" borderId="63" xfId="45" applyNumberFormat="1" applyFont="1" applyBorder="1" applyAlignment="1" applyProtection="1">
      <alignment horizontal="left" wrapText="1"/>
    </xf>
    <xf numFmtId="4" fontId="12" fillId="0" borderId="63" xfId="45" applyNumberFormat="1" applyFont="1" applyBorder="1" applyAlignment="1" applyProtection="1">
      <alignment horizontal="right"/>
    </xf>
    <xf numFmtId="0" fontId="32" fillId="0" borderId="63" xfId="45" applyBorder="1" applyAlignment="1" applyProtection="1">
      <alignment horizontal="right" vertical="center"/>
    </xf>
    <xf numFmtId="0" fontId="92" fillId="0" borderId="0" xfId="124" applyFont="1" applyAlignment="1" applyProtection="1">
      <alignment horizontal="left" vertical="top"/>
    </xf>
    <xf numFmtId="39" fontId="12" fillId="0" borderId="63" xfId="124" applyNumberFormat="1" applyFont="1" applyBorder="1" applyAlignment="1" applyProtection="1">
      <alignment horizontal="center"/>
    </xf>
    <xf numFmtId="0" fontId="12" fillId="0" borderId="63" xfId="124" applyFont="1" applyBorder="1" applyAlignment="1" applyProtection="1">
      <alignment horizontal="left" wrapText="1"/>
    </xf>
    <xf numFmtId="0" fontId="213" fillId="0" borderId="0" xfId="0" applyFont="1" applyAlignment="1" applyProtection="1">
      <alignment horizontal="right" vertical="center"/>
    </xf>
    <xf numFmtId="39" fontId="12" fillId="0" borderId="63" xfId="0" applyNumberFormat="1" applyFont="1" applyBorder="1" applyAlignment="1" applyProtection="1">
      <alignment horizontal="right"/>
    </xf>
    <xf numFmtId="0" fontId="213" fillId="0" borderId="0" xfId="0" applyFont="1" applyAlignment="1" applyProtection="1">
      <alignment horizontal="left" vertical="center"/>
    </xf>
    <xf numFmtId="0" fontId="213" fillId="0" borderId="0" xfId="0" applyFont="1" applyAlignment="1" applyProtection="1">
      <alignment horizontal="right" vertical="top"/>
    </xf>
    <xf numFmtId="0" fontId="126" fillId="0" borderId="0" xfId="122" applyFont="1" applyFill="1" applyAlignment="1" applyProtection="1">
      <alignment horizontal="left" vertical="center"/>
    </xf>
    <xf numFmtId="0" fontId="119" fillId="0" borderId="63" xfId="0" applyFont="1" applyBorder="1" applyAlignment="1" applyProtection="1">
      <alignment horizontal="left" wrapText="1"/>
    </xf>
    <xf numFmtId="172" fontId="57" fillId="0" borderId="63" xfId="0" applyNumberFormat="1" applyFont="1" applyBorder="1" applyAlignment="1" applyProtection="1">
      <alignment horizontal="right" wrapText="1"/>
    </xf>
    <xf numFmtId="172" fontId="119" fillId="0" borderId="63" xfId="0" applyNumberFormat="1" applyFont="1" applyBorder="1" applyAlignment="1" applyProtection="1">
      <alignment horizontal="left" wrapText="1"/>
    </xf>
    <xf numFmtId="39" fontId="12" fillId="0" borderId="63" xfId="208" applyNumberFormat="1" applyFont="1" applyBorder="1" applyAlignment="1">
      <alignment horizontal="center"/>
    </xf>
    <xf numFmtId="0" fontId="294" fillId="0" borderId="0" xfId="208" applyFont="1"/>
    <xf numFmtId="0" fontId="86" fillId="0" borderId="0" xfId="208" applyFont="1" applyAlignment="1">
      <alignment horizontal="left"/>
    </xf>
    <xf numFmtId="0" fontId="85" fillId="0" borderId="0" xfId="208" applyFont="1" applyAlignment="1">
      <alignment horizontal="left" vertical="center"/>
    </xf>
    <xf numFmtId="0" fontId="92" fillId="0" borderId="0" xfId="208" applyFont="1" applyAlignment="1">
      <alignment horizontal="left" vertical="top"/>
    </xf>
    <xf numFmtId="0" fontId="57" fillId="0" borderId="63" xfId="208" applyFont="1" applyBorder="1" applyAlignment="1">
      <alignment horizontal="left" wrapText="1"/>
    </xf>
    <xf numFmtId="0" fontId="83" fillId="0" borderId="63" xfId="208" applyFont="1" applyBorder="1" applyAlignment="1">
      <alignment horizontal="left" wrapText="1"/>
    </xf>
    <xf numFmtId="172" fontId="57" fillId="0" borderId="63" xfId="208" applyNumberFormat="1" applyFont="1" applyBorder="1" applyAlignment="1">
      <alignment horizontal="right"/>
    </xf>
    <xf numFmtId="4" fontId="12" fillId="0" borderId="63" xfId="208" applyNumberFormat="1" applyFont="1" applyBorder="1" applyAlignment="1">
      <alignment horizontal="right"/>
    </xf>
    <xf numFmtId="0" fontId="4" fillId="0" borderId="63" xfId="208" applyBorder="1" applyAlignment="1">
      <alignment horizontal="left" vertical="top"/>
    </xf>
    <xf numFmtId="0" fontId="45" fillId="0" borderId="0" xfId="122" applyFill="1" applyAlignment="1" applyProtection="1">
      <alignment horizontal="left" vertical="center"/>
    </xf>
    <xf numFmtId="0" fontId="155" fillId="0" borderId="0" xfId="0" applyFont="1" applyAlignment="1" applyProtection="1">
      <alignment horizontal="left" vertical="center"/>
    </xf>
    <xf numFmtId="0" fontId="155" fillId="0" borderId="0" xfId="0" applyFont="1" applyAlignment="1" applyProtection="1">
      <alignment horizontal="right" vertical="center"/>
    </xf>
    <xf numFmtId="0" fontId="92" fillId="0" borderId="0" xfId="0" applyFont="1" applyAlignment="1" applyProtection="1">
      <alignment horizontal="center" vertical="center"/>
    </xf>
    <xf numFmtId="0" fontId="64" fillId="0" borderId="63" xfId="204" applyFont="1" applyBorder="1" applyAlignment="1">
      <alignment horizontal="left" wrapText="1"/>
    </xf>
    <xf numFmtId="2" fontId="64" fillId="0" borderId="63" xfId="204" applyNumberFormat="1" applyFont="1" applyBorder="1" applyAlignment="1">
      <alignment horizontal="right"/>
    </xf>
    <xf numFmtId="4" fontId="64" fillId="0" borderId="63" xfId="204" applyNumberFormat="1" applyFont="1" applyBorder="1" applyAlignment="1">
      <alignment horizontal="right"/>
    </xf>
    <xf numFmtId="37" fontId="83" fillId="0" borderId="63" xfId="22" applyNumberFormat="1" applyFont="1" applyBorder="1" applyAlignment="1">
      <alignment horizontal="right"/>
    </xf>
    <xf numFmtId="49" fontId="83" fillId="0" borderId="63" xfId="22" applyNumberFormat="1" applyFont="1" applyBorder="1" applyAlignment="1">
      <alignment horizontal="left" wrapText="1"/>
    </xf>
    <xf numFmtId="0" fontId="83" fillId="0" borderId="63" xfId="22" applyFont="1" applyBorder="1" applyAlignment="1">
      <alignment horizontal="left" wrapText="1"/>
    </xf>
    <xf numFmtId="0" fontId="57" fillId="0" borderId="63" xfId="34" applyFont="1" applyBorder="1" applyAlignment="1">
      <alignment horizontal="left" vertical="center" wrapText="1"/>
    </xf>
    <xf numFmtId="0" fontId="57" fillId="0" borderId="63" xfId="22" applyFont="1" applyBorder="1" applyAlignment="1">
      <alignment horizontal="left" wrapText="1"/>
    </xf>
    <xf numFmtId="172" fontId="57" fillId="0" borderId="63" xfId="22" applyNumberFormat="1" applyFont="1" applyBorder="1" applyAlignment="1">
      <alignment horizontal="right"/>
    </xf>
    <xf numFmtId="4" fontId="12" fillId="0" borderId="63" xfId="22" applyNumberFormat="1" applyFont="1" applyBorder="1" applyAlignment="1">
      <alignment horizontal="right"/>
    </xf>
    <xf numFmtId="0" fontId="85" fillId="0" borderId="63" xfId="22" applyFont="1" applyBorder="1" applyAlignment="1">
      <alignment horizontal="right" vertical="center"/>
    </xf>
    <xf numFmtId="0" fontId="169" fillId="0" borderId="0" xfId="0" applyFont="1" applyAlignment="1" applyProtection="1">
      <alignment horizontal="left" vertical="center"/>
    </xf>
    <xf numFmtId="0" fontId="181" fillId="0" borderId="0" xfId="0" applyFont="1" applyAlignment="1" applyProtection="1">
      <alignment horizontal="left" vertical="center"/>
    </xf>
    <xf numFmtId="0" fontId="83" fillId="0" borderId="63" xfId="0" applyFont="1" applyBorder="1" applyAlignment="1" applyProtection="1">
      <alignment horizontal="left" wrapText="1"/>
    </xf>
    <xf numFmtId="2" fontId="12" fillId="0" borderId="63" xfId="0" applyNumberFormat="1" applyFont="1" applyBorder="1" applyAlignment="1" applyProtection="1">
      <alignment horizontal="right"/>
    </xf>
    <xf numFmtId="4" fontId="93" fillId="0" borderId="0" xfId="208" applyNumberFormat="1" applyFont="1" applyAlignment="1">
      <alignment horizontal="right" vertical="center"/>
    </xf>
    <xf numFmtId="4" fontId="133" fillId="0" borderId="0" xfId="208" applyNumberFormat="1" applyFont="1" applyAlignment="1">
      <alignment horizontal="left" vertical="center"/>
    </xf>
    <xf numFmtId="172" fontId="12" fillId="0" borderId="63" xfId="208" applyNumberFormat="1" applyFont="1" applyBorder="1" applyAlignment="1">
      <alignment horizontal="right"/>
    </xf>
    <xf numFmtId="0" fontId="254" fillId="0" borderId="0" xfId="208" applyFont="1" applyAlignment="1">
      <alignment horizontal="left" vertical="center"/>
    </xf>
    <xf numFmtId="0" fontId="86" fillId="0" borderId="0" xfId="36" applyFont="1" applyAlignment="1">
      <alignment horizontal="left" vertical="top"/>
    </xf>
    <xf numFmtId="0" fontId="145" fillId="0" borderId="0" xfId="0" applyFont="1" applyAlignment="1" applyProtection="1">
      <alignment horizontal="left" vertical="center"/>
    </xf>
    <xf numFmtId="1" fontId="64" fillId="0" borderId="63" xfId="0" applyNumberFormat="1" applyFont="1" applyBorder="1" applyAlignment="1" applyProtection="1">
      <alignment horizontal="right"/>
    </xf>
    <xf numFmtId="172" fontId="12" fillId="0" borderId="63" xfId="67" applyNumberFormat="1" applyFont="1" applyBorder="1" applyAlignment="1">
      <alignment horizontal="right"/>
    </xf>
    <xf numFmtId="3" fontId="0" fillId="0" borderId="0" xfId="0" applyNumberFormat="1" applyAlignment="1" applyProtection="1">
      <alignment horizontal="left" vertical="top"/>
    </xf>
    <xf numFmtId="4" fontId="93" fillId="0" borderId="0" xfId="204" applyNumberFormat="1" applyFont="1" applyAlignment="1">
      <alignment horizontal="right" vertical="center"/>
    </xf>
    <xf numFmtId="4" fontId="133" fillId="0" borderId="0" xfId="204" applyNumberFormat="1" applyFont="1" applyAlignment="1">
      <alignment horizontal="left" vertical="center"/>
    </xf>
    <xf numFmtId="0" fontId="294" fillId="0" borderId="0" xfId="204" applyFont="1"/>
    <xf numFmtId="0" fontId="86" fillId="0" borderId="0" xfId="204" applyFont="1" applyAlignment="1">
      <alignment horizontal="left"/>
    </xf>
    <xf numFmtId="0" fontId="85" fillId="0" borderId="0" xfId="204" applyFont="1" applyAlignment="1">
      <alignment horizontal="left" vertical="center"/>
    </xf>
    <xf numFmtId="0" fontId="92" fillId="0" borderId="0" xfId="204" applyFont="1" applyAlignment="1">
      <alignment horizontal="left" vertical="top"/>
    </xf>
    <xf numFmtId="0" fontId="254" fillId="0" borderId="0" xfId="204" applyFont="1" applyAlignment="1">
      <alignment horizontal="left" vertical="center"/>
    </xf>
    <xf numFmtId="4" fontId="222" fillId="0" borderId="0" xfId="0" applyNumberFormat="1" applyFont="1" applyAlignment="1" applyProtection="1">
      <alignment horizontal="left" vertical="center"/>
    </xf>
    <xf numFmtId="4" fontId="106" fillId="0" borderId="0" xfId="124" applyNumberFormat="1" applyFont="1" applyAlignment="1" applyProtection="1">
      <alignment horizontal="left" vertical="center"/>
    </xf>
    <xf numFmtId="4" fontId="45" fillId="0" borderId="0" xfId="122" applyNumberFormat="1" applyFill="1" applyAlignment="1" applyProtection="1">
      <alignment horizontal="left" vertical="top"/>
    </xf>
    <xf numFmtId="4" fontId="12" fillId="0" borderId="63" xfId="124" applyNumberFormat="1" applyFont="1" applyBorder="1" applyAlignment="1" applyProtection="1">
      <alignment horizontal="right"/>
    </xf>
    <xf numFmtId="0" fontId="85" fillId="0" borderId="0" xfId="124" applyFont="1" applyAlignment="1" applyProtection="1">
      <alignment horizontal="left" vertical="center"/>
    </xf>
    <xf numFmtId="1" fontId="12" fillId="0" borderId="63" xfId="124" applyNumberFormat="1" applyFont="1" applyBorder="1" applyAlignment="1" applyProtection="1">
      <alignment horizontal="right"/>
    </xf>
    <xf numFmtId="0" fontId="57" fillId="0" borderId="63" xfId="124" applyFont="1" applyBorder="1" applyAlignment="1" applyProtection="1">
      <alignment horizontal="left" vertical="center" wrapText="1"/>
    </xf>
    <xf numFmtId="4" fontId="106" fillId="0" borderId="0" xfId="192" applyNumberFormat="1" applyFont="1" applyAlignment="1" applyProtection="1">
      <alignment horizontal="center" vertical="center"/>
    </xf>
    <xf numFmtId="4" fontId="106" fillId="0" borderId="0" xfId="0" applyNumberFormat="1" applyFont="1" applyAlignment="1" applyProtection="1">
      <alignment horizontal="center" vertical="center"/>
    </xf>
    <xf numFmtId="1" fontId="205" fillId="0" borderId="63" xfId="204" applyNumberFormat="1" applyFont="1" applyBorder="1" applyAlignment="1">
      <alignment horizontal="right"/>
    </xf>
    <xf numFmtId="0" fontId="112" fillId="0" borderId="0" xfId="33" applyFont="1" applyAlignment="1">
      <alignment horizontal="left" vertical="top"/>
    </xf>
    <xf numFmtId="37" fontId="57" fillId="0" borderId="63" xfId="25" applyNumberFormat="1" applyFont="1" applyBorder="1" applyAlignment="1" applyProtection="1">
      <alignment horizontal="right"/>
    </xf>
    <xf numFmtId="49" fontId="83" fillId="0" borderId="63" xfId="25" applyNumberFormat="1" applyFont="1" applyBorder="1" applyAlignment="1" applyProtection="1">
      <alignment horizontal="left" wrapText="1"/>
    </xf>
    <xf numFmtId="0" fontId="83" fillId="0" borderId="63" xfId="25" applyFont="1" applyBorder="1" applyAlignment="1" applyProtection="1">
      <alignment horizontal="left" wrapText="1"/>
    </xf>
    <xf numFmtId="172" fontId="117" fillId="0" borderId="63" xfId="25" applyNumberFormat="1" applyFont="1" applyBorder="1" applyAlignment="1" applyProtection="1">
      <alignment horizontal="right" wrapText="1"/>
    </xf>
    <xf numFmtId="4" fontId="12" fillId="0" borderId="63" xfId="25" applyNumberFormat="1" applyFont="1" applyBorder="1" applyAlignment="1" applyProtection="1">
      <alignment horizontal="right"/>
    </xf>
    <xf numFmtId="0" fontId="15" fillId="0" borderId="63" xfId="25" applyBorder="1" applyAlignment="1" applyProtection="1">
      <alignment horizontal="left" vertical="top"/>
    </xf>
    <xf numFmtId="0" fontId="57" fillId="0" borderId="0" xfId="0" applyFont="1" applyAlignment="1" applyProtection="1">
      <alignment horizontal="left" wrapText="1"/>
    </xf>
    <xf numFmtId="172" fontId="0" fillId="0" borderId="0" xfId="0" applyNumberFormat="1" applyAlignment="1" applyProtection="1">
      <alignment horizontal="left" vertical="top"/>
    </xf>
    <xf numFmtId="0" fontId="64" fillId="0" borderId="63" xfId="208" applyFont="1" applyBorder="1" applyAlignment="1">
      <alignment horizontal="left" wrapText="1"/>
    </xf>
    <xf numFmtId="172" fontId="12" fillId="0" borderId="63" xfId="124" applyNumberFormat="1" applyFont="1" applyBorder="1" applyAlignment="1" applyProtection="1">
      <alignment horizontal="right"/>
    </xf>
    <xf numFmtId="172" fontId="71" fillId="0" borderId="63" xfId="124" applyNumberFormat="1" applyFont="1" applyBorder="1" applyAlignment="1" applyProtection="1">
      <alignment horizontal="right" wrapText="1"/>
    </xf>
    <xf numFmtId="37" fontId="83" fillId="0" borderId="63" xfId="0" applyNumberFormat="1" applyFont="1" applyBorder="1" applyAlignment="1" applyProtection="1">
      <alignment horizontal="right"/>
    </xf>
    <xf numFmtId="0" fontId="12" fillId="0" borderId="63" xfId="67" applyFont="1" applyBorder="1" applyAlignment="1">
      <alignment horizontal="left" wrapText="1"/>
    </xf>
    <xf numFmtId="4" fontId="71" fillId="0" borderId="63" xfId="67" applyNumberFormat="1" applyFont="1" applyBorder="1" applyAlignment="1">
      <alignment horizontal="right" wrapText="1"/>
    </xf>
    <xf numFmtId="4" fontId="12" fillId="0" borderId="63" xfId="67" applyNumberFormat="1" applyFont="1" applyBorder="1" applyAlignment="1">
      <alignment horizontal="right"/>
    </xf>
    <xf numFmtId="0" fontId="15" fillId="0" borderId="0" xfId="0" applyFont="1" applyAlignment="1" applyProtection="1">
      <alignment horizontal="left" vertical="top"/>
    </xf>
    <xf numFmtId="0" fontId="15" fillId="5" borderId="0" xfId="0" applyFont="1" applyFill="1" applyAlignment="1" applyProtection="1">
      <alignment horizontal="left" vertical="top"/>
    </xf>
    <xf numFmtId="0" fontId="80" fillId="0" borderId="0" xfId="124" applyFont="1" applyAlignment="1" applyProtection="1">
      <alignment horizontal="left" vertical="center"/>
    </xf>
    <xf numFmtId="0" fontId="74" fillId="0" borderId="0" xfId="124" applyFont="1" applyAlignment="1" applyProtection="1">
      <alignment horizontal="left" vertical="top"/>
    </xf>
    <xf numFmtId="0" fontId="74" fillId="0" borderId="0" xfId="124" applyFont="1" applyAlignment="1" applyProtection="1">
      <alignment horizontal="left" vertical="center"/>
    </xf>
    <xf numFmtId="172" fontId="92" fillId="0" borderId="63" xfId="124" applyNumberFormat="1" applyFont="1" applyBorder="1" applyAlignment="1" applyProtection="1">
      <alignment horizontal="left" vertical="top"/>
    </xf>
    <xf numFmtId="0" fontId="250" fillId="0" borderId="0" xfId="124" applyFont="1" applyAlignment="1" applyProtection="1">
      <alignment horizontal="left" vertical="center"/>
    </xf>
    <xf numFmtId="0" fontId="57" fillId="0" borderId="18" xfId="44" applyFont="1" applyBorder="1" applyAlignment="1" applyProtection="1">
      <alignment horizontal="left" vertical="center" wrapText="1"/>
    </xf>
    <xf numFmtId="1" fontId="350" fillId="0" borderId="63" xfId="204" applyNumberFormat="1" applyFont="1" applyBorder="1" applyAlignment="1">
      <alignment horizontal="right"/>
    </xf>
    <xf numFmtId="0" fontId="78" fillId="0" borderId="0" xfId="0" applyFont="1" applyAlignment="1" applyProtection="1">
      <alignment horizontal="left" wrapText="1"/>
    </xf>
    <xf numFmtId="1" fontId="205" fillId="0" borderId="63" xfId="208" applyNumberFormat="1" applyFont="1" applyBorder="1" applyAlignment="1">
      <alignment horizontal="right"/>
    </xf>
    <xf numFmtId="4" fontId="93" fillId="0" borderId="0" xfId="208" applyNumberFormat="1" applyFont="1" applyAlignment="1">
      <alignment horizontal="left" vertical="center"/>
    </xf>
    <xf numFmtId="4" fontId="294" fillId="0" borderId="0" xfId="208" applyNumberFormat="1" applyFont="1"/>
    <xf numFmtId="37" fontId="156" fillId="5" borderId="0" xfId="0" applyNumberFormat="1" applyFont="1" applyFill="1" applyAlignment="1" applyProtection="1">
      <alignment horizontal="right"/>
    </xf>
    <xf numFmtId="0" fontId="156" fillId="5" borderId="0" xfId="0" applyFont="1" applyFill="1" applyAlignment="1" applyProtection="1">
      <alignment horizontal="left" wrapText="1"/>
    </xf>
    <xf numFmtId="172" fontId="156" fillId="5" borderId="0" xfId="0" applyNumberFormat="1" applyFont="1" applyFill="1" applyAlignment="1" applyProtection="1">
      <alignment horizontal="right"/>
    </xf>
    <xf numFmtId="4" fontId="156" fillId="5" borderId="0" xfId="0" applyNumberFormat="1" applyFont="1" applyFill="1" applyAlignment="1" applyProtection="1">
      <alignment horizontal="right"/>
    </xf>
    <xf numFmtId="0" fontId="0" fillId="5" borderId="0" xfId="0" applyFill="1" applyAlignment="1" applyProtection="1">
      <alignment horizontal="left" vertical="top"/>
    </xf>
    <xf numFmtId="0" fontId="64" fillId="0" borderId="39" xfId="0" applyFont="1" applyBorder="1" applyAlignment="1" applyProtection="1">
      <alignment horizontal="left"/>
    </xf>
    <xf numFmtId="0" fontId="83" fillId="0" borderId="40" xfId="0" applyFont="1" applyBorder="1" applyAlignment="1" applyProtection="1">
      <alignment horizontal="center"/>
    </xf>
    <xf numFmtId="172" fontId="83" fillId="0" borderId="40" xfId="0" applyNumberFormat="1" applyFont="1" applyBorder="1" applyAlignment="1" applyProtection="1">
      <alignment horizontal="right"/>
    </xf>
    <xf numFmtId="4" fontId="12" fillId="0" borderId="40" xfId="0" applyNumberFormat="1" applyFont="1" applyBorder="1" applyAlignment="1" applyProtection="1">
      <alignment horizontal="right"/>
    </xf>
    <xf numFmtId="4" fontId="64" fillId="0" borderId="33" xfId="0" applyNumberFormat="1" applyFont="1" applyBorder="1" applyAlignment="1" applyProtection="1">
      <alignment horizontal="right"/>
    </xf>
    <xf numFmtId="39" fontId="202" fillId="0" borderId="0" xfId="0" applyNumberFormat="1" applyFont="1" applyAlignment="1" applyProtection="1">
      <alignment horizontal="center"/>
    </xf>
    <xf numFmtId="0" fontId="86" fillId="0" borderId="0" xfId="0" applyFont="1" applyAlignment="1" applyProtection="1">
      <alignment horizontal="left" vertical="top"/>
    </xf>
    <xf numFmtId="0" fontId="86" fillId="5" borderId="0" xfId="0" applyFont="1" applyFill="1" applyAlignment="1" applyProtection="1">
      <alignment horizontal="left" vertical="top"/>
    </xf>
    <xf numFmtId="49" fontId="13" fillId="0" borderId="0" xfId="176" applyNumberFormat="1" applyFont="1" applyAlignment="1">
      <alignment vertical="center"/>
    </xf>
    <xf numFmtId="4" fontId="13" fillId="0" borderId="0" xfId="176" applyNumberFormat="1" applyFont="1" applyAlignment="1">
      <alignment vertical="center"/>
    </xf>
    <xf numFmtId="4" fontId="12" fillId="0" borderId="0" xfId="0" applyNumberFormat="1" applyFont="1" applyAlignment="1" applyProtection="1">
      <alignment horizontal="right"/>
    </xf>
    <xf numFmtId="39" fontId="12" fillId="0" borderId="0" xfId="0" applyNumberFormat="1" applyFont="1" applyAlignment="1" applyProtection="1">
      <alignment horizontal="center"/>
    </xf>
    <xf numFmtId="39" fontId="12" fillId="0" borderId="0" xfId="0" applyNumberFormat="1" applyFont="1" applyAlignment="1" applyProtection="1">
      <alignment horizontal="right"/>
    </xf>
    <xf numFmtId="4" fontId="13" fillId="0" borderId="0" xfId="176" applyNumberFormat="1" applyFont="1" applyAlignment="1">
      <alignment horizontal="center" vertical="center" wrapText="1"/>
    </xf>
    <xf numFmtId="0" fontId="172" fillId="0" borderId="0" xfId="0" applyFont="1" applyAlignment="1" applyProtection="1">
      <alignment horizontal="left" vertical="top"/>
    </xf>
    <xf numFmtId="37" fontId="12" fillId="0" borderId="0" xfId="0" applyNumberFormat="1" applyFont="1" applyAlignment="1" applyProtection="1">
      <alignment horizontal="right"/>
    </xf>
    <xf numFmtId="0" fontId="12" fillId="0" borderId="0" xfId="0" applyFont="1" applyAlignment="1" applyProtection="1">
      <alignment horizontal="left" wrapText="1"/>
    </xf>
    <xf numFmtId="0" fontId="218" fillId="0" borderId="0" xfId="0" applyFont="1" applyAlignment="1" applyProtection="1">
      <alignment horizontal="left" wrapText="1"/>
    </xf>
    <xf numFmtId="0" fontId="83" fillId="0" borderId="0" xfId="0" applyFont="1" applyAlignment="1" applyProtection="1">
      <alignment horizontal="left" wrapText="1"/>
    </xf>
    <xf numFmtId="172" fontId="12" fillId="0" borderId="0" xfId="0" applyNumberFormat="1" applyFont="1" applyAlignment="1" applyProtection="1">
      <alignment horizontal="right"/>
    </xf>
    <xf numFmtId="49" fontId="0" fillId="0" borderId="0" xfId="0" applyNumberFormat="1" applyAlignment="1" applyProtection="1">
      <alignment vertical="top"/>
    </xf>
    <xf numFmtId="172" fontId="0" fillId="0" borderId="0" xfId="0" applyNumberFormat="1" applyAlignment="1" applyProtection="1">
      <alignment vertical="top"/>
    </xf>
    <xf numFmtId="4" fontId="12" fillId="0" borderId="65" xfId="0" applyNumberFormat="1" applyFont="1" applyBorder="1" applyAlignment="1">
      <alignment horizontal="right"/>
      <protection locked="0"/>
    </xf>
    <xf numFmtId="4" fontId="12" fillId="0" borderId="18" xfId="0" applyNumberFormat="1" applyFont="1" applyBorder="1" applyAlignment="1">
      <alignment horizontal="right"/>
      <protection locked="0"/>
    </xf>
    <xf numFmtId="39" fontId="12" fillId="0" borderId="18" xfId="0" applyNumberFormat="1" applyFont="1" applyBorder="1" applyAlignment="1">
      <alignment horizontal="right"/>
      <protection locked="0"/>
    </xf>
    <xf numFmtId="4" fontId="350" fillId="0" borderId="76" xfId="0" applyNumberFormat="1" applyFont="1" applyBorder="1" applyAlignment="1">
      <protection locked="0"/>
    </xf>
    <xf numFmtId="39" fontId="264" fillId="0" borderId="76" xfId="0" applyNumberFormat="1" applyFont="1" applyBorder="1" applyAlignment="1">
      <alignment horizontal="right"/>
      <protection locked="0"/>
    </xf>
    <xf numFmtId="4" fontId="12" fillId="0" borderId="18" xfId="192" applyNumberFormat="1" applyFont="1" applyBorder="1" applyAlignment="1">
      <alignment horizontal="right"/>
      <protection locked="0"/>
    </xf>
    <xf numFmtId="173" fontId="12" fillId="0" borderId="18" xfId="0" applyNumberFormat="1" applyFont="1" applyBorder="1" applyAlignment="1">
      <alignment horizontal="right"/>
      <protection locked="0"/>
    </xf>
    <xf numFmtId="4" fontId="13" fillId="0" borderId="18" xfId="0" applyNumberFormat="1" applyFont="1" applyBorder="1" applyAlignment="1">
      <protection locked="0"/>
    </xf>
    <xf numFmtId="39" fontId="12" fillId="0" borderId="18" xfId="45" applyNumberFormat="1" applyFont="1" applyBorder="1" applyAlignment="1">
      <alignment horizontal="right"/>
      <protection locked="0"/>
    </xf>
    <xf numFmtId="4" fontId="13" fillId="0" borderId="18" xfId="124" applyNumberFormat="1" applyFont="1" applyBorder="1" applyAlignment="1">
      <protection locked="0"/>
    </xf>
    <xf numFmtId="4" fontId="56" fillId="0" borderId="18" xfId="0" applyNumberFormat="1" applyFont="1" applyBorder="1" applyAlignment="1">
      <protection locked="0"/>
    </xf>
    <xf numFmtId="2" fontId="83" fillId="0" borderId="18" xfId="0" applyNumberFormat="1" applyFont="1" applyBorder="1" applyAlignment="1">
      <alignment horizontal="right"/>
      <protection locked="0"/>
    </xf>
    <xf numFmtId="4" fontId="205" fillId="0" borderId="18" xfId="0" applyNumberFormat="1" applyFont="1" applyBorder="1" applyAlignment="1">
      <protection locked="0"/>
    </xf>
    <xf numFmtId="4" fontId="12" fillId="0" borderId="18" xfId="124" applyNumberFormat="1" applyFont="1" applyBorder="1" applyAlignment="1">
      <alignment horizontal="right"/>
      <protection locked="0"/>
    </xf>
    <xf numFmtId="4" fontId="83" fillId="0" borderId="18" xfId="25" applyNumberFormat="1" applyFont="1" applyBorder="1" applyAlignment="1">
      <alignment horizontal="right"/>
      <protection locked="0"/>
    </xf>
    <xf numFmtId="39" fontId="83" fillId="0" borderId="18" xfId="0" applyNumberFormat="1" applyFont="1" applyBorder="1" applyAlignment="1">
      <alignment horizontal="right"/>
      <protection locked="0"/>
    </xf>
    <xf numFmtId="0" fontId="60" fillId="0" borderId="0" xfId="237" applyFont="1" applyAlignment="1">
      <alignment vertical="center"/>
    </xf>
    <xf numFmtId="49" fontId="76" fillId="0" borderId="70" xfId="3" applyNumberFormat="1" applyFont="1" applyBorder="1" applyAlignment="1">
      <alignment horizontal="right"/>
    </xf>
    <xf numFmtId="0" fontId="127" fillId="0" borderId="0" xfId="237" applyFont="1" applyAlignment="1">
      <alignment vertical="center"/>
    </xf>
    <xf numFmtId="0" fontId="112" fillId="0" borderId="0" xfId="25" applyFont="1" applyAlignment="1" applyProtection="1">
      <alignment horizontal="left" vertical="top"/>
    </xf>
    <xf numFmtId="0" fontId="341" fillId="0" borderId="0" xfId="25" applyFont="1" applyAlignment="1" applyProtection="1">
      <alignment horizontal="left" vertical="top"/>
    </xf>
    <xf numFmtId="0" fontId="74" fillId="0" borderId="0" xfId="3" applyFont="1" applyAlignment="1">
      <alignment horizontal="left" vertical="center"/>
    </xf>
    <xf numFmtId="0" fontId="61" fillId="5" borderId="0" xfId="198" applyFont="1" applyFill="1" applyAlignment="1">
      <alignment horizontal="left"/>
    </xf>
    <xf numFmtId="0" fontId="4" fillId="0" borderId="0" xfId="198"/>
    <xf numFmtId="0" fontId="64" fillId="0" borderId="0" xfId="198" applyFont="1" applyAlignment="1">
      <alignment horizontal="left"/>
    </xf>
    <xf numFmtId="0" fontId="12" fillId="0" borderId="0" xfId="198" applyFont="1" applyAlignment="1">
      <alignment horizontal="left"/>
    </xf>
    <xf numFmtId="0" fontId="62" fillId="0" borderId="0" xfId="198" applyFont="1" applyAlignment="1">
      <alignment horizontal="left"/>
    </xf>
    <xf numFmtId="0" fontId="4" fillId="0" borderId="0" xfId="198" applyAlignment="1">
      <alignment horizontal="left" vertical="top"/>
    </xf>
    <xf numFmtId="39" fontId="91" fillId="0" borderId="0" xfId="0" applyNumberFormat="1" applyFont="1" applyAlignment="1" applyProtection="1">
      <alignment horizontal="left" vertical="top"/>
    </xf>
    <xf numFmtId="0" fontId="98" fillId="0" borderId="0" xfId="0" applyFont="1" applyAlignment="1" applyProtection="1">
      <alignment horizontal="left" vertical="center"/>
    </xf>
    <xf numFmtId="37" fontId="64" fillId="0" borderId="49" xfId="0" applyNumberFormat="1" applyFont="1" applyBorder="1" applyAlignment="1" applyProtection="1">
      <alignment horizontal="right"/>
    </xf>
    <xf numFmtId="2" fontId="64" fillId="0" borderId="49" xfId="0" applyNumberFormat="1" applyFont="1" applyBorder="1" applyAlignment="1" applyProtection="1">
      <alignment horizontal="right"/>
    </xf>
    <xf numFmtId="173" fontId="64" fillId="0" borderId="49" xfId="0" applyNumberFormat="1" applyFont="1" applyBorder="1" applyAlignment="1" applyProtection="1">
      <alignment horizontal="right"/>
    </xf>
    <xf numFmtId="4" fontId="64" fillId="0" borderId="18" xfId="0" applyNumberFormat="1" applyFont="1" applyBorder="1" applyAlignment="1" applyProtection="1">
      <alignment horizontal="right"/>
    </xf>
    <xf numFmtId="37" fontId="64" fillId="0" borderId="18" xfId="0" applyNumberFormat="1" applyFont="1" applyBorder="1" applyAlignment="1" applyProtection="1">
      <alignment horizontal="right"/>
    </xf>
    <xf numFmtId="0" fontId="64" fillId="0" borderId="18" xfId="0" applyFont="1" applyBorder="1" applyAlignment="1" applyProtection="1">
      <alignment horizontal="left" wrapText="1"/>
    </xf>
    <xf numFmtId="2" fontId="64" fillId="0" borderId="18" xfId="0" applyNumberFormat="1" applyFont="1" applyBorder="1" applyAlignment="1" applyProtection="1">
      <alignment horizontal="right"/>
    </xf>
    <xf numFmtId="173" fontId="64" fillId="0" borderId="18" xfId="0" applyNumberFormat="1" applyFont="1" applyBorder="1" applyAlignment="1" applyProtection="1">
      <alignment horizontal="right"/>
    </xf>
    <xf numFmtId="0" fontId="0" fillId="0" borderId="18" xfId="0" applyBorder="1" applyAlignment="1" applyProtection="1">
      <alignment horizontal="left" vertical="top"/>
    </xf>
    <xf numFmtId="37" fontId="12" fillId="0" borderId="18" xfId="0" applyNumberFormat="1" applyFont="1" applyBorder="1" applyAlignment="1" applyProtection="1">
      <alignment horizontal="right"/>
    </xf>
    <xf numFmtId="0" fontId="12" fillId="0" borderId="18" xfId="192" applyFont="1" applyBorder="1" applyAlignment="1" applyProtection="1">
      <alignment horizontal="left" wrapText="1"/>
    </xf>
    <xf numFmtId="172" fontId="12" fillId="0" borderId="18" xfId="0" applyNumberFormat="1" applyFont="1" applyBorder="1" applyAlignment="1" applyProtection="1">
      <alignment horizontal="right"/>
    </xf>
    <xf numFmtId="39" fontId="12" fillId="0" borderId="18" xfId="192" applyNumberFormat="1" applyFont="1" applyBorder="1" applyAlignment="1" applyProtection="1">
      <alignment horizontal="center"/>
    </xf>
    <xf numFmtId="0" fontId="70" fillId="0" borderId="0" xfId="192" applyFont="1" applyAlignment="1" applyProtection="1">
      <alignment horizontal="left" vertical="center"/>
    </xf>
    <xf numFmtId="0" fontId="30" fillId="0" borderId="0" xfId="192" applyAlignment="1" applyProtection="1">
      <alignment horizontal="left" vertical="center"/>
    </xf>
    <xf numFmtId="0" fontId="30" fillId="0" borderId="0" xfId="192" applyAlignment="1" applyProtection="1">
      <alignment horizontal="left" vertical="top"/>
    </xf>
    <xf numFmtId="0" fontId="281" fillId="0" borderId="0" xfId="192" applyFont="1" applyAlignment="1" applyProtection="1">
      <alignment horizontal="center" vertical="center"/>
    </xf>
    <xf numFmtId="2" fontId="281" fillId="0" borderId="0" xfId="192" applyNumberFormat="1" applyFont="1" applyAlignment="1" applyProtection="1">
      <alignment horizontal="center" vertical="center"/>
    </xf>
    <xf numFmtId="0" fontId="74" fillId="0" borderId="0" xfId="192" applyFont="1" applyAlignment="1" applyProtection="1">
      <alignment horizontal="right" vertical="center"/>
    </xf>
    <xf numFmtId="1" fontId="13" fillId="0" borderId="18" xfId="176" applyNumberFormat="1" applyFont="1" applyBorder="1"/>
    <xf numFmtId="0" fontId="70" fillId="0" borderId="0" xfId="192" applyFont="1" applyAlignment="1" applyProtection="1">
      <alignment horizontal="left" vertical="top"/>
    </xf>
    <xf numFmtId="172" fontId="57" fillId="0" borderId="18" xfId="192" applyNumberFormat="1" applyFont="1" applyBorder="1" applyAlignment="1" applyProtection="1">
      <alignment horizontal="right"/>
    </xf>
    <xf numFmtId="0" fontId="80" fillId="0" borderId="0" xfId="192" applyFont="1" applyAlignment="1" applyProtection="1">
      <alignment horizontal="left" vertical="center"/>
    </xf>
    <xf numFmtId="1" fontId="12" fillId="0" borderId="18" xfId="192" applyNumberFormat="1" applyFont="1" applyBorder="1" applyAlignment="1" applyProtection="1">
      <alignment horizontal="right"/>
    </xf>
    <xf numFmtId="49" fontId="12" fillId="0" borderId="18" xfId="0" applyNumberFormat="1" applyFont="1" applyBorder="1" applyAlignment="1" applyProtection="1">
      <alignment horizontal="right"/>
    </xf>
    <xf numFmtId="0" fontId="12" fillId="0" borderId="18" xfId="0" applyFont="1" applyBorder="1" applyAlignment="1" applyProtection="1">
      <alignment horizontal="left" wrapText="1"/>
    </xf>
    <xf numFmtId="39" fontId="12" fillId="0" borderId="18" xfId="0" applyNumberFormat="1" applyFont="1" applyBorder="1" applyAlignment="1" applyProtection="1">
      <alignment horizontal="center"/>
    </xf>
    <xf numFmtId="39" fontId="145" fillId="0" borderId="0" xfId="0" applyNumberFormat="1" applyFont="1" applyAlignment="1" applyProtection="1">
      <alignment horizontal="right" vertical="center"/>
    </xf>
    <xf numFmtId="39" fontId="12" fillId="0" borderId="0" xfId="0" applyNumberFormat="1" applyFont="1" applyAlignment="1" applyProtection="1">
      <alignment horizontal="left" vertical="top"/>
    </xf>
    <xf numFmtId="0" fontId="12" fillId="0" borderId="0" xfId="0" applyFont="1" applyAlignment="1" applyProtection="1">
      <alignment horizontal="left" vertical="top"/>
    </xf>
    <xf numFmtId="172" fontId="12" fillId="0" borderId="18" xfId="190" applyNumberFormat="1" applyFont="1" applyBorder="1" applyAlignment="1">
      <alignment horizontal="right"/>
    </xf>
    <xf numFmtId="172" fontId="57" fillId="0" borderId="18" xfId="0" applyNumberFormat="1" applyFont="1" applyBorder="1" applyAlignment="1" applyProtection="1">
      <alignment horizontal="right"/>
    </xf>
    <xf numFmtId="4" fontId="12" fillId="0" borderId="0" xfId="0" applyNumberFormat="1" applyFont="1" applyAlignment="1" applyProtection="1">
      <alignment horizontal="left" vertical="top"/>
    </xf>
    <xf numFmtId="49" fontId="13" fillId="0" borderId="18" xfId="176" applyNumberFormat="1" applyFont="1" applyBorder="1"/>
    <xf numFmtId="172" fontId="64" fillId="0" borderId="18" xfId="0" applyNumberFormat="1" applyFont="1" applyBorder="1" applyAlignment="1" applyProtection="1">
      <alignment horizontal="right"/>
    </xf>
    <xf numFmtId="0" fontId="70" fillId="0" borderId="0" xfId="36" applyFont="1" applyAlignment="1">
      <alignment horizontal="right" vertical="center"/>
    </xf>
    <xf numFmtId="0" fontId="31" fillId="0" borderId="0" xfId="36" applyAlignment="1">
      <alignment vertical="center"/>
    </xf>
    <xf numFmtId="0" fontId="30" fillId="0" borderId="0" xfId="123" applyAlignment="1" applyProtection="1">
      <alignment horizontal="left" vertical="top"/>
    </xf>
    <xf numFmtId="0" fontId="74" fillId="0" borderId="0" xfId="36" applyFont="1" applyAlignment="1">
      <alignment horizontal="right" vertical="center"/>
    </xf>
    <xf numFmtId="0" fontId="92" fillId="0" borderId="0" xfId="123" applyFont="1" applyAlignment="1" applyProtection="1">
      <alignment horizontal="left" vertical="top"/>
    </xf>
    <xf numFmtId="0" fontId="15" fillId="0" borderId="0" xfId="123" applyFont="1" applyAlignment="1" applyProtection="1">
      <alignment horizontal="left" vertical="top"/>
    </xf>
    <xf numFmtId="0" fontId="74" fillId="0" borderId="0" xfId="36" applyFont="1" applyAlignment="1">
      <alignment horizontal="left" vertical="center"/>
    </xf>
    <xf numFmtId="0" fontId="92" fillId="0" borderId="18" xfId="0" applyFont="1" applyBorder="1" applyAlignment="1" applyProtection="1">
      <alignment horizontal="left" vertical="top"/>
    </xf>
    <xf numFmtId="1" fontId="12" fillId="0" borderId="18" xfId="0" applyNumberFormat="1" applyFont="1" applyBorder="1" applyAlignment="1" applyProtection="1">
      <alignment horizontal="right"/>
    </xf>
    <xf numFmtId="172" fontId="92" fillId="0" borderId="0" xfId="0" applyNumberFormat="1" applyFont="1" applyAlignment="1" applyProtection="1">
      <alignment horizontal="left" vertical="top"/>
    </xf>
    <xf numFmtId="0" fontId="100" fillId="0" borderId="18" xfId="0" applyFont="1" applyBorder="1" applyAlignment="1" applyProtection="1">
      <alignment horizontal="left" wrapText="1"/>
    </xf>
    <xf numFmtId="0" fontId="182" fillId="0" borderId="0" xfId="0" applyFont="1" applyAlignment="1" applyProtection="1">
      <alignment horizontal="right" vertical="center"/>
    </xf>
    <xf numFmtId="172" fontId="92" fillId="0" borderId="18" xfId="0" applyNumberFormat="1" applyFont="1" applyBorder="1" applyAlignment="1" applyProtection="1">
      <alignment horizontal="left" vertical="top"/>
    </xf>
    <xf numFmtId="0" fontId="13" fillId="0" borderId="18" xfId="176" applyFont="1" applyBorder="1" applyAlignment="1">
      <alignment vertical="center"/>
    </xf>
    <xf numFmtId="4" fontId="57" fillId="0" borderId="18" xfId="0" applyNumberFormat="1" applyFont="1" applyBorder="1" applyAlignment="1" applyProtection="1">
      <alignment horizontal="right"/>
    </xf>
    <xf numFmtId="49" fontId="12" fillId="0" borderId="18" xfId="178" applyNumberFormat="1" applyFont="1" applyBorder="1" applyAlignment="1" applyProtection="1">
      <alignment horizontal="right"/>
    </xf>
    <xf numFmtId="0" fontId="214" fillId="0" borderId="0" xfId="0" applyFont="1" applyAlignment="1" applyProtection="1">
      <alignment horizontal="left" vertical="center"/>
    </xf>
    <xf numFmtId="0" fontId="119" fillId="0" borderId="18" xfId="0" applyFont="1" applyBorder="1" applyAlignment="1" applyProtection="1">
      <alignment horizontal="left" wrapText="1"/>
    </xf>
    <xf numFmtId="172" fontId="57" fillId="0" borderId="18" xfId="0" applyNumberFormat="1" applyFont="1" applyBorder="1" applyAlignment="1" applyProtection="1">
      <alignment horizontal="right" wrapText="1"/>
    </xf>
    <xf numFmtId="172" fontId="100" fillId="0" borderId="18" xfId="0" applyNumberFormat="1" applyFont="1" applyBorder="1" applyAlignment="1" applyProtection="1">
      <alignment horizontal="left" wrapText="1"/>
    </xf>
    <xf numFmtId="172" fontId="119" fillId="0" borderId="18" xfId="0" applyNumberFormat="1" applyFont="1" applyBorder="1" applyAlignment="1" applyProtection="1">
      <alignment horizontal="left" wrapText="1"/>
    </xf>
    <xf numFmtId="172" fontId="12" fillId="0" borderId="18" xfId="123" applyNumberFormat="1" applyFont="1" applyBorder="1" applyAlignment="1" applyProtection="1">
      <alignment horizontal="right"/>
    </xf>
    <xf numFmtId="172" fontId="57" fillId="0" borderId="0" xfId="0" applyNumberFormat="1" applyFont="1" applyAlignment="1" applyProtection="1">
      <alignment horizontal="left" vertical="top"/>
    </xf>
    <xf numFmtId="0" fontId="57" fillId="0" borderId="18" xfId="123" applyFont="1" applyBorder="1" applyAlignment="1" applyProtection="1">
      <alignment horizontal="left" wrapText="1"/>
    </xf>
    <xf numFmtId="172" fontId="57" fillId="0" borderId="18" xfId="123" applyNumberFormat="1" applyFont="1" applyBorder="1" applyAlignment="1" applyProtection="1">
      <alignment horizontal="right"/>
    </xf>
    <xf numFmtId="4" fontId="12" fillId="0" borderId="18" xfId="123" applyNumberFormat="1" applyFont="1" applyBorder="1" applyAlignment="1" applyProtection="1">
      <alignment horizontal="right"/>
    </xf>
    <xf numFmtId="0" fontId="57" fillId="0" borderId="0" xfId="0" applyFont="1" applyAlignment="1" applyProtection="1">
      <alignment horizontal="left" vertical="center"/>
    </xf>
    <xf numFmtId="49" fontId="12" fillId="0" borderId="63" xfId="0" applyNumberFormat="1" applyFont="1" applyBorder="1" applyAlignment="1" applyProtection="1">
      <alignment horizontal="right"/>
    </xf>
    <xf numFmtId="49" fontId="12" fillId="0" borderId="63" xfId="178" applyNumberFormat="1" applyFont="1" applyBorder="1" applyAlignment="1" applyProtection="1">
      <alignment horizontal="right"/>
    </xf>
    <xf numFmtId="39" fontId="0" fillId="0" borderId="0" xfId="0" applyNumberFormat="1" applyAlignment="1" applyProtection="1">
      <alignment horizontal="left" vertical="top"/>
    </xf>
    <xf numFmtId="0" fontId="176" fillId="0" borderId="0" xfId="0" applyFont="1" applyAlignment="1" applyProtection="1">
      <alignment horizontal="left" vertical="center"/>
    </xf>
    <xf numFmtId="0" fontId="282" fillId="0" borderId="0" xfId="36" applyFont="1" applyAlignment="1">
      <alignment horizontal="right" vertical="center"/>
    </xf>
    <xf numFmtId="0" fontId="125" fillId="0" borderId="0" xfId="36" applyFont="1" applyAlignment="1">
      <alignment vertical="center"/>
    </xf>
    <xf numFmtId="0" fontId="74" fillId="0" borderId="0" xfId="123" applyFont="1" applyAlignment="1" applyProtection="1">
      <alignment horizontal="left" vertical="top"/>
    </xf>
    <xf numFmtId="0" fontId="283" fillId="0" borderId="0" xfId="36" applyFont="1" applyAlignment="1">
      <alignment horizontal="right" vertical="center"/>
    </xf>
    <xf numFmtId="0" fontId="74" fillId="0" borderId="0" xfId="0" applyFont="1" applyAlignment="1" applyProtection="1">
      <alignment horizontal="left" vertical="center"/>
    </xf>
    <xf numFmtId="172" fontId="15" fillId="0" borderId="0" xfId="0" applyNumberFormat="1" applyFont="1" applyAlignment="1" applyProtection="1">
      <alignment horizontal="left" vertical="top"/>
    </xf>
    <xf numFmtId="0" fontId="140" fillId="0" borderId="63" xfId="0" applyFont="1" applyBorder="1" applyAlignment="1" applyProtection="1">
      <alignment horizontal="left" wrapText="1"/>
    </xf>
    <xf numFmtId="1" fontId="12" fillId="0" borderId="34" xfId="192" applyNumberFormat="1" applyFont="1" applyBorder="1" applyAlignment="1" applyProtection="1">
      <alignment horizontal="right"/>
    </xf>
    <xf numFmtId="0" fontId="12" fillId="0" borderId="34" xfId="192" applyFont="1" applyBorder="1" applyAlignment="1" applyProtection="1">
      <alignment horizontal="left" wrapText="1"/>
    </xf>
    <xf numFmtId="0" fontId="57" fillId="0" borderId="34" xfId="123" applyFont="1" applyBorder="1" applyAlignment="1" applyProtection="1">
      <alignment horizontal="left" wrapText="1"/>
    </xf>
    <xf numFmtId="172" fontId="57" fillId="0" borderId="34" xfId="123" applyNumberFormat="1" applyFont="1" applyBorder="1" applyAlignment="1" applyProtection="1">
      <alignment horizontal="right"/>
    </xf>
    <xf numFmtId="39" fontId="12" fillId="0" borderId="34" xfId="203" applyNumberFormat="1" applyFont="1" applyBorder="1" applyAlignment="1">
      <alignment horizontal="right"/>
    </xf>
    <xf numFmtId="39" fontId="12" fillId="0" borderId="34" xfId="192" applyNumberFormat="1" applyFont="1" applyBorder="1" applyAlignment="1" applyProtection="1">
      <alignment horizontal="center"/>
    </xf>
    <xf numFmtId="4" fontId="12" fillId="0" borderId="61" xfId="129" applyNumberFormat="1" applyFont="1" applyBorder="1" applyAlignment="1">
      <alignment horizontal="right"/>
    </xf>
    <xf numFmtId="37" fontId="12" fillId="0" borderId="18" xfId="123" applyNumberFormat="1" applyFont="1" applyBorder="1" applyAlignment="1" applyProtection="1">
      <alignment horizontal="right"/>
    </xf>
    <xf numFmtId="172" fontId="12" fillId="0" borderId="18" xfId="192" applyNumberFormat="1" applyFont="1" applyBorder="1" applyAlignment="1" applyProtection="1">
      <alignment horizontal="right" wrapText="1"/>
    </xf>
    <xf numFmtId="0" fontId="70" fillId="0" borderId="0" xfId="123" applyFont="1" applyAlignment="1" applyProtection="1">
      <alignment horizontal="left" vertical="center"/>
    </xf>
    <xf numFmtId="0" fontId="92" fillId="0" borderId="0" xfId="45" applyFont="1" applyAlignment="1" applyProtection="1">
      <alignment horizontal="left" vertical="top"/>
    </xf>
    <xf numFmtId="1" fontId="12" fillId="0" borderId="34" xfId="178" applyNumberFormat="1" applyFont="1" applyBorder="1" applyAlignment="1" applyProtection="1">
      <alignment horizontal="right"/>
    </xf>
    <xf numFmtId="0" fontId="15" fillId="0" borderId="0" xfId="0" applyFont="1" applyAlignment="1" applyProtection="1">
      <alignment horizontal="left" vertical="center"/>
    </xf>
    <xf numFmtId="0" fontId="57" fillId="0" borderId="34" xfId="0" applyFont="1" applyBorder="1" applyAlignment="1" applyProtection="1">
      <alignment horizontal="left" wrapText="1"/>
    </xf>
    <xf numFmtId="2" fontId="57" fillId="0" borderId="18" xfId="0" applyNumberFormat="1" applyFont="1" applyBorder="1" applyAlignment="1" applyProtection="1">
      <alignment horizontal="right" wrapText="1"/>
    </xf>
    <xf numFmtId="0" fontId="284" fillId="0" borderId="0" xfId="0" applyFont="1" applyAlignment="1" applyProtection="1">
      <alignment horizontal="left" vertical="center"/>
    </xf>
    <xf numFmtId="0" fontId="285" fillId="0" borderId="0" xfId="45" applyFont="1" applyAlignment="1" applyProtection="1">
      <alignment horizontal="left" vertical="top"/>
    </xf>
    <xf numFmtId="0" fontId="134" fillId="0" borderId="0" xfId="45" applyFont="1" applyAlignment="1" applyProtection="1">
      <alignment horizontal="left" vertical="top"/>
    </xf>
    <xf numFmtId="0" fontId="286" fillId="0" borderId="0" xfId="45" applyFont="1" applyAlignment="1" applyProtection="1">
      <alignment horizontal="left" vertical="top"/>
    </xf>
    <xf numFmtId="0" fontId="287" fillId="0" borderId="0" xfId="45" applyFont="1" applyAlignment="1" applyProtection="1">
      <alignment horizontal="left" vertical="top"/>
    </xf>
    <xf numFmtId="172" fontId="12" fillId="0" borderId="18" xfId="192" applyNumberFormat="1" applyFont="1" applyBorder="1" applyAlignment="1" applyProtection="1">
      <alignment horizontal="right"/>
    </xf>
    <xf numFmtId="172" fontId="71" fillId="0" borderId="18" xfId="192" applyNumberFormat="1" applyFont="1" applyBorder="1" applyAlignment="1" applyProtection="1">
      <alignment horizontal="right" wrapText="1"/>
    </xf>
    <xf numFmtId="172" fontId="92" fillId="0" borderId="0" xfId="192" applyNumberFormat="1" applyFont="1" applyAlignment="1" applyProtection="1">
      <alignment horizontal="left" vertical="top"/>
    </xf>
    <xf numFmtId="0" fontId="13" fillId="0" borderId="18" xfId="176" applyFont="1" applyBorder="1"/>
    <xf numFmtId="0" fontId="12" fillId="0" borderId="18" xfId="155" applyFont="1" applyBorder="1" applyAlignment="1" applyProtection="1">
      <alignment horizontal="left" wrapText="1"/>
    </xf>
    <xf numFmtId="39" fontId="12" fillId="0" borderId="18" xfId="155" applyNumberFormat="1" applyFont="1" applyBorder="1" applyAlignment="1" applyProtection="1">
      <alignment horizontal="center"/>
    </xf>
    <xf numFmtId="0" fontId="88" fillId="0" borderId="0" xfId="155" applyFont="1" applyAlignment="1" applyProtection="1">
      <alignment horizontal="left" vertical="center"/>
    </xf>
    <xf numFmtId="0" fontId="15" fillId="0" borderId="0" xfId="155" applyAlignment="1" applyProtection="1">
      <alignment horizontal="left" vertical="top"/>
    </xf>
    <xf numFmtId="0" fontId="88" fillId="0" borderId="0" xfId="155" applyFont="1" applyAlignment="1" applyProtection="1">
      <alignment horizontal="center" vertical="center"/>
    </xf>
    <xf numFmtId="0" fontId="92" fillId="0" borderId="0" xfId="155" applyFont="1" applyAlignment="1" applyProtection="1">
      <alignment horizontal="left" vertical="top"/>
    </xf>
    <xf numFmtId="0" fontId="98" fillId="0" borderId="0" xfId="155" applyFont="1" applyAlignment="1" applyProtection="1">
      <alignment horizontal="left" vertical="top"/>
    </xf>
    <xf numFmtId="49" fontId="12" fillId="0" borderId="18" xfId="155" applyNumberFormat="1" applyFont="1" applyBorder="1" applyAlignment="1" applyProtection="1">
      <alignment horizontal="right"/>
    </xf>
    <xf numFmtId="172" fontId="71" fillId="0" borderId="18" xfId="155" applyNumberFormat="1" applyFont="1" applyBorder="1" applyAlignment="1" applyProtection="1">
      <alignment horizontal="right" wrapText="1"/>
    </xf>
    <xf numFmtId="4" fontId="12" fillId="0" borderId="18" xfId="155" applyNumberFormat="1" applyFont="1" applyBorder="1" applyAlignment="1" applyProtection="1">
      <alignment horizontal="right"/>
    </xf>
    <xf numFmtId="172" fontId="92" fillId="0" borderId="18" xfId="155" applyNumberFormat="1" applyFont="1" applyBorder="1" applyAlignment="1" applyProtection="1">
      <alignment horizontal="left" vertical="top"/>
    </xf>
    <xf numFmtId="0" fontId="215" fillId="0" borderId="0" xfId="155" applyFont="1" applyAlignment="1" applyProtection="1">
      <alignment horizontal="left" vertical="center"/>
    </xf>
    <xf numFmtId="49" fontId="264" fillId="0" borderId="18" xfId="178" applyNumberFormat="1" applyFont="1" applyBorder="1" applyAlignment="1" applyProtection="1">
      <alignment horizontal="right"/>
    </xf>
    <xf numFmtId="0" fontId="101" fillId="0" borderId="0" xfId="155" applyFont="1" applyAlignment="1" applyProtection="1">
      <alignment horizontal="left" vertical="center"/>
    </xf>
    <xf numFmtId="0" fontId="98" fillId="0" borderId="0" xfId="155" applyFont="1" applyAlignment="1" applyProtection="1">
      <alignment horizontal="left" vertical="center"/>
    </xf>
    <xf numFmtId="49" fontId="57" fillId="0" borderId="18" xfId="25" applyNumberFormat="1" applyFont="1" applyBorder="1" applyAlignment="1" applyProtection="1">
      <alignment horizontal="right"/>
    </xf>
    <xf numFmtId="49" fontId="83" fillId="0" borderId="18" xfId="25" applyNumberFormat="1" applyFont="1" applyBorder="1" applyAlignment="1" applyProtection="1">
      <alignment horizontal="left" wrapText="1"/>
    </xf>
    <xf numFmtId="0" fontId="83" fillId="0" borderId="18" xfId="25" applyFont="1" applyBorder="1" applyAlignment="1" applyProtection="1">
      <alignment horizontal="left" wrapText="1"/>
    </xf>
    <xf numFmtId="172" fontId="117" fillId="0" borderId="18" xfId="25" applyNumberFormat="1" applyFont="1" applyBorder="1" applyAlignment="1" applyProtection="1">
      <alignment horizontal="right" wrapText="1"/>
    </xf>
    <xf numFmtId="4" fontId="12" fillId="0" borderId="18" xfId="25" applyNumberFormat="1" applyFont="1" applyBorder="1" applyAlignment="1" applyProtection="1">
      <alignment horizontal="right"/>
    </xf>
    <xf numFmtId="0" fontId="15" fillId="0" borderId="18" xfId="25" applyBorder="1" applyAlignment="1" applyProtection="1">
      <alignment horizontal="left" vertical="top"/>
    </xf>
    <xf numFmtId="2" fontId="216" fillId="0" borderId="0" xfId="25" applyNumberFormat="1" applyFont="1" applyAlignment="1" applyProtection="1">
      <alignment vertical="center"/>
    </xf>
    <xf numFmtId="0" fontId="217" fillId="0" borderId="0" xfId="25" applyFont="1" applyAlignment="1" applyProtection="1">
      <alignment horizontal="left" vertical="center"/>
    </xf>
    <xf numFmtId="49" fontId="83" fillId="0" borderId="18" xfId="0" applyNumberFormat="1" applyFont="1" applyBorder="1" applyAlignment="1" applyProtection="1">
      <alignment horizontal="right"/>
    </xf>
    <xf numFmtId="0" fontId="83" fillId="0" borderId="18" xfId="0" applyFont="1" applyBorder="1" applyAlignment="1" applyProtection="1">
      <alignment horizontal="left" wrapText="1"/>
    </xf>
    <xf numFmtId="1" fontId="12" fillId="0" borderId="18" xfId="178" applyNumberFormat="1" applyFont="1" applyBorder="1" applyAlignment="1" applyProtection="1">
      <alignment horizontal="right"/>
    </xf>
    <xf numFmtId="0" fontId="88" fillId="0" borderId="0" xfId="0" applyFont="1" applyAlignment="1" applyProtection="1">
      <alignment horizontal="left"/>
    </xf>
    <xf numFmtId="1" fontId="350" fillId="0" borderId="18" xfId="204" applyNumberFormat="1" applyFont="1" applyBorder="1" applyAlignment="1">
      <alignment horizontal="right"/>
    </xf>
    <xf numFmtId="0" fontId="13" fillId="0" borderId="18" xfId="204" applyFont="1" applyBorder="1" applyAlignment="1">
      <alignment horizontal="left"/>
    </xf>
    <xf numFmtId="0" fontId="13" fillId="0" borderId="18" xfId="204" applyFont="1" applyBorder="1"/>
    <xf numFmtId="172" fontId="13" fillId="0" borderId="18" xfId="204" applyNumberFormat="1" applyFont="1" applyBorder="1"/>
    <xf numFmtId="39" fontId="12" fillId="0" borderId="18" xfId="204" applyNumberFormat="1" applyFont="1" applyBorder="1" applyAlignment="1">
      <alignment horizontal="center"/>
    </xf>
    <xf numFmtId="176" fontId="156" fillId="5" borderId="0" xfId="0" applyNumberFormat="1" applyFont="1" applyFill="1" applyAlignment="1" applyProtection="1">
      <alignment horizontal="right"/>
    </xf>
    <xf numFmtId="173" fontId="156" fillId="5" borderId="0" xfId="0" applyNumberFormat="1" applyFont="1" applyFill="1" applyAlignment="1" applyProtection="1">
      <alignment horizontal="right"/>
    </xf>
    <xf numFmtId="173" fontId="156" fillId="0" borderId="0" xfId="0" applyNumberFormat="1" applyFont="1" applyAlignment="1" applyProtection="1">
      <alignment horizontal="right"/>
    </xf>
    <xf numFmtId="173" fontId="0" fillId="0" borderId="0" xfId="0" applyNumberFormat="1" applyAlignment="1" applyProtection="1">
      <alignment horizontal="right" vertical="top"/>
    </xf>
    <xf numFmtId="176" fontId="83" fillId="0" borderId="40" xfId="0" applyNumberFormat="1" applyFont="1" applyBorder="1" applyAlignment="1" applyProtection="1">
      <alignment horizontal="right"/>
    </xf>
    <xf numFmtId="173" fontId="12" fillId="0" borderId="40" xfId="0" applyNumberFormat="1" applyFont="1" applyBorder="1" applyAlignment="1" applyProtection="1">
      <alignment horizontal="right"/>
    </xf>
    <xf numFmtId="173" fontId="64" fillId="0" borderId="33" xfId="0" applyNumberFormat="1" applyFont="1" applyBorder="1" applyAlignment="1" applyProtection="1">
      <alignment horizontal="right"/>
    </xf>
    <xf numFmtId="2" fontId="13" fillId="0" borderId="0" xfId="176" applyNumberFormat="1" applyFont="1" applyAlignment="1">
      <alignment vertical="center"/>
    </xf>
    <xf numFmtId="0" fontId="4" fillId="0" borderId="0" xfId="205" applyAlignment="1">
      <alignment vertical="top"/>
    </xf>
    <xf numFmtId="0" fontId="172" fillId="0" borderId="0" xfId="205" applyFont="1" applyAlignment="1">
      <alignment horizontal="left" vertical="top"/>
    </xf>
    <xf numFmtId="0" fontId="4" fillId="0" borderId="0" xfId="205"/>
    <xf numFmtId="2" fontId="12" fillId="0" borderId="0" xfId="0" applyNumberFormat="1" applyFont="1" applyAlignment="1" applyProtection="1">
      <alignment horizontal="right"/>
    </xf>
    <xf numFmtId="2" fontId="0" fillId="0" borderId="0" xfId="0" applyNumberFormat="1" applyAlignment="1" applyProtection="1">
      <alignment vertical="top"/>
    </xf>
    <xf numFmtId="4" fontId="12" fillId="0" borderId="63" xfId="192" applyNumberFormat="1" applyFont="1" applyBorder="1" applyAlignment="1">
      <alignment horizontal="right"/>
      <protection locked="0"/>
    </xf>
    <xf numFmtId="4" fontId="12" fillId="0" borderId="63" xfId="0" applyNumberFormat="1" applyFont="1" applyBorder="1" applyAlignment="1">
      <alignment horizontal="right"/>
      <protection locked="0"/>
    </xf>
    <xf numFmtId="4" fontId="64" fillId="0" borderId="63" xfId="0" applyNumberFormat="1" applyFont="1" applyBorder="1" applyAlignment="1">
      <alignment horizontal="right"/>
      <protection locked="0"/>
    </xf>
    <xf numFmtId="39" fontId="12" fillId="0" borderId="63" xfId="0" applyNumberFormat="1" applyFont="1" applyBorder="1" applyAlignment="1">
      <alignment horizontal="right"/>
      <protection locked="0"/>
    </xf>
    <xf numFmtId="4" fontId="12" fillId="0" borderId="63" xfId="123" applyNumberFormat="1" applyFont="1" applyBorder="1" applyAlignment="1">
      <alignment horizontal="right"/>
      <protection locked="0"/>
    </xf>
    <xf numFmtId="173" fontId="12" fillId="0" borderId="34" xfId="0" applyNumberFormat="1" applyFont="1" applyBorder="1" applyAlignment="1">
      <alignment horizontal="right"/>
      <protection locked="0"/>
    </xf>
    <xf numFmtId="4" fontId="12" fillId="0" borderId="18" xfId="123" applyNumberFormat="1" applyFont="1" applyBorder="1" applyAlignment="1">
      <alignment horizontal="right"/>
      <protection locked="0"/>
    </xf>
    <xf numFmtId="4" fontId="12" fillId="0" borderId="18" xfId="155" applyNumberFormat="1" applyFont="1" applyBorder="1" applyAlignment="1">
      <alignment horizontal="right"/>
      <protection locked="0"/>
    </xf>
    <xf numFmtId="4" fontId="83" fillId="0" borderId="18" xfId="0" applyNumberFormat="1" applyFont="1" applyBorder="1" applyAlignment="1">
      <alignment horizontal="right"/>
      <protection locked="0"/>
    </xf>
    <xf numFmtId="0" fontId="195" fillId="0" borderId="0" xfId="184" applyFont="1" applyAlignment="1">
      <alignment vertical="center"/>
    </xf>
    <xf numFmtId="0" fontId="195" fillId="0" borderId="0" xfId="184" applyFont="1" applyAlignment="1">
      <alignment horizontal="center" vertical="center"/>
    </xf>
    <xf numFmtId="178" fontId="195" fillId="0" borderId="0" xfId="184" applyNumberFormat="1" applyFont="1" applyAlignment="1">
      <alignment vertical="center"/>
    </xf>
    <xf numFmtId="0" fontId="195" fillId="0" borderId="0" xfId="184" applyFont="1" applyAlignment="1">
      <alignment horizontal="left" vertical="center" wrapText="1"/>
    </xf>
    <xf numFmtId="14" fontId="195" fillId="0" borderId="0" xfId="184" applyNumberFormat="1" applyFont="1" applyAlignment="1">
      <alignment horizontal="left" vertical="center"/>
    </xf>
    <xf numFmtId="0" fontId="195" fillId="0" borderId="0" xfId="184" applyFont="1" applyAlignment="1">
      <alignment vertical="center" wrapText="1"/>
    </xf>
    <xf numFmtId="49" fontId="196" fillId="10" borderId="0" xfId="184" applyNumberFormat="1" applyFont="1" applyFill="1" applyAlignment="1">
      <alignment vertical="center"/>
    </xf>
    <xf numFmtId="0" fontId="196" fillId="10" borderId="0" xfId="184" applyFont="1" applyFill="1" applyAlignment="1">
      <alignment vertical="center" wrapText="1"/>
    </xf>
    <xf numFmtId="0" fontId="196" fillId="10" borderId="0" xfId="184" applyFont="1" applyFill="1" applyAlignment="1">
      <alignment horizontal="center" vertical="center"/>
    </xf>
    <xf numFmtId="178" fontId="196" fillId="10" borderId="0" xfId="184" applyNumberFormat="1" applyFont="1" applyFill="1" applyAlignment="1">
      <alignment vertical="center" wrapText="1"/>
    </xf>
    <xf numFmtId="49" fontId="195" fillId="11" borderId="0" xfId="184" applyNumberFormat="1" applyFont="1" applyFill="1" applyAlignment="1">
      <alignment vertical="center"/>
    </xf>
    <xf numFmtId="0" fontId="195" fillId="11" borderId="0" xfId="184" applyFont="1" applyFill="1" applyAlignment="1">
      <alignment vertical="center" wrapText="1"/>
    </xf>
    <xf numFmtId="0" fontId="195" fillId="11" borderId="0" xfId="184" applyFont="1" applyFill="1" applyAlignment="1">
      <alignment horizontal="center" vertical="center"/>
    </xf>
    <xf numFmtId="179" fontId="195" fillId="11" borderId="0" xfId="184" applyNumberFormat="1" applyFont="1" applyFill="1" applyAlignment="1">
      <alignment horizontal="center" vertical="center"/>
    </xf>
    <xf numFmtId="178" fontId="195" fillId="11" borderId="0" xfId="184" applyNumberFormat="1" applyFont="1" applyFill="1" applyAlignment="1">
      <alignment vertical="center" wrapText="1"/>
    </xf>
    <xf numFmtId="178" fontId="195" fillId="11" borderId="0" xfId="184" applyNumberFormat="1" applyFont="1" applyFill="1" applyAlignment="1">
      <alignment vertical="center"/>
    </xf>
    <xf numFmtId="49" fontId="195" fillId="0" borderId="0" xfId="184" applyNumberFormat="1" applyFont="1" applyAlignment="1">
      <alignment vertical="center"/>
    </xf>
    <xf numFmtId="179" fontId="195" fillId="0" borderId="0" xfId="184" applyNumberFormat="1" applyFont="1" applyAlignment="1">
      <alignment horizontal="center" vertical="center"/>
    </xf>
    <xf numFmtId="49" fontId="195" fillId="11" borderId="2" xfId="184" applyNumberFormat="1" applyFont="1" applyFill="1" applyBorder="1" applyAlignment="1">
      <alignment vertical="center"/>
    </xf>
    <xf numFmtId="0" fontId="195" fillId="11" borderId="2" xfId="184" applyFont="1" applyFill="1" applyBorder="1" applyAlignment="1">
      <alignment vertical="center" wrapText="1"/>
    </xf>
    <xf numFmtId="0" fontId="195" fillId="11" borderId="2" xfId="184" applyFont="1" applyFill="1" applyBorder="1" applyAlignment="1">
      <alignment horizontal="center" vertical="center"/>
    </xf>
    <xf numFmtId="179" fontId="195" fillId="11" borderId="2" xfId="184" applyNumberFormat="1" applyFont="1" applyFill="1" applyBorder="1" applyAlignment="1">
      <alignment horizontal="center" vertical="center"/>
    </xf>
    <xf numFmtId="178" fontId="195" fillId="11" borderId="2" xfId="184" applyNumberFormat="1" applyFont="1" applyFill="1" applyBorder="1" applyAlignment="1">
      <alignment vertical="center"/>
    </xf>
    <xf numFmtId="0" fontId="195" fillId="0" borderId="54" xfId="184" applyFont="1" applyBorder="1" applyAlignment="1">
      <alignment vertical="center"/>
    </xf>
    <xf numFmtId="0" fontId="198" fillId="0" borderId="0" xfId="184" applyFont="1" applyAlignment="1">
      <alignment horizontal="center"/>
    </xf>
    <xf numFmtId="178" fontId="195" fillId="0" borderId="0" xfId="184" applyNumberFormat="1" applyFont="1" applyAlignment="1" applyProtection="1">
      <alignment vertical="center" wrapText="1"/>
      <protection locked="0"/>
    </xf>
    <xf numFmtId="178" fontId="195" fillId="11" borderId="0" xfId="184" applyNumberFormat="1" applyFont="1" applyFill="1" applyAlignment="1" applyProtection="1">
      <alignment vertical="center" wrapText="1"/>
      <protection locked="0"/>
    </xf>
    <xf numFmtId="178" fontId="196" fillId="10" borderId="0" xfId="184" applyNumberFormat="1" applyFont="1" applyFill="1" applyAlignment="1" applyProtection="1">
      <alignment vertical="center" wrapText="1"/>
      <protection locked="0"/>
    </xf>
    <xf numFmtId="178" fontId="195" fillId="11" borderId="2" xfId="184" applyNumberFormat="1" applyFont="1" applyFill="1" applyBorder="1" applyAlignment="1" applyProtection="1">
      <alignment vertical="center" wrapText="1"/>
      <protection locked="0"/>
    </xf>
    <xf numFmtId="0" fontId="93" fillId="0" borderId="0" xfId="184" applyFont="1"/>
    <xf numFmtId="0" fontId="5" fillId="0" borderId="0" xfId="184"/>
    <xf numFmtId="0" fontId="64" fillId="0" borderId="0" xfId="184" applyFont="1" applyAlignment="1">
      <alignment horizontal="left"/>
    </xf>
    <xf numFmtId="0" fontId="12" fillId="0" borderId="0" xfId="184" applyFont="1" applyAlignment="1">
      <alignment horizontal="left"/>
    </xf>
    <xf numFmtId="0" fontId="62" fillId="0" borderId="0" xfId="184" applyFont="1" applyAlignment="1">
      <alignment horizontal="left"/>
    </xf>
    <xf numFmtId="0" fontId="5" fillId="0" borderId="0" xfId="184" applyAlignment="1">
      <alignment horizontal="left" vertical="top"/>
    </xf>
    <xf numFmtId="0" fontId="63" fillId="0" borderId="0" xfId="184" applyFont="1" applyAlignment="1">
      <alignment horizontal="left"/>
    </xf>
    <xf numFmtId="0" fontId="62" fillId="0" borderId="0" xfId="184" applyFont="1" applyAlignment="1">
      <alignment horizontal="center"/>
    </xf>
    <xf numFmtId="172" fontId="62" fillId="0" borderId="0" xfId="184" applyNumberFormat="1" applyFont="1" applyAlignment="1">
      <alignment horizontal="left"/>
    </xf>
    <xf numFmtId="0" fontId="201" fillId="0" borderId="0" xfId="184" applyFont="1" applyAlignment="1">
      <alignment horizontal="right" vertical="top"/>
    </xf>
    <xf numFmtId="0" fontId="66" fillId="0" borderId="33" xfId="184" applyFont="1" applyBorder="1" applyAlignment="1">
      <alignment horizontal="center" vertical="center" wrapText="1"/>
    </xf>
    <xf numFmtId="172" fontId="66" fillId="0" borderId="33" xfId="184" applyNumberFormat="1" applyFont="1" applyBorder="1" applyAlignment="1">
      <alignment horizontal="center" vertical="center" wrapText="1"/>
    </xf>
    <xf numFmtId="0" fontId="66" fillId="0" borderId="39" xfId="184" applyFont="1" applyBorder="1" applyAlignment="1">
      <alignment horizontal="center" vertical="center" wrapText="1"/>
    </xf>
    <xf numFmtId="0" fontId="66" fillId="0" borderId="15" xfId="184" applyFont="1" applyBorder="1" applyAlignment="1">
      <alignment horizontal="center" vertical="center" wrapText="1"/>
    </xf>
    <xf numFmtId="37" fontId="64" fillId="0" borderId="34" xfId="184" applyNumberFormat="1" applyFont="1" applyBorder="1" applyAlignment="1">
      <alignment horizontal="right"/>
    </xf>
    <xf numFmtId="0" fontId="64" fillId="0" borderId="34" xfId="184" applyFont="1" applyBorder="1" applyAlignment="1">
      <alignment horizontal="left" wrapText="1"/>
    </xf>
    <xf numFmtId="172" fontId="64" fillId="0" borderId="34" xfId="184" applyNumberFormat="1" applyFont="1" applyBorder="1" applyAlignment="1">
      <alignment horizontal="right"/>
    </xf>
    <xf numFmtId="39" fontId="64" fillId="0" borderId="34" xfId="184" applyNumberFormat="1" applyFont="1" applyBorder="1" applyAlignment="1">
      <alignment horizontal="right"/>
    </xf>
    <xf numFmtId="0" fontId="5" fillId="0" borderId="34" xfId="184" applyBorder="1" applyAlignment="1">
      <alignment horizontal="left" vertical="top"/>
    </xf>
    <xf numFmtId="0" fontId="60" fillId="0" borderId="0" xfId="184" applyFont="1"/>
    <xf numFmtId="0" fontId="5" fillId="0" borderId="34" xfId="184" applyBorder="1" applyAlignment="1">
      <alignment vertical="top"/>
    </xf>
    <xf numFmtId="37" fontId="12" fillId="0" borderId="34" xfId="184" applyNumberFormat="1" applyFont="1" applyBorder="1" applyAlignment="1">
      <alignment horizontal="right"/>
    </xf>
    <xf numFmtId="49" fontId="12" fillId="0" borderId="34" xfId="184" applyNumberFormat="1" applyFont="1" applyBorder="1" applyAlignment="1">
      <alignment horizontal="left" wrapText="1"/>
    </xf>
    <xf numFmtId="0" fontId="12" fillId="0" borderId="34" xfId="184" applyFont="1" applyBorder="1" applyAlignment="1">
      <alignment horizontal="left" wrapText="1"/>
    </xf>
    <xf numFmtId="172" fontId="12" fillId="0" borderId="34" xfId="184" applyNumberFormat="1" applyFont="1" applyBorder="1" applyAlignment="1">
      <alignment horizontal="right"/>
    </xf>
    <xf numFmtId="39" fontId="12" fillId="0" borderId="34" xfId="184" applyNumberFormat="1" applyFont="1" applyBorder="1" applyAlignment="1">
      <alignment horizontal="right"/>
    </xf>
    <xf numFmtId="4" fontId="12" fillId="0" borderId="34" xfId="183" applyNumberFormat="1" applyFont="1" applyBorder="1" applyAlignment="1">
      <alignment horizontal="right"/>
    </xf>
    <xf numFmtId="39" fontId="12" fillId="0" borderId="34" xfId="3" applyNumberFormat="1" applyFont="1" applyBorder="1" applyAlignment="1">
      <alignment horizontal="center"/>
    </xf>
    <xf numFmtId="0" fontId="91" fillId="0" borderId="0" xfId="184" applyFont="1" applyAlignment="1">
      <alignment horizontal="left" vertical="top"/>
    </xf>
    <xf numFmtId="0" fontId="57" fillId="0" borderId="34" xfId="36" applyFont="1" applyBorder="1" applyAlignment="1">
      <alignment horizontal="left" wrapText="1"/>
    </xf>
    <xf numFmtId="4" fontId="12" fillId="0" borderId="34" xfId="129" applyNumberFormat="1" applyFont="1" applyBorder="1" applyAlignment="1">
      <alignment horizontal="right"/>
    </xf>
    <xf numFmtId="0" fontId="104" fillId="0" borderId="0" xfId="184" applyFont="1" applyAlignment="1">
      <alignment vertical="center"/>
    </xf>
    <xf numFmtId="0" fontId="5" fillId="0" borderId="0" xfId="184" applyAlignment="1">
      <alignment horizontal="left" vertical="center"/>
    </xf>
    <xf numFmtId="0" fontId="104" fillId="0" borderId="0" xfId="184" applyFont="1" applyAlignment="1">
      <alignment horizontal="right" vertical="center"/>
    </xf>
    <xf numFmtId="37" fontId="12" fillId="0" borderId="18" xfId="184" applyNumberFormat="1" applyFont="1" applyBorder="1" applyAlignment="1">
      <alignment horizontal="right"/>
    </xf>
    <xf numFmtId="0" fontId="12" fillId="0" borderId="18" xfId="184" applyFont="1" applyBorder="1" applyAlignment="1">
      <alignment horizontal="left" wrapText="1"/>
    </xf>
    <xf numFmtId="172" fontId="12" fillId="0" borderId="18" xfId="184" applyNumberFormat="1" applyFont="1" applyBorder="1" applyAlignment="1">
      <alignment horizontal="right"/>
    </xf>
    <xf numFmtId="39" fontId="12" fillId="0" borderId="18" xfId="184" applyNumberFormat="1" applyFont="1" applyBorder="1" applyAlignment="1">
      <alignment horizontal="right"/>
    </xf>
    <xf numFmtId="0" fontId="210" fillId="0" borderId="0" xfId="184" applyFont="1" applyAlignment="1">
      <alignment horizontal="left" vertical="top"/>
    </xf>
    <xf numFmtId="0" fontId="5" fillId="0" borderId="0" xfId="184" applyAlignment="1">
      <alignment horizontal="right" vertical="top"/>
    </xf>
    <xf numFmtId="0" fontId="60" fillId="0" borderId="0" xfId="184" applyFont="1" applyAlignment="1">
      <alignment horizontal="left" vertical="top"/>
    </xf>
    <xf numFmtId="0" fontId="210" fillId="0" borderId="0" xfId="184" applyFont="1" applyAlignment="1">
      <alignment horizontal="right" vertical="top"/>
    </xf>
    <xf numFmtId="37" fontId="83" fillId="0" borderId="0" xfId="184" applyNumberFormat="1" applyFont="1" applyAlignment="1">
      <alignment horizontal="right"/>
    </xf>
    <xf numFmtId="0" fontId="83" fillId="0" borderId="34" xfId="184" applyFont="1" applyBorder="1" applyAlignment="1">
      <alignment horizontal="left" wrapText="1"/>
    </xf>
    <xf numFmtId="0" fontId="57" fillId="0" borderId="0" xfId="184" applyFont="1" applyAlignment="1">
      <alignment horizontal="left" wrapText="1"/>
    </xf>
    <xf numFmtId="0" fontId="83" fillId="0" borderId="0" xfId="184" applyFont="1" applyAlignment="1">
      <alignment horizontal="left" wrapText="1"/>
    </xf>
    <xf numFmtId="39" fontId="83" fillId="0" borderId="0" xfId="184" applyNumberFormat="1" applyFont="1" applyAlignment="1">
      <alignment horizontal="right"/>
    </xf>
    <xf numFmtId="39" fontId="12" fillId="0" borderId="0" xfId="184" applyNumberFormat="1" applyFont="1" applyAlignment="1">
      <alignment horizontal="right"/>
    </xf>
    <xf numFmtId="0" fontId="33" fillId="0" borderId="0" xfId="146" applyFill="1" applyAlignment="1" applyProtection="1">
      <alignment horizontal="left" vertical="top"/>
    </xf>
    <xf numFmtId="0" fontId="15" fillId="0" borderId="0" xfId="184" applyFont="1" applyAlignment="1">
      <alignment horizontal="left" vertical="top"/>
    </xf>
    <xf numFmtId="0" fontId="133" fillId="0" borderId="0" xfId="184" applyFont="1" applyAlignment="1">
      <alignment horizontal="left" vertical="top"/>
    </xf>
    <xf numFmtId="0" fontId="21" fillId="0" borderId="0" xfId="184" applyFont="1" applyAlignment="1">
      <alignment horizontal="left" vertical="top"/>
    </xf>
    <xf numFmtId="0" fontId="234" fillId="0" borderId="0" xfId="184" applyFont="1" applyAlignment="1">
      <alignment horizontal="left" vertical="top"/>
    </xf>
    <xf numFmtId="0" fontId="163" fillId="0" borderId="0" xfId="184" applyFont="1" applyAlignment="1">
      <alignment horizontal="left" vertical="top"/>
    </xf>
    <xf numFmtId="0" fontId="235" fillId="0" borderId="0" xfId="146" applyFont="1" applyFill="1" applyBorder="1" applyAlignment="1" applyProtection="1">
      <alignment horizontal="left" vertical="center"/>
    </xf>
    <xf numFmtId="0" fontId="142" fillId="0" borderId="59" xfId="146" applyFont="1" applyFill="1" applyBorder="1" applyAlignment="1" applyProtection="1">
      <alignment horizontal="left" vertical="center"/>
    </xf>
    <xf numFmtId="0" fontId="84" fillId="0" borderId="0" xfId="184" applyFont="1" applyAlignment="1">
      <alignment horizontal="left" vertical="center"/>
    </xf>
    <xf numFmtId="2" fontId="236" fillId="0" borderId="0" xfId="184" applyNumberFormat="1" applyFont="1" applyAlignment="1">
      <alignment horizontal="left" vertical="center"/>
    </xf>
    <xf numFmtId="0" fontId="84" fillId="0" borderId="0" xfId="184" applyFont="1" applyAlignment="1">
      <alignment horizontal="center" vertical="center"/>
    </xf>
    <xf numFmtId="0" fontId="142" fillId="0" borderId="0" xfId="146" applyNumberFormat="1" applyFont="1" applyFill="1" applyAlignment="1" applyProtection="1">
      <alignment horizontal="left" vertical="center"/>
    </xf>
    <xf numFmtId="0" fontId="33" fillId="0" borderId="0" xfId="146" applyFill="1" applyAlignment="1" applyProtection="1">
      <alignment horizontal="left" vertical="center"/>
    </xf>
    <xf numFmtId="0" fontId="15" fillId="5" borderId="0" xfId="184" applyFont="1" applyFill="1" applyAlignment="1">
      <alignment horizontal="left" vertical="top"/>
    </xf>
    <xf numFmtId="37" fontId="12" fillId="0" borderId="34" xfId="3" applyNumberFormat="1" applyFont="1" applyBorder="1" applyAlignment="1">
      <alignment horizontal="right"/>
    </xf>
    <xf numFmtId="0" fontId="12" fillId="0" borderId="34" xfId="3" applyFont="1" applyBorder="1" applyAlignment="1">
      <alignment horizontal="left" wrapText="1"/>
    </xf>
    <xf numFmtId="172" fontId="12" fillId="0" borderId="34" xfId="3" applyNumberFormat="1" applyFont="1" applyBorder="1" applyAlignment="1">
      <alignment horizontal="right"/>
    </xf>
    <xf numFmtId="39" fontId="12" fillId="0" borderId="34" xfId="3" applyNumberFormat="1" applyFont="1" applyBorder="1" applyAlignment="1">
      <alignment horizontal="right"/>
    </xf>
    <xf numFmtId="0" fontId="69" fillId="0" borderId="0" xfId="46" applyFont="1" applyAlignment="1" applyProtection="1">
      <alignment horizontal="left" vertical="top"/>
    </xf>
    <xf numFmtId="1" fontId="12" fillId="0" borderId="34" xfId="46" applyNumberFormat="1" applyFont="1" applyBorder="1" applyAlignment="1" applyProtection="1">
      <alignment horizontal="right" wrapText="1"/>
    </xf>
    <xf numFmtId="0" fontId="57" fillId="0" borderId="34" xfId="3" applyFont="1" applyBorder="1" applyAlignment="1">
      <alignment horizontal="left" wrapText="1"/>
    </xf>
    <xf numFmtId="172" fontId="57" fillId="0" borderId="34" xfId="3" applyNumberFormat="1" applyFont="1" applyBorder="1" applyAlignment="1">
      <alignment horizontal="right"/>
    </xf>
    <xf numFmtId="4"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center"/>
    </xf>
    <xf numFmtId="171" fontId="32" fillId="0" borderId="0" xfId="46" applyNumberFormat="1" applyAlignment="1" applyProtection="1">
      <alignment horizontal="left" vertical="top"/>
    </xf>
    <xf numFmtId="0" fontId="64" fillId="0" borderId="34" xfId="3" applyFont="1" applyBorder="1" applyAlignment="1">
      <alignment horizontal="left" wrapText="1"/>
    </xf>
    <xf numFmtId="0" fontId="80" fillId="0" borderId="0" xfId="46" applyFont="1" applyAlignment="1" applyProtection="1">
      <alignment horizontal="left" vertical="center"/>
    </xf>
    <xf numFmtId="49" fontId="83" fillId="0" borderId="34" xfId="184" applyNumberFormat="1" applyFont="1" applyBorder="1" applyAlignment="1">
      <alignment horizontal="left" wrapText="1"/>
    </xf>
    <xf numFmtId="0" fontId="57" fillId="0" borderId="34" xfId="184" applyFont="1" applyBorder="1" applyAlignment="1">
      <alignment horizontal="left" wrapText="1"/>
    </xf>
    <xf numFmtId="172" fontId="57" fillId="0" borderId="34" xfId="184" applyNumberFormat="1" applyFont="1" applyBorder="1" applyAlignment="1">
      <alignment horizontal="right"/>
    </xf>
    <xf numFmtId="4" fontId="12" fillId="0" borderId="34" xfId="184" applyNumberFormat="1" applyFont="1" applyBorder="1" applyAlignment="1">
      <alignment horizontal="right"/>
    </xf>
    <xf numFmtId="0" fontId="238" fillId="0" borderId="0" xfId="46" applyFont="1" applyAlignment="1" applyProtection="1">
      <alignment horizontal="left" vertical="top"/>
    </xf>
    <xf numFmtId="172" fontId="12" fillId="0" borderId="34" xfId="44" applyNumberFormat="1" applyFont="1" applyBorder="1" applyAlignment="1" applyProtection="1">
      <alignment horizontal="right"/>
    </xf>
    <xf numFmtId="0" fontId="95" fillId="0" borderId="0" xfId="184" applyFont="1" applyAlignment="1">
      <alignment horizontal="right"/>
    </xf>
    <xf numFmtId="0" fontId="226" fillId="0" borderId="0" xfId="184" applyFont="1"/>
    <xf numFmtId="0" fontId="182" fillId="0" borderId="0" xfId="184" applyFont="1" applyAlignment="1">
      <alignment horizontal="right"/>
    </xf>
    <xf numFmtId="172" fontId="5" fillId="0" borderId="0" xfId="184" applyNumberFormat="1"/>
    <xf numFmtId="39" fontId="119" fillId="0" borderId="34" xfId="184" applyNumberFormat="1" applyFont="1" applyBorder="1" applyAlignment="1">
      <alignment horizontal="right"/>
    </xf>
    <xf numFmtId="0" fontId="95" fillId="0" borderId="0" xfId="184" applyFont="1" applyAlignment="1">
      <alignment horizontal="right" vertical="center"/>
    </xf>
    <xf numFmtId="0" fontId="5" fillId="0" borderId="0" xfId="184" applyAlignment="1">
      <alignment vertical="center"/>
    </xf>
    <xf numFmtId="0" fontId="226" fillId="0" borderId="0" xfId="184" applyFont="1" applyAlignment="1">
      <alignment vertical="center"/>
    </xf>
    <xf numFmtId="0" fontId="182" fillId="0" borderId="0" xfId="184" applyFont="1" applyAlignment="1">
      <alignment horizontal="right" vertical="center"/>
    </xf>
    <xf numFmtId="0" fontId="182" fillId="0" borderId="0" xfId="184" applyFont="1" applyAlignment="1">
      <alignment vertical="center"/>
    </xf>
    <xf numFmtId="0" fontId="5" fillId="12" borderId="0" xfId="184" applyFill="1"/>
    <xf numFmtId="0" fontId="103" fillId="0" borderId="0" xfId="29" applyNumberFormat="1" applyFont="1" applyFill="1" applyAlignment="1" applyProtection="1">
      <alignment horizontal="left" vertical="center"/>
    </xf>
    <xf numFmtId="2" fontId="5" fillId="0" borderId="0" xfId="184" applyNumberFormat="1" applyAlignment="1">
      <alignment horizontal="left" vertical="top"/>
    </xf>
    <xf numFmtId="0" fontId="104" fillId="0" borderId="0" xfId="184" applyFont="1" applyAlignment="1">
      <alignment horizontal="left" vertical="top"/>
    </xf>
    <xf numFmtId="0" fontId="119" fillId="0" borderId="34" xfId="184" applyFont="1" applyBorder="1" applyAlignment="1">
      <alignment horizontal="left" wrapText="1"/>
    </xf>
    <xf numFmtId="39" fontId="12" fillId="0" borderId="34" xfId="184" applyNumberFormat="1" applyFont="1" applyBorder="1" applyAlignment="1">
      <alignment horizontal="center"/>
    </xf>
    <xf numFmtId="0" fontId="36" fillId="0" borderId="0" xfId="29" applyNumberFormat="1" applyFill="1" applyAlignment="1" applyProtection="1">
      <alignment horizontal="left" vertical="top"/>
    </xf>
    <xf numFmtId="2" fontId="12" fillId="0" borderId="34" xfId="3" applyNumberFormat="1" applyFont="1" applyBorder="1" applyAlignment="1">
      <alignment horizontal="right"/>
    </xf>
    <xf numFmtId="2" fontId="57" fillId="0" borderId="34" xfId="184" applyNumberFormat="1" applyFont="1" applyBorder="1" applyAlignment="1">
      <alignment horizontal="right"/>
    </xf>
    <xf numFmtId="173" fontId="104" fillId="0" borderId="0" xfId="184" applyNumberFormat="1" applyFont="1" applyAlignment="1">
      <alignment vertical="center"/>
    </xf>
    <xf numFmtId="0" fontId="42" fillId="0" borderId="0" xfId="64" applyFill="1" applyAlignment="1" applyProtection="1">
      <alignment horizontal="left" vertical="top"/>
    </xf>
    <xf numFmtId="2" fontId="57" fillId="0" borderId="34" xfId="3" applyNumberFormat="1" applyFont="1" applyBorder="1" applyAlignment="1">
      <alignment horizontal="right"/>
    </xf>
    <xf numFmtId="0" fontId="36" fillId="0" borderId="0" xfId="29" applyFill="1" applyAlignment="1" applyProtection="1">
      <alignment horizontal="left" vertical="top"/>
    </xf>
    <xf numFmtId="2" fontId="12" fillId="0" borderId="34" xfId="184" applyNumberFormat="1" applyFont="1" applyBorder="1" applyAlignment="1">
      <alignment horizontal="right"/>
    </xf>
    <xf numFmtId="1" fontId="103" fillId="0" borderId="0" xfId="29" applyNumberFormat="1" applyFont="1" applyFill="1" applyAlignment="1" applyProtection="1">
      <alignment horizontal="center" vertical="center"/>
    </xf>
    <xf numFmtId="0" fontId="103" fillId="0" borderId="0" xfId="29" applyNumberFormat="1" applyFont="1" applyFill="1" applyAlignment="1" applyProtection="1">
      <alignment horizontal="center" vertical="center"/>
    </xf>
    <xf numFmtId="0" fontId="5" fillId="0" borderId="0" xfId="184" applyAlignment="1">
      <alignment vertical="top"/>
    </xf>
    <xf numFmtId="0" fontId="15" fillId="0" borderId="34" xfId="184" applyFont="1" applyBorder="1" applyAlignment="1">
      <alignment horizontal="center" vertical="top"/>
    </xf>
    <xf numFmtId="39" fontId="57" fillId="0" borderId="34" xfId="3" applyNumberFormat="1" applyFont="1" applyBorder="1" applyAlignment="1">
      <alignment horizontal="right"/>
    </xf>
    <xf numFmtId="0" fontId="239" fillId="0" borderId="0" xfId="29" applyNumberFormat="1" applyFont="1" applyFill="1" applyAlignment="1" applyProtection="1">
      <alignment horizontal="left" vertical="center"/>
    </xf>
    <xf numFmtId="37" fontId="119" fillId="0" borderId="34" xfId="184" applyNumberFormat="1" applyFont="1" applyBorder="1" applyAlignment="1">
      <alignment horizontal="right"/>
    </xf>
    <xf numFmtId="0" fontId="57" fillId="0" borderId="34" xfId="184" applyFont="1" applyBorder="1" applyAlignment="1">
      <alignment horizontal="left" vertical="center" wrapText="1"/>
    </xf>
    <xf numFmtId="0" fontId="57" fillId="0" borderId="34" xfId="34" applyFont="1" applyBorder="1" applyAlignment="1">
      <alignment horizontal="left" vertical="center" wrapText="1"/>
    </xf>
    <xf numFmtId="0" fontId="240" fillId="0" borderId="0" xfId="184" applyFont="1" applyAlignment="1">
      <alignment horizontal="left" vertical="center"/>
    </xf>
    <xf numFmtId="0" fontId="240" fillId="0" borderId="0" xfId="184" applyFont="1" applyAlignment="1">
      <alignment horizontal="left" vertical="top"/>
    </xf>
    <xf numFmtId="0" fontId="241" fillId="0" borderId="0" xfId="184" applyFont="1" applyAlignment="1">
      <alignment horizontal="left" vertical="top"/>
    </xf>
    <xf numFmtId="0" fontId="60" fillId="0" borderId="0" xfId="184" applyFont="1" applyAlignment="1">
      <alignment horizontal="left" vertical="center"/>
    </xf>
    <xf numFmtId="37" fontId="83" fillId="0" borderId="34" xfId="184" applyNumberFormat="1" applyFont="1" applyBorder="1" applyAlignment="1">
      <alignment horizontal="right"/>
    </xf>
    <xf numFmtId="0" fontId="104" fillId="0" borderId="0" xfId="184" applyFont="1" applyAlignment="1">
      <alignment horizontal="left" vertical="center"/>
    </xf>
    <xf numFmtId="0" fontId="86" fillId="0" borderId="0" xfId="184" applyFont="1" applyAlignment="1">
      <alignment horizontal="left"/>
    </xf>
    <xf numFmtId="172" fontId="14" fillId="0" borderId="0" xfId="3" applyNumberFormat="1"/>
    <xf numFmtId="0" fontId="33" fillId="0" borderId="0" xfId="146" applyNumberFormat="1" applyFill="1" applyAlignment="1" applyProtection="1">
      <alignment horizontal="left" vertical="top"/>
    </xf>
    <xf numFmtId="0" fontId="20" fillId="0" borderId="0" xfId="3" applyFont="1" applyAlignment="1">
      <alignment horizontal="right" vertical="center"/>
    </xf>
    <xf numFmtId="0" fontId="88" fillId="0" borderId="0" xfId="46" applyFont="1" applyAlignment="1" applyProtection="1">
      <alignment horizontal="right" vertical="center"/>
    </xf>
    <xf numFmtId="0" fontId="98" fillId="0" borderId="0" xfId="46" applyFont="1" applyAlignment="1" applyProtection="1">
      <alignment horizontal="left" vertical="center"/>
    </xf>
    <xf numFmtId="0" fontId="88" fillId="0" borderId="0" xfId="46" applyFont="1" applyAlignment="1" applyProtection="1">
      <alignment horizontal="left" vertical="center"/>
    </xf>
    <xf numFmtId="0" fontId="243" fillId="0" borderId="0" xfId="146" applyNumberFormat="1" applyFont="1" applyFill="1" applyAlignment="1" applyProtection="1">
      <alignment horizontal="left" vertical="top"/>
    </xf>
    <xf numFmtId="6" fontId="20" fillId="0" borderId="0" xfId="3" applyNumberFormat="1" applyFont="1"/>
    <xf numFmtId="2" fontId="117" fillId="0" borderId="34" xfId="184" applyNumberFormat="1" applyFont="1" applyBorder="1" applyAlignment="1">
      <alignment horizontal="right"/>
    </xf>
    <xf numFmtId="0" fontId="32" fillId="0" borderId="0" xfId="184" applyFont="1"/>
    <xf numFmtId="0" fontId="15" fillId="0" borderId="34" xfId="184" applyFont="1" applyBorder="1" applyAlignment="1">
      <alignment horizontal="left" vertical="top"/>
    </xf>
    <xf numFmtId="0" fontId="5" fillId="0" borderId="0" xfId="184" applyAlignment="1">
      <alignment horizontal="right"/>
    </xf>
    <xf numFmtId="0" fontId="70" fillId="0" borderId="0" xfId="184" applyFont="1" applyAlignment="1">
      <alignment vertical="center"/>
    </xf>
    <xf numFmtId="0" fontId="80" fillId="0" borderId="0" xfId="184" applyFont="1"/>
    <xf numFmtId="0" fontId="213" fillId="0" borderId="0" xfId="25" applyFont="1" applyAlignment="1" applyProtection="1">
      <alignment horizontal="left" vertical="center"/>
    </xf>
    <xf numFmtId="0" fontId="104" fillId="0" borderId="0" xfId="184" applyFont="1" applyAlignment="1">
      <alignment horizontal="right"/>
    </xf>
    <xf numFmtId="0" fontId="104" fillId="0" borderId="0" xfId="25" applyFont="1" applyAlignment="1" applyProtection="1">
      <alignment horizontal="left" vertical="top"/>
    </xf>
    <xf numFmtId="0" fontId="74" fillId="0" borderId="0" xfId="46" applyFont="1" applyAlignment="1" applyProtection="1">
      <alignment horizontal="left" vertical="center"/>
    </xf>
    <xf numFmtId="0" fontId="205" fillId="0" borderId="34" xfId="184" applyFont="1" applyBorder="1"/>
    <xf numFmtId="0" fontId="199" fillId="0" borderId="0" xfId="184" applyFont="1" applyAlignment="1">
      <alignment horizontal="left" vertical="top"/>
    </xf>
    <xf numFmtId="0" fontId="15" fillId="0" borderId="34" xfId="184" applyFont="1" applyBorder="1" applyAlignment="1">
      <alignment horizontal="right" vertical="center"/>
    </xf>
    <xf numFmtId="0" fontId="86" fillId="0" borderId="0" xfId="26" applyFont="1" applyAlignment="1" applyProtection="1">
      <alignment horizontal="left" vertical="top"/>
    </xf>
    <xf numFmtId="37" fontId="57" fillId="0" borderId="34" xfId="184" applyNumberFormat="1" applyFont="1" applyBorder="1" applyAlignment="1">
      <alignment horizontal="right"/>
    </xf>
    <xf numFmtId="39" fontId="57" fillId="0" borderId="34" xfId="184" applyNumberFormat="1" applyFont="1" applyBorder="1" applyAlignment="1">
      <alignment horizontal="right"/>
    </xf>
    <xf numFmtId="0" fontId="12" fillId="0" borderId="34" xfId="44" applyFont="1" applyBorder="1" applyAlignment="1" applyProtection="1">
      <alignment horizontal="left" wrapText="1"/>
    </xf>
    <xf numFmtId="0" fontId="71" fillId="0" borderId="34" xfId="184" applyFont="1" applyBorder="1" applyAlignment="1">
      <alignment horizontal="left" wrapText="1"/>
    </xf>
    <xf numFmtId="0" fontId="42" fillId="0" borderId="0" xfId="146" applyFont="1" applyFill="1" applyAlignment="1" applyProtection="1">
      <alignment horizontal="left" vertical="top"/>
    </xf>
    <xf numFmtId="0" fontId="70" fillId="0" borderId="0" xfId="25" applyFont="1" applyAlignment="1" applyProtection="1">
      <alignment horizontal="right" vertical="center"/>
    </xf>
    <xf numFmtId="0" fontId="15" fillId="0" borderId="0" xfId="25" applyAlignment="1" applyProtection="1">
      <alignment horizontal="right" vertical="center"/>
    </xf>
    <xf numFmtId="0" fontId="12" fillId="0" borderId="0" xfId="184" applyFont="1" applyAlignment="1">
      <alignment horizontal="left" wrapText="1"/>
    </xf>
    <xf numFmtId="39" fontId="12" fillId="0" borderId="34" xfId="44" applyNumberFormat="1" applyFont="1" applyBorder="1" applyAlignment="1" applyProtection="1">
      <alignment horizontal="center"/>
    </xf>
    <xf numFmtId="37" fontId="156" fillId="0" borderId="0" xfId="184" applyNumberFormat="1" applyFont="1" applyAlignment="1">
      <alignment horizontal="right"/>
    </xf>
    <xf numFmtId="0" fontId="156" fillId="0" borderId="0" xfId="184" applyFont="1" applyAlignment="1">
      <alignment horizontal="left" wrapText="1"/>
    </xf>
    <xf numFmtId="172" fontId="156" fillId="0" borderId="0" xfId="184" applyNumberFormat="1" applyFont="1" applyAlignment="1">
      <alignment horizontal="right"/>
    </xf>
    <xf numFmtId="39" fontId="156" fillId="0" borderId="0" xfId="184" applyNumberFormat="1" applyFont="1" applyAlignment="1">
      <alignment horizontal="right"/>
    </xf>
    <xf numFmtId="37" fontId="12" fillId="0" borderId="51" xfId="184" applyNumberFormat="1" applyFont="1" applyBorder="1" applyAlignment="1">
      <alignment horizontal="right"/>
    </xf>
    <xf numFmtId="0" fontId="12" fillId="0" borderId="51" xfId="184" applyFont="1" applyBorder="1" applyAlignment="1">
      <alignment horizontal="left" wrapText="1"/>
    </xf>
    <xf numFmtId="0" fontId="12" fillId="0" borderId="51" xfId="184" applyFont="1" applyBorder="1" applyAlignment="1">
      <alignment horizontal="center" wrapText="1"/>
    </xf>
    <xf numFmtId="172" fontId="12" fillId="0" borderId="51" xfId="184" applyNumberFormat="1" applyFont="1" applyBorder="1" applyAlignment="1">
      <alignment horizontal="right"/>
    </xf>
    <xf numFmtId="39" fontId="12" fillId="0" borderId="51" xfId="184" applyNumberFormat="1" applyFont="1" applyBorder="1" applyAlignment="1">
      <alignment horizontal="right"/>
    </xf>
    <xf numFmtId="0" fontId="172" fillId="0" borderId="0" xfId="184" applyFont="1" applyAlignment="1">
      <alignment horizontal="left" vertical="top"/>
    </xf>
    <xf numFmtId="0" fontId="64" fillId="0" borderId="39" xfId="184" applyFont="1" applyBorder="1" applyAlignment="1">
      <alignment horizontal="left"/>
    </xf>
    <xf numFmtId="0" fontId="83" fillId="0" borderId="40" xfId="184" applyFont="1" applyBorder="1" applyAlignment="1">
      <alignment horizontal="center"/>
    </xf>
    <xf numFmtId="172" fontId="83" fillId="0" borderId="40" xfId="184" applyNumberFormat="1" applyFont="1" applyBorder="1" applyAlignment="1">
      <alignment horizontal="right"/>
    </xf>
    <xf numFmtId="39" fontId="12" fillId="0" borderId="40" xfId="184" applyNumberFormat="1" applyFont="1" applyBorder="1" applyAlignment="1">
      <alignment horizontal="right"/>
    </xf>
    <xf numFmtId="39" fontId="64" fillId="0" borderId="33" xfId="184" applyNumberFormat="1" applyFont="1" applyBorder="1" applyAlignment="1">
      <alignment horizontal="right"/>
    </xf>
    <xf numFmtId="39" fontId="202" fillId="0" borderId="0" xfId="184" applyNumberFormat="1" applyFont="1" applyAlignment="1">
      <alignment horizontal="center"/>
    </xf>
    <xf numFmtId="0" fontId="83" fillId="0" borderId="0" xfId="184" applyFont="1" applyAlignment="1">
      <alignment horizontal="center" wrapText="1"/>
    </xf>
    <xf numFmtId="172" fontId="83" fillId="0" borderId="0" xfId="184" applyNumberFormat="1" applyFont="1" applyAlignment="1">
      <alignment horizontal="right"/>
    </xf>
    <xf numFmtId="4" fontId="57" fillId="0" borderId="34" xfId="46" applyNumberFormat="1" applyFont="1" applyBorder="1" applyAlignment="1">
      <alignment horizontal="right"/>
      <protection locked="0"/>
    </xf>
    <xf numFmtId="0" fontId="164" fillId="0" borderId="59" xfId="89" applyFont="1" applyBorder="1" applyAlignment="1">
      <alignment horizontal="left" vertical="center"/>
    </xf>
    <xf numFmtId="0" fontId="164" fillId="0" borderId="0" xfId="89" applyFont="1" applyAlignment="1">
      <alignment horizontal="left" vertical="center"/>
    </xf>
    <xf numFmtId="0" fontId="201" fillId="5" borderId="0" xfId="0" applyFont="1" applyFill="1" applyAlignment="1" applyProtection="1">
      <alignment horizontal="right" vertical="top"/>
    </xf>
    <xf numFmtId="37" fontId="64" fillId="0" borderId="0" xfId="0" applyNumberFormat="1" applyFont="1" applyAlignment="1" applyProtection="1">
      <alignment horizontal="right"/>
    </xf>
    <xf numFmtId="176" fontId="64" fillId="0" borderId="0" xfId="0" applyNumberFormat="1" applyFont="1" applyAlignment="1" applyProtection="1">
      <alignment horizontal="right"/>
    </xf>
    <xf numFmtId="39" fontId="64" fillId="0" borderId="0" xfId="0" applyNumberFormat="1" applyFont="1" applyAlignment="1" applyProtection="1">
      <alignment horizontal="right"/>
    </xf>
    <xf numFmtId="37" fontId="64" fillId="0" borderId="34" xfId="0" applyNumberFormat="1" applyFont="1" applyBorder="1" applyAlignment="1" applyProtection="1">
      <alignment horizontal="right"/>
    </xf>
    <xf numFmtId="0" fontId="64" fillId="0" borderId="34" xfId="0" applyFont="1" applyBorder="1" applyAlignment="1" applyProtection="1">
      <alignment horizontal="left" wrapText="1"/>
    </xf>
    <xf numFmtId="2" fontId="64" fillId="0" borderId="34" xfId="0" applyNumberFormat="1" applyFont="1" applyBorder="1" applyAlignment="1" applyProtection="1">
      <alignment horizontal="right"/>
    </xf>
    <xf numFmtId="39" fontId="64" fillId="0" borderId="34" xfId="0" applyNumberFormat="1" applyFont="1" applyBorder="1" applyAlignment="1" applyProtection="1">
      <alignment horizontal="right"/>
    </xf>
    <xf numFmtId="0" fontId="0" fillId="0" borderId="34" xfId="0" applyBorder="1" applyAlignment="1" applyProtection="1">
      <alignment vertical="top"/>
    </xf>
    <xf numFmtId="4" fontId="12" fillId="0" borderId="34" xfId="0" applyNumberFormat="1" applyFont="1" applyBorder="1" applyAlignment="1" applyProtection="1">
      <alignment horizontal="right"/>
    </xf>
    <xf numFmtId="37" fontId="12" fillId="0" borderId="34" xfId="0" applyNumberFormat="1" applyFont="1" applyBorder="1" applyAlignment="1" applyProtection="1">
      <alignment horizontal="right"/>
    </xf>
    <xf numFmtId="0" fontId="12" fillId="0" borderId="34" xfId="0" applyFont="1" applyBorder="1" applyAlignment="1" applyProtection="1">
      <alignment horizontal="left" wrapText="1"/>
    </xf>
    <xf numFmtId="17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right"/>
    </xf>
    <xf numFmtId="0" fontId="57" fillId="0" borderId="34" xfId="0" applyFont="1" applyBorder="1" applyAlignment="1" applyProtection="1">
      <alignment horizontal="left" vertical="center" wrapText="1"/>
    </xf>
    <xf numFmtId="172" fontId="15" fillId="0" borderId="34" xfId="0" applyNumberFormat="1" applyFont="1" applyBorder="1" applyAlignment="1" applyProtection="1">
      <alignment horizontal="left" vertical="top"/>
    </xf>
    <xf numFmtId="39" fontId="12" fillId="0" borderId="34" xfId="0" applyNumberFormat="1" applyFont="1" applyBorder="1" applyAlignment="1" applyProtection="1">
      <alignment horizontal="center"/>
    </xf>
    <xf numFmtId="49" fontId="12" fillId="0" borderId="18" xfId="0" applyNumberFormat="1" applyFont="1" applyBorder="1" applyAlignment="1" applyProtection="1">
      <alignment horizontal="left" wrapText="1"/>
    </xf>
    <xf numFmtId="2" fontId="57" fillId="0" borderId="18" xfId="0" applyNumberFormat="1" applyFont="1" applyBorder="1" applyAlignment="1" applyProtection="1">
      <alignment horizontal="right"/>
    </xf>
    <xf numFmtId="39" fontId="84" fillId="0" borderId="18" xfId="0" applyNumberFormat="1" applyFont="1" applyBorder="1" applyAlignment="1" applyProtection="1">
      <alignment horizontal="right"/>
    </xf>
    <xf numFmtId="172" fontId="12" fillId="0" borderId="34" xfId="0" applyNumberFormat="1" applyFont="1" applyBorder="1" applyAlignment="1" applyProtection="1">
      <alignment horizontal="right"/>
    </xf>
    <xf numFmtId="49" fontId="12" fillId="0" borderId="34" xfId="0" applyNumberFormat="1" applyFont="1" applyBorder="1" applyAlignment="1" applyProtection="1">
      <alignment horizontal="left" wrapText="1"/>
    </xf>
    <xf numFmtId="0" fontId="57" fillId="0" borderId="34" xfId="13" applyFont="1" applyBorder="1" applyAlignment="1" applyProtection="1">
      <alignment horizontal="left" wrapText="1"/>
    </xf>
    <xf numFmtId="172" fontId="64" fillId="0" borderId="34" xfId="0" applyNumberFormat="1" applyFont="1" applyBorder="1" applyAlignment="1" applyProtection="1">
      <alignment horizontal="right"/>
    </xf>
    <xf numFmtId="1" fontId="12" fillId="0" borderId="34" xfId="44" applyNumberFormat="1" applyFont="1" applyBorder="1" applyAlignment="1" applyProtection="1">
      <alignment horizontal="right"/>
    </xf>
    <xf numFmtId="0" fontId="32" fillId="0" borderId="0" xfId="44" applyAlignment="1" applyProtection="1">
      <alignment horizontal="left" vertical="top"/>
    </xf>
    <xf numFmtId="0" fontId="57" fillId="0" borderId="34" xfId="44" applyFont="1" applyBorder="1" applyAlignment="1" applyProtection="1">
      <alignment horizontal="left" wrapText="1"/>
    </xf>
    <xf numFmtId="4" fontId="12" fillId="0" borderId="34" xfId="44" applyNumberFormat="1" applyFont="1" applyBorder="1" applyAlignment="1" applyProtection="1">
      <alignment horizontal="right"/>
    </xf>
    <xf numFmtId="1" fontId="64" fillId="0" borderId="34" xfId="44" applyNumberFormat="1" applyFont="1" applyBorder="1" applyAlignment="1" applyProtection="1">
      <alignment horizontal="right"/>
    </xf>
    <xf numFmtId="49" fontId="64" fillId="0" borderId="34" xfId="44" applyNumberFormat="1" applyFont="1" applyBorder="1" applyAlignment="1" applyProtection="1">
      <alignment horizontal="left" wrapText="1"/>
    </xf>
    <xf numFmtId="0" fontId="79" fillId="0" borderId="34" xfId="44" applyFont="1" applyBorder="1" applyAlignment="1" applyProtection="1">
      <alignment horizontal="center" vertical="center" wrapText="1"/>
    </xf>
    <xf numFmtId="172" fontId="32" fillId="0" borderId="34" xfId="44" applyNumberFormat="1" applyBorder="1" applyAlignment="1" applyProtection="1">
      <alignment horizontal="left" vertical="top"/>
    </xf>
    <xf numFmtId="4" fontId="64"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vertical="center"/>
    </xf>
    <xf numFmtId="37" fontId="12" fillId="0" borderId="34" xfId="178" applyNumberFormat="1" applyFont="1" applyBorder="1" applyAlignment="1" applyProtection="1">
      <alignment horizontal="right"/>
    </xf>
    <xf numFmtId="172" fontId="57" fillId="0" borderId="34" xfId="44" applyNumberFormat="1" applyFont="1" applyBorder="1" applyAlignment="1" applyProtection="1">
      <alignment horizontal="right"/>
    </xf>
    <xf numFmtId="0" fontId="64" fillId="0" borderId="34" xfId="44" applyFont="1" applyBorder="1" applyAlignment="1" applyProtection="1">
      <alignment horizontal="left" wrapText="1"/>
    </xf>
    <xf numFmtId="39" fontId="79" fillId="0" borderId="34" xfId="44" applyNumberFormat="1" applyFont="1" applyBorder="1" applyAlignment="1" applyProtection="1">
      <alignment horizontal="right" vertical="center"/>
    </xf>
    <xf numFmtId="37" fontId="264" fillId="0" borderId="34" xfId="38" applyNumberFormat="1" applyFont="1" applyBorder="1" applyAlignment="1" applyProtection="1">
      <alignment horizontal="right"/>
    </xf>
    <xf numFmtId="49" fontId="12" fillId="0" borderId="34" xfId="38" applyNumberFormat="1" applyFont="1" applyBorder="1" applyAlignment="1" applyProtection="1">
      <alignment horizontal="left" wrapText="1"/>
    </xf>
    <xf numFmtId="0" fontId="12" fillId="0" borderId="18" xfId="199" applyFont="1" applyBorder="1" applyAlignment="1" applyProtection="1">
      <alignment horizontal="left" wrapText="1"/>
    </xf>
    <xf numFmtId="0" fontId="12" fillId="0" borderId="18" xfId="38" applyFont="1" applyBorder="1" applyAlignment="1" applyProtection="1">
      <alignment horizontal="left" wrapText="1"/>
    </xf>
    <xf numFmtId="2" fontId="12" fillId="0" borderId="18" xfId="38" applyNumberFormat="1" applyFont="1" applyBorder="1" applyAlignment="1" applyProtection="1">
      <alignment horizontal="right"/>
    </xf>
    <xf numFmtId="39" fontId="12" fillId="0" borderId="18" xfId="38" applyNumberFormat="1" applyFont="1" applyBorder="1" applyAlignment="1" applyProtection="1">
      <alignment horizontal="right"/>
    </xf>
    <xf numFmtId="0" fontId="15" fillId="0" borderId="0" xfId="38" applyAlignment="1" applyProtection="1">
      <alignment horizontal="left" vertical="top"/>
    </xf>
    <xf numFmtId="37" fontId="83" fillId="0" borderId="34" xfId="38" applyNumberFormat="1" applyFont="1" applyBorder="1" applyAlignment="1" applyProtection="1">
      <alignment horizontal="right"/>
    </xf>
    <xf numFmtId="0" fontId="83" fillId="0" borderId="34" xfId="38" applyFont="1" applyBorder="1" applyAlignment="1" applyProtection="1">
      <alignment horizontal="left" wrapText="1"/>
    </xf>
    <xf numFmtId="0" fontId="57" fillId="0" borderId="34" xfId="38" applyFont="1" applyBorder="1" applyAlignment="1" applyProtection="1">
      <alignment horizontal="left" wrapText="1"/>
    </xf>
    <xf numFmtId="2" fontId="57" fillId="0" borderId="34" xfId="38" applyNumberFormat="1" applyFont="1" applyBorder="1" applyAlignment="1" applyProtection="1">
      <alignment horizontal="right"/>
    </xf>
    <xf numFmtId="39" fontId="12" fillId="0" borderId="34" xfId="38" applyNumberFormat="1" applyFont="1" applyBorder="1" applyAlignment="1" applyProtection="1">
      <alignment horizontal="right"/>
    </xf>
    <xf numFmtId="0" fontId="86" fillId="0" borderId="0" xfId="38" applyFont="1" applyAlignment="1" applyProtection="1">
      <alignment horizontal="left" vertical="top"/>
    </xf>
    <xf numFmtId="0" fontId="264" fillId="0" borderId="34" xfId="38" applyFont="1" applyBorder="1" applyAlignment="1" applyProtection="1">
      <alignment horizontal="left" wrapText="1"/>
    </xf>
    <xf numFmtId="0" fontId="15" fillId="5" borderId="0" xfId="38" applyFill="1" applyAlignment="1" applyProtection="1">
      <alignment horizontal="left" vertical="top"/>
    </xf>
    <xf numFmtId="37" fontId="119" fillId="0" borderId="34" xfId="38" applyNumberFormat="1" applyFont="1" applyBorder="1" applyAlignment="1" applyProtection="1">
      <alignment horizontal="right"/>
    </xf>
    <xf numFmtId="0" fontId="119" fillId="0" borderId="34" xfId="38" applyFont="1" applyBorder="1" applyAlignment="1" applyProtection="1">
      <alignment horizontal="left" wrapText="1"/>
    </xf>
    <xf numFmtId="2" fontId="119" fillId="0" borderId="34" xfId="38" applyNumberFormat="1" applyFont="1" applyBorder="1" applyAlignment="1" applyProtection="1">
      <alignment horizontal="right"/>
    </xf>
    <xf numFmtId="39" fontId="119" fillId="0" borderId="34" xfId="38" applyNumberFormat="1" applyFont="1" applyBorder="1" applyAlignment="1" applyProtection="1">
      <alignment horizontal="right"/>
    </xf>
    <xf numFmtId="39" fontId="12" fillId="0" borderId="34" xfId="38" applyNumberFormat="1" applyFont="1" applyBorder="1" applyAlignment="1" applyProtection="1">
      <alignment horizontal="center" wrapText="1"/>
    </xf>
    <xf numFmtId="0" fontId="57" fillId="0" borderId="0" xfId="38" applyFont="1" applyAlignment="1" applyProtection="1">
      <alignment horizontal="left" wrapText="1"/>
    </xf>
    <xf numFmtId="0" fontId="15" fillId="0" borderId="34" xfId="38" applyBorder="1" applyAlignment="1" applyProtection="1">
      <alignment horizontal="left" vertical="top"/>
    </xf>
    <xf numFmtId="1" fontId="12" fillId="0" borderId="18" xfId="199" applyNumberFormat="1" applyFont="1" applyBorder="1" applyAlignment="1" applyProtection="1">
      <alignment horizontal="right"/>
    </xf>
    <xf numFmtId="0" fontId="12" fillId="0" borderId="34" xfId="38" applyFont="1" applyBorder="1" applyAlignment="1" applyProtection="1">
      <alignment horizontal="left" wrapText="1"/>
    </xf>
    <xf numFmtId="39" fontId="12" fillId="0" borderId="34" xfId="38" applyNumberFormat="1" applyFont="1" applyBorder="1" applyAlignment="1" applyProtection="1">
      <alignment horizontal="center"/>
    </xf>
    <xf numFmtId="0" fontId="15" fillId="0" borderId="34" xfId="38" applyBorder="1" applyAlignment="1" applyProtection="1">
      <alignment horizontal="center" vertical="top"/>
    </xf>
    <xf numFmtId="0" fontId="86" fillId="0" borderId="0" xfId="38" applyFont="1" applyAlignment="1" applyProtection="1">
      <alignment horizontal="left"/>
    </xf>
    <xf numFmtId="37" fontId="264" fillId="0" borderId="34" xfId="0" applyNumberFormat="1" applyFont="1" applyBorder="1" applyAlignment="1" applyProtection="1">
      <alignment horizontal="right"/>
    </xf>
    <xf numFmtId="2" fontId="12" fillId="0" borderId="34" xfId="0" applyNumberFormat="1" applyFont="1" applyBorder="1" applyAlignment="1" applyProtection="1">
      <alignment horizontal="right"/>
    </xf>
    <xf numFmtId="2" fontId="57" fillId="0" borderId="34" xfId="0" applyNumberFormat="1" applyFont="1" applyBorder="1" applyAlignment="1" applyProtection="1">
      <alignment horizontal="right"/>
    </xf>
    <xf numFmtId="0" fontId="15" fillId="0" borderId="34" xfId="0" applyFont="1" applyBorder="1" applyAlignment="1" applyProtection="1">
      <alignment horizontal="left" vertical="top"/>
    </xf>
    <xf numFmtId="172" fontId="264" fillId="0" borderId="34" xfId="190" applyNumberFormat="1" applyFont="1" applyBorder="1" applyAlignment="1">
      <alignment horizontal="right"/>
    </xf>
    <xf numFmtId="39" fontId="264" fillId="0" borderId="34" xfId="0" applyNumberFormat="1" applyFont="1" applyBorder="1" applyAlignment="1" applyProtection="1">
      <alignment horizontal="right"/>
    </xf>
    <xf numFmtId="4" fontId="264" fillId="0" borderId="34" xfId="129" applyNumberFormat="1" applyFont="1" applyBorder="1" applyAlignment="1">
      <alignment horizontal="right"/>
    </xf>
    <xf numFmtId="39" fontId="264" fillId="0" borderId="34" xfId="0" applyNumberFormat="1" applyFont="1" applyBorder="1" applyAlignment="1" applyProtection="1">
      <alignment horizontal="center"/>
    </xf>
    <xf numFmtId="0" fontId="266" fillId="0" borderId="0" xfId="0" applyFont="1" applyAlignment="1" applyProtection="1">
      <alignment horizontal="left" vertical="top"/>
    </xf>
    <xf numFmtId="0" fontId="267" fillId="0" borderId="34" xfId="0" applyFont="1" applyBorder="1" applyAlignment="1" applyProtection="1">
      <alignment horizontal="left" wrapText="1"/>
    </xf>
    <xf numFmtId="39" fontId="267" fillId="0" borderId="34" xfId="0" applyNumberFormat="1" applyFont="1" applyBorder="1" applyAlignment="1" applyProtection="1">
      <alignment horizontal="right"/>
    </xf>
    <xf numFmtId="37" fontId="267" fillId="0" borderId="34" xfId="0" applyNumberFormat="1" applyFont="1" applyBorder="1" applyAlignment="1" applyProtection="1">
      <alignment horizontal="right"/>
    </xf>
    <xf numFmtId="49" fontId="267" fillId="0" borderId="34" xfId="0" applyNumberFormat="1" applyFont="1" applyBorder="1" applyAlignment="1" applyProtection="1">
      <alignment horizontal="left" wrapText="1"/>
    </xf>
    <xf numFmtId="0" fontId="264" fillId="0" borderId="34" xfId="3" applyFont="1" applyBorder="1" applyAlignment="1">
      <alignment horizontal="left" wrapText="1"/>
    </xf>
    <xf numFmtId="172" fontId="264" fillId="0" borderId="34" xfId="3" applyNumberFormat="1" applyFont="1" applyBorder="1" applyAlignment="1">
      <alignment horizontal="right"/>
    </xf>
    <xf numFmtId="172" fontId="266" fillId="0" borderId="34" xfId="0" applyNumberFormat="1" applyFont="1" applyBorder="1" applyAlignment="1" applyProtection="1">
      <alignment horizontal="left" vertical="top"/>
    </xf>
    <xf numFmtId="0" fontId="270" fillId="0" borderId="34" xfId="0" applyFont="1" applyBorder="1" applyAlignment="1" applyProtection="1">
      <alignment horizontal="right" vertical="center"/>
    </xf>
    <xf numFmtId="172" fontId="267" fillId="0" borderId="34" xfId="0" applyNumberFormat="1" applyFont="1" applyBorder="1" applyAlignment="1" applyProtection="1">
      <alignment horizontal="right"/>
    </xf>
    <xf numFmtId="0" fontId="270" fillId="0" borderId="0" xfId="25" applyFont="1" applyAlignment="1" applyProtection="1">
      <alignment horizontal="left" vertical="top"/>
    </xf>
    <xf numFmtId="1" fontId="267" fillId="0" borderId="34" xfId="0" applyNumberFormat="1" applyFont="1" applyBorder="1" applyAlignment="1" applyProtection="1">
      <alignment horizontal="right"/>
    </xf>
    <xf numFmtId="4" fontId="267" fillId="0" borderId="34" xfId="0" applyNumberFormat="1" applyFont="1" applyBorder="1" applyAlignment="1" applyProtection="1">
      <alignment horizontal="right"/>
    </xf>
    <xf numFmtId="0" fontId="268" fillId="0" borderId="0" xfId="122" applyFont="1" applyFill="1" applyAlignment="1" applyProtection="1">
      <alignment horizontal="left" vertical="top"/>
    </xf>
    <xf numFmtId="49" fontId="264" fillId="0" borderId="34" xfId="0" applyNumberFormat="1" applyFont="1" applyBorder="1" applyAlignment="1" applyProtection="1">
      <alignment horizontal="right" wrapText="1"/>
    </xf>
    <xf numFmtId="0" fontId="274" fillId="0" borderId="34" xfId="0" applyFont="1" applyBorder="1" applyAlignment="1" applyProtection="1">
      <alignment horizontal="right" vertical="center" wrapText="1"/>
    </xf>
    <xf numFmtId="37" fontId="264" fillId="0" borderId="34" xfId="25" applyNumberFormat="1" applyFont="1" applyBorder="1" applyAlignment="1" applyProtection="1">
      <alignment horizontal="right"/>
    </xf>
    <xf numFmtId="0" fontId="264" fillId="0" borderId="34" xfId="25" applyFont="1" applyBorder="1" applyAlignment="1" applyProtection="1">
      <alignment horizontal="left" wrapText="1"/>
    </xf>
    <xf numFmtId="172" fontId="264" fillId="0" borderId="34" xfId="25" applyNumberFormat="1" applyFont="1" applyBorder="1" applyAlignment="1" applyProtection="1">
      <alignment horizontal="right"/>
    </xf>
    <xf numFmtId="39" fontId="264" fillId="0" borderId="34" xfId="25" applyNumberFormat="1" applyFont="1" applyBorder="1" applyAlignment="1" applyProtection="1">
      <alignment horizontal="right"/>
    </xf>
    <xf numFmtId="0" fontId="270" fillId="5" borderId="0" xfId="25" applyFont="1" applyFill="1" applyAlignment="1" applyProtection="1">
      <alignment horizontal="left" vertical="top"/>
    </xf>
    <xf numFmtId="0" fontId="266" fillId="5" borderId="0" xfId="0" applyFont="1" applyFill="1" applyAlignment="1" applyProtection="1">
      <alignment horizontal="left" vertical="top"/>
    </xf>
    <xf numFmtId="39" fontId="264" fillId="0" borderId="34" xfId="25" applyNumberFormat="1" applyFont="1" applyBorder="1" applyAlignment="1" applyProtection="1">
      <alignment horizontal="center"/>
    </xf>
    <xf numFmtId="173" fontId="268" fillId="0" borderId="0" xfId="122" applyNumberFormat="1" applyFont="1" applyFill="1" applyAlignment="1" applyProtection="1">
      <alignment vertical="center"/>
    </xf>
    <xf numFmtId="173" fontId="268" fillId="0" borderId="0" xfId="122" applyNumberFormat="1" applyFont="1" applyFill="1" applyAlignment="1" applyProtection="1">
      <alignment vertical="top"/>
    </xf>
    <xf numFmtId="173" fontId="265" fillId="0" borderId="0" xfId="122" applyNumberFormat="1" applyFont="1" applyFill="1" applyAlignment="1" applyProtection="1">
      <alignment vertical="center"/>
    </xf>
    <xf numFmtId="183" fontId="276" fillId="0" borderId="34" xfId="0" applyNumberFormat="1" applyFont="1" applyBorder="1" applyAlignment="1" applyProtection="1">
      <alignment horizontal="right" vertical="center"/>
    </xf>
    <xf numFmtId="0" fontId="277" fillId="0" borderId="34" xfId="0" applyFont="1" applyBorder="1" applyAlignment="1" applyProtection="1">
      <alignment horizontal="center" vertical="center"/>
    </xf>
    <xf numFmtId="2" fontId="264" fillId="0" borderId="34" xfId="0" applyNumberFormat="1" applyFont="1" applyBorder="1" applyAlignment="1" applyProtection="1">
      <alignment horizontal="right"/>
    </xf>
    <xf numFmtId="39" fontId="267" fillId="0" borderId="34" xfId="0" applyNumberFormat="1" applyFont="1" applyBorder="1" applyAlignment="1" applyProtection="1">
      <alignment horizontal="center"/>
    </xf>
    <xf numFmtId="183" fontId="276" fillId="0" borderId="34" xfId="0" applyNumberFormat="1" applyFont="1" applyBorder="1" applyAlignment="1" applyProtection="1">
      <alignment horizontal="center"/>
    </xf>
    <xf numFmtId="0" fontId="279" fillId="0" borderId="0" xfId="122" applyFont="1" applyFill="1" applyAlignment="1" applyProtection="1">
      <alignment horizontal="left" vertical="center"/>
    </xf>
    <xf numFmtId="1" fontId="264" fillId="0" borderId="63" xfId="0" applyNumberFormat="1" applyFont="1" applyBorder="1" applyAlignment="1" applyProtection="1">
      <alignment horizontal="right"/>
    </xf>
    <xf numFmtId="0" fontId="264" fillId="0" borderId="63" xfId="0" applyFont="1" applyBorder="1" applyAlignment="1" applyProtection="1">
      <alignment horizontal="left" wrapText="1"/>
    </xf>
    <xf numFmtId="39" fontId="264" fillId="0" borderId="18" xfId="0" applyNumberFormat="1" applyFont="1" applyBorder="1" applyAlignment="1" applyProtection="1">
      <alignment horizontal="center"/>
    </xf>
    <xf numFmtId="37" fontId="264" fillId="0" borderId="18" xfId="25" applyNumberFormat="1" applyFont="1" applyBorder="1" applyAlignment="1" applyProtection="1">
      <alignment horizontal="right"/>
    </xf>
    <xf numFmtId="0" fontId="264" fillId="0" borderId="18" xfId="25" applyFont="1" applyBorder="1" applyAlignment="1" applyProtection="1">
      <alignment horizontal="left" wrapText="1"/>
    </xf>
    <xf numFmtId="0" fontId="264" fillId="0" borderId="18" xfId="0" applyFont="1" applyBorder="1" applyAlignment="1" applyProtection="1">
      <alignment horizontal="left" wrapText="1"/>
    </xf>
    <xf numFmtId="172" fontId="264" fillId="0" borderId="18" xfId="25" applyNumberFormat="1" applyFont="1" applyBorder="1" applyAlignment="1" applyProtection="1">
      <alignment horizontal="right"/>
    </xf>
    <xf numFmtId="39" fontId="264" fillId="0" borderId="18" xfId="25" applyNumberFormat="1" applyFont="1" applyBorder="1" applyAlignment="1" applyProtection="1">
      <alignment horizontal="right"/>
    </xf>
    <xf numFmtId="37" fontId="267" fillId="0" borderId="18" xfId="0" applyNumberFormat="1" applyFont="1" applyBorder="1" applyAlignment="1" applyProtection="1">
      <alignment horizontal="right"/>
    </xf>
    <xf numFmtId="49" fontId="267" fillId="0" borderId="18" xfId="0" applyNumberFormat="1" applyFont="1" applyBorder="1" applyAlignment="1" applyProtection="1">
      <alignment horizontal="left" wrapText="1"/>
    </xf>
    <xf numFmtId="0" fontId="267" fillId="0" borderId="18" xfId="0" applyFont="1" applyBorder="1" applyAlignment="1" applyProtection="1">
      <alignment horizontal="left" wrapText="1"/>
    </xf>
    <xf numFmtId="172" fontId="267" fillId="0" borderId="18" xfId="0" applyNumberFormat="1" applyFont="1" applyBorder="1" applyAlignment="1" applyProtection="1">
      <alignment horizontal="right"/>
    </xf>
    <xf numFmtId="39" fontId="267" fillId="0" borderId="18" xfId="0" applyNumberFormat="1" applyFont="1" applyBorder="1" applyAlignment="1" applyProtection="1">
      <alignment horizontal="right"/>
    </xf>
    <xf numFmtId="0" fontId="280" fillId="0" borderId="18" xfId="0" applyFont="1" applyBorder="1" applyAlignment="1" applyProtection="1">
      <alignment horizontal="right" vertical="center"/>
    </xf>
    <xf numFmtId="1" fontId="264" fillId="0" borderId="18" xfId="0" applyNumberFormat="1" applyFont="1" applyBorder="1" applyAlignment="1" applyProtection="1">
      <alignment horizontal="right"/>
    </xf>
    <xf numFmtId="37" fontId="12" fillId="0" borderId="60" xfId="0" applyNumberFormat="1" applyFont="1" applyBorder="1" applyAlignment="1" applyProtection="1">
      <alignment horizontal="right"/>
    </xf>
    <xf numFmtId="0" fontId="12" fillId="0" borderId="60" xfId="0" applyFont="1" applyBorder="1" applyAlignment="1" applyProtection="1">
      <alignment horizontal="left" wrapText="1"/>
    </xf>
    <xf numFmtId="0" fontId="57" fillId="0" borderId="60" xfId="13" applyFont="1" applyBorder="1" applyAlignment="1" applyProtection="1">
      <alignment horizontal="left" wrapText="1"/>
    </xf>
    <xf numFmtId="172"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center"/>
    </xf>
    <xf numFmtId="37" fontId="156" fillId="0" borderId="0" xfId="0" applyNumberFormat="1" applyFont="1" applyAlignment="1" applyProtection="1">
      <alignment horizontal="right"/>
    </xf>
    <xf numFmtId="0" fontId="156" fillId="0" borderId="0" xfId="0" applyFont="1" applyAlignment="1" applyProtection="1">
      <alignment horizontal="left" wrapText="1"/>
    </xf>
    <xf numFmtId="2" fontId="156" fillId="0" borderId="0" xfId="0" applyNumberFormat="1" applyFont="1" applyAlignment="1" applyProtection="1">
      <alignment horizontal="right"/>
    </xf>
    <xf numFmtId="39" fontId="156" fillId="0" borderId="0" xfId="0" applyNumberFormat="1" applyFont="1" applyAlignment="1" applyProtection="1">
      <alignment horizontal="right"/>
    </xf>
    <xf numFmtId="49" fontId="12" fillId="0" borderId="0" xfId="0" applyNumberFormat="1" applyFont="1" applyAlignment="1" applyProtection="1">
      <alignment horizontal="left" wrapText="1"/>
    </xf>
    <xf numFmtId="2" fontId="83" fillId="0" borderId="0" xfId="0" applyNumberFormat="1" applyFont="1" applyAlignment="1" applyProtection="1">
      <alignment horizontal="right"/>
    </xf>
    <xf numFmtId="2" fontId="83" fillId="0" borderId="40" xfId="0" applyNumberFormat="1" applyFont="1" applyBorder="1" applyAlignment="1" applyProtection="1">
      <alignment horizontal="right"/>
    </xf>
    <xf numFmtId="39" fontId="83" fillId="0" borderId="40" xfId="0" applyNumberFormat="1" applyFont="1" applyBorder="1" applyAlignment="1" applyProtection="1">
      <alignment horizontal="right"/>
    </xf>
    <xf numFmtId="39" fontId="64" fillId="0" borderId="39" xfId="0" applyNumberFormat="1" applyFont="1" applyBorder="1" applyAlignment="1" applyProtection="1">
      <alignment horizontal="right"/>
    </xf>
    <xf numFmtId="37" fontId="83" fillId="0" borderId="0" xfId="0" applyNumberFormat="1" applyFont="1" applyAlignment="1" applyProtection="1">
      <alignment horizontal="right"/>
    </xf>
    <xf numFmtId="49" fontId="83" fillId="0" borderId="0" xfId="0" applyNumberFormat="1" applyFont="1" applyAlignment="1" applyProtection="1">
      <alignment horizontal="left" wrapText="1"/>
    </xf>
    <xf numFmtId="0" fontId="83" fillId="0" borderId="0" xfId="0" applyFont="1" applyAlignment="1" applyProtection="1">
      <alignment horizontal="center" wrapText="1"/>
    </xf>
    <xf numFmtId="176" fontId="83" fillId="0" borderId="0" xfId="0" applyNumberFormat="1" applyFont="1" applyAlignment="1" applyProtection="1">
      <alignment horizontal="right"/>
    </xf>
    <xf numFmtId="39" fontId="83" fillId="0" borderId="0" xfId="0" applyNumberFormat="1" applyFont="1" applyAlignment="1" applyProtection="1">
      <alignment horizontal="right"/>
    </xf>
    <xf numFmtId="1" fontId="12" fillId="0" borderId="18" xfId="44" applyNumberFormat="1" applyFont="1" applyBorder="1" applyAlignment="1" applyProtection="1">
      <alignment horizontal="right"/>
    </xf>
    <xf numFmtId="0" fontId="12" fillId="0" borderId="18" xfId="44" applyFont="1" applyBorder="1" applyAlignment="1" applyProtection="1">
      <alignment horizontal="left" wrapText="1"/>
    </xf>
    <xf numFmtId="4" fontId="12" fillId="0" borderId="34" xfId="130" applyNumberFormat="1" applyFont="1" applyBorder="1" applyAlignment="1" applyProtection="1">
      <alignment horizontal="right"/>
    </xf>
    <xf numFmtId="0" fontId="57" fillId="0" borderId="18" xfId="44" applyFont="1" applyBorder="1" applyAlignment="1" applyProtection="1">
      <alignment horizontal="left" wrapText="1"/>
    </xf>
    <xf numFmtId="172" fontId="57" fillId="0" borderId="18" xfId="44" applyNumberFormat="1" applyFont="1" applyBorder="1" applyAlignment="1" applyProtection="1">
      <alignment horizontal="right"/>
    </xf>
    <xf numFmtId="4" fontId="12" fillId="0" borderId="18" xfId="44" applyNumberFormat="1" applyFont="1" applyBorder="1" applyAlignment="1" applyProtection="1">
      <alignment horizontal="right"/>
    </xf>
    <xf numFmtId="39" fontId="12" fillId="0" borderId="18" xfId="44" applyNumberFormat="1" applyFont="1" applyBorder="1" applyAlignment="1" applyProtection="1">
      <alignment horizontal="right" vertical="center"/>
    </xf>
    <xf numFmtId="1" fontId="64" fillId="0" borderId="18" xfId="44" applyNumberFormat="1" applyFont="1" applyBorder="1" applyAlignment="1" applyProtection="1">
      <alignment horizontal="right"/>
    </xf>
    <xf numFmtId="49" fontId="64" fillId="0" borderId="18" xfId="44" applyNumberFormat="1" applyFont="1" applyBorder="1" applyAlignment="1" applyProtection="1">
      <alignment horizontal="left" wrapText="1"/>
    </xf>
    <xf numFmtId="0" fontId="64" fillId="0" borderId="18" xfId="44" applyFont="1" applyBorder="1" applyAlignment="1" applyProtection="1">
      <alignment horizontal="left" wrapText="1"/>
    </xf>
    <xf numFmtId="172" fontId="32" fillId="0" borderId="0" xfId="44" applyNumberFormat="1" applyAlignment="1" applyProtection="1">
      <alignment horizontal="left" vertical="top"/>
    </xf>
    <xf numFmtId="4" fontId="140" fillId="0" borderId="18" xfId="44" applyNumberFormat="1" applyFont="1" applyBorder="1" applyAlignment="1" applyProtection="1">
      <alignment horizontal="right"/>
    </xf>
    <xf numFmtId="4" fontId="64" fillId="0" borderId="18" xfId="44" applyNumberFormat="1" applyFont="1" applyBorder="1" applyAlignment="1" applyProtection="1">
      <alignment horizontal="right"/>
    </xf>
    <xf numFmtId="37" fontId="71" fillId="0" borderId="34" xfId="0" applyNumberFormat="1" applyFont="1" applyBorder="1" applyAlignment="1" applyProtection="1">
      <alignment horizontal="right"/>
    </xf>
    <xf numFmtId="9" fontId="83" fillId="0" borderId="34" xfId="0" applyNumberFormat="1" applyFont="1" applyBorder="1" applyAlignment="1" applyProtection="1">
      <alignment horizontal="left" wrapText="1"/>
    </xf>
    <xf numFmtId="0" fontId="71" fillId="0" borderId="34" xfId="0" applyFont="1" applyBorder="1" applyAlignment="1" applyProtection="1">
      <alignment horizontal="left" wrapText="1"/>
    </xf>
    <xf numFmtId="4" fontId="71" fillId="0" borderId="34" xfId="0" applyNumberFormat="1" applyFont="1" applyBorder="1" applyAlignment="1" applyProtection="1">
      <alignment horizontal="right"/>
    </xf>
    <xf numFmtId="4" fontId="71" fillId="0" borderId="34" xfId="130" applyNumberFormat="1" applyFont="1" applyBorder="1" applyAlignment="1" applyProtection="1">
      <alignment horizontal="right"/>
    </xf>
    <xf numFmtId="39" fontId="71" fillId="0" borderId="34" xfId="12" applyNumberFormat="1" applyFont="1" applyBorder="1" applyAlignment="1" applyProtection="1">
      <alignment horizontal="center"/>
    </xf>
    <xf numFmtId="0" fontId="77" fillId="0" borderId="34" xfId="0" applyFont="1" applyBorder="1" applyAlignment="1" applyProtection="1">
      <alignment horizontal="left" wrapText="1"/>
    </xf>
    <xf numFmtId="0" fontId="78" fillId="0" borderId="34" xfId="0" applyFont="1" applyBorder="1" applyAlignment="1" applyProtection="1">
      <alignment horizontal="left" wrapText="1"/>
    </xf>
    <xf numFmtId="172" fontId="78" fillId="0" borderId="34" xfId="0" applyNumberFormat="1" applyFont="1" applyBorder="1" applyAlignment="1" applyProtection="1">
      <alignment horizontal="right"/>
    </xf>
    <xf numFmtId="4" fontId="77" fillId="0" borderId="34" xfId="0" applyNumberFormat="1" applyFont="1" applyBorder="1" applyAlignment="1" applyProtection="1">
      <alignment horizontal="right"/>
    </xf>
    <xf numFmtId="4" fontId="77" fillId="0" borderId="34" xfId="130" applyNumberFormat="1" applyFont="1" applyBorder="1" applyAlignment="1" applyProtection="1">
      <alignment horizontal="right"/>
    </xf>
    <xf numFmtId="39" fontId="77" fillId="0" borderId="34" xfId="12" applyNumberFormat="1" applyFont="1" applyBorder="1" applyAlignment="1" applyProtection="1">
      <alignment horizontal="center"/>
    </xf>
    <xf numFmtId="37" fontId="77" fillId="0" borderId="34" xfId="0" applyNumberFormat="1" applyFont="1" applyBorder="1" applyAlignment="1" applyProtection="1">
      <alignment horizontal="right"/>
    </xf>
    <xf numFmtId="0" fontId="228" fillId="0" borderId="34" xfId="0" applyFont="1" applyBorder="1" applyAlignment="1" applyProtection="1">
      <alignment horizontal="left" wrapText="1"/>
    </xf>
    <xf numFmtId="4" fontId="78" fillId="0" borderId="34" xfId="0" applyNumberFormat="1" applyFont="1" applyBorder="1" applyAlignment="1" applyProtection="1">
      <alignment horizontal="right"/>
    </xf>
    <xf numFmtId="180" fontId="229" fillId="0" borderId="34" xfId="12" applyNumberFormat="1" applyFont="1" applyBorder="1" applyAlignment="1" applyProtection="1">
      <alignment vertical="center"/>
    </xf>
    <xf numFmtId="0" fontId="86" fillId="0" borderId="0" xfId="0" applyFont="1" applyAlignment="1" applyProtection="1">
      <alignment horizontal="left" vertical="center"/>
    </xf>
    <xf numFmtId="180" fontId="229" fillId="0" borderId="34" xfId="12" applyNumberFormat="1" applyFont="1" applyBorder="1" applyAlignment="1" applyProtection="1">
      <alignment horizontal="right" vertical="center"/>
    </xf>
    <xf numFmtId="39" fontId="12" fillId="0" borderId="18" xfId="44" applyNumberFormat="1" applyFont="1" applyBorder="1" applyAlignment="1" applyProtection="1">
      <alignment horizontal="center"/>
    </xf>
    <xf numFmtId="172" fontId="12" fillId="0" borderId="18" xfId="44" applyNumberFormat="1" applyFont="1" applyBorder="1" applyAlignment="1" applyProtection="1">
      <alignment horizontal="right"/>
    </xf>
    <xf numFmtId="39" fontId="79" fillId="0" borderId="18" xfId="44" applyNumberFormat="1" applyFont="1" applyBorder="1" applyAlignment="1" applyProtection="1">
      <alignment horizontal="right" vertical="center"/>
    </xf>
    <xf numFmtId="39" fontId="64" fillId="0" borderId="18" xfId="44" applyNumberFormat="1" applyFont="1" applyBorder="1" applyAlignment="1" applyProtection="1">
      <alignment horizontal="right" vertical="center"/>
    </xf>
    <xf numFmtId="39" fontId="64" fillId="0" borderId="18" xfId="0" applyNumberFormat="1" applyFont="1" applyBorder="1" applyAlignment="1" applyProtection="1">
      <alignment horizontal="right"/>
    </xf>
    <xf numFmtId="49" fontId="64" fillId="0" borderId="18" xfId="0" applyNumberFormat="1" applyFont="1" applyBorder="1" applyAlignment="1" applyProtection="1">
      <alignment horizontal="left" wrapText="1"/>
    </xf>
    <xf numFmtId="39" fontId="231" fillId="0" borderId="18" xfId="0" applyNumberFormat="1" applyFont="1" applyBorder="1" applyAlignment="1" applyProtection="1">
      <alignment horizontal="right"/>
    </xf>
    <xf numFmtId="0" fontId="86" fillId="0" borderId="18" xfId="0" applyFont="1" applyBorder="1" applyAlignment="1" applyProtection="1">
      <alignment horizontal="right" vertical="center"/>
    </xf>
    <xf numFmtId="0" fontId="172" fillId="0" borderId="0" xfId="0" applyFont="1" applyAlignment="1" applyProtection="1">
      <alignment vertical="top"/>
    </xf>
    <xf numFmtId="2" fontId="172" fillId="0" borderId="0" xfId="0" applyNumberFormat="1" applyFont="1" applyAlignment="1" applyProtection="1">
      <alignment vertical="top"/>
    </xf>
    <xf numFmtId="2" fontId="202" fillId="0" borderId="0" xfId="0" applyNumberFormat="1" applyFont="1" applyAlignment="1" applyProtection="1">
      <alignment horizontal="center"/>
    </xf>
    <xf numFmtId="0" fontId="201" fillId="0" borderId="0" xfId="0" applyFont="1" applyAlignment="1" applyProtection="1">
      <alignment horizontal="right" vertical="top"/>
    </xf>
    <xf numFmtId="0" fontId="13" fillId="0" borderId="0" xfId="193" applyFont="1" applyAlignment="1">
      <alignment vertical="center"/>
    </xf>
    <xf numFmtId="4" fontId="12" fillId="0" borderId="34" xfId="0" applyNumberFormat="1" applyFont="1" applyBorder="1" applyAlignment="1">
      <alignment horizontal="right"/>
      <protection locked="0"/>
    </xf>
    <xf numFmtId="39" fontId="12" fillId="0" borderId="34" xfId="0" applyNumberFormat="1" applyFont="1" applyBorder="1" applyAlignment="1">
      <alignment horizontal="right"/>
      <protection locked="0"/>
    </xf>
    <xf numFmtId="39" fontId="64" fillId="0" borderId="34" xfId="0" applyNumberFormat="1" applyFont="1" applyBorder="1" applyAlignment="1">
      <alignment horizontal="right"/>
      <protection locked="0"/>
    </xf>
    <xf numFmtId="39" fontId="264" fillId="0" borderId="34" xfId="0" applyNumberFormat="1" applyFont="1" applyBorder="1" applyAlignment="1">
      <alignment horizontal="right"/>
      <protection locked="0"/>
    </xf>
    <xf numFmtId="39" fontId="267" fillId="0" borderId="34" xfId="0" applyNumberFormat="1" applyFont="1" applyBorder="1" applyAlignment="1">
      <alignment horizontal="right"/>
      <protection locked="0"/>
    </xf>
    <xf numFmtId="4" fontId="264" fillId="0" borderId="34" xfId="0" applyNumberFormat="1" applyFont="1" applyBorder="1" applyAlignment="1">
      <alignment horizontal="right"/>
      <protection locked="0"/>
    </xf>
    <xf numFmtId="4" fontId="267" fillId="0" borderId="34" xfId="0" applyNumberFormat="1" applyFont="1" applyBorder="1" applyAlignment="1">
      <alignment horizontal="right"/>
      <protection locked="0"/>
    </xf>
    <xf numFmtId="4" fontId="264" fillId="0" borderId="18" xfId="0" applyNumberFormat="1" applyFont="1" applyBorder="1" applyAlignment="1">
      <alignment horizontal="right"/>
      <protection locked="0"/>
    </xf>
    <xf numFmtId="39" fontId="267" fillId="0" borderId="18" xfId="0" applyNumberFormat="1" applyFont="1" applyBorder="1" applyAlignment="1">
      <alignment horizontal="right"/>
      <protection locked="0"/>
    </xf>
    <xf numFmtId="39" fontId="12" fillId="0" borderId="60" xfId="0" applyNumberFormat="1" applyFont="1" applyBorder="1" applyAlignment="1">
      <alignment horizontal="right"/>
      <protection locked="0"/>
    </xf>
    <xf numFmtId="176" fontId="64" fillId="0" borderId="34" xfId="184" applyNumberFormat="1" applyFont="1" applyBorder="1" applyAlignment="1">
      <alignment horizontal="right"/>
    </xf>
    <xf numFmtId="37" fontId="64" fillId="0" borderId="34" xfId="89" applyNumberFormat="1" applyFont="1" applyBorder="1" applyAlignment="1">
      <alignment horizontal="right"/>
    </xf>
    <xf numFmtId="49" fontId="64" fillId="0" borderId="34" xfId="89" applyNumberFormat="1" applyFont="1" applyBorder="1" applyAlignment="1">
      <alignment horizontal="left" wrapText="1"/>
    </xf>
    <xf numFmtId="0" fontId="64" fillId="0" borderId="34" xfId="89" applyFont="1" applyBorder="1" applyAlignment="1">
      <alignment horizontal="left" wrapText="1"/>
    </xf>
    <xf numFmtId="2" fontId="64" fillId="0" borderId="34" xfId="89" applyNumberFormat="1" applyFont="1" applyBorder="1" applyAlignment="1">
      <alignment horizontal="right"/>
    </xf>
    <xf numFmtId="39" fontId="64" fillId="0" borderId="34" xfId="89" applyNumberFormat="1" applyFont="1" applyBorder="1" applyAlignment="1">
      <alignment horizontal="right"/>
    </xf>
    <xf numFmtId="0" fontId="86" fillId="0" borderId="34" xfId="89" applyFont="1" applyBorder="1" applyAlignment="1">
      <alignment horizontal="right" vertical="center"/>
    </xf>
    <xf numFmtId="173" fontId="93" fillId="0" borderId="0" xfId="89" applyNumberFormat="1" applyFont="1" applyAlignment="1">
      <alignment horizontal="left" vertical="center"/>
    </xf>
    <xf numFmtId="1" fontId="12" fillId="0" borderId="34" xfId="33" applyNumberFormat="1" applyFont="1" applyBorder="1" applyAlignment="1">
      <alignment horizontal="right" wrapText="1"/>
    </xf>
    <xf numFmtId="49" fontId="12" fillId="0" borderId="34" xfId="33" applyNumberFormat="1" applyFont="1" applyBorder="1" applyAlignment="1">
      <alignment horizontal="left" wrapText="1"/>
    </xf>
    <xf numFmtId="0" fontId="137" fillId="0" borderId="34" xfId="33" applyFont="1" applyBorder="1" applyAlignment="1">
      <alignment horizontal="left" wrapText="1"/>
    </xf>
    <xf numFmtId="4" fontId="57" fillId="0" borderId="34" xfId="33" applyNumberFormat="1" applyFont="1" applyBorder="1" applyAlignment="1">
      <alignment horizontal="right"/>
    </xf>
    <xf numFmtId="4" fontId="12" fillId="0" borderId="34" xfId="33" applyNumberFormat="1" applyFont="1" applyBorder="1" applyAlignment="1">
      <alignment horizontal="right"/>
    </xf>
    <xf numFmtId="39" fontId="12" fillId="0" borderId="34" xfId="33" applyNumberFormat="1" applyFont="1" applyBorder="1" applyAlignment="1">
      <alignment horizontal="center"/>
    </xf>
    <xf numFmtId="0" fontId="57" fillId="0" borderId="34" xfId="33" applyFont="1" applyBorder="1" applyAlignment="1">
      <alignment horizontal="left" wrapText="1"/>
    </xf>
    <xf numFmtId="4" fontId="203" fillId="0" borderId="34" xfId="33" applyNumberFormat="1" applyFont="1" applyBorder="1" applyAlignment="1">
      <alignment horizontal="right" vertical="center"/>
    </xf>
    <xf numFmtId="0" fontId="70" fillId="0" borderId="0" xfId="33" applyFont="1" applyAlignment="1">
      <alignment horizontal="center" vertical="center"/>
    </xf>
    <xf numFmtId="0" fontId="37" fillId="0" borderId="0" xfId="33" applyAlignment="1">
      <alignment horizontal="right" vertical="top"/>
    </xf>
    <xf numFmtId="0" fontId="70" fillId="0" borderId="0" xfId="33" applyFont="1" applyAlignment="1">
      <alignment horizontal="left" vertical="center"/>
    </xf>
    <xf numFmtId="0" fontId="220" fillId="0" borderId="0" xfId="33" applyFont="1" applyAlignment="1">
      <alignment horizontal="left" vertical="center"/>
    </xf>
    <xf numFmtId="37" fontId="12" fillId="0" borderId="34" xfId="89" applyNumberFormat="1" applyFont="1" applyBorder="1" applyAlignment="1">
      <alignment horizontal="right"/>
    </xf>
    <xf numFmtId="37" fontId="12" fillId="0" borderId="34" xfId="89" applyNumberFormat="1" applyFont="1" applyBorder="1" applyAlignment="1">
      <alignment horizontal="left"/>
    </xf>
    <xf numFmtId="49" fontId="13" fillId="0" borderId="34" xfId="176" applyNumberFormat="1" applyFont="1" applyBorder="1" applyAlignment="1">
      <alignment horizontal="left"/>
    </xf>
    <xf numFmtId="0" fontId="13" fillId="0" borderId="34" xfId="176" applyFont="1" applyBorder="1" applyAlignment="1">
      <alignment wrapText="1"/>
    </xf>
    <xf numFmtId="0" fontId="12" fillId="0" borderId="34" xfId="89" applyFont="1" applyBorder="1" applyAlignment="1">
      <alignment horizontal="left" wrapText="1"/>
    </xf>
    <xf numFmtId="4" fontId="13" fillId="0" borderId="34" xfId="176" applyNumberFormat="1" applyFont="1" applyBorder="1" applyAlignment="1">
      <alignment horizontal="right"/>
    </xf>
    <xf numFmtId="39" fontId="12" fillId="0" borderId="34" xfId="89" applyNumberFormat="1" applyFont="1" applyBorder="1" applyAlignment="1">
      <alignment horizontal="right"/>
    </xf>
    <xf numFmtId="0" fontId="31" fillId="0" borderId="0" xfId="89" applyAlignment="1">
      <alignment vertical="top"/>
    </xf>
    <xf numFmtId="0" fontId="31" fillId="0" borderId="0" xfId="89" applyAlignment="1">
      <alignment horizontal="left" vertical="center"/>
    </xf>
    <xf numFmtId="0" fontId="15" fillId="0" borderId="0" xfId="89" applyFont="1" applyAlignment="1">
      <alignment horizontal="left"/>
    </xf>
    <xf numFmtId="0" fontId="86" fillId="0" borderId="0" xfId="89" applyFont="1" applyAlignment="1">
      <alignment horizontal="left" vertical="top"/>
    </xf>
    <xf numFmtId="0" fontId="57" fillId="0" borderId="34" xfId="89" applyFont="1" applyBorder="1" applyAlignment="1">
      <alignment horizontal="left" wrapText="1"/>
    </xf>
    <xf numFmtId="2" fontId="57" fillId="0" borderId="34" xfId="89" applyNumberFormat="1" applyFont="1" applyBorder="1" applyAlignment="1">
      <alignment horizontal="right"/>
    </xf>
    <xf numFmtId="0" fontId="220" fillId="0" borderId="0" xfId="33" applyFont="1" applyAlignment="1">
      <alignment horizontal="right" vertical="center"/>
    </xf>
    <xf numFmtId="0" fontId="84" fillId="0" borderId="0" xfId="3" applyFont="1" applyAlignment="1">
      <alignment horizontal="right"/>
    </xf>
    <xf numFmtId="0" fontId="12" fillId="0" borderId="34" xfId="33" applyFont="1" applyBorder="1" applyAlignment="1">
      <alignment horizontal="left" wrapText="1"/>
    </xf>
    <xf numFmtId="0" fontId="221" fillId="0" borderId="0" xfId="146" applyFont="1" applyFill="1" applyAlignment="1" applyProtection="1">
      <alignment horizontal="left" vertical="center"/>
    </xf>
    <xf numFmtId="172" fontId="13" fillId="0" borderId="34" xfId="176" applyNumberFormat="1" applyFont="1" applyBorder="1" applyAlignment="1">
      <alignment horizontal="right"/>
    </xf>
    <xf numFmtId="0" fontId="86" fillId="5" borderId="0" xfId="184" applyFont="1" applyFill="1" applyAlignment="1">
      <alignment horizontal="left"/>
    </xf>
    <xf numFmtId="0" fontId="36" fillId="0" borderId="0" xfId="48" applyFill="1" applyAlignment="1" applyProtection="1">
      <alignment horizontal="left" vertical="top"/>
    </xf>
    <xf numFmtId="49" fontId="12" fillId="0" borderId="34" xfId="3" applyNumberFormat="1" applyFont="1" applyBorder="1" applyAlignment="1">
      <alignment horizontal="left" wrapText="1"/>
    </xf>
    <xf numFmtId="39" fontId="14" fillId="0" borderId="0" xfId="3" applyNumberFormat="1"/>
    <xf numFmtId="4" fontId="64" fillId="0" borderId="34" xfId="184" applyNumberFormat="1" applyFont="1" applyBorder="1" applyAlignment="1">
      <alignment horizontal="right"/>
    </xf>
    <xf numFmtId="37" fontId="12" fillId="0" borderId="34" xfId="32" applyNumberFormat="1" applyFont="1" applyBorder="1" applyAlignment="1">
      <alignment horizontal="right"/>
    </xf>
    <xf numFmtId="0" fontId="12" fillId="0" borderId="34" xfId="32" applyFont="1" applyBorder="1" applyAlignment="1">
      <alignment horizontal="left" wrapText="1"/>
    </xf>
    <xf numFmtId="172" fontId="12" fillId="0" borderId="34" xfId="32" applyNumberFormat="1" applyFont="1" applyBorder="1" applyAlignment="1">
      <alignment horizontal="right"/>
    </xf>
    <xf numFmtId="39" fontId="12" fillId="0" borderId="34" xfId="32" applyNumberFormat="1" applyFont="1" applyBorder="1" applyAlignment="1">
      <alignment horizontal="right"/>
    </xf>
    <xf numFmtId="2" fontId="15" fillId="0" borderId="0" xfId="32" applyNumberFormat="1" applyFont="1" applyAlignment="1">
      <alignment horizontal="left" vertical="top"/>
    </xf>
    <xf numFmtId="0" fontId="15" fillId="0" borderId="0" xfId="32" applyFont="1" applyAlignment="1">
      <alignment horizontal="left" vertical="top"/>
    </xf>
    <xf numFmtId="0" fontId="57" fillId="0" borderId="34" xfId="32" applyFont="1" applyBorder="1" applyAlignment="1">
      <alignment horizontal="left" wrapText="1"/>
    </xf>
    <xf numFmtId="172" fontId="57" fillId="0" borderId="34" xfId="32" applyNumberFormat="1" applyFont="1" applyBorder="1" applyAlignment="1">
      <alignment horizontal="right"/>
    </xf>
    <xf numFmtId="39" fontId="12" fillId="0" borderId="34" xfId="32" applyNumberFormat="1" applyFont="1" applyBorder="1" applyAlignment="1">
      <alignment horizontal="center"/>
    </xf>
    <xf numFmtId="0" fontId="104" fillId="0" borderId="0" xfId="32" applyFont="1" applyAlignment="1">
      <alignment horizontal="left" vertical="center"/>
    </xf>
    <xf numFmtId="0" fontId="70" fillId="0" borderId="0" xfId="32" applyFont="1" applyAlignment="1">
      <alignment horizontal="left" vertical="top"/>
    </xf>
    <xf numFmtId="39" fontId="202" fillId="0" borderId="34" xfId="184" applyNumberFormat="1" applyFont="1" applyBorder="1" applyAlignment="1">
      <alignment horizontal="center"/>
    </xf>
    <xf numFmtId="172" fontId="12" fillId="0" borderId="34" xfId="184" applyNumberFormat="1" applyFont="1" applyBorder="1"/>
    <xf numFmtId="4" fontId="57" fillId="0" borderId="34" xfId="184" applyNumberFormat="1" applyFont="1" applyBorder="1" applyAlignment="1">
      <alignment horizontal="right"/>
    </xf>
    <xf numFmtId="0" fontId="92" fillId="0" borderId="34" xfId="184" applyFont="1" applyBorder="1" applyAlignment="1">
      <alignment horizontal="left" vertical="top"/>
    </xf>
    <xf numFmtId="0" fontId="92" fillId="0" borderId="0" xfId="184" applyFont="1" applyAlignment="1">
      <alignment horizontal="left" vertical="top"/>
    </xf>
    <xf numFmtId="0" fontId="80" fillId="0" borderId="0" xfId="184" applyFont="1" applyAlignment="1">
      <alignment horizontal="left" vertical="center"/>
    </xf>
    <xf numFmtId="172" fontId="57" fillId="0" borderId="34" xfId="184" applyNumberFormat="1" applyFont="1" applyBorder="1"/>
    <xf numFmtId="2" fontId="12" fillId="0" borderId="18" xfId="184" applyNumberFormat="1" applyFont="1" applyBorder="1" applyAlignment="1">
      <alignment horizontal="right"/>
    </xf>
    <xf numFmtId="39" fontId="12" fillId="0" borderId="18" xfId="184" applyNumberFormat="1" applyFont="1" applyBorder="1" applyAlignment="1">
      <alignment horizontal="center"/>
    </xf>
    <xf numFmtId="176" fontId="156" fillId="0" borderId="0" xfId="184" applyNumberFormat="1" applyFont="1" applyAlignment="1">
      <alignment horizontal="right"/>
    </xf>
    <xf numFmtId="176" fontId="12" fillId="0" borderId="51" xfId="184" applyNumberFormat="1" applyFont="1" applyBorder="1" applyAlignment="1">
      <alignment horizontal="right"/>
    </xf>
    <xf numFmtId="176" fontId="83" fillId="0" borderId="40" xfId="184" applyNumberFormat="1" applyFont="1" applyBorder="1" applyAlignment="1">
      <alignment horizontal="right"/>
    </xf>
    <xf numFmtId="176" fontId="83" fillId="0" borderId="0" xfId="184" applyNumberFormat="1" applyFont="1" applyAlignment="1">
      <alignment horizontal="right"/>
    </xf>
    <xf numFmtId="0" fontId="15" fillId="0" borderId="0" xfId="154" applyFont="1" applyAlignment="1">
      <alignment horizontal="left" vertical="top"/>
    </xf>
    <xf numFmtId="0" fontId="145" fillId="0" borderId="0" xfId="154" applyFont="1" applyAlignment="1">
      <alignment horizontal="left" vertical="center"/>
    </xf>
    <xf numFmtId="0" fontId="88" fillId="0" borderId="0" xfId="154" applyFont="1" applyAlignment="1">
      <alignment horizontal="left" vertical="top"/>
    </xf>
    <xf numFmtId="0" fontId="62" fillId="0" borderId="0" xfId="3" applyFont="1" applyAlignment="1">
      <alignment horizontal="left"/>
    </xf>
    <xf numFmtId="0" fontId="79" fillId="0" borderId="0" xfId="3" applyFont="1" applyAlignment="1">
      <alignment horizontal="left" vertical="center"/>
    </xf>
    <xf numFmtId="0" fontId="62" fillId="0" borderId="0" xfId="3" applyFont="1" applyAlignment="1">
      <alignment horizontal="center"/>
    </xf>
    <xf numFmtId="0" fontId="201" fillId="0" borderId="0" xfId="3" applyFont="1" applyAlignment="1">
      <alignment horizontal="right" vertical="top"/>
    </xf>
    <xf numFmtId="0" fontId="66" fillId="0" borderId="33" xfId="3" applyFont="1" applyBorder="1" applyAlignment="1">
      <alignment horizontal="center" vertical="center" wrapText="1"/>
    </xf>
    <xf numFmtId="0" fontId="66" fillId="0" borderId="39" xfId="3" applyFont="1" applyBorder="1" applyAlignment="1">
      <alignment horizontal="center" vertical="center" wrapText="1"/>
    </xf>
    <xf numFmtId="0" fontId="66" fillId="0" borderId="15" xfId="3" applyFont="1" applyBorder="1" applyAlignment="1">
      <alignment horizontal="center" vertical="center" wrapText="1"/>
    </xf>
    <xf numFmtId="0" fontId="84" fillId="0" borderId="0" xfId="3" applyFont="1" applyAlignment="1">
      <alignment horizontal="left" vertical="center"/>
    </xf>
    <xf numFmtId="37" fontId="64" fillId="0" borderId="0" xfId="3" applyNumberFormat="1" applyFont="1" applyAlignment="1">
      <alignment horizontal="right"/>
    </xf>
    <xf numFmtId="176" fontId="64" fillId="0" borderId="0" xfId="3" applyNumberFormat="1" applyFont="1" applyAlignment="1">
      <alignment horizontal="right"/>
    </xf>
    <xf numFmtId="39" fontId="64" fillId="0" borderId="0" xfId="3" applyNumberFormat="1" applyFont="1" applyAlignment="1">
      <alignment horizontal="right"/>
    </xf>
    <xf numFmtId="39" fontId="64" fillId="5" borderId="0" xfId="26" applyNumberFormat="1" applyFont="1" applyFill="1" applyAlignment="1" applyProtection="1">
      <alignment horizontal="right"/>
    </xf>
    <xf numFmtId="37" fontId="64" fillId="0" borderId="70" xfId="3" applyNumberFormat="1" applyFont="1" applyBorder="1" applyAlignment="1">
      <alignment horizontal="right"/>
    </xf>
    <xf numFmtId="0" fontId="64" fillId="0" borderId="70" xfId="3" applyFont="1" applyBorder="1" applyAlignment="1">
      <alignment horizontal="center" wrapText="1"/>
    </xf>
    <xf numFmtId="176" fontId="64" fillId="0" borderId="70" xfId="3" applyNumberFormat="1" applyFont="1" applyBorder="1" applyAlignment="1">
      <alignment horizontal="right"/>
    </xf>
    <xf numFmtId="39" fontId="64" fillId="5" borderId="70" xfId="3" applyNumberFormat="1" applyFont="1" applyFill="1" applyBorder="1" applyAlignment="1">
      <alignment horizontal="right"/>
    </xf>
    <xf numFmtId="0" fontId="15" fillId="5" borderId="70" xfId="3" applyFont="1" applyFill="1" applyBorder="1" applyAlignment="1">
      <alignment horizontal="left" vertical="top"/>
    </xf>
    <xf numFmtId="49" fontId="12" fillId="0" borderId="70" xfId="79" applyNumberFormat="1" applyFont="1" applyBorder="1" applyAlignment="1" applyProtection="1">
      <alignment horizontal="right"/>
    </xf>
    <xf numFmtId="0" fontId="69" fillId="0" borderId="0" xfId="154" applyFont="1" applyAlignment="1">
      <alignment horizontal="right" vertical="top"/>
    </xf>
    <xf numFmtId="0" fontId="31" fillId="5" borderId="0" xfId="154" applyFill="1" applyAlignment="1">
      <alignment horizontal="left" vertical="top"/>
    </xf>
    <xf numFmtId="49" fontId="12" fillId="0" borderId="70" xfId="142" applyNumberFormat="1" applyFont="1" applyBorder="1" applyAlignment="1">
      <alignment horizontal="right"/>
    </xf>
    <xf numFmtId="172" fontId="12" fillId="0" borderId="70" xfId="154" applyNumberFormat="1" applyFont="1" applyBorder="1" applyAlignment="1">
      <alignment horizontal="right"/>
    </xf>
    <xf numFmtId="0" fontId="111" fillId="0" borderId="0" xfId="33" applyFont="1" applyAlignment="1">
      <alignment horizontal="left" vertical="center"/>
    </xf>
    <xf numFmtId="181" fontId="219" fillId="0" borderId="0" xfId="33" applyNumberFormat="1" applyFont="1" applyAlignment="1">
      <alignment horizontal="right" vertical="center"/>
    </xf>
    <xf numFmtId="172" fontId="63" fillId="0" borderId="0" xfId="3" applyNumberFormat="1" applyFont="1" applyAlignment="1">
      <alignment vertical="center"/>
    </xf>
    <xf numFmtId="2" fontId="37" fillId="0" borderId="0" xfId="33" applyNumberFormat="1" applyAlignment="1">
      <alignment horizontal="left" vertical="top"/>
    </xf>
    <xf numFmtId="49" fontId="12" fillId="0" borderId="70" xfId="154" applyNumberFormat="1" applyFont="1" applyBorder="1" applyAlignment="1">
      <alignment horizontal="right" wrapText="1"/>
    </xf>
    <xf numFmtId="49" fontId="12" fillId="0" borderId="70" xfId="154" applyNumberFormat="1" applyFont="1" applyBorder="1" applyAlignment="1">
      <alignment horizontal="left" wrapText="1"/>
    </xf>
    <xf numFmtId="0" fontId="12" fillId="0" borderId="70" xfId="154" applyFont="1" applyBorder="1" applyAlignment="1">
      <alignment horizontal="left" wrapText="1"/>
    </xf>
    <xf numFmtId="39" fontId="12" fillId="0" borderId="70" xfId="154" applyNumberFormat="1" applyFont="1" applyBorder="1" applyAlignment="1">
      <alignment horizontal="right"/>
    </xf>
    <xf numFmtId="39" fontId="12" fillId="0" borderId="0" xfId="154" applyNumberFormat="1" applyFont="1" applyAlignment="1">
      <alignment horizontal="center"/>
    </xf>
    <xf numFmtId="0" fontId="57" fillId="0" borderId="70" xfId="217" applyFont="1" applyBorder="1" applyAlignment="1">
      <alignment horizontal="left" wrapText="1"/>
    </xf>
    <xf numFmtId="0" fontId="31" fillId="0" borderId="70" xfId="154" applyBorder="1" applyAlignment="1">
      <alignment vertical="top"/>
    </xf>
    <xf numFmtId="39" fontId="84" fillId="0" borderId="0" xfId="154" applyNumberFormat="1" applyFont="1" applyAlignment="1">
      <alignment horizontal="left" vertical="center"/>
    </xf>
    <xf numFmtId="49" fontId="76" fillId="0" borderId="70" xfId="154" applyNumberFormat="1" applyFont="1" applyBorder="1" applyAlignment="1">
      <alignment horizontal="right" wrapText="1"/>
    </xf>
    <xf numFmtId="172" fontId="76" fillId="0" borderId="70" xfId="154" applyNumberFormat="1" applyFont="1" applyBorder="1" applyAlignment="1">
      <alignment horizontal="right"/>
    </xf>
    <xf numFmtId="1" fontId="76" fillId="0" borderId="70" xfId="33" applyNumberFormat="1" applyFont="1" applyBorder="1" applyAlignment="1">
      <alignment horizontal="right" wrapText="1"/>
    </xf>
    <xf numFmtId="49" fontId="76" fillId="0" borderId="70" xfId="33" applyNumberFormat="1" applyFont="1" applyBorder="1" applyAlignment="1">
      <alignment horizontal="left" wrapText="1"/>
    </xf>
    <xf numFmtId="0" fontId="78" fillId="0" borderId="70" xfId="33" applyFont="1" applyBorder="1" applyAlignment="1">
      <alignment horizontal="left" wrapText="1"/>
    </xf>
    <xf numFmtId="4" fontId="76" fillId="0" borderId="70" xfId="33" applyNumberFormat="1" applyFont="1" applyBorder="1" applyAlignment="1">
      <alignment horizontal="right"/>
    </xf>
    <xf numFmtId="39" fontId="76" fillId="0" borderId="70" xfId="33" applyNumberFormat="1" applyFont="1" applyBorder="1" applyAlignment="1">
      <alignment horizontal="center"/>
    </xf>
    <xf numFmtId="0" fontId="69" fillId="0" borderId="0" xfId="33" applyFont="1" applyAlignment="1">
      <alignment horizontal="left" vertical="center"/>
    </xf>
    <xf numFmtId="2" fontId="111" fillId="0" borderId="0" xfId="33" applyNumberFormat="1" applyFont="1" applyAlignment="1">
      <alignment horizontal="left" vertical="center"/>
    </xf>
    <xf numFmtId="2" fontId="219" fillId="0" borderId="0" xfId="33" applyNumberFormat="1" applyFont="1" applyAlignment="1">
      <alignment horizontal="right" vertical="center"/>
    </xf>
    <xf numFmtId="49" fontId="12" fillId="0" borderId="70" xfId="218" applyNumberFormat="1" applyFont="1" applyBorder="1" applyAlignment="1">
      <alignment horizontal="left" wrapText="1"/>
    </xf>
    <xf numFmtId="0" fontId="12" fillId="0" borderId="70" xfId="218" applyFont="1" applyBorder="1" applyAlignment="1">
      <alignment horizontal="left" wrapText="1"/>
    </xf>
    <xf numFmtId="39" fontId="12" fillId="0" borderId="70" xfId="218" applyNumberFormat="1" applyFont="1" applyBorder="1" applyAlignment="1">
      <alignment horizontal="right"/>
    </xf>
    <xf numFmtId="2" fontId="101" fillId="0" borderId="0" xfId="218" applyNumberFormat="1" applyFont="1" applyAlignment="1">
      <alignment horizontal="left" vertical="center"/>
    </xf>
    <xf numFmtId="0" fontId="3" fillId="0" borderId="0" xfId="218" applyAlignment="1">
      <alignment horizontal="left" vertical="top"/>
    </xf>
    <xf numFmtId="49" fontId="12" fillId="0" borderId="70" xfId="218" applyNumberFormat="1" applyFont="1" applyBorder="1" applyAlignment="1">
      <alignment horizontal="right" wrapText="1"/>
    </xf>
    <xf numFmtId="0" fontId="57" fillId="0" borderId="70" xfId="218" applyFont="1" applyBorder="1" applyAlignment="1">
      <alignment horizontal="left" wrapText="1"/>
    </xf>
    <xf numFmtId="172" fontId="57" fillId="0" borderId="70" xfId="218" applyNumberFormat="1" applyFont="1" applyBorder="1" applyAlignment="1">
      <alignment horizontal="right"/>
    </xf>
    <xf numFmtId="39" fontId="12" fillId="0" borderId="70" xfId="218" applyNumberFormat="1" applyFont="1" applyBorder="1" applyAlignment="1">
      <alignment horizontal="center"/>
    </xf>
    <xf numFmtId="0" fontId="165" fillId="0" borderId="0" xfId="218" applyFont="1" applyAlignment="1">
      <alignment horizontal="center" vertical="center" wrapText="1"/>
    </xf>
    <xf numFmtId="0" fontId="101" fillId="0" borderId="0" xfId="218" applyFont="1" applyAlignment="1">
      <alignment horizontal="left" vertical="center"/>
    </xf>
    <xf numFmtId="49" fontId="12" fillId="0" borderId="70" xfId="156" applyNumberFormat="1" applyFont="1" applyBorder="1" applyAlignment="1">
      <alignment horizontal="right"/>
    </xf>
    <xf numFmtId="49" fontId="12" fillId="0" borderId="70" xfId="156" applyNumberFormat="1" applyFont="1" applyBorder="1" applyAlignment="1">
      <alignment horizontal="left" wrapText="1"/>
    </xf>
    <xf numFmtId="0" fontId="12" fillId="0" borderId="70" xfId="156" applyFont="1" applyBorder="1" applyAlignment="1">
      <alignment horizontal="left" wrapText="1"/>
    </xf>
    <xf numFmtId="39" fontId="12" fillId="0" borderId="70" xfId="156" applyNumberFormat="1" applyFont="1" applyBorder="1" applyAlignment="1">
      <alignment horizontal="center"/>
    </xf>
    <xf numFmtId="4" fontId="222" fillId="0" borderId="0" xfId="156" applyNumberFormat="1" applyFont="1" applyAlignment="1">
      <alignment horizontal="center" vertical="center"/>
    </xf>
    <xf numFmtId="4" fontId="223" fillId="0" borderId="0" xfId="156" applyNumberFormat="1" applyFont="1" applyAlignment="1">
      <alignment horizontal="center" vertical="center"/>
    </xf>
    <xf numFmtId="0" fontId="57" fillId="0" borderId="70" xfId="156" applyFont="1" applyBorder="1" applyAlignment="1">
      <alignment horizontal="left" wrapText="1"/>
    </xf>
    <xf numFmtId="172" fontId="12" fillId="0" borderId="70" xfId="156" applyNumberFormat="1" applyFont="1" applyBorder="1" applyAlignment="1">
      <alignment horizontal="right"/>
    </xf>
    <xf numFmtId="4" fontId="12" fillId="0" borderId="70" xfId="156" applyNumberFormat="1" applyFont="1" applyBorder="1" applyAlignment="1">
      <alignment horizontal="right"/>
    </xf>
    <xf numFmtId="49" fontId="12" fillId="0" borderId="70" xfId="25" applyNumberFormat="1" applyFont="1" applyBorder="1" applyAlignment="1" applyProtection="1">
      <alignment horizontal="right"/>
    </xf>
    <xf numFmtId="49" fontId="83" fillId="0" borderId="70" xfId="156" applyNumberFormat="1" applyFont="1" applyBorder="1" applyAlignment="1">
      <alignment horizontal="right"/>
    </xf>
    <xf numFmtId="49" fontId="83" fillId="0" borderId="70" xfId="156" applyNumberFormat="1" applyFont="1" applyBorder="1" applyAlignment="1">
      <alignment horizontal="left" wrapText="1"/>
    </xf>
    <xf numFmtId="0" fontId="83" fillId="0" borderId="70" xfId="156" applyFont="1" applyBorder="1" applyAlignment="1">
      <alignment horizontal="left" wrapText="1"/>
    </xf>
    <xf numFmtId="172" fontId="57" fillId="0" borderId="70" xfId="156" applyNumberFormat="1" applyFont="1" applyBorder="1" applyAlignment="1">
      <alignment horizontal="right"/>
    </xf>
    <xf numFmtId="0" fontId="31" fillId="0" borderId="70" xfId="156" applyBorder="1" applyAlignment="1">
      <alignment horizontal="left" vertical="top"/>
    </xf>
    <xf numFmtId="172" fontId="222" fillId="0" borderId="0" xfId="156" applyNumberFormat="1" applyFont="1" applyAlignment="1">
      <alignment horizontal="center" vertical="center"/>
    </xf>
    <xf numFmtId="49" fontId="71" fillId="0" borderId="70" xfId="156" applyNumberFormat="1" applyFont="1" applyBorder="1" applyAlignment="1">
      <alignment horizontal="right"/>
    </xf>
    <xf numFmtId="4" fontId="57" fillId="0" borderId="70" xfId="142" applyNumberFormat="1" applyFont="1" applyBorder="1" applyAlignment="1">
      <alignment horizontal="right"/>
    </xf>
    <xf numFmtId="49" fontId="57" fillId="0" borderId="70" xfId="156" applyNumberFormat="1" applyFont="1" applyBorder="1" applyAlignment="1">
      <alignment horizontal="right"/>
    </xf>
    <xf numFmtId="0" fontId="15" fillId="0" borderId="0" xfId="156" applyFont="1" applyAlignment="1">
      <alignment horizontal="left" vertical="center"/>
    </xf>
    <xf numFmtId="0" fontId="38" fillId="0" borderId="0" xfId="26" applyFont="1" applyAlignment="1" applyProtection="1">
      <alignment horizontal="right" vertical="center"/>
    </xf>
    <xf numFmtId="0" fontId="38" fillId="0" borderId="0" xfId="26" applyFont="1" applyAlignment="1" applyProtection="1">
      <alignment horizontal="left" vertical="center"/>
    </xf>
    <xf numFmtId="4" fontId="57" fillId="0" borderId="70" xfId="156" applyNumberFormat="1" applyFont="1" applyBorder="1" applyAlignment="1">
      <alignment horizontal="right"/>
    </xf>
    <xf numFmtId="2" fontId="322" fillId="0" borderId="0" xfId="25" applyNumberFormat="1" applyFont="1" applyAlignment="1" applyProtection="1">
      <alignment horizontal="left" vertical="center"/>
    </xf>
    <xf numFmtId="0" fontId="57" fillId="0" borderId="70" xfId="142" applyFont="1" applyBorder="1" applyAlignment="1">
      <alignment horizontal="left" wrapText="1"/>
    </xf>
    <xf numFmtId="4" fontId="12" fillId="0" borderId="70" xfId="154" applyNumberFormat="1" applyFont="1" applyBorder="1" applyAlignment="1">
      <alignment horizontal="right"/>
    </xf>
    <xf numFmtId="39" fontId="12" fillId="5" borderId="70" xfId="154" applyNumberFormat="1" applyFont="1" applyFill="1" applyBorder="1" applyAlignment="1">
      <alignment horizontal="center"/>
    </xf>
    <xf numFmtId="181" fontId="101" fillId="0" borderId="0" xfId="22" applyNumberFormat="1" applyFont="1" applyAlignment="1">
      <alignment horizontal="left" vertical="center"/>
    </xf>
    <xf numFmtId="37" fontId="12" fillId="0" borderId="70" xfId="140" applyNumberFormat="1" applyFont="1" applyBorder="1" applyAlignment="1">
      <alignment horizontal="right"/>
    </xf>
    <xf numFmtId="49" fontId="12" fillId="0" borderId="70" xfId="140" applyNumberFormat="1" applyFont="1" applyBorder="1" applyAlignment="1">
      <alignment horizontal="left" wrapText="1"/>
    </xf>
    <xf numFmtId="0" fontId="64" fillId="0" borderId="70" xfId="140" applyFont="1" applyBorder="1" applyAlignment="1">
      <alignment horizontal="left" wrapText="1"/>
    </xf>
    <xf numFmtId="39" fontId="12" fillId="0" borderId="70" xfId="140" applyNumberFormat="1" applyFont="1" applyBorder="1" applyAlignment="1">
      <alignment horizontal="right"/>
    </xf>
    <xf numFmtId="39" fontId="12" fillId="0" borderId="70" xfId="140" applyNumberFormat="1" applyFont="1" applyBorder="1" applyAlignment="1">
      <alignment horizontal="center"/>
    </xf>
    <xf numFmtId="0" fontId="82" fillId="0" borderId="0" xfId="140" applyFont="1" applyAlignment="1">
      <alignment horizontal="left" vertical="center"/>
    </xf>
    <xf numFmtId="172" fontId="57" fillId="0" borderId="70" xfId="22" applyNumberFormat="1" applyFont="1" applyBorder="1" applyAlignment="1">
      <alignment horizontal="right" wrapText="1"/>
    </xf>
    <xf numFmtId="0" fontId="16" fillId="0" borderId="70" xfId="22" applyBorder="1" applyAlignment="1">
      <alignment horizontal="left" vertical="top"/>
    </xf>
    <xf numFmtId="0" fontId="98" fillId="0" borderId="0" xfId="22" applyFont="1" applyAlignment="1">
      <alignment horizontal="left" vertical="top"/>
    </xf>
    <xf numFmtId="0" fontId="82" fillId="0" borderId="0" xfId="22" applyFont="1" applyAlignment="1">
      <alignment horizontal="left" vertical="top"/>
    </xf>
    <xf numFmtId="0" fontId="82" fillId="0" borderId="0" xfId="22" applyFont="1"/>
    <xf numFmtId="2" fontId="27" fillId="0" borderId="0" xfId="140" applyNumberFormat="1" applyAlignment="1">
      <alignment horizontal="left" vertical="top"/>
    </xf>
    <xf numFmtId="4" fontId="203" fillId="0" borderId="70" xfId="33" applyNumberFormat="1" applyFont="1" applyBorder="1" applyAlignment="1">
      <alignment horizontal="right" vertical="center"/>
    </xf>
    <xf numFmtId="39" fontId="64" fillId="0" borderId="0" xfId="154" applyNumberFormat="1" applyFont="1" applyAlignment="1">
      <alignment horizontal="left"/>
    </xf>
    <xf numFmtId="0" fontId="137" fillId="0" borderId="0" xfId="154" applyFont="1" applyAlignment="1">
      <alignment horizontal="right" vertical="center"/>
    </xf>
    <xf numFmtId="49" fontId="12" fillId="0" borderId="70" xfId="217" applyNumberFormat="1" applyFont="1" applyBorder="1" applyAlignment="1">
      <alignment horizontal="left" wrapText="1"/>
    </xf>
    <xf numFmtId="0" fontId="12" fillId="0" borderId="70" xfId="217" applyFont="1" applyBorder="1" applyAlignment="1">
      <alignment horizontal="left" wrapText="1"/>
    </xf>
    <xf numFmtId="0" fontId="145" fillId="0" borderId="0" xfId="217" applyFont="1" applyAlignment="1">
      <alignment horizontal="left" vertical="center"/>
    </xf>
    <xf numFmtId="0" fontId="3" fillId="0" borderId="0" xfId="217" applyAlignment="1">
      <alignment horizontal="left" vertical="top"/>
    </xf>
    <xf numFmtId="1" fontId="57" fillId="0" borderId="70" xfId="217" applyNumberFormat="1" applyFont="1" applyBorder="1" applyAlignment="1">
      <alignment horizontal="right"/>
    </xf>
    <xf numFmtId="0" fontId="71" fillId="0" borderId="70" xfId="217" applyFont="1" applyBorder="1" applyAlignment="1">
      <alignment horizontal="left" wrapText="1"/>
    </xf>
    <xf numFmtId="172" fontId="71" fillId="0" borderId="70" xfId="217" applyNumberFormat="1" applyFont="1" applyBorder="1" applyAlignment="1">
      <alignment horizontal="right"/>
    </xf>
    <xf numFmtId="4" fontId="57" fillId="0" borderId="70" xfId="217" applyNumberFormat="1" applyFont="1" applyBorder="1" applyAlignment="1">
      <alignment horizontal="right"/>
    </xf>
    <xf numFmtId="0" fontId="3" fillId="0" borderId="70" xfId="217" applyBorder="1" applyAlignment="1">
      <alignment horizontal="center" vertical="top"/>
    </xf>
    <xf numFmtId="0" fontId="92" fillId="0" borderId="0" xfId="217" applyFont="1" applyAlignment="1">
      <alignment horizontal="left" vertical="top"/>
    </xf>
    <xf numFmtId="1" fontId="12" fillId="0" borderId="70" xfId="217" applyNumberFormat="1" applyFont="1" applyBorder="1" applyAlignment="1">
      <alignment horizontal="right"/>
    </xf>
    <xf numFmtId="0" fontId="69" fillId="0" borderId="0" xfId="154" applyFont="1" applyAlignment="1">
      <alignment horizontal="left" vertical="top"/>
    </xf>
    <xf numFmtId="0" fontId="31" fillId="0" borderId="0" xfId="154" applyAlignment="1">
      <alignment horizontal="right" vertical="top"/>
    </xf>
    <xf numFmtId="0" fontId="31" fillId="0" borderId="70" xfId="154" applyBorder="1" applyAlignment="1">
      <alignment horizontal="right" vertical="top"/>
    </xf>
    <xf numFmtId="172" fontId="57" fillId="0" borderId="70" xfId="79" applyNumberFormat="1" applyFont="1" applyBorder="1" applyAlignment="1" applyProtection="1">
      <alignment horizontal="right"/>
    </xf>
    <xf numFmtId="0" fontId="169" fillId="0" borderId="0" xfId="79" applyFont="1" applyAlignment="1" applyProtection="1">
      <alignment horizontal="left" vertical="center"/>
    </xf>
    <xf numFmtId="0" fontId="15" fillId="0" borderId="0" xfId="79" applyAlignment="1" applyProtection="1">
      <alignment horizontal="left" vertical="top"/>
    </xf>
    <xf numFmtId="0" fontId="15" fillId="0" borderId="0" xfId="79" applyAlignment="1" applyProtection="1">
      <alignment horizontal="left" vertical="center"/>
    </xf>
    <xf numFmtId="172" fontId="57" fillId="0" borderId="70" xfId="217" applyNumberFormat="1" applyFont="1" applyBorder="1"/>
    <xf numFmtId="37" fontId="12" fillId="0" borderId="70" xfId="217" applyNumberFormat="1" applyFont="1" applyBorder="1" applyAlignment="1">
      <alignment horizontal="right"/>
    </xf>
    <xf numFmtId="0" fontId="202" fillId="0" borderId="70" xfId="217" applyFont="1" applyBorder="1" applyAlignment="1">
      <alignment horizontal="left" wrapText="1"/>
    </xf>
    <xf numFmtId="172" fontId="57" fillId="0" borderId="70" xfId="79" applyNumberFormat="1" applyFont="1" applyBorder="1" applyAlignment="1" applyProtection="1"/>
    <xf numFmtId="39" fontId="202" fillId="0" borderId="70" xfId="217" applyNumberFormat="1" applyFont="1" applyBorder="1" applyAlignment="1">
      <alignment horizontal="right"/>
    </xf>
    <xf numFmtId="39" fontId="202" fillId="0" borderId="70" xfId="217" applyNumberFormat="1" applyFont="1" applyBorder="1" applyAlignment="1">
      <alignment horizontal="center"/>
    </xf>
    <xf numFmtId="0" fontId="148" fillId="0" borderId="0" xfId="79" applyFont="1" applyAlignment="1" applyProtection="1">
      <alignment horizontal="left" vertical="center"/>
    </xf>
    <xf numFmtId="0" fontId="3" fillId="0" borderId="0" xfId="217"/>
    <xf numFmtId="0" fontId="70" fillId="0" borderId="0" xfId="79" applyFont="1" applyAlignment="1" applyProtection="1">
      <alignment horizontal="left" vertical="center"/>
    </xf>
    <xf numFmtId="37" fontId="156" fillId="0" borderId="0" xfId="3" applyNumberFormat="1" applyFont="1" applyAlignment="1">
      <alignment horizontal="right"/>
    </xf>
    <xf numFmtId="0" fontId="156" fillId="0" borderId="0" xfId="3" applyFont="1" applyAlignment="1">
      <alignment horizontal="left" wrapText="1"/>
    </xf>
    <xf numFmtId="176" fontId="156" fillId="0" borderId="0" xfId="3" applyNumberFormat="1" applyFont="1" applyAlignment="1">
      <alignment horizontal="right"/>
    </xf>
    <xf numFmtId="39" fontId="156" fillId="0" borderId="0" xfId="3" applyNumberFormat="1" applyFont="1" applyAlignment="1">
      <alignment horizontal="right"/>
    </xf>
    <xf numFmtId="37" fontId="12" fillId="0" borderId="51" xfId="3" applyNumberFormat="1" applyFont="1" applyBorder="1" applyAlignment="1">
      <alignment horizontal="right"/>
    </xf>
    <xf numFmtId="0" fontId="12" fillId="0" borderId="51" xfId="3" applyFont="1" applyBorder="1" applyAlignment="1">
      <alignment horizontal="left" wrapText="1"/>
    </xf>
    <xf numFmtId="0" fontId="12" fillId="0" borderId="51" xfId="3" applyFont="1" applyBorder="1" applyAlignment="1">
      <alignment horizontal="center" wrapText="1"/>
    </xf>
    <xf numFmtId="176" fontId="12" fillId="0" borderId="51" xfId="3" applyNumberFormat="1" applyFont="1" applyBorder="1" applyAlignment="1">
      <alignment horizontal="right"/>
    </xf>
    <xf numFmtId="39" fontId="12" fillId="0" borderId="51" xfId="3" applyNumberFormat="1" applyFont="1" applyBorder="1" applyAlignment="1">
      <alignment horizontal="right"/>
    </xf>
    <xf numFmtId="0" fontId="172" fillId="0" borderId="0" xfId="3" applyFont="1" applyAlignment="1">
      <alignment horizontal="left" vertical="top"/>
    </xf>
    <xf numFmtId="0" fontId="83" fillId="0" borderId="40" xfId="3" applyFont="1" applyBorder="1" applyAlignment="1">
      <alignment horizontal="center"/>
    </xf>
    <xf numFmtId="176" fontId="83" fillId="0" borderId="40" xfId="3" applyNumberFormat="1" applyFont="1" applyBorder="1" applyAlignment="1">
      <alignment horizontal="right"/>
    </xf>
    <xf numFmtId="39" fontId="12" fillId="0" borderId="40" xfId="3" applyNumberFormat="1" applyFont="1" applyBorder="1" applyAlignment="1">
      <alignment horizontal="right"/>
    </xf>
    <xf numFmtId="39" fontId="64" fillId="0" borderId="33" xfId="3" applyNumberFormat="1" applyFont="1" applyBorder="1" applyAlignment="1">
      <alignment horizontal="right"/>
    </xf>
    <xf numFmtId="39" fontId="202" fillId="0" borderId="0" xfId="3" applyNumberFormat="1" applyFont="1" applyAlignment="1">
      <alignment horizontal="center"/>
    </xf>
    <xf numFmtId="37" fontId="83" fillId="0" borderId="0" xfId="3" applyNumberFormat="1" applyFont="1" applyAlignment="1">
      <alignment horizontal="right"/>
    </xf>
    <xf numFmtId="0" fontId="83" fillId="0" borderId="0" xfId="3" applyFont="1" applyAlignment="1">
      <alignment horizontal="left" wrapText="1"/>
    </xf>
    <xf numFmtId="0" fontId="12" fillId="0" borderId="0" xfId="3" applyFont="1" applyAlignment="1">
      <alignment horizontal="left" wrapText="1"/>
    </xf>
    <xf numFmtId="0" fontId="83" fillId="0" borderId="0" xfId="3" applyFont="1" applyAlignment="1">
      <alignment horizontal="center" wrapText="1"/>
    </xf>
    <xf numFmtId="176" fontId="83" fillId="0" borderId="0" xfId="3" applyNumberFormat="1" applyFont="1" applyAlignment="1">
      <alignment horizontal="right"/>
    </xf>
    <xf numFmtId="39" fontId="83" fillId="0" borderId="0" xfId="3" applyNumberFormat="1" applyFont="1" applyAlignment="1">
      <alignment horizontal="right"/>
    </xf>
    <xf numFmtId="39" fontId="12" fillId="0" borderId="70" xfId="79" applyNumberFormat="1" applyFont="1" applyBorder="1" applyAlignment="1">
      <alignment horizontal="right"/>
      <protection locked="0"/>
    </xf>
    <xf numFmtId="0" fontId="64" fillId="0" borderId="70" xfId="218" applyFont="1" applyBorder="1" applyAlignment="1">
      <alignment horizontal="left" wrapText="1"/>
    </xf>
    <xf numFmtId="0" fontId="12" fillId="0" borderId="70" xfId="227" applyFont="1" applyBorder="1" applyAlignment="1">
      <alignment horizontal="left" wrapText="1"/>
    </xf>
    <xf numFmtId="49" fontId="12" fillId="0" borderId="70" xfId="227" applyNumberFormat="1" applyFont="1" applyBorder="1" applyAlignment="1">
      <alignment horizontal="right" wrapText="1"/>
    </xf>
    <xf numFmtId="49" fontId="12" fillId="0" borderId="70" xfId="227" applyNumberFormat="1" applyFont="1" applyBorder="1" applyAlignment="1">
      <alignment horizontal="left" wrapText="1"/>
    </xf>
    <xf numFmtId="0" fontId="57" fillId="0" borderId="70" xfId="227" applyFont="1" applyBorder="1" applyAlignment="1">
      <alignment horizontal="left" wrapText="1"/>
    </xf>
    <xf numFmtId="39" fontId="12" fillId="0" borderId="70" xfId="227" applyNumberFormat="1" applyFont="1" applyBorder="1" applyAlignment="1">
      <alignment horizontal="right"/>
    </xf>
    <xf numFmtId="0" fontId="3" fillId="0" borderId="70" xfId="227" applyBorder="1" applyAlignment="1">
      <alignment vertical="top"/>
    </xf>
    <xf numFmtId="39" fontId="84" fillId="0" borderId="0" xfId="227" applyNumberFormat="1" applyFont="1" applyAlignment="1">
      <alignment horizontal="left" vertical="center"/>
    </xf>
    <xf numFmtId="0" fontId="3" fillId="0" borderId="0" xfId="227" applyAlignment="1">
      <alignment horizontal="left" vertical="top"/>
    </xf>
    <xf numFmtId="37" fontId="12" fillId="0" borderId="70" xfId="227" applyNumberFormat="1" applyFont="1" applyBorder="1" applyAlignment="1">
      <alignment horizontal="right"/>
    </xf>
    <xf numFmtId="0" fontId="69" fillId="0" borderId="0" xfId="227" applyFont="1" applyAlignment="1">
      <alignment horizontal="right" vertical="top"/>
    </xf>
    <xf numFmtId="0" fontId="3" fillId="5" borderId="0" xfId="227" applyFill="1" applyAlignment="1">
      <alignment horizontal="left" vertical="top"/>
    </xf>
    <xf numFmtId="0" fontId="62" fillId="0" borderId="0" xfId="235" applyFont="1" applyAlignment="1">
      <alignment horizontal="left"/>
    </xf>
    <xf numFmtId="0" fontId="63" fillId="0" borderId="0" xfId="235" applyFont="1" applyAlignment="1">
      <alignment horizontal="left"/>
    </xf>
    <xf numFmtId="0" fontId="62" fillId="0" borderId="0" xfId="235" applyFont="1" applyAlignment="1">
      <alignment horizontal="center"/>
    </xf>
    <xf numFmtId="0" fontId="201" fillId="0" borderId="0" xfId="235" applyFont="1" applyAlignment="1">
      <alignment horizontal="right" vertical="top"/>
    </xf>
    <xf numFmtId="0" fontId="2" fillId="0" borderId="0" xfId="235"/>
    <xf numFmtId="0" fontId="66" fillId="0" borderId="33" xfId="235" applyFont="1" applyBorder="1" applyAlignment="1">
      <alignment horizontal="center" vertical="center" wrapText="1"/>
    </xf>
    <xf numFmtId="0" fontId="66" fillId="0" borderId="39" xfId="235" applyFont="1" applyBorder="1" applyAlignment="1">
      <alignment horizontal="center" vertical="center" wrapText="1"/>
    </xf>
    <xf numFmtId="0" fontId="66" fillId="0" borderId="15" xfId="235" applyFont="1" applyBorder="1" applyAlignment="1">
      <alignment horizontal="center" vertical="center" wrapText="1"/>
    </xf>
    <xf numFmtId="37" fontId="64" fillId="0" borderId="0" xfId="235" applyNumberFormat="1" applyFont="1" applyAlignment="1">
      <alignment horizontal="right"/>
    </xf>
    <xf numFmtId="0" fontId="64" fillId="0" borderId="0" xfId="235" applyFont="1" applyAlignment="1">
      <alignment horizontal="left" wrapText="1"/>
    </xf>
    <xf numFmtId="176" fontId="64" fillId="0" borderId="0" xfId="235" applyNumberFormat="1" applyFont="1" applyAlignment="1">
      <alignment horizontal="right"/>
    </xf>
    <xf numFmtId="4" fontId="64" fillId="0" borderId="0" xfId="235" applyNumberFormat="1" applyFont="1" applyAlignment="1">
      <alignment horizontal="right"/>
    </xf>
    <xf numFmtId="0" fontId="2" fillId="0" borderId="0" xfId="235" applyAlignment="1">
      <alignment horizontal="left" vertical="top"/>
    </xf>
    <xf numFmtId="181" fontId="63" fillId="0" borderId="0" xfId="3" applyNumberFormat="1" applyFont="1" applyAlignment="1">
      <alignment horizontal="right" vertical="center"/>
    </xf>
    <xf numFmtId="0" fontId="80" fillId="0" borderId="0" xfId="33" applyFont="1" applyAlignment="1">
      <alignment horizontal="left" vertical="center"/>
    </xf>
    <xf numFmtId="4" fontId="57" fillId="0" borderId="70" xfId="3" applyNumberFormat="1" applyFont="1" applyBorder="1" applyAlignment="1">
      <alignment horizontal="right"/>
    </xf>
    <xf numFmtId="49" fontId="76" fillId="0" borderId="70" xfId="33" applyNumberFormat="1" applyFont="1" applyBorder="1" applyAlignment="1">
      <alignment horizontal="right" wrapText="1"/>
    </xf>
    <xf numFmtId="49" fontId="12" fillId="0" borderId="70" xfId="89" applyNumberFormat="1" applyFont="1" applyBorder="1" applyAlignment="1">
      <alignment horizontal="right"/>
    </xf>
    <xf numFmtId="49" fontId="12" fillId="0" borderId="70" xfId="89" applyNumberFormat="1" applyFont="1" applyBorder="1" applyAlignment="1">
      <alignment horizontal="left" wrapText="1"/>
    </xf>
    <xf numFmtId="0" fontId="12" fillId="0" borderId="70" xfId="89" applyFont="1" applyBorder="1" applyAlignment="1">
      <alignment horizontal="left" wrapText="1"/>
    </xf>
    <xf numFmtId="39" fontId="12" fillId="0" borderId="70" xfId="89" applyNumberFormat="1" applyFont="1" applyBorder="1" applyAlignment="1">
      <alignment horizontal="center"/>
    </xf>
    <xf numFmtId="4" fontId="222" fillId="0" borderId="0" xfId="89" applyNumberFormat="1" applyFont="1" applyAlignment="1">
      <alignment horizontal="center" vertical="center"/>
    </xf>
    <xf numFmtId="4" fontId="223" fillId="0" borderId="0" xfId="89" applyNumberFormat="1" applyFont="1" applyAlignment="1">
      <alignment horizontal="center" vertical="center"/>
    </xf>
    <xf numFmtId="0" fontId="57" fillId="0" borderId="70" xfId="89" applyFont="1" applyBorder="1" applyAlignment="1">
      <alignment horizontal="left" wrapText="1"/>
    </xf>
    <xf numFmtId="172" fontId="12" fillId="0" borderId="70" xfId="89" applyNumberFormat="1" applyFont="1" applyBorder="1" applyAlignment="1">
      <alignment horizontal="right"/>
    </xf>
    <xf numFmtId="4" fontId="12" fillId="0" borderId="70" xfId="89" applyNumberFormat="1" applyFont="1" applyBorder="1" applyAlignment="1">
      <alignment horizontal="right"/>
    </xf>
    <xf numFmtId="49" fontId="83" fillId="0" borderId="70" xfId="89" applyNumberFormat="1" applyFont="1" applyBorder="1" applyAlignment="1">
      <alignment horizontal="right"/>
    </xf>
    <xf numFmtId="49" fontId="83" fillId="0" borderId="70" xfId="89" applyNumberFormat="1" applyFont="1" applyBorder="1" applyAlignment="1">
      <alignment horizontal="left" wrapText="1"/>
    </xf>
    <xf numFmtId="0" fontId="83" fillId="0" borderId="70" xfId="89" applyFont="1" applyBorder="1" applyAlignment="1">
      <alignment horizontal="left" wrapText="1"/>
    </xf>
    <xf numFmtId="172" fontId="57" fillId="0" borderId="70" xfId="89" applyNumberFormat="1" applyFont="1" applyBorder="1" applyAlignment="1">
      <alignment horizontal="right"/>
    </xf>
    <xf numFmtId="0" fontId="31" fillId="0" borderId="70" xfId="89" applyBorder="1" applyAlignment="1">
      <alignment horizontal="left" vertical="top"/>
    </xf>
    <xf numFmtId="172" fontId="222" fillId="0" borderId="0" xfId="89" applyNumberFormat="1" applyFont="1" applyAlignment="1">
      <alignment horizontal="center" vertical="center"/>
    </xf>
    <xf numFmtId="49" fontId="71" fillId="0" borderId="70" xfId="89" applyNumberFormat="1" applyFont="1" applyBorder="1" applyAlignment="1">
      <alignment horizontal="right"/>
    </xf>
    <xf numFmtId="0" fontId="71" fillId="0" borderId="70" xfId="89" applyFont="1" applyBorder="1" applyAlignment="1">
      <alignment horizontal="left" wrapText="1"/>
    </xf>
    <xf numFmtId="49" fontId="57" fillId="0" borderId="70" xfId="89" applyNumberFormat="1" applyFont="1" applyBorder="1" applyAlignment="1">
      <alignment horizontal="right"/>
    </xf>
    <xf numFmtId="0" fontId="15" fillId="0" borderId="0" xfId="89" applyFont="1" applyAlignment="1">
      <alignment horizontal="left" vertical="center"/>
    </xf>
    <xf numFmtId="4" fontId="57" fillId="0" borderId="70" xfId="89" applyNumberFormat="1" applyFont="1" applyBorder="1" applyAlignment="1">
      <alignment horizontal="right"/>
    </xf>
    <xf numFmtId="4" fontId="57" fillId="0" borderId="70" xfId="22" applyNumberFormat="1" applyFont="1" applyBorder="1" applyAlignment="1">
      <alignment horizontal="right" wrapText="1"/>
    </xf>
    <xf numFmtId="37" fontId="12" fillId="0" borderId="70" xfId="234" applyNumberFormat="1" applyFont="1" applyBorder="1" applyAlignment="1">
      <alignment horizontal="right"/>
    </xf>
    <xf numFmtId="0" fontId="64" fillId="0" borderId="70" xfId="234" applyFont="1" applyBorder="1" applyAlignment="1">
      <alignment horizontal="left" wrapText="1"/>
    </xf>
    <xf numFmtId="172" fontId="64" fillId="0" borderId="70" xfId="234" applyNumberFormat="1" applyFont="1" applyBorder="1" applyAlignment="1">
      <alignment horizontal="right"/>
    </xf>
    <xf numFmtId="39" fontId="64" fillId="0" borderId="70" xfId="234" applyNumberFormat="1" applyFont="1" applyBorder="1" applyAlignment="1">
      <alignment horizontal="right"/>
    </xf>
    <xf numFmtId="0" fontId="246" fillId="0" borderId="0" xfId="234" applyFont="1" applyAlignment="1">
      <alignment horizontal="left" vertical="top"/>
    </xf>
    <xf numFmtId="49" fontId="12" fillId="0" borderId="70" xfId="235" applyNumberFormat="1" applyFont="1" applyBorder="1" applyAlignment="1">
      <alignment horizontal="right" wrapText="1"/>
    </xf>
    <xf numFmtId="49" fontId="12" fillId="0" borderId="70" xfId="235" applyNumberFormat="1" applyFont="1" applyBorder="1" applyAlignment="1">
      <alignment horizontal="left" wrapText="1"/>
    </xf>
    <xf numFmtId="0" fontId="12" fillId="0" borderId="70" xfId="235" applyFont="1" applyBorder="1" applyAlignment="1">
      <alignment horizontal="left" wrapText="1"/>
    </xf>
    <xf numFmtId="0" fontId="57" fillId="0" borderId="70" xfId="235" applyFont="1" applyBorder="1" applyAlignment="1">
      <alignment horizontal="left" wrapText="1"/>
    </xf>
    <xf numFmtId="172" fontId="57" fillId="0" borderId="70" xfId="235" applyNumberFormat="1" applyFont="1" applyBorder="1" applyAlignment="1">
      <alignment horizontal="right"/>
    </xf>
    <xf numFmtId="39" fontId="12" fillId="0" borderId="70" xfId="235" applyNumberFormat="1" applyFont="1" applyBorder="1" applyAlignment="1">
      <alignment horizontal="right"/>
    </xf>
    <xf numFmtId="39" fontId="12" fillId="0" borderId="70" xfId="154" applyNumberFormat="1" applyFont="1" applyBorder="1" applyAlignment="1">
      <alignment horizontal="center"/>
    </xf>
    <xf numFmtId="0" fontId="2" fillId="0" borderId="70" xfId="235" applyBorder="1" applyAlignment="1">
      <alignment vertical="top"/>
    </xf>
    <xf numFmtId="172" fontId="57" fillId="0" borderId="70" xfId="235" applyNumberFormat="1" applyFont="1" applyBorder="1"/>
    <xf numFmtId="37" fontId="12" fillId="0" borderId="70" xfId="235" applyNumberFormat="1" applyFont="1" applyBorder="1" applyAlignment="1">
      <alignment horizontal="right"/>
    </xf>
    <xf numFmtId="0" fontId="202" fillId="0" borderId="70" xfId="235" applyFont="1" applyBorder="1" applyAlignment="1">
      <alignment horizontal="left" wrapText="1"/>
    </xf>
    <xf numFmtId="39" fontId="202" fillId="0" borderId="70" xfId="235" applyNumberFormat="1" applyFont="1" applyBorder="1" applyAlignment="1">
      <alignment horizontal="right"/>
    </xf>
    <xf numFmtId="39" fontId="202" fillId="0" borderId="70" xfId="235" applyNumberFormat="1" applyFont="1" applyBorder="1" applyAlignment="1">
      <alignment horizontal="center"/>
    </xf>
    <xf numFmtId="37" fontId="156" fillId="0" borderId="0" xfId="235" applyNumberFormat="1" applyFont="1" applyAlignment="1">
      <alignment horizontal="right"/>
    </xf>
    <xf numFmtId="0" fontId="156" fillId="0" borderId="0" xfId="235" applyFont="1" applyAlignment="1">
      <alignment horizontal="left" wrapText="1"/>
    </xf>
    <xf numFmtId="176" fontId="156" fillId="0" borderId="0" xfId="235" applyNumberFormat="1" applyFont="1" applyAlignment="1">
      <alignment horizontal="right"/>
    </xf>
    <xf numFmtId="39" fontId="156" fillId="0" borderId="0" xfId="235" applyNumberFormat="1" applyFont="1" applyAlignment="1">
      <alignment horizontal="right"/>
    </xf>
    <xf numFmtId="37" fontId="12" fillId="0" borderId="51" xfId="235" applyNumberFormat="1" applyFont="1" applyBorder="1" applyAlignment="1">
      <alignment horizontal="right"/>
    </xf>
    <xf numFmtId="0" fontId="12" fillId="0" borderId="51" xfId="235" applyFont="1" applyBorder="1" applyAlignment="1">
      <alignment horizontal="left" wrapText="1"/>
    </xf>
    <xf numFmtId="0" fontId="12" fillId="0" borderId="51" xfId="235" applyFont="1" applyBorder="1" applyAlignment="1">
      <alignment horizontal="center" wrapText="1"/>
    </xf>
    <xf numFmtId="176" fontId="12" fillId="0" borderId="51" xfId="235" applyNumberFormat="1" applyFont="1" applyBorder="1" applyAlignment="1">
      <alignment horizontal="right"/>
    </xf>
    <xf numFmtId="39" fontId="12" fillId="0" borderId="51" xfId="235" applyNumberFormat="1" applyFont="1" applyBorder="1" applyAlignment="1">
      <alignment horizontal="right"/>
    </xf>
    <xf numFmtId="0" fontId="172" fillId="0" borderId="0" xfId="235" applyFont="1" applyAlignment="1">
      <alignment horizontal="left" vertical="top"/>
    </xf>
    <xf numFmtId="0" fontId="64" fillId="0" borderId="39" xfId="235" applyFont="1" applyBorder="1" applyAlignment="1">
      <alignment horizontal="left"/>
    </xf>
    <xf numFmtId="0" fontId="83" fillId="0" borderId="40" xfId="235" applyFont="1" applyBorder="1" applyAlignment="1">
      <alignment horizontal="center"/>
    </xf>
    <xf numFmtId="176" fontId="83" fillId="0" borderId="40" xfId="235" applyNumberFormat="1" applyFont="1" applyBorder="1" applyAlignment="1">
      <alignment horizontal="right"/>
    </xf>
    <xf numFmtId="39" fontId="12" fillId="0" borderId="40" xfId="235" applyNumberFormat="1" applyFont="1" applyBorder="1" applyAlignment="1">
      <alignment horizontal="right"/>
    </xf>
    <xf numFmtId="39" fontId="64" fillId="0" borderId="33" xfId="235" applyNumberFormat="1" applyFont="1" applyBorder="1" applyAlignment="1">
      <alignment horizontal="right"/>
    </xf>
    <xf numFmtId="39" fontId="202" fillId="0" borderId="0" xfId="235" applyNumberFormat="1" applyFont="1" applyAlignment="1">
      <alignment horizontal="center"/>
    </xf>
    <xf numFmtId="37" fontId="83" fillId="0" borderId="0" xfId="235" applyNumberFormat="1" applyFont="1" applyAlignment="1">
      <alignment horizontal="right"/>
    </xf>
    <xf numFmtId="0" fontId="83" fillId="0" borderId="0" xfId="235" applyFont="1" applyAlignment="1">
      <alignment horizontal="left" wrapText="1"/>
    </xf>
    <xf numFmtId="0" fontId="12" fillId="0" borderId="0" xfId="235" applyFont="1" applyAlignment="1">
      <alignment horizontal="left" wrapText="1"/>
    </xf>
    <xf numFmtId="0" fontId="83" fillId="0" borderId="0" xfId="235" applyFont="1" applyAlignment="1">
      <alignment horizontal="center" wrapText="1"/>
    </xf>
    <xf numFmtId="176" fontId="83" fillId="0" borderId="0" xfId="235" applyNumberFormat="1" applyFont="1" applyAlignment="1">
      <alignment horizontal="right"/>
    </xf>
    <xf numFmtId="39" fontId="83" fillId="0" borderId="0" xfId="235" applyNumberFormat="1" applyFont="1" applyAlignment="1">
      <alignment horizontal="right"/>
    </xf>
    <xf numFmtId="39" fontId="12" fillId="0" borderId="0" xfId="235" applyNumberFormat="1" applyFont="1" applyAlignment="1">
      <alignment horizontal="right"/>
    </xf>
    <xf numFmtId="0" fontId="132" fillId="0" borderId="0" xfId="218" applyFont="1"/>
    <xf numFmtId="0" fontId="3" fillId="0" borderId="0" xfId="218"/>
    <xf numFmtId="0" fontId="132" fillId="0" borderId="0" xfId="218" applyFont="1" applyAlignment="1">
      <alignment horizontal="left" vertical="top"/>
    </xf>
    <xf numFmtId="0" fontId="12" fillId="0" borderId="0" xfId="218" applyFont="1" applyAlignment="1">
      <alignment horizontal="left"/>
    </xf>
    <xf numFmtId="0" fontId="62" fillId="0" borderId="0" xfId="218" applyFont="1" applyAlignment="1">
      <alignment horizontal="left"/>
    </xf>
    <xf numFmtId="0" fontId="12" fillId="0" borderId="0" xfId="36" applyFont="1" applyAlignment="1">
      <alignment horizontal="left"/>
    </xf>
    <xf numFmtId="0" fontId="62" fillId="0" borderId="0" xfId="36" applyFont="1" applyAlignment="1">
      <alignment horizontal="left"/>
    </xf>
    <xf numFmtId="0" fontId="132" fillId="0" borderId="0" xfId="36" applyFont="1" applyAlignment="1">
      <alignment horizontal="left" vertical="top"/>
    </xf>
    <xf numFmtId="0" fontId="63" fillId="0" borderId="0" xfId="218" applyFont="1" applyAlignment="1">
      <alignment horizontal="left"/>
    </xf>
    <xf numFmtId="0" fontId="62" fillId="0" borderId="0" xfId="218" applyFont="1" applyAlignment="1">
      <alignment horizontal="center"/>
    </xf>
    <xf numFmtId="0" fontId="201" fillId="0" borderId="0" xfId="218" applyFont="1" applyAlignment="1">
      <alignment horizontal="right" vertical="top"/>
    </xf>
    <xf numFmtId="0" fontId="66" fillId="0" borderId="33" xfId="218" applyFont="1" applyBorder="1" applyAlignment="1">
      <alignment horizontal="center" vertical="center" wrapText="1"/>
    </xf>
    <xf numFmtId="0" fontId="66" fillId="0" borderId="39" xfId="218" applyFont="1" applyBorder="1" applyAlignment="1">
      <alignment horizontal="center" vertical="center" wrapText="1"/>
    </xf>
    <xf numFmtId="0" fontId="66" fillId="0" borderId="15" xfId="218" applyFont="1" applyBorder="1" applyAlignment="1">
      <alignment horizontal="center" vertical="center" wrapText="1"/>
    </xf>
    <xf numFmtId="37" fontId="64" fillId="0" borderId="0" xfId="218" applyNumberFormat="1" applyFont="1" applyAlignment="1">
      <alignment horizontal="right"/>
    </xf>
    <xf numFmtId="0" fontId="64" fillId="0" borderId="0" xfId="218" applyFont="1" applyAlignment="1">
      <alignment horizontal="left" wrapText="1"/>
    </xf>
    <xf numFmtId="176" fontId="64" fillId="0" borderId="0" xfId="218" applyNumberFormat="1" applyFont="1" applyAlignment="1">
      <alignment horizontal="right"/>
    </xf>
    <xf numFmtId="39" fontId="64" fillId="0" borderId="0" xfId="218" applyNumberFormat="1" applyFont="1" applyAlignment="1">
      <alignment horizontal="right"/>
    </xf>
    <xf numFmtId="0" fontId="20" fillId="0" borderId="0" xfId="89" applyFont="1" applyAlignment="1">
      <alignment horizontal="right" vertical="top"/>
    </xf>
    <xf numFmtId="0" fontId="31" fillId="5" borderId="0" xfId="89" applyFill="1" applyAlignment="1">
      <alignment horizontal="left" vertical="top"/>
    </xf>
    <xf numFmtId="37" fontId="12" fillId="0" borderId="70" xfId="89" applyNumberFormat="1" applyFont="1" applyBorder="1" applyAlignment="1">
      <alignment horizontal="right"/>
    </xf>
    <xf numFmtId="172" fontId="12" fillId="0" borderId="70" xfId="220" applyNumberFormat="1" applyFont="1" applyBorder="1" applyAlignment="1">
      <alignment horizontal="right"/>
    </xf>
    <xf numFmtId="39" fontId="12" fillId="0" borderId="70" xfId="89" applyNumberFormat="1" applyFont="1" applyBorder="1" applyAlignment="1">
      <alignment horizontal="right"/>
    </xf>
    <xf numFmtId="0" fontId="311" fillId="0" borderId="0" xfId="89" applyFont="1" applyAlignment="1">
      <alignment horizontal="left" vertical="center"/>
    </xf>
    <xf numFmtId="0" fontId="312" fillId="0" borderId="0" xfId="89" applyFont="1" applyAlignment="1">
      <alignment horizontal="left" vertical="center"/>
    </xf>
    <xf numFmtId="49" fontId="12" fillId="0" borderId="70" xfId="89" applyNumberFormat="1" applyFont="1" applyBorder="1" applyAlignment="1">
      <alignment horizontal="right" wrapText="1"/>
    </xf>
    <xf numFmtId="172" fontId="31" fillId="0" borderId="70" xfId="89" applyNumberFormat="1" applyBorder="1" applyAlignment="1">
      <alignment horizontal="left" vertical="top"/>
    </xf>
    <xf numFmtId="2" fontId="12" fillId="0" borderId="70" xfId="89" applyNumberFormat="1" applyFont="1" applyBorder="1" applyAlignment="1">
      <alignment horizontal="center"/>
    </xf>
    <xf numFmtId="37" fontId="12" fillId="0" borderId="70" xfId="218" applyNumberFormat="1" applyFont="1" applyBorder="1" applyAlignment="1">
      <alignment horizontal="right"/>
    </xf>
    <xf numFmtId="172" fontId="12" fillId="0" borderId="70" xfId="190" applyNumberFormat="1" applyFont="1" applyBorder="1" applyAlignment="1">
      <alignment horizontal="right"/>
    </xf>
    <xf numFmtId="4" fontId="12" fillId="0" borderId="70" xfId="218" applyNumberFormat="1" applyFont="1" applyBorder="1" applyAlignment="1">
      <alignment horizontal="right"/>
    </xf>
    <xf numFmtId="0" fontId="103" fillId="0" borderId="0" xfId="218" applyFont="1" applyAlignment="1">
      <alignment horizontal="left" vertical="center"/>
    </xf>
    <xf numFmtId="0" fontId="84" fillId="0" borderId="0" xfId="33" applyFont="1" applyAlignment="1">
      <alignment horizontal="left" vertical="top"/>
    </xf>
    <xf numFmtId="0" fontId="20" fillId="0" borderId="0" xfId="33" applyFont="1" applyAlignment="1">
      <alignment horizontal="left" vertical="top"/>
    </xf>
    <xf numFmtId="39" fontId="20" fillId="0" borderId="0" xfId="33" applyNumberFormat="1" applyFont="1" applyAlignment="1">
      <alignment horizontal="left" vertical="top"/>
    </xf>
    <xf numFmtId="0" fontId="135" fillId="0" borderId="70" xfId="3" applyFont="1" applyBorder="1" applyAlignment="1">
      <alignment horizontal="center" vertical="center" wrapText="1"/>
    </xf>
    <xf numFmtId="39" fontId="84" fillId="0" borderId="0" xfId="3" applyNumberFormat="1" applyFont="1"/>
    <xf numFmtId="49" fontId="76" fillId="0" borderId="70" xfId="3" applyNumberFormat="1" applyFont="1" applyBorder="1" applyAlignment="1">
      <alignment horizontal="right" wrapText="1"/>
    </xf>
    <xf numFmtId="49" fontId="76" fillId="0" borderId="70" xfId="3" applyNumberFormat="1" applyFont="1" applyBorder="1" applyAlignment="1">
      <alignment horizontal="left" wrapText="1"/>
    </xf>
    <xf numFmtId="172" fontId="76" fillId="0" borderId="70" xfId="220" applyNumberFormat="1" applyFont="1" applyBorder="1" applyAlignment="1">
      <alignment horizontal="right"/>
    </xf>
    <xf numFmtId="4" fontId="76" fillId="0" borderId="70" xfId="3" applyNumberFormat="1" applyFont="1" applyBorder="1" applyAlignment="1">
      <alignment horizontal="right"/>
    </xf>
    <xf numFmtId="4" fontId="325" fillId="0" borderId="0" xfId="3" applyNumberFormat="1" applyFont="1" applyAlignment="1">
      <alignment horizontal="left" vertical="center"/>
    </xf>
    <xf numFmtId="37" fontId="76" fillId="0" borderId="0" xfId="3" applyNumberFormat="1" applyFont="1" applyAlignment="1">
      <alignment horizontal="right"/>
    </xf>
    <xf numFmtId="0" fontId="76" fillId="0" borderId="0" xfId="3" applyFont="1" applyAlignment="1">
      <alignment horizontal="left" wrapText="1"/>
    </xf>
    <xf numFmtId="0" fontId="78" fillId="0" borderId="0" xfId="3" applyFont="1" applyAlignment="1">
      <alignment horizontal="left" wrapText="1"/>
    </xf>
    <xf numFmtId="2" fontId="76" fillId="0" borderId="0" xfId="3" applyNumberFormat="1" applyFont="1" applyAlignment="1">
      <alignment horizontal="right"/>
    </xf>
    <xf numFmtId="39" fontId="76" fillId="0" borderId="0" xfId="3" applyNumberFormat="1" applyFont="1" applyAlignment="1">
      <alignment horizontal="right"/>
    </xf>
    <xf numFmtId="0" fontId="112" fillId="0" borderId="0" xfId="3" applyFont="1" applyAlignment="1">
      <alignment horizontal="right" vertical="center"/>
    </xf>
    <xf numFmtId="0" fontId="228" fillId="0" borderId="70" xfId="3" applyFont="1" applyBorder="1" applyAlignment="1">
      <alignment horizontal="left" vertical="center" wrapText="1"/>
    </xf>
    <xf numFmtId="4" fontId="80" fillId="0" borderId="0" xfId="3" applyNumberFormat="1" applyFont="1" applyAlignment="1">
      <alignment horizontal="left" vertical="center"/>
    </xf>
    <xf numFmtId="0" fontId="15" fillId="0" borderId="0" xfId="218" applyFont="1" applyAlignment="1">
      <alignment horizontal="left" vertical="top"/>
    </xf>
    <xf numFmtId="0" fontId="165" fillId="0" borderId="0" xfId="218" applyFont="1" applyAlignment="1">
      <alignment horizontal="left" vertical="center"/>
    </xf>
    <xf numFmtId="0" fontId="46" fillId="0" borderId="0" xfId="222" applyFill="1" applyAlignment="1" applyProtection="1">
      <alignment horizontal="left" vertical="center"/>
    </xf>
    <xf numFmtId="0" fontId="292" fillId="0" borderId="0" xfId="218" applyFont="1" applyAlignment="1">
      <alignment vertical="top" wrapText="1"/>
    </xf>
    <xf numFmtId="0" fontId="57" fillId="0" borderId="0" xfId="218" applyFont="1" applyAlignment="1">
      <alignment horizontal="left" wrapText="1"/>
    </xf>
    <xf numFmtId="0" fontId="12" fillId="0" borderId="0" xfId="218" applyFont="1" applyAlignment="1">
      <alignment horizontal="left" wrapText="1"/>
    </xf>
    <xf numFmtId="2" fontId="12" fillId="0" borderId="0" xfId="218" applyNumberFormat="1" applyFont="1" applyAlignment="1">
      <alignment horizontal="right"/>
    </xf>
    <xf numFmtId="39" fontId="12" fillId="0" borderId="0" xfId="218" applyNumberFormat="1" applyFont="1" applyAlignment="1">
      <alignment horizontal="right"/>
    </xf>
    <xf numFmtId="39" fontId="12" fillId="0" borderId="0" xfId="218" applyNumberFormat="1" applyFont="1" applyAlignment="1">
      <alignment horizontal="center"/>
    </xf>
    <xf numFmtId="0" fontId="293" fillId="0" borderId="0" xfId="218" applyFont="1" applyAlignment="1">
      <alignment horizontal="left" vertical="center" textRotation="90" wrapText="1"/>
    </xf>
    <xf numFmtId="0" fontId="83" fillId="0" borderId="70" xfId="218" applyFont="1" applyBorder="1" applyAlignment="1">
      <alignment horizontal="left" vertical="center" wrapText="1"/>
    </xf>
    <xf numFmtId="0" fontId="19" fillId="0" borderId="0" xfId="218" applyFont="1" applyAlignment="1">
      <alignment horizontal="left" vertical="center" wrapText="1"/>
    </xf>
    <xf numFmtId="0" fontId="163" fillId="0" borderId="0" xfId="218" applyFont="1" applyAlignment="1">
      <alignment horizontal="left" vertical="center"/>
    </xf>
    <xf numFmtId="0" fontId="12" fillId="0" borderId="70" xfId="218" applyFont="1" applyBorder="1" applyAlignment="1">
      <alignment wrapText="1"/>
    </xf>
    <xf numFmtId="0" fontId="80" fillId="0" borderId="0" xfId="218" applyFont="1" applyAlignment="1">
      <alignment horizontal="left" vertical="center"/>
    </xf>
    <xf numFmtId="37" fontId="76" fillId="0" borderId="0" xfId="218" applyNumberFormat="1" applyFont="1" applyAlignment="1">
      <alignment horizontal="right"/>
    </xf>
    <xf numFmtId="0" fontId="76" fillId="0" borderId="0" xfId="218" applyFont="1" applyAlignment="1">
      <alignment horizontal="left" wrapText="1"/>
    </xf>
    <xf numFmtId="0" fontId="78" fillId="0" borderId="0" xfId="218" applyFont="1" applyAlignment="1">
      <alignment horizontal="left" wrapText="1"/>
    </xf>
    <xf numFmtId="2" fontId="76" fillId="0" borderId="0" xfId="218" applyNumberFormat="1" applyFont="1" applyAlignment="1">
      <alignment horizontal="right"/>
    </xf>
    <xf numFmtId="39" fontId="76" fillId="0" borderId="0" xfId="218" applyNumberFormat="1" applyFont="1" applyAlignment="1">
      <alignment horizontal="right"/>
    </xf>
    <xf numFmtId="0" fontId="112" fillId="0" borderId="0" xfId="218" applyFont="1" applyAlignment="1">
      <alignment horizontal="right" vertical="center"/>
    </xf>
    <xf numFmtId="37" fontId="76" fillId="0" borderId="70" xfId="218" applyNumberFormat="1" applyFont="1" applyBorder="1" applyAlignment="1">
      <alignment horizontal="right"/>
    </xf>
    <xf numFmtId="49" fontId="76" fillId="0" borderId="70" xfId="218" applyNumberFormat="1" applyFont="1" applyBorder="1" applyAlignment="1">
      <alignment horizontal="left" wrapText="1"/>
    </xf>
    <xf numFmtId="4" fontId="76" fillId="0" borderId="70" xfId="218" applyNumberFormat="1" applyFont="1" applyBorder="1" applyAlignment="1">
      <alignment horizontal="right"/>
    </xf>
    <xf numFmtId="39" fontId="76" fillId="0" borderId="70" xfId="218" applyNumberFormat="1" applyFont="1" applyBorder="1" applyAlignment="1">
      <alignment horizontal="center"/>
    </xf>
    <xf numFmtId="0" fontId="76" fillId="0" borderId="70" xfId="218" applyFont="1" applyBorder="1"/>
    <xf numFmtId="0" fontId="76" fillId="0" borderId="70" xfId="218" applyFont="1" applyBorder="1" applyAlignment="1">
      <alignment horizontal="left" wrapText="1"/>
    </xf>
    <xf numFmtId="0" fontId="112" fillId="0" borderId="0" xfId="218" applyFont="1" applyAlignment="1">
      <alignment horizontal="left" vertical="center"/>
    </xf>
    <xf numFmtId="37" fontId="326" fillId="0" borderId="70" xfId="218" applyNumberFormat="1" applyFont="1" applyBorder="1" applyAlignment="1">
      <alignment horizontal="right"/>
    </xf>
    <xf numFmtId="0" fontId="326" fillId="0" borderId="70" xfId="218" applyFont="1" applyBorder="1" applyAlignment="1">
      <alignment horizontal="left" wrapText="1"/>
    </xf>
    <xf numFmtId="0" fontId="78" fillId="0" borderId="70" xfId="218" applyFont="1" applyBorder="1" applyAlignment="1">
      <alignment horizontal="left" wrapText="1"/>
    </xf>
    <xf numFmtId="172" fontId="78" fillId="0" borderId="70" xfId="218" applyNumberFormat="1" applyFont="1" applyBorder="1" applyAlignment="1">
      <alignment horizontal="right"/>
    </xf>
    <xf numFmtId="4" fontId="326" fillId="0" borderId="70" xfId="218" applyNumberFormat="1" applyFont="1" applyBorder="1" applyAlignment="1">
      <alignment horizontal="right"/>
    </xf>
    <xf numFmtId="0" fontId="112" fillId="0" borderId="70" xfId="218" applyFont="1" applyBorder="1" applyAlignment="1">
      <alignment horizontal="left" vertical="top"/>
    </xf>
    <xf numFmtId="0" fontId="76" fillId="0" borderId="0" xfId="218" applyFont="1" applyAlignment="1">
      <alignment horizontal="left"/>
    </xf>
    <xf numFmtId="4" fontId="101" fillId="0" borderId="0" xfId="218" applyNumberFormat="1" applyFont="1" applyAlignment="1">
      <alignment horizontal="left" vertical="center"/>
    </xf>
    <xf numFmtId="37" fontId="64" fillId="0" borderId="70" xfId="218" applyNumberFormat="1" applyFont="1" applyBorder="1" applyAlignment="1">
      <alignment horizontal="right"/>
    </xf>
    <xf numFmtId="4" fontId="64" fillId="0" borderId="70" xfId="218" applyNumberFormat="1" applyFont="1" applyBorder="1" applyAlignment="1">
      <alignment horizontal="right"/>
    </xf>
    <xf numFmtId="0" fontId="3" fillId="0" borderId="70" xfId="218" applyBorder="1" applyAlignment="1">
      <alignment horizontal="left" vertical="top"/>
    </xf>
    <xf numFmtId="0" fontId="12" fillId="0" borderId="0" xfId="76" applyFont="1" applyAlignment="1" applyProtection="1">
      <alignment horizontal="left" wrapText="1"/>
    </xf>
    <xf numFmtId="0" fontId="57" fillId="0" borderId="0" xfId="76" applyFont="1" applyAlignment="1" applyProtection="1">
      <alignment horizontal="left" wrapText="1"/>
    </xf>
    <xf numFmtId="0" fontId="15" fillId="0" borderId="0" xfId="76" applyAlignment="1" applyProtection="1">
      <alignment horizontal="left" vertical="top"/>
    </xf>
    <xf numFmtId="39" fontId="76" fillId="0" borderId="0" xfId="76" applyNumberFormat="1" applyFont="1" applyAlignment="1" applyProtection="1">
      <alignment horizontal="right"/>
    </xf>
    <xf numFmtId="0" fontId="112" fillId="0" borderId="0" xfId="76" applyFont="1" applyAlignment="1" applyProtection="1">
      <alignment horizontal="right" vertical="center"/>
    </xf>
    <xf numFmtId="37" fontId="76" fillId="0" borderId="0" xfId="76" applyNumberFormat="1" applyFont="1" applyAlignment="1" applyProtection="1">
      <alignment horizontal="right"/>
    </xf>
    <xf numFmtId="0" fontId="76" fillId="0" borderId="0" xfId="76" applyFont="1" applyAlignment="1" applyProtection="1">
      <alignment horizontal="left" wrapText="1"/>
    </xf>
    <xf numFmtId="0" fontId="78" fillId="0" borderId="0" xfId="76" applyFont="1" applyAlignment="1" applyProtection="1">
      <alignment horizontal="left" wrapText="1"/>
    </xf>
    <xf numFmtId="2" fontId="76" fillId="0" borderId="0" xfId="76" applyNumberFormat="1" applyFont="1" applyAlignment="1" applyProtection="1">
      <alignment horizontal="right"/>
    </xf>
    <xf numFmtId="0" fontId="112" fillId="0" borderId="0" xfId="76" applyFont="1" applyAlignment="1" applyProtection="1">
      <alignment horizontal="left" vertical="center"/>
    </xf>
    <xf numFmtId="0" fontId="91" fillId="0" borderId="0" xfId="218" applyFont="1" applyAlignment="1">
      <alignment horizontal="left" vertical="center"/>
    </xf>
    <xf numFmtId="49" fontId="12" fillId="0" borderId="70" xfId="45" applyNumberFormat="1" applyFont="1" applyBorder="1" applyAlignment="1" applyProtection="1">
      <alignment horizontal="right"/>
    </xf>
    <xf numFmtId="172" fontId="12" fillId="0" borderId="70" xfId="218" applyNumberFormat="1" applyFont="1" applyBorder="1" applyAlignment="1">
      <alignment horizontal="right"/>
    </xf>
    <xf numFmtId="4" fontId="112" fillId="0" borderId="0" xfId="218" applyNumberFormat="1" applyFont="1" applyAlignment="1">
      <alignment horizontal="right" vertical="center"/>
    </xf>
    <xf numFmtId="4" fontId="15" fillId="0" borderId="0" xfId="218" applyNumberFormat="1" applyFont="1" applyAlignment="1">
      <alignment horizontal="left" vertical="center"/>
    </xf>
    <xf numFmtId="49" fontId="12" fillId="0" borderId="70" xfId="79" applyNumberFormat="1" applyFont="1" applyBorder="1" applyAlignment="1" applyProtection="1">
      <alignment horizontal="left" wrapText="1"/>
    </xf>
    <xf numFmtId="0" fontId="12" fillId="0" borderId="70" xfId="79" applyFont="1" applyBorder="1" applyAlignment="1" applyProtection="1">
      <alignment wrapText="1"/>
    </xf>
    <xf numFmtId="4" fontId="15" fillId="0" borderId="0" xfId="79" applyNumberFormat="1" applyAlignment="1" applyProtection="1">
      <alignment horizontal="left" vertical="center"/>
    </xf>
    <xf numFmtId="37" fontId="76" fillId="0" borderId="0" xfId="79" applyNumberFormat="1" applyFont="1" applyAlignment="1" applyProtection="1">
      <alignment horizontal="right"/>
    </xf>
    <xf numFmtId="0" fontId="76" fillId="0" borderId="0" xfId="79" applyFont="1" applyAlignment="1" applyProtection="1">
      <alignment horizontal="left"/>
    </xf>
    <xf numFmtId="0" fontId="76" fillId="0" borderId="0" xfId="79" applyFont="1" applyAlignment="1" applyProtection="1">
      <alignment horizontal="left" wrapText="1"/>
    </xf>
    <xf numFmtId="0" fontId="78" fillId="0" borderId="0" xfId="79" applyFont="1" applyAlignment="1" applyProtection="1">
      <alignment horizontal="left" wrapText="1"/>
    </xf>
    <xf numFmtId="2" fontId="76" fillId="0" borderId="0" xfId="79" applyNumberFormat="1" applyFont="1" applyAlignment="1" applyProtection="1">
      <alignment horizontal="right"/>
    </xf>
    <xf numFmtId="39" fontId="76" fillId="0" borderId="0" xfId="79" applyNumberFormat="1" applyFont="1" applyAlignment="1" applyProtection="1">
      <alignment horizontal="right"/>
    </xf>
    <xf numFmtId="0" fontId="112" fillId="0" borderId="0" xfId="79" applyFont="1" applyAlignment="1" applyProtection="1">
      <alignment horizontal="right" vertical="center"/>
    </xf>
    <xf numFmtId="37" fontId="64" fillId="0" borderId="70" xfId="79" applyNumberFormat="1" applyFont="1" applyBorder="1" applyAlignment="1" applyProtection="1">
      <alignment horizontal="right"/>
    </xf>
    <xf numFmtId="0" fontId="64" fillId="0" borderId="70" xfId="79" applyFont="1" applyBorder="1" applyAlignment="1" applyProtection="1">
      <alignment horizontal="left" wrapText="1"/>
    </xf>
    <xf numFmtId="0" fontId="57" fillId="0" borderId="70" xfId="79" applyFont="1" applyBorder="1" applyAlignment="1" applyProtection="1">
      <alignment horizontal="left" wrapText="1"/>
    </xf>
    <xf numFmtId="4" fontId="64" fillId="0" borderId="70" xfId="79" applyNumberFormat="1" applyFont="1" applyBorder="1" applyAlignment="1" applyProtection="1">
      <alignment horizontal="right"/>
    </xf>
    <xf numFmtId="0" fontId="15" fillId="0" borderId="70" xfId="79" applyBorder="1" applyAlignment="1" applyProtection="1">
      <alignment horizontal="left" vertical="top"/>
    </xf>
    <xf numFmtId="37" fontId="12" fillId="0" borderId="70" xfId="219" applyNumberFormat="1" applyFont="1" applyBorder="1" applyAlignment="1">
      <alignment horizontal="right"/>
    </xf>
    <xf numFmtId="0" fontId="12" fillId="0" borderId="70" xfId="219" applyFont="1" applyBorder="1" applyAlignment="1">
      <alignment horizontal="left" wrapText="1"/>
    </xf>
    <xf numFmtId="0" fontId="64" fillId="0" borderId="70" xfId="219" applyFont="1" applyBorder="1" applyAlignment="1">
      <alignment horizontal="left" wrapText="1"/>
    </xf>
    <xf numFmtId="172" fontId="64" fillId="0" borderId="70" xfId="219" applyNumberFormat="1" applyFont="1" applyBorder="1" applyAlignment="1">
      <alignment horizontal="right"/>
    </xf>
    <xf numFmtId="39" fontId="64" fillId="0" borderId="70" xfId="219" applyNumberFormat="1" applyFont="1" applyBorder="1" applyAlignment="1">
      <alignment horizontal="right"/>
    </xf>
    <xf numFmtId="39" fontId="12" fillId="0" borderId="70" xfId="219" applyNumberFormat="1" applyFont="1" applyBorder="1" applyAlignment="1">
      <alignment horizontal="center"/>
    </xf>
    <xf numFmtId="0" fontId="3" fillId="0" borderId="0" xfId="219" applyAlignment="1">
      <alignment horizontal="left" vertical="top"/>
    </xf>
    <xf numFmtId="49" fontId="12" fillId="0" borderId="70" xfId="219" applyNumberFormat="1" applyFont="1" applyBorder="1" applyAlignment="1">
      <alignment horizontal="left" wrapText="1"/>
    </xf>
    <xf numFmtId="39" fontId="202" fillId="0" borderId="70" xfId="3" applyNumberFormat="1" applyFont="1" applyBorder="1" applyAlignment="1">
      <alignment horizontal="left"/>
    </xf>
    <xf numFmtId="0" fontId="14" fillId="0" borderId="0" xfId="3" applyAlignment="1">
      <alignment horizontal="left"/>
    </xf>
    <xf numFmtId="39" fontId="65" fillId="0" borderId="70" xfId="33" applyNumberFormat="1" applyFont="1" applyBorder="1" applyAlignment="1">
      <alignment horizontal="right" vertical="center"/>
    </xf>
    <xf numFmtId="0" fontId="91" fillId="0" borderId="0" xfId="89" applyFont="1" applyAlignment="1">
      <alignment horizontal="left" vertical="top"/>
    </xf>
    <xf numFmtId="0" fontId="175" fillId="0" borderId="0" xfId="33" applyFont="1" applyAlignment="1">
      <alignment horizontal="left" vertical="top"/>
    </xf>
    <xf numFmtId="0" fontId="15" fillId="0" borderId="0" xfId="169" applyAlignment="1" applyProtection="1">
      <alignment horizontal="left" vertical="top"/>
    </xf>
    <xf numFmtId="49" fontId="12" fillId="0" borderId="70" xfId="225" applyNumberFormat="1" applyFont="1" applyBorder="1" applyAlignment="1" applyProtection="1">
      <alignment horizontal="right"/>
    </xf>
    <xf numFmtId="49" fontId="12" fillId="0" borderId="70" xfId="226" applyNumberFormat="1" applyFont="1" applyBorder="1" applyAlignment="1">
      <alignment horizontal="left" wrapText="1"/>
    </xf>
    <xf numFmtId="0" fontId="12" fillId="0" borderId="70" xfId="225" applyFont="1" applyBorder="1" applyAlignment="1" applyProtection="1">
      <alignment horizontal="left" wrapText="1"/>
    </xf>
    <xf numFmtId="0" fontId="15" fillId="0" borderId="0" xfId="225" applyAlignment="1" applyProtection="1">
      <alignment horizontal="left" vertical="top"/>
    </xf>
    <xf numFmtId="39" fontId="12" fillId="0" borderId="70" xfId="225" applyNumberFormat="1" applyFont="1" applyBorder="1" applyAlignment="1" applyProtection="1">
      <alignment horizontal="right"/>
    </xf>
    <xf numFmtId="0" fontId="15" fillId="0" borderId="70" xfId="225" applyBorder="1" applyAlignment="1" applyProtection="1">
      <alignment horizontal="left" vertical="top"/>
    </xf>
    <xf numFmtId="0" fontId="204" fillId="0" borderId="0" xfId="225" applyFont="1" applyAlignment="1" applyProtection="1">
      <alignment horizontal="left" vertical="top"/>
    </xf>
    <xf numFmtId="0" fontId="204" fillId="0" borderId="0" xfId="225" applyFont="1" applyAlignment="1" applyProtection="1">
      <alignment horizontal="left" vertical="center"/>
    </xf>
    <xf numFmtId="0" fontId="204" fillId="0" borderId="0" xfId="225" applyFont="1" applyAlignment="1" applyProtection="1">
      <alignment horizontal="center" vertical="center"/>
    </xf>
    <xf numFmtId="0" fontId="70" fillId="0" borderId="70" xfId="225" applyFont="1" applyBorder="1" applyAlignment="1" applyProtection="1">
      <alignment horizontal="right" vertical="center"/>
    </xf>
    <xf numFmtId="0" fontId="20" fillId="0" borderId="0" xfId="3" applyFont="1" applyAlignment="1">
      <alignment vertical="center"/>
    </xf>
    <xf numFmtId="0" fontId="142" fillId="0" borderId="0" xfId="3" applyFont="1" applyAlignment="1">
      <alignment vertical="center"/>
    </xf>
    <xf numFmtId="0" fontId="103" fillId="0" borderId="0" xfId="3" applyFont="1" applyAlignment="1">
      <alignment horizontal="left" vertical="center"/>
    </xf>
    <xf numFmtId="0" fontId="57" fillId="0" borderId="0" xfId="3" applyFont="1" applyAlignment="1">
      <alignment horizontal="left" vertical="center" wrapText="1"/>
    </xf>
    <xf numFmtId="0" fontId="15" fillId="0" borderId="70" xfId="3" applyFont="1" applyBorder="1" applyAlignment="1">
      <alignment horizontal="center" vertical="center"/>
    </xf>
    <xf numFmtId="49" fontId="12" fillId="0" borderId="70" xfId="157" applyNumberFormat="1" applyFont="1" applyBorder="1" applyAlignment="1">
      <alignment horizontal="left" wrapText="1"/>
    </xf>
    <xf numFmtId="37" fontId="156" fillId="0" borderId="0" xfId="218" applyNumberFormat="1" applyFont="1" applyAlignment="1">
      <alignment horizontal="right"/>
    </xf>
    <xf numFmtId="0" fontId="156" fillId="0" borderId="0" xfId="218" applyFont="1" applyAlignment="1">
      <alignment horizontal="left" wrapText="1"/>
    </xf>
    <xf numFmtId="176" fontId="156" fillId="0" borderId="0" xfId="218" applyNumberFormat="1" applyFont="1" applyAlignment="1">
      <alignment horizontal="right"/>
    </xf>
    <xf numFmtId="39" fontId="156" fillId="0" borderId="0" xfId="218" applyNumberFormat="1" applyFont="1" applyAlignment="1">
      <alignment horizontal="right"/>
    </xf>
    <xf numFmtId="37" fontId="12" fillId="0" borderId="51" xfId="218" applyNumberFormat="1" applyFont="1" applyBorder="1" applyAlignment="1">
      <alignment horizontal="right"/>
    </xf>
    <xf numFmtId="0" fontId="12" fillId="0" borderId="51" xfId="218" applyFont="1" applyBorder="1" applyAlignment="1">
      <alignment horizontal="left" wrapText="1"/>
    </xf>
    <xf numFmtId="0" fontId="12" fillId="0" borderId="51" xfId="218" applyFont="1" applyBorder="1" applyAlignment="1">
      <alignment horizontal="center" wrapText="1"/>
    </xf>
    <xf numFmtId="176" fontId="12" fillId="0" borderId="51" xfId="218" applyNumberFormat="1" applyFont="1" applyBorder="1" applyAlignment="1">
      <alignment horizontal="right"/>
    </xf>
    <xf numFmtId="39" fontId="12" fillId="0" borderId="51" xfId="218" applyNumberFormat="1" applyFont="1" applyBorder="1" applyAlignment="1">
      <alignment horizontal="right"/>
    </xf>
    <xf numFmtId="0" fontId="172" fillId="0" borderId="0" xfId="218" applyFont="1" applyAlignment="1">
      <alignment horizontal="left" vertical="top"/>
    </xf>
    <xf numFmtId="0" fontId="64" fillId="0" borderId="39" xfId="218" applyFont="1" applyBorder="1" applyAlignment="1">
      <alignment horizontal="left"/>
    </xf>
    <xf numFmtId="0" fontId="83" fillId="0" borderId="40" xfId="218" applyFont="1" applyBorder="1" applyAlignment="1">
      <alignment horizontal="center"/>
    </xf>
    <xf numFmtId="176" fontId="83" fillId="0" borderId="40" xfId="218" applyNumberFormat="1" applyFont="1" applyBorder="1" applyAlignment="1">
      <alignment horizontal="right"/>
    </xf>
    <xf numFmtId="39" fontId="12" fillId="0" borderId="40" xfId="218" applyNumberFormat="1" applyFont="1" applyBorder="1" applyAlignment="1">
      <alignment horizontal="right"/>
    </xf>
    <xf numFmtId="39" fontId="64" fillId="0" borderId="33" xfId="218" applyNumberFormat="1" applyFont="1" applyBorder="1" applyAlignment="1">
      <alignment horizontal="right"/>
    </xf>
    <xf numFmtId="39" fontId="202" fillId="0" borderId="0" xfId="218" applyNumberFormat="1" applyFont="1" applyAlignment="1">
      <alignment horizontal="center"/>
    </xf>
    <xf numFmtId="37" fontId="83" fillId="0" borderId="0" xfId="218" applyNumberFormat="1" applyFont="1" applyAlignment="1">
      <alignment horizontal="right"/>
    </xf>
    <xf numFmtId="0" fontId="83" fillId="0" borderId="0" xfId="218" applyFont="1" applyAlignment="1">
      <alignment horizontal="left" wrapText="1"/>
    </xf>
    <xf numFmtId="0" fontId="83" fillId="0" borderId="0" xfId="218" applyFont="1" applyAlignment="1">
      <alignment horizontal="center" wrapText="1"/>
    </xf>
    <xf numFmtId="176" fontId="83" fillId="0" borderId="0" xfId="218" applyNumberFormat="1" applyFont="1" applyAlignment="1">
      <alignment horizontal="right"/>
    </xf>
    <xf numFmtId="39" fontId="83" fillId="0" borderId="0" xfId="218" applyNumberFormat="1" applyFont="1" applyAlignment="1">
      <alignment horizontal="right"/>
    </xf>
    <xf numFmtId="4" fontId="12" fillId="0" borderId="70" xfId="76" applyNumberFormat="1" applyFont="1" applyBorder="1" applyAlignment="1">
      <alignment horizontal="right"/>
      <protection locked="0"/>
    </xf>
    <xf numFmtId="4" fontId="76" fillId="0" borderId="70" xfId="76" applyNumberFormat="1" applyFont="1" applyBorder="1" applyAlignment="1">
      <alignment horizontal="right"/>
      <protection locked="0"/>
    </xf>
    <xf numFmtId="4" fontId="64" fillId="0" borderId="70" xfId="76" applyNumberFormat="1" applyFont="1" applyBorder="1" applyAlignment="1">
      <alignment horizontal="right"/>
      <protection locked="0"/>
    </xf>
    <xf numFmtId="4" fontId="12" fillId="0" borderId="70" xfId="79" applyNumberFormat="1" applyFont="1" applyBorder="1" applyAlignment="1">
      <alignment horizontal="right"/>
      <protection locked="0"/>
    </xf>
    <xf numFmtId="4" fontId="64" fillId="0" borderId="70" xfId="79" applyNumberFormat="1" applyFont="1" applyBorder="1" applyAlignment="1">
      <alignment horizontal="right"/>
      <protection locked="0"/>
    </xf>
    <xf numFmtId="4" fontId="12" fillId="0" borderId="70" xfId="36" applyNumberFormat="1" applyFont="1" applyBorder="1" applyAlignment="1" applyProtection="1">
      <alignment horizontal="right"/>
      <protection locked="0"/>
    </xf>
    <xf numFmtId="0" fontId="145" fillId="0" borderId="0" xfId="154" applyFont="1"/>
    <xf numFmtId="0" fontId="62" fillId="0" borderId="0" xfId="154" applyFont="1" applyAlignment="1">
      <alignment horizontal="center"/>
    </xf>
    <xf numFmtId="0" fontId="201" fillId="0" borderId="0" xfId="154" applyFont="1" applyAlignment="1">
      <alignment horizontal="right" vertical="top"/>
    </xf>
    <xf numFmtId="0" fontId="66" fillId="5" borderId="33" xfId="154" applyFont="1" applyFill="1" applyBorder="1" applyAlignment="1">
      <alignment horizontal="center" vertical="center" wrapText="1"/>
    </xf>
    <xf numFmtId="0" fontId="66" fillId="5" borderId="39" xfId="154" applyFont="1" applyFill="1" applyBorder="1" applyAlignment="1">
      <alignment horizontal="center" vertical="center" wrapText="1"/>
    </xf>
    <xf numFmtId="0" fontId="66" fillId="5" borderId="15" xfId="154" applyFont="1" applyFill="1" applyBorder="1" applyAlignment="1">
      <alignment horizontal="center" vertical="center" wrapText="1"/>
    </xf>
    <xf numFmtId="0" fontId="309" fillId="0" borderId="0" xfId="154" applyFont="1" applyAlignment="1">
      <alignment horizontal="left" vertical="center"/>
    </xf>
    <xf numFmtId="0" fontId="310" fillId="0" borderId="0" xfId="154" applyFont="1" applyAlignment="1">
      <alignment horizontal="left" vertical="center" wrapText="1"/>
    </xf>
    <xf numFmtId="0" fontId="310" fillId="0" borderId="0" xfId="154" applyFont="1" applyAlignment="1">
      <alignment horizontal="left" vertical="center"/>
    </xf>
    <xf numFmtId="37" fontId="64" fillId="5" borderId="0" xfId="154" applyNumberFormat="1" applyFont="1" applyFill="1" applyAlignment="1">
      <alignment horizontal="right"/>
    </xf>
    <xf numFmtId="0" fontId="64" fillId="5" borderId="0" xfId="154" applyFont="1" applyFill="1" applyAlignment="1">
      <alignment horizontal="left" wrapText="1"/>
    </xf>
    <xf numFmtId="176" fontId="64" fillId="5" borderId="0" xfId="154" applyNumberFormat="1" applyFont="1" applyFill="1" applyAlignment="1">
      <alignment horizontal="right"/>
    </xf>
    <xf numFmtId="39" fontId="64" fillId="5" borderId="0" xfId="154" applyNumberFormat="1" applyFont="1" applyFill="1" applyAlignment="1">
      <alignment horizontal="right"/>
    </xf>
    <xf numFmtId="37" fontId="12" fillId="5" borderId="70" xfId="154" applyNumberFormat="1" applyFont="1" applyFill="1" applyBorder="1" applyAlignment="1">
      <alignment horizontal="right"/>
    </xf>
    <xf numFmtId="0" fontId="12" fillId="5" borderId="70" xfId="154" applyFont="1" applyFill="1" applyBorder="1" applyAlignment="1">
      <alignment horizontal="left" wrapText="1"/>
    </xf>
    <xf numFmtId="0" fontId="64" fillId="5" borderId="70" xfId="154" applyFont="1" applyFill="1" applyBorder="1" applyAlignment="1">
      <alignment horizontal="left" wrapText="1"/>
    </xf>
    <xf numFmtId="2" fontId="64" fillId="5" borderId="70" xfId="154" applyNumberFormat="1" applyFont="1" applyFill="1" applyBorder="1" applyAlignment="1">
      <alignment horizontal="right"/>
    </xf>
    <xf numFmtId="39" fontId="64" fillId="5" borderId="70" xfId="154" applyNumberFormat="1" applyFont="1" applyFill="1" applyBorder="1" applyAlignment="1">
      <alignment horizontal="right"/>
    </xf>
    <xf numFmtId="0" fontId="246" fillId="0" borderId="0" xfId="154" applyFont="1" applyAlignment="1">
      <alignment horizontal="left" vertical="top"/>
    </xf>
    <xf numFmtId="173" fontId="69" fillId="0" borderId="0" xfId="154" applyNumberFormat="1" applyFont="1" applyAlignment="1">
      <alignment horizontal="right" vertical="top"/>
    </xf>
    <xf numFmtId="37" fontId="12" fillId="0" borderId="70" xfId="154" applyNumberFormat="1" applyFont="1" applyBorder="1" applyAlignment="1">
      <alignment horizontal="right"/>
    </xf>
    <xf numFmtId="172" fontId="12" fillId="0" borderId="70" xfId="211" applyNumberFormat="1" applyFont="1" applyBorder="1" applyAlignment="1">
      <alignment horizontal="right"/>
    </xf>
    <xf numFmtId="0" fontId="311" fillId="0" borderId="0" xfId="154" applyFont="1" applyAlignment="1">
      <alignment horizontal="left" vertical="center"/>
    </xf>
    <xf numFmtId="0" fontId="57" fillId="0" borderId="70" xfId="154" applyFont="1" applyBorder="1" applyAlignment="1">
      <alignment horizontal="left" wrapText="1"/>
    </xf>
    <xf numFmtId="172" fontId="57" fillId="0" borderId="70" xfId="154" applyNumberFormat="1" applyFont="1" applyBorder="1" applyAlignment="1">
      <alignment horizontal="right"/>
    </xf>
    <xf numFmtId="0" fontId="312" fillId="0" borderId="0" xfId="154" applyFont="1" applyAlignment="1">
      <alignment horizontal="left" vertical="center"/>
    </xf>
    <xf numFmtId="172" fontId="31" fillId="0" borderId="70" xfId="154" applyNumberFormat="1" applyBorder="1" applyAlignment="1">
      <alignment horizontal="left" vertical="top"/>
    </xf>
    <xf numFmtId="2" fontId="12" fillId="0" borderId="70" xfId="154" applyNumberFormat="1" applyFont="1" applyBorder="1" applyAlignment="1">
      <alignment horizontal="center"/>
    </xf>
    <xf numFmtId="0" fontId="37" fillId="0" borderId="0" xfId="33" applyAlignment="1">
      <alignment horizontal="center" vertical="center"/>
    </xf>
    <xf numFmtId="172" fontId="69" fillId="0" borderId="0" xfId="33" applyNumberFormat="1" applyFont="1" applyAlignment="1">
      <alignment horizontal="left" vertical="top"/>
    </xf>
    <xf numFmtId="39" fontId="69" fillId="0" borderId="0" xfId="33" applyNumberFormat="1" applyFont="1" applyAlignment="1">
      <alignment horizontal="left" vertical="top"/>
    </xf>
    <xf numFmtId="181" fontId="169" fillId="0" borderId="0" xfId="33" applyNumberFormat="1" applyFont="1" applyAlignment="1">
      <alignment horizontal="right" vertical="center"/>
    </xf>
    <xf numFmtId="181" fontId="37" fillId="0" borderId="0" xfId="33" applyNumberFormat="1" applyAlignment="1">
      <alignment horizontal="left" vertical="top"/>
    </xf>
    <xf numFmtId="173" fontId="111" fillId="0" borderId="0" xfId="33" applyNumberFormat="1" applyFont="1" applyAlignment="1">
      <alignment horizontal="left" vertical="center"/>
    </xf>
    <xf numFmtId="2" fontId="176" fillId="0" borderId="0" xfId="33" applyNumberFormat="1" applyFont="1" applyAlignment="1">
      <alignment horizontal="left" vertical="center"/>
    </xf>
    <xf numFmtId="4" fontId="222" fillId="0" borderId="0" xfId="154" applyNumberFormat="1" applyFont="1" applyAlignment="1">
      <alignment horizontal="center" vertical="center"/>
    </xf>
    <xf numFmtId="4" fontId="223" fillId="0" borderId="0" xfId="154" applyNumberFormat="1" applyFont="1" applyAlignment="1">
      <alignment horizontal="center" vertical="center"/>
    </xf>
    <xf numFmtId="37" fontId="12" fillId="0" borderId="70" xfId="212" applyNumberFormat="1" applyFont="1" applyBorder="1" applyAlignment="1">
      <alignment horizontal="right"/>
    </xf>
    <xf numFmtId="0" fontId="12" fillId="0" borderId="70" xfId="212" applyFont="1" applyBorder="1" applyAlignment="1">
      <alignment horizontal="left" wrapText="1"/>
    </xf>
    <xf numFmtId="172" fontId="12" fillId="0" borderId="70" xfId="213" applyNumberFormat="1" applyFont="1" applyBorder="1" applyAlignment="1">
      <alignment horizontal="right"/>
    </xf>
    <xf numFmtId="0" fontId="85" fillId="0" borderId="0" xfId="154" applyFont="1" applyAlignment="1">
      <alignment horizontal="left" vertical="center"/>
    </xf>
    <xf numFmtId="0" fontId="313" fillId="0" borderId="0" xfId="33" applyFont="1" applyAlignment="1">
      <alignment horizontal="left" vertical="top"/>
    </xf>
    <xf numFmtId="0" fontId="12" fillId="0" borderId="0" xfId="154" applyFont="1" applyAlignment="1">
      <alignment horizontal="left" wrapText="1"/>
    </xf>
    <xf numFmtId="0" fontId="175" fillId="0" borderId="0" xfId="33" applyFont="1" applyAlignment="1">
      <alignment horizontal="left" vertical="center"/>
    </xf>
    <xf numFmtId="172" fontId="69" fillId="0" borderId="0" xfId="33" applyNumberFormat="1" applyFont="1" applyAlignment="1">
      <alignment horizontal="left" vertical="center"/>
    </xf>
    <xf numFmtId="172" fontId="76" fillId="0" borderId="70" xfId="213" applyNumberFormat="1" applyFont="1" applyBorder="1" applyAlignment="1">
      <alignment horizontal="right"/>
    </xf>
    <xf numFmtId="0" fontId="314" fillId="0" borderId="0" xfId="33" applyFont="1" applyAlignment="1">
      <alignment horizontal="left" vertical="center"/>
    </xf>
    <xf numFmtId="0" fontId="315" fillId="0" borderId="0" xfId="33" applyFont="1" applyAlignment="1">
      <alignment horizontal="left" vertical="top"/>
    </xf>
    <xf numFmtId="171" fontId="315" fillId="0" borderId="0" xfId="33" applyNumberFormat="1" applyFont="1" applyAlignment="1">
      <alignment horizontal="left" vertical="top"/>
    </xf>
    <xf numFmtId="4" fontId="316" fillId="0" borderId="70" xfId="33" applyNumberFormat="1" applyFont="1" applyBorder="1" applyAlignment="1">
      <alignment horizontal="right" vertical="center"/>
    </xf>
    <xf numFmtId="172" fontId="317" fillId="0" borderId="0" xfId="33" applyNumberFormat="1" applyFont="1" applyAlignment="1">
      <alignment horizontal="left" vertical="top"/>
    </xf>
    <xf numFmtId="0" fontId="283" fillId="0" borderId="0" xfId="33" applyFont="1" applyAlignment="1">
      <alignment horizontal="center" vertical="center"/>
    </xf>
    <xf numFmtId="0" fontId="315" fillId="0" borderId="0" xfId="33" applyFont="1" applyAlignment="1">
      <alignment horizontal="right" vertical="top"/>
    </xf>
    <xf numFmtId="0" fontId="317" fillId="0" borderId="0" xfId="33" applyFont="1" applyAlignment="1">
      <alignment horizontal="left" vertical="top"/>
    </xf>
    <xf numFmtId="0" fontId="318" fillId="0" borderId="0" xfId="33" applyFont="1" applyAlignment="1">
      <alignment horizontal="left" vertical="center"/>
    </xf>
    <xf numFmtId="181" fontId="319" fillId="0" borderId="0" xfId="33" applyNumberFormat="1" applyFont="1" applyAlignment="1">
      <alignment horizontal="right" vertical="center"/>
    </xf>
    <xf numFmtId="181" fontId="320" fillId="0" borderId="0" xfId="33" applyNumberFormat="1" applyFont="1" applyAlignment="1">
      <alignment horizontal="right" vertical="center"/>
    </xf>
    <xf numFmtId="181" fontId="315" fillId="0" borderId="0" xfId="33" applyNumberFormat="1" applyFont="1" applyAlignment="1">
      <alignment horizontal="left" vertical="top"/>
    </xf>
    <xf numFmtId="2" fontId="319" fillId="0" borderId="0" xfId="33" applyNumberFormat="1" applyFont="1" applyAlignment="1">
      <alignment horizontal="right" vertical="center"/>
    </xf>
    <xf numFmtId="173" fontId="318" fillId="0" borderId="0" xfId="33" applyNumberFormat="1" applyFont="1" applyAlignment="1">
      <alignment horizontal="left" vertical="center"/>
    </xf>
    <xf numFmtId="2" fontId="321" fillId="0" borderId="0" xfId="33" applyNumberFormat="1" applyFont="1" applyAlignment="1">
      <alignment horizontal="left" vertical="center"/>
    </xf>
    <xf numFmtId="39" fontId="317" fillId="0" borderId="0" xfId="33" applyNumberFormat="1" applyFont="1" applyAlignment="1">
      <alignment horizontal="left" vertical="top"/>
    </xf>
    <xf numFmtId="37" fontId="12" fillId="5" borderId="70" xfId="211" applyNumberFormat="1" applyFont="1" applyFill="1" applyBorder="1" applyAlignment="1">
      <alignment horizontal="right"/>
    </xf>
    <xf numFmtId="0" fontId="12" fillId="5" borderId="70" xfId="211" applyFont="1" applyFill="1" applyBorder="1" applyAlignment="1">
      <alignment horizontal="left" wrapText="1"/>
    </xf>
    <xf numFmtId="0" fontId="64" fillId="5" borderId="70" xfId="211" applyFont="1" applyFill="1" applyBorder="1" applyAlignment="1">
      <alignment horizontal="left" wrapText="1"/>
    </xf>
    <xf numFmtId="172" fontId="64" fillId="5" borderId="70" xfId="211" applyNumberFormat="1" applyFont="1" applyFill="1" applyBorder="1" applyAlignment="1">
      <alignment horizontal="right"/>
    </xf>
    <xf numFmtId="39" fontId="64" fillId="5" borderId="70" xfId="211" applyNumberFormat="1" applyFont="1" applyFill="1" applyBorder="1" applyAlignment="1">
      <alignment horizontal="right"/>
    </xf>
    <xf numFmtId="39" fontId="12" fillId="5" borderId="70" xfId="211" applyNumberFormat="1" applyFont="1" applyFill="1" applyBorder="1" applyAlignment="1">
      <alignment horizontal="center"/>
    </xf>
    <xf numFmtId="0" fontId="3" fillId="0" borderId="0" xfId="211" applyAlignment="1">
      <alignment horizontal="left" vertical="top"/>
    </xf>
    <xf numFmtId="0" fontId="246" fillId="0" borderId="0" xfId="211" applyFont="1" applyAlignment="1">
      <alignment horizontal="left" vertical="top"/>
    </xf>
    <xf numFmtId="49" fontId="12" fillId="0" borderId="70" xfId="213" applyNumberFormat="1" applyFont="1" applyBorder="1" applyAlignment="1">
      <alignment horizontal="right"/>
    </xf>
    <xf numFmtId="0" fontId="12" fillId="0" borderId="70" xfId="213" applyFont="1" applyBorder="1" applyAlignment="1">
      <alignment horizontal="left" wrapText="1"/>
    </xf>
    <xf numFmtId="0" fontId="78" fillId="0" borderId="0" xfId="154" applyFont="1" applyAlignment="1">
      <alignment horizontal="left" wrapText="1"/>
    </xf>
    <xf numFmtId="0" fontId="64" fillId="0" borderId="70" xfId="33" applyFont="1" applyBorder="1" applyAlignment="1">
      <alignment horizontal="left" wrapText="1"/>
    </xf>
    <xf numFmtId="2" fontId="219" fillId="0" borderId="0" xfId="33" applyNumberFormat="1" applyFont="1" applyAlignment="1">
      <alignment horizontal="left" vertical="center"/>
    </xf>
    <xf numFmtId="0" fontId="323" fillId="0" borderId="0" xfId="154" applyFont="1" applyAlignment="1">
      <alignment vertical="center"/>
    </xf>
    <xf numFmtId="0" fontId="125" fillId="0" borderId="0" xfId="154" applyFont="1" applyAlignment="1">
      <alignment vertical="center"/>
    </xf>
    <xf numFmtId="0" fontId="324" fillId="0" borderId="0" xfId="154" applyFont="1" applyAlignment="1">
      <alignment horizontal="right" vertical="center"/>
    </xf>
    <xf numFmtId="37" fontId="12" fillId="0" borderId="70" xfId="216" applyNumberFormat="1" applyFont="1" applyBorder="1" applyAlignment="1">
      <alignment horizontal="right"/>
    </xf>
    <xf numFmtId="0" fontId="12" fillId="0" borderId="70" xfId="216" applyFont="1" applyBorder="1" applyAlignment="1">
      <alignment horizontal="left" wrapText="1"/>
    </xf>
    <xf numFmtId="0" fontId="101" fillId="0" borderId="0" xfId="154" applyFont="1" applyAlignment="1">
      <alignment vertical="center"/>
    </xf>
    <xf numFmtId="0" fontId="31" fillId="0" borderId="0" xfId="154" applyAlignment="1">
      <alignment horizontal="left" vertical="center"/>
    </xf>
    <xf numFmtId="0" fontId="31" fillId="0" borderId="0" xfId="154" applyAlignment="1">
      <alignment horizontal="right" vertical="center"/>
    </xf>
    <xf numFmtId="0" fontId="101" fillId="0" borderId="0" xfId="33" applyFont="1" applyAlignment="1">
      <alignment vertical="center"/>
    </xf>
    <xf numFmtId="1" fontId="57" fillId="0" borderId="70" xfId="36" applyNumberFormat="1" applyFont="1" applyBorder="1" applyAlignment="1">
      <alignment horizontal="right"/>
    </xf>
    <xf numFmtId="37" fontId="57" fillId="0" borderId="70" xfId="36" applyNumberFormat="1" applyFont="1" applyBorder="1" applyAlignment="1">
      <alignment horizontal="right"/>
    </xf>
    <xf numFmtId="0" fontId="63" fillId="0" borderId="70" xfId="33" applyFont="1" applyBorder="1" applyAlignment="1">
      <alignment horizontal="left" vertical="center" wrapText="1"/>
    </xf>
    <xf numFmtId="172" fontId="57" fillId="0" borderId="70" xfId="36" applyNumberFormat="1" applyFont="1" applyBorder="1" applyAlignment="1">
      <alignment horizontal="right"/>
    </xf>
    <xf numFmtId="4" fontId="57" fillId="0" borderId="70" xfId="36" applyNumberFormat="1" applyFont="1" applyBorder="1" applyAlignment="1">
      <alignment horizontal="right"/>
    </xf>
    <xf numFmtId="0" fontId="47" fillId="0" borderId="0" xfId="127" applyFill="1" applyAlignment="1" applyProtection="1">
      <alignment horizontal="left" vertical="center"/>
    </xf>
    <xf numFmtId="0" fontId="248" fillId="0" borderId="0" xfId="36" applyFont="1" applyAlignment="1">
      <alignment horizontal="left" vertical="center"/>
    </xf>
    <xf numFmtId="0" fontId="31" fillId="0" borderId="0" xfId="36"/>
    <xf numFmtId="0" fontId="31" fillId="5" borderId="0" xfId="36" applyFill="1"/>
    <xf numFmtId="39" fontId="64" fillId="0" borderId="70" xfId="33" applyNumberFormat="1" applyFont="1" applyBorder="1" applyAlignment="1">
      <alignment horizontal="right"/>
    </xf>
    <xf numFmtId="0" fontId="174" fillId="0" borderId="0" xfId="154" applyFont="1" applyAlignment="1">
      <alignment horizontal="left" vertical="center"/>
    </xf>
    <xf numFmtId="0" fontId="69" fillId="0" borderId="0" xfId="154" applyFont="1" applyAlignment="1">
      <alignment horizontal="left" vertical="center"/>
    </xf>
    <xf numFmtId="37" fontId="12" fillId="0" borderId="0" xfId="154" applyNumberFormat="1" applyFont="1" applyAlignment="1">
      <alignment horizontal="right"/>
    </xf>
    <xf numFmtId="0" fontId="135" fillId="0" borderId="0" xfId="154" applyFont="1" applyAlignment="1">
      <alignment horizontal="left" wrapText="1"/>
    </xf>
    <xf numFmtId="2" fontId="12" fillId="0" borderId="0" xfId="154" applyNumberFormat="1" applyFont="1" applyAlignment="1">
      <alignment horizontal="right"/>
    </xf>
    <xf numFmtId="39" fontId="12" fillId="0" borderId="0" xfId="154" applyNumberFormat="1" applyFont="1" applyAlignment="1">
      <alignment horizontal="right"/>
    </xf>
    <xf numFmtId="0" fontId="15" fillId="0" borderId="0" xfId="154" applyFont="1" applyAlignment="1">
      <alignment vertical="top"/>
    </xf>
    <xf numFmtId="0" fontId="71" fillId="0" borderId="70" xfId="154" applyFont="1" applyBorder="1" applyAlignment="1">
      <alignment horizontal="left" wrapText="1"/>
    </xf>
    <xf numFmtId="39" fontId="63" fillId="0" borderId="70" xfId="215" applyNumberFormat="1" applyFont="1" applyBorder="1" applyAlignment="1">
      <alignment horizontal="center"/>
    </xf>
    <xf numFmtId="37" fontId="71" fillId="0" borderId="70" xfId="154" applyNumberFormat="1" applyFont="1" applyBorder="1" applyAlignment="1">
      <alignment horizontal="right"/>
    </xf>
    <xf numFmtId="49" fontId="135" fillId="0" borderId="70" xfId="154" applyNumberFormat="1" applyFont="1" applyBorder="1" applyAlignment="1">
      <alignment horizontal="left" wrapText="1"/>
    </xf>
    <xf numFmtId="0" fontId="135" fillId="0" borderId="70" xfId="154" applyFont="1" applyBorder="1" applyAlignment="1">
      <alignment horizontal="left" wrapText="1"/>
    </xf>
    <xf numFmtId="2" fontId="57" fillId="0" borderId="70" xfId="154" applyNumberFormat="1" applyFont="1" applyBorder="1" applyAlignment="1">
      <alignment horizontal="right"/>
    </xf>
    <xf numFmtId="0" fontId="15" fillId="0" borderId="70" xfId="154" applyFont="1" applyBorder="1" applyAlignment="1">
      <alignment horizontal="center" vertical="center"/>
    </xf>
    <xf numFmtId="0" fontId="15" fillId="0" borderId="0" xfId="154" applyFont="1" applyAlignment="1">
      <alignment horizontal="right" vertical="center"/>
    </xf>
    <xf numFmtId="0" fontId="15" fillId="0" borderId="0" xfId="154" applyFont="1" applyAlignment="1">
      <alignment horizontal="left" vertical="center"/>
    </xf>
    <xf numFmtId="37" fontId="12" fillId="0" borderId="0" xfId="154" applyNumberFormat="1" applyFont="1" applyAlignment="1">
      <alignment horizontal="right" vertical="center"/>
    </xf>
    <xf numFmtId="0" fontId="12" fillId="0" borderId="0" xfId="154" applyFont="1" applyAlignment="1">
      <alignment horizontal="left" vertical="center" wrapText="1"/>
    </xf>
    <xf numFmtId="0" fontId="57" fillId="0" borderId="0" xfId="154" applyFont="1" applyAlignment="1">
      <alignment horizontal="left" vertical="center" wrapText="1"/>
    </xf>
    <xf numFmtId="2" fontId="12" fillId="0" borderId="0" xfId="154" applyNumberFormat="1" applyFont="1" applyAlignment="1">
      <alignment horizontal="right" vertical="center"/>
    </xf>
    <xf numFmtId="39" fontId="12" fillId="0" borderId="0" xfId="154" applyNumberFormat="1" applyFont="1" applyAlignment="1">
      <alignment horizontal="right" vertical="center"/>
    </xf>
    <xf numFmtId="49" fontId="12" fillId="0" borderId="70" xfId="217" applyNumberFormat="1" applyFont="1" applyBorder="1" applyAlignment="1">
      <alignment horizontal="right" wrapText="1"/>
    </xf>
    <xf numFmtId="172" fontId="57" fillId="0" borderId="70" xfId="217" applyNumberFormat="1" applyFont="1" applyBorder="1" applyAlignment="1">
      <alignment horizontal="right"/>
    </xf>
    <xf numFmtId="1" fontId="83" fillId="0" borderId="70" xfId="154" applyNumberFormat="1" applyFont="1" applyBorder="1" applyAlignment="1">
      <alignment horizontal="right"/>
    </xf>
    <xf numFmtId="49" fontId="83" fillId="0" borderId="70" xfId="154" applyNumberFormat="1" applyFont="1" applyBorder="1" applyAlignment="1">
      <alignment horizontal="left" wrapText="1"/>
    </xf>
    <xf numFmtId="0" fontId="83" fillId="0" borderId="70" xfId="154" applyFont="1" applyBorder="1" applyAlignment="1">
      <alignment horizontal="left" wrapText="1"/>
    </xf>
    <xf numFmtId="0" fontId="31" fillId="0" borderId="70" xfId="154" applyBorder="1" applyAlignment="1">
      <alignment horizontal="left" vertical="top"/>
    </xf>
    <xf numFmtId="49" fontId="12" fillId="0" borderId="70" xfId="216" applyNumberFormat="1" applyFont="1" applyBorder="1" applyAlignment="1">
      <alignment horizontal="right"/>
    </xf>
    <xf numFmtId="0" fontId="177" fillId="0" borderId="0" xfId="201" applyFont="1" applyFill="1" applyAlignment="1" applyProtection="1">
      <alignment horizontal="left" vertical="center"/>
    </xf>
    <xf numFmtId="49" fontId="12" fillId="0" borderId="70" xfId="215" applyNumberFormat="1" applyFont="1" applyBorder="1" applyAlignment="1">
      <alignment horizontal="right"/>
    </xf>
    <xf numFmtId="172" fontId="71" fillId="0" borderId="70" xfId="215" applyNumberFormat="1" applyFont="1" applyBorder="1"/>
    <xf numFmtId="0" fontId="174" fillId="0" borderId="0" xfId="215" applyFont="1" applyAlignment="1">
      <alignment horizontal="left" vertical="center"/>
    </xf>
    <xf numFmtId="0" fontId="69" fillId="0" borderId="0" xfId="215" applyFont="1" applyAlignment="1">
      <alignment horizontal="right" vertical="top"/>
    </xf>
    <xf numFmtId="37" fontId="12" fillId="0" borderId="0" xfId="215" applyNumberFormat="1" applyFont="1" applyAlignment="1">
      <alignment horizontal="right"/>
    </xf>
    <xf numFmtId="0" fontId="135" fillId="0" borderId="0" xfId="215" applyFont="1" applyAlignment="1">
      <alignment horizontal="left" wrapText="1"/>
    </xf>
    <xf numFmtId="2" fontId="12" fillId="0" borderId="0" xfId="215" applyNumberFormat="1" applyFont="1" applyAlignment="1">
      <alignment horizontal="right"/>
    </xf>
    <xf numFmtId="0" fontId="15" fillId="0" borderId="0" xfId="215" applyFont="1" applyAlignment="1">
      <alignment vertical="top"/>
    </xf>
    <xf numFmtId="0" fontId="93" fillId="0" borderId="0" xfId="215" applyFont="1"/>
    <xf numFmtId="6" fontId="31" fillId="0" borderId="0" xfId="154" applyNumberFormat="1" applyAlignment="1">
      <alignment horizontal="left" vertical="top"/>
    </xf>
    <xf numFmtId="0" fontId="175" fillId="0" borderId="0" xfId="154" applyFont="1" applyAlignment="1">
      <alignment horizontal="left" vertical="center"/>
    </xf>
    <xf numFmtId="0" fontId="57" fillId="0" borderId="70" xfId="36" applyFont="1" applyBorder="1" applyAlignment="1">
      <alignment horizontal="left" vertical="center" wrapText="1"/>
    </xf>
    <xf numFmtId="37" fontId="156" fillId="0" borderId="0" xfId="154" applyNumberFormat="1" applyFont="1" applyAlignment="1">
      <alignment horizontal="right"/>
    </xf>
    <xf numFmtId="0" fontId="156" fillId="0" borderId="0" xfId="154" applyFont="1" applyAlignment="1">
      <alignment horizontal="left" wrapText="1"/>
    </xf>
    <xf numFmtId="176" fontId="156" fillId="0" borderId="0" xfId="154" applyNumberFormat="1" applyFont="1" applyAlignment="1">
      <alignment horizontal="right"/>
    </xf>
    <xf numFmtId="39" fontId="156" fillId="0" borderId="0" xfId="154" applyNumberFormat="1" applyFont="1" applyAlignment="1">
      <alignment horizontal="right"/>
    </xf>
    <xf numFmtId="37" fontId="12" fillId="0" borderId="51" xfId="154" applyNumberFormat="1" applyFont="1" applyBorder="1" applyAlignment="1">
      <alignment horizontal="right"/>
    </xf>
    <xf numFmtId="0" fontId="12" fillId="0" borderId="51" xfId="154" applyFont="1" applyBorder="1" applyAlignment="1">
      <alignment horizontal="left" wrapText="1"/>
    </xf>
    <xf numFmtId="0" fontId="12" fillId="0" borderId="51" xfId="154" applyFont="1" applyBorder="1" applyAlignment="1">
      <alignment horizontal="center" wrapText="1"/>
    </xf>
    <xf numFmtId="176" fontId="12" fillId="0" borderId="51" xfId="154" applyNumberFormat="1" applyFont="1" applyBorder="1" applyAlignment="1">
      <alignment horizontal="right"/>
    </xf>
    <xf numFmtId="39" fontId="12" fillId="0" borderId="51" xfId="154" applyNumberFormat="1" applyFont="1" applyBorder="1" applyAlignment="1">
      <alignment horizontal="right"/>
    </xf>
    <xf numFmtId="0" fontId="64" fillId="0" borderId="39" xfId="154" applyFont="1" applyBorder="1" applyAlignment="1">
      <alignment horizontal="left"/>
    </xf>
    <xf numFmtId="0" fontId="83" fillId="0" borderId="40" xfId="154" applyFont="1" applyBorder="1" applyAlignment="1">
      <alignment horizontal="center"/>
    </xf>
    <xf numFmtId="176" fontId="83" fillId="0" borderId="40" xfId="154" applyNumberFormat="1" applyFont="1" applyBorder="1" applyAlignment="1">
      <alignment horizontal="right"/>
    </xf>
    <xf numFmtId="39" fontId="12" fillId="0" borderId="40" xfId="154" applyNumberFormat="1" applyFont="1" applyBorder="1" applyAlignment="1">
      <alignment horizontal="right"/>
    </xf>
    <xf numFmtId="39" fontId="64" fillId="0" borderId="33" xfId="154" applyNumberFormat="1" applyFont="1" applyBorder="1" applyAlignment="1">
      <alignment horizontal="right"/>
    </xf>
    <xf numFmtId="39" fontId="202" fillId="0" borderId="0" xfId="154" applyNumberFormat="1" applyFont="1" applyAlignment="1">
      <alignment horizontal="center"/>
    </xf>
    <xf numFmtId="37" fontId="83" fillId="0" borderId="0" xfId="154" applyNumberFormat="1" applyFont="1" applyAlignment="1">
      <alignment horizontal="right"/>
    </xf>
    <xf numFmtId="0" fontId="83" fillId="0" borderId="0" xfId="154" applyFont="1" applyAlignment="1">
      <alignment horizontal="left" wrapText="1"/>
    </xf>
    <xf numFmtId="0" fontId="83" fillId="0" borderId="0" xfId="154" applyFont="1" applyAlignment="1">
      <alignment horizontal="center" wrapText="1"/>
    </xf>
    <xf numFmtId="176" fontId="83" fillId="0" borderId="0" xfId="154" applyNumberFormat="1" applyFont="1" applyAlignment="1">
      <alignment horizontal="right"/>
    </xf>
    <xf numFmtId="39" fontId="83" fillId="0" borderId="0" xfId="154" applyNumberFormat="1" applyFont="1" applyAlignment="1">
      <alignment horizontal="right"/>
    </xf>
    <xf numFmtId="0" fontId="15" fillId="0" borderId="0" xfId="154" applyFont="1" applyAlignment="1">
      <alignment vertical="center" wrapText="1"/>
    </xf>
    <xf numFmtId="0" fontId="3" fillId="0" borderId="0" xfId="211"/>
    <xf numFmtId="0" fontId="92" fillId="0" borderId="0" xfId="154" applyFont="1" applyAlignment="1">
      <alignment horizontal="left" vertical="top"/>
    </xf>
    <xf numFmtId="0" fontId="172" fillId="0" borderId="0" xfId="154" applyFont="1" applyAlignment="1">
      <alignment vertical="top"/>
    </xf>
    <xf numFmtId="2" fontId="172" fillId="0" borderId="0" xfId="154" applyNumberFormat="1" applyFont="1" applyAlignment="1">
      <alignment vertical="top"/>
    </xf>
    <xf numFmtId="2" fontId="202" fillId="0" borderId="0" xfId="154" applyNumberFormat="1" applyFont="1" applyAlignment="1">
      <alignment horizontal="center"/>
    </xf>
    <xf numFmtId="4" fontId="57" fillId="0" borderId="70" xfId="36" applyNumberFormat="1" applyFont="1" applyBorder="1" applyAlignment="1" applyProtection="1">
      <alignment horizontal="right"/>
      <protection locked="0"/>
    </xf>
    <xf numFmtId="0" fontId="12" fillId="0" borderId="0" xfId="211" applyFont="1" applyAlignment="1">
      <alignment horizontal="left"/>
    </xf>
    <xf numFmtId="0" fontId="62" fillId="0" borderId="0" xfId="211" applyFont="1" applyAlignment="1">
      <alignment horizontal="left"/>
    </xf>
    <xf numFmtId="4" fontId="57" fillId="0" borderId="34" xfId="42" applyNumberFormat="1" applyFont="1" applyBorder="1" applyAlignment="1">
      <alignment horizontal="right"/>
      <protection locked="0"/>
    </xf>
    <xf numFmtId="39" fontId="12" fillId="0" borderId="34" xfId="26" applyNumberFormat="1" applyFont="1" applyBorder="1" applyAlignment="1">
      <alignment horizontal="right"/>
      <protection locked="0"/>
    </xf>
    <xf numFmtId="39" fontId="119" fillId="0" borderId="34" xfId="36" applyNumberFormat="1" applyFont="1" applyBorder="1" applyAlignment="1" applyProtection="1">
      <alignment horizontal="right"/>
      <protection locked="0"/>
    </xf>
    <xf numFmtId="4" fontId="12" fillId="0" borderId="34" xfId="32" applyNumberFormat="1" applyFont="1" applyBorder="1" applyAlignment="1" applyProtection="1">
      <alignment horizontal="right"/>
      <protection locked="0"/>
    </xf>
    <xf numFmtId="39" fontId="12" fillId="0" borderId="34" xfId="36" applyNumberFormat="1" applyFont="1" applyBorder="1" applyAlignment="1" applyProtection="1">
      <alignment horizontal="right"/>
      <protection locked="0"/>
    </xf>
    <xf numFmtId="39" fontId="83" fillId="0" borderId="34" xfId="36" applyNumberFormat="1" applyFont="1" applyBorder="1" applyAlignment="1" applyProtection="1">
      <alignment horizontal="right"/>
      <protection locked="0"/>
    </xf>
    <xf numFmtId="0" fontId="64" fillId="0" borderId="0" xfId="149" applyFont="1"/>
    <xf numFmtId="49" fontId="5" fillId="0" borderId="0" xfId="184" applyNumberFormat="1" applyAlignment="1">
      <alignment horizontal="left"/>
    </xf>
    <xf numFmtId="0" fontId="5" fillId="0" borderId="0" xfId="184" applyAlignment="1">
      <alignment horizontal="left"/>
    </xf>
    <xf numFmtId="172" fontId="5" fillId="0" borderId="0" xfId="184" applyNumberFormat="1" applyAlignment="1">
      <alignment horizontal="left"/>
    </xf>
    <xf numFmtId="0" fontId="14" fillId="0" borderId="0" xfId="184" applyFont="1" applyAlignment="1">
      <alignment horizontal="left"/>
    </xf>
    <xf numFmtId="0" fontId="14" fillId="0" borderId="0" xfId="184" applyFont="1"/>
    <xf numFmtId="0" fontId="14" fillId="0" borderId="0" xfId="184" applyFont="1" applyAlignment="1">
      <alignment horizontal="right"/>
    </xf>
    <xf numFmtId="37" fontId="64" fillId="0" borderId="34" xfId="194" applyNumberFormat="1" applyFont="1" applyBorder="1" applyAlignment="1">
      <alignment horizontal="right"/>
    </xf>
    <xf numFmtId="0" fontId="64" fillId="0" borderId="34" xfId="194" applyFont="1" applyBorder="1" applyAlignment="1">
      <alignment horizontal="left" wrapText="1"/>
    </xf>
    <xf numFmtId="2" fontId="64" fillId="0" borderId="34" xfId="194" applyNumberFormat="1" applyFont="1" applyBorder="1" applyAlignment="1">
      <alignment horizontal="right"/>
    </xf>
    <xf numFmtId="39" fontId="64" fillId="0" borderId="34" xfId="194" applyNumberFormat="1" applyFont="1" applyBorder="1" applyAlignment="1">
      <alignment horizontal="right"/>
    </xf>
    <xf numFmtId="39" fontId="12" fillId="0" borderId="34" xfId="194" applyNumberFormat="1" applyFont="1" applyBorder="1" applyAlignment="1">
      <alignment horizontal="center"/>
    </xf>
    <xf numFmtId="39" fontId="80" fillId="0" borderId="0" xfId="194" applyNumberFormat="1" applyFont="1"/>
    <xf numFmtId="0" fontId="5" fillId="0" borderId="0" xfId="194" applyAlignment="1">
      <alignment horizontal="left" vertical="top"/>
    </xf>
    <xf numFmtId="37" fontId="12" fillId="0" borderId="34" xfId="194" applyNumberFormat="1" applyFont="1" applyBorder="1" applyAlignment="1">
      <alignment horizontal="right"/>
    </xf>
    <xf numFmtId="0" fontId="12" fillId="0" borderId="34" xfId="194" applyFont="1" applyBorder="1" applyAlignment="1">
      <alignment horizontal="left" wrapText="1"/>
    </xf>
    <xf numFmtId="2" fontId="12" fillId="0" borderId="34" xfId="3" applyNumberFormat="1" applyFont="1" applyBorder="1" applyAlignment="1">
      <alignment horizontal="right" wrapText="1"/>
    </xf>
    <xf numFmtId="0" fontId="69" fillId="0" borderId="0" xfId="184" applyFont="1" applyAlignment="1">
      <alignment horizontal="right" vertical="top"/>
    </xf>
    <xf numFmtId="0" fontId="85" fillId="0" borderId="0" xfId="184" applyFont="1" applyAlignment="1">
      <alignment horizontal="left" vertical="center"/>
    </xf>
    <xf numFmtId="0" fontId="69" fillId="0" borderId="0" xfId="184" applyFont="1" applyAlignment="1">
      <alignment horizontal="left" vertical="top"/>
    </xf>
    <xf numFmtId="49" fontId="12" fillId="0" borderId="34" xfId="184" applyNumberFormat="1" applyFont="1" applyBorder="1" applyAlignment="1">
      <alignment horizontal="right" wrapText="1"/>
    </xf>
    <xf numFmtId="0" fontId="145" fillId="0" borderId="0" xfId="184" applyFont="1" applyAlignment="1">
      <alignment horizontal="left" vertical="center"/>
    </xf>
    <xf numFmtId="0" fontId="57" fillId="0" borderId="34" xfId="184" applyFont="1" applyBorder="1" applyAlignment="1">
      <alignment vertical="top"/>
    </xf>
    <xf numFmtId="37" fontId="76" fillId="0" borderId="34" xfId="194" applyNumberFormat="1" applyFont="1" applyBorder="1" applyAlignment="1">
      <alignment horizontal="right"/>
    </xf>
    <xf numFmtId="0" fontId="76" fillId="0" borderId="34" xfId="194" applyFont="1" applyBorder="1" applyAlignment="1">
      <alignment horizontal="left" wrapText="1"/>
    </xf>
    <xf numFmtId="0" fontId="76" fillId="0" borderId="34" xfId="3" applyFont="1" applyBorder="1" applyAlignment="1">
      <alignment horizontal="left" wrapText="1"/>
    </xf>
    <xf numFmtId="2" fontId="76" fillId="0" borderId="34" xfId="3" applyNumberFormat="1" applyFont="1" applyBorder="1" applyAlignment="1">
      <alignment horizontal="right" wrapText="1"/>
    </xf>
    <xf numFmtId="39" fontId="76" fillId="0" borderId="34" xfId="3" applyNumberFormat="1" applyFont="1" applyBorder="1" applyAlignment="1">
      <alignment horizontal="right"/>
    </xf>
    <xf numFmtId="39" fontId="76" fillId="0" borderId="34" xfId="3" applyNumberFormat="1" applyFont="1" applyBorder="1" applyAlignment="1">
      <alignment horizontal="center"/>
    </xf>
    <xf numFmtId="1" fontId="76" fillId="0" borderId="34" xfId="33" applyNumberFormat="1" applyFont="1" applyBorder="1" applyAlignment="1">
      <alignment horizontal="right" wrapText="1"/>
    </xf>
    <xf numFmtId="49" fontId="76" fillId="0" borderId="34" xfId="33" applyNumberFormat="1" applyFont="1" applyBorder="1" applyAlignment="1">
      <alignment horizontal="left" wrapText="1"/>
    </xf>
    <xf numFmtId="0" fontId="78" fillId="0" borderId="34" xfId="33" applyFont="1" applyBorder="1" applyAlignment="1">
      <alignment horizontal="left" wrapText="1"/>
    </xf>
    <xf numFmtId="0" fontId="78" fillId="0" borderId="34" xfId="36" applyFont="1" applyBorder="1" applyAlignment="1">
      <alignment horizontal="left" wrapText="1"/>
    </xf>
    <xf numFmtId="0" fontId="78" fillId="0" borderId="34" xfId="3" applyFont="1" applyBorder="1" applyAlignment="1">
      <alignment horizontal="left" wrapText="1"/>
    </xf>
    <xf numFmtId="2" fontId="78" fillId="0" borderId="34" xfId="3" applyNumberFormat="1" applyFont="1" applyBorder="1" applyAlignment="1">
      <alignment horizontal="right"/>
    </xf>
    <xf numFmtId="4" fontId="76" fillId="0" borderId="34" xfId="33" applyNumberFormat="1" applyFont="1" applyBorder="1" applyAlignment="1">
      <alignment horizontal="right"/>
    </xf>
    <xf numFmtId="39" fontId="76" fillId="0" borderId="34" xfId="33" applyNumberFormat="1" applyFont="1" applyBorder="1" applyAlignment="1">
      <alignment horizontal="center"/>
    </xf>
    <xf numFmtId="37" fontId="264" fillId="0" borderId="34" xfId="6" applyNumberFormat="1" applyFont="1" applyBorder="1" applyAlignment="1">
      <alignment horizontal="right"/>
    </xf>
    <xf numFmtId="49" fontId="12" fillId="0" borderId="34" xfId="6" applyNumberFormat="1" applyFont="1" applyBorder="1" applyAlignment="1">
      <alignment horizontal="left" wrapText="1"/>
    </xf>
    <xf numFmtId="0" fontId="12" fillId="0" borderId="34" xfId="6" applyFont="1" applyBorder="1" applyAlignment="1">
      <alignment horizontal="left" wrapText="1"/>
    </xf>
    <xf numFmtId="2" fontId="12" fillId="0" borderId="34" xfId="6" applyNumberFormat="1" applyFont="1" applyBorder="1" applyAlignment="1">
      <alignment horizontal="right"/>
    </xf>
    <xf numFmtId="4" fontId="12" fillId="0" borderId="34" xfId="6" applyNumberFormat="1" applyFont="1" applyBorder="1" applyAlignment="1">
      <alignment horizontal="right"/>
    </xf>
    <xf numFmtId="39" fontId="12" fillId="0" borderId="34" xfId="6" applyNumberFormat="1" applyFont="1" applyBorder="1" applyAlignment="1">
      <alignment horizontal="center"/>
    </xf>
    <xf numFmtId="37" fontId="12" fillId="0" borderId="34" xfId="6" applyNumberFormat="1" applyFont="1" applyBorder="1" applyAlignment="1">
      <alignment horizontal="right"/>
    </xf>
    <xf numFmtId="0" fontId="57" fillId="0" borderId="34" xfId="6" applyFont="1" applyBorder="1" applyAlignment="1">
      <alignment horizontal="left" wrapText="1"/>
    </xf>
    <xf numFmtId="37" fontId="12" fillId="0" borderId="34" xfId="22" applyNumberFormat="1" applyFont="1" applyBorder="1" applyAlignment="1">
      <alignment horizontal="right"/>
    </xf>
    <xf numFmtId="49" fontId="12" fillId="0" borderId="34" xfId="22" applyNumberFormat="1" applyFont="1" applyBorder="1" applyAlignment="1">
      <alignment horizontal="left" wrapText="1"/>
    </xf>
    <xf numFmtId="0" fontId="81" fillId="0" borderId="34" xfId="3" applyFont="1" applyBorder="1" applyAlignment="1">
      <alignment horizontal="left" wrapText="1"/>
    </xf>
    <xf numFmtId="0" fontId="64" fillId="0" borderId="34" xfId="22" applyFont="1" applyBorder="1" applyAlignment="1">
      <alignment horizontal="left" wrapText="1"/>
    </xf>
    <xf numFmtId="2" fontId="81" fillId="0" borderId="34" xfId="3" applyNumberFormat="1" applyFont="1" applyBorder="1" applyAlignment="1">
      <alignment horizontal="right"/>
    </xf>
    <xf numFmtId="39" fontId="12" fillId="0" borderId="34" xfId="22" applyNumberFormat="1" applyFont="1" applyBorder="1" applyAlignment="1">
      <alignment horizontal="right"/>
    </xf>
    <xf numFmtId="39" fontId="12" fillId="0" borderId="34" xfId="22" applyNumberFormat="1" applyFont="1" applyBorder="1" applyAlignment="1">
      <alignment horizontal="center"/>
    </xf>
    <xf numFmtId="37" fontId="83" fillId="0" borderId="34" xfId="6" applyNumberFormat="1" applyFont="1" applyBorder="1" applyAlignment="1">
      <alignment horizontal="right"/>
    </xf>
    <xf numFmtId="49" fontId="83" fillId="0" borderId="34" xfId="6" applyNumberFormat="1" applyFont="1" applyBorder="1" applyAlignment="1">
      <alignment horizontal="left" wrapText="1"/>
    </xf>
    <xf numFmtId="0" fontId="83" fillId="0" borderId="34" xfId="6" applyFont="1" applyBorder="1" applyAlignment="1">
      <alignment horizontal="left" wrapText="1"/>
    </xf>
    <xf numFmtId="2" fontId="57" fillId="0" borderId="34" xfId="6" applyNumberFormat="1" applyFont="1" applyBorder="1" applyAlignment="1">
      <alignment horizontal="right" wrapText="1"/>
    </xf>
    <xf numFmtId="0" fontId="16" fillId="0" borderId="34" xfId="6" applyBorder="1" applyAlignment="1">
      <alignment horizontal="left" vertical="top"/>
    </xf>
    <xf numFmtId="0" fontId="82" fillId="0" borderId="0" xfId="6" applyFont="1" applyAlignment="1">
      <alignment horizontal="left" vertical="top"/>
    </xf>
    <xf numFmtId="2" fontId="70" fillId="0" borderId="0" xfId="6" applyNumberFormat="1" applyFont="1"/>
    <xf numFmtId="0" fontId="82" fillId="0" borderId="0" xfId="6" applyFont="1"/>
    <xf numFmtId="2" fontId="82" fillId="0" borderId="0" xfId="6" applyNumberFormat="1" applyFont="1" applyAlignment="1">
      <alignment horizontal="left" vertical="top"/>
    </xf>
    <xf numFmtId="2" fontId="74" fillId="0" borderId="0" xfId="6" applyNumberFormat="1" applyFont="1" applyAlignment="1">
      <alignment horizontal="left" vertical="top"/>
    </xf>
    <xf numFmtId="1" fontId="71" fillId="0" borderId="34" xfId="184" applyNumberFormat="1" applyFont="1" applyBorder="1" applyAlignment="1">
      <alignment horizontal="right"/>
    </xf>
    <xf numFmtId="0" fontId="71" fillId="0" borderId="34" xfId="3" applyFont="1" applyBorder="1" applyAlignment="1">
      <alignment horizontal="left" wrapText="1"/>
    </xf>
    <xf numFmtId="0" fontId="15" fillId="0" borderId="0" xfId="184" applyFont="1" applyAlignment="1">
      <alignment horizontal="left" vertical="center"/>
    </xf>
    <xf numFmtId="0" fontId="71" fillId="0" borderId="34" xfId="6" applyFont="1" applyBorder="1" applyAlignment="1">
      <alignment horizontal="left" wrapText="1"/>
    </xf>
    <xf numFmtId="2" fontId="57" fillId="0" borderId="34" xfId="6" applyNumberFormat="1" applyFont="1" applyBorder="1" applyAlignment="1">
      <alignment horizontal="right"/>
    </xf>
    <xf numFmtId="1" fontId="264" fillId="0" borderId="70" xfId="195" applyNumberFormat="1" applyFont="1" applyBorder="1" applyAlignment="1">
      <alignment horizontal="right"/>
    </xf>
    <xf numFmtId="0" fontId="264" fillId="0" borderId="70" xfId="195" applyFont="1" applyBorder="1" applyAlignment="1">
      <alignment horizontal="left" wrapText="1"/>
    </xf>
    <xf numFmtId="2" fontId="264" fillId="0" borderId="70" xfId="195" applyNumberFormat="1" applyFont="1" applyBorder="1" applyAlignment="1">
      <alignment horizontal="right"/>
    </xf>
    <xf numFmtId="4" fontId="264" fillId="0" borderId="70" xfId="195" applyNumberFormat="1" applyFont="1" applyBorder="1" applyAlignment="1">
      <alignment horizontal="right"/>
    </xf>
    <xf numFmtId="39" fontId="264" fillId="0" borderId="70" xfId="12" applyNumberFormat="1" applyFont="1" applyBorder="1" applyAlignment="1" applyProtection="1">
      <alignment horizontal="center"/>
    </xf>
    <xf numFmtId="1" fontId="264" fillId="0" borderId="34" xfId="184" applyNumberFormat="1" applyFont="1" applyBorder="1" applyAlignment="1">
      <alignment horizontal="right"/>
    </xf>
    <xf numFmtId="37" fontId="71" fillId="0" borderId="34" xfId="42" applyNumberFormat="1" applyFont="1" applyBorder="1" applyAlignment="1" applyProtection="1">
      <alignment horizontal="right"/>
    </xf>
    <xf numFmtId="49" fontId="83" fillId="0" borderId="34" xfId="42" applyNumberFormat="1" applyFont="1" applyBorder="1" applyAlignment="1" applyProtection="1">
      <alignment horizontal="left" wrapText="1"/>
    </xf>
    <xf numFmtId="0" fontId="83" fillId="0" borderId="34" xfId="42" applyFont="1" applyBorder="1" applyAlignment="1" applyProtection="1">
      <alignment horizontal="left" wrapText="1"/>
    </xf>
    <xf numFmtId="0" fontId="57" fillId="0" borderId="34" xfId="12" applyFont="1" applyBorder="1" applyAlignment="1" applyProtection="1">
      <alignment horizontal="left" wrapText="1"/>
    </xf>
    <xf numFmtId="0" fontId="71" fillId="0" borderId="34" xfId="42" applyFont="1" applyBorder="1" applyAlignment="1" applyProtection="1">
      <alignment horizontal="left" wrapText="1"/>
    </xf>
    <xf numFmtId="2" fontId="57" fillId="0" borderId="34" xfId="42" applyNumberFormat="1" applyFont="1" applyBorder="1" applyAlignment="1" applyProtection="1">
      <alignment horizontal="right" wrapText="1"/>
    </xf>
    <xf numFmtId="4" fontId="57" fillId="0" borderId="34" xfId="42" applyNumberFormat="1" applyFont="1" applyBorder="1" applyAlignment="1" applyProtection="1">
      <alignment horizontal="right"/>
    </xf>
    <xf numFmtId="0" fontId="38" fillId="0" borderId="34" xfId="42" applyFont="1" applyBorder="1" applyAlignment="1" applyProtection="1">
      <alignment horizontal="left" vertical="top"/>
    </xf>
    <xf numFmtId="0" fontId="85" fillId="0" borderId="34" xfId="6" applyFont="1" applyBorder="1" applyAlignment="1">
      <alignment horizontal="right" vertical="center"/>
    </xf>
    <xf numFmtId="2" fontId="64" fillId="0" borderId="34" xfId="184" applyNumberFormat="1" applyFont="1" applyBorder="1" applyAlignment="1">
      <alignment horizontal="right"/>
    </xf>
    <xf numFmtId="0" fontId="246" fillId="0" borderId="0" xfId="184" applyFont="1" applyAlignment="1">
      <alignment horizontal="left" vertical="top"/>
    </xf>
    <xf numFmtId="49" fontId="12" fillId="0" borderId="34" xfId="3" applyNumberFormat="1" applyFont="1" applyBorder="1" applyAlignment="1">
      <alignment horizontal="right" wrapText="1"/>
    </xf>
    <xf numFmtId="2" fontId="57" fillId="0" borderId="34" xfId="3" applyNumberFormat="1" applyFont="1" applyBorder="1"/>
    <xf numFmtId="1" fontId="12" fillId="0" borderId="34" xfId="184" applyNumberFormat="1" applyFont="1" applyBorder="1" applyAlignment="1">
      <alignment horizontal="right"/>
    </xf>
    <xf numFmtId="0" fontId="213" fillId="0" borderId="0" xfId="184" applyFont="1" applyAlignment="1">
      <alignment horizontal="left" vertical="center"/>
    </xf>
    <xf numFmtId="0" fontId="202" fillId="0" borderId="34" xfId="3" applyFont="1" applyBorder="1" applyAlignment="1">
      <alignment horizontal="left" wrapText="1"/>
    </xf>
    <xf numFmtId="39" fontId="202" fillId="0" borderId="34" xfId="3" applyNumberFormat="1" applyFont="1" applyBorder="1" applyAlignment="1">
      <alignment horizontal="right"/>
    </xf>
    <xf numFmtId="39" fontId="202" fillId="0" borderId="34" xfId="3" applyNumberFormat="1" applyFont="1" applyBorder="1" applyAlignment="1">
      <alignment horizontal="center"/>
    </xf>
    <xf numFmtId="2" fontId="213" fillId="0" borderId="0" xfId="184" applyNumberFormat="1" applyFont="1" applyAlignment="1">
      <alignment horizontal="left" vertical="center"/>
    </xf>
    <xf numFmtId="2" fontId="57" fillId="0" borderId="34" xfId="184" applyNumberFormat="1" applyFont="1" applyBorder="1" applyAlignment="1">
      <alignment horizontal="right" wrapText="1"/>
    </xf>
    <xf numFmtId="39" fontId="15" fillId="0" borderId="34" xfId="184" applyNumberFormat="1" applyFont="1" applyBorder="1" applyAlignment="1">
      <alignment horizontal="center" vertical="top"/>
    </xf>
    <xf numFmtId="0" fontId="148" fillId="0" borderId="0" xfId="29" applyFont="1" applyFill="1" applyAlignment="1" applyProtection="1">
      <alignment horizontal="left" vertical="center"/>
    </xf>
    <xf numFmtId="0" fontId="80" fillId="0" borderId="0" xfId="29" applyFont="1" applyFill="1" applyAlignment="1" applyProtection="1">
      <alignment horizontal="left" vertical="center"/>
    </xf>
    <xf numFmtId="0" fontId="86" fillId="0" borderId="0" xfId="184" applyFont="1" applyAlignment="1">
      <alignment horizontal="left" vertical="top"/>
    </xf>
    <xf numFmtId="0" fontId="248" fillId="0" borderId="0" xfId="184" applyFont="1" applyAlignment="1">
      <alignment horizontal="left" vertical="center"/>
    </xf>
    <xf numFmtId="0" fontId="226" fillId="0" borderId="0" xfId="184" applyFont="1" applyAlignment="1">
      <alignment horizontal="right" vertical="center"/>
    </xf>
    <xf numFmtId="0" fontId="70" fillId="0" borderId="0" xfId="184" applyFont="1" applyAlignment="1">
      <alignment horizontal="left" vertical="center"/>
    </xf>
    <xf numFmtId="0" fontId="249" fillId="0" borderId="0" xfId="184" applyFont="1" applyAlignment="1">
      <alignment horizontal="right" vertical="center"/>
    </xf>
    <xf numFmtId="1" fontId="57" fillId="0" borderId="34" xfId="36" applyNumberFormat="1" applyFont="1" applyBorder="1" applyAlignment="1">
      <alignment horizontal="right"/>
    </xf>
    <xf numFmtId="37" fontId="57" fillId="0" borderId="34" xfId="36" applyNumberFormat="1" applyFont="1" applyBorder="1" applyAlignment="1">
      <alignment horizontal="right"/>
    </xf>
    <xf numFmtId="2" fontId="57" fillId="0" borderId="34" xfId="36" applyNumberFormat="1" applyFont="1" applyBorder="1" applyAlignment="1">
      <alignment horizontal="right"/>
    </xf>
    <xf numFmtId="4" fontId="57" fillId="0" borderId="34" xfId="36" applyNumberFormat="1" applyFont="1" applyBorder="1" applyAlignment="1">
      <alignment horizontal="right"/>
    </xf>
    <xf numFmtId="0" fontId="250" fillId="0" borderId="34" xfId="36" applyFont="1" applyBorder="1" applyAlignment="1">
      <alignment horizontal="right" vertical="center"/>
    </xf>
    <xf numFmtId="0" fontId="91" fillId="0" borderId="0" xfId="36" applyFont="1" applyAlignment="1">
      <alignment vertical="center"/>
    </xf>
    <xf numFmtId="1" fontId="57" fillId="0" borderId="34" xfId="8" applyNumberFormat="1" applyFont="1" applyBorder="1" applyAlignment="1">
      <alignment horizontal="right"/>
    </xf>
    <xf numFmtId="0" fontId="57" fillId="0" borderId="34" xfId="8" applyFont="1" applyBorder="1" applyAlignment="1">
      <alignment horizontal="left" wrapText="1"/>
    </xf>
    <xf numFmtId="2" fontId="57" fillId="0" borderId="34" xfId="8" applyNumberFormat="1" applyFont="1" applyBorder="1" applyAlignment="1">
      <alignment horizontal="right"/>
    </xf>
    <xf numFmtId="4" fontId="57" fillId="0" borderId="34" xfId="8" applyNumberFormat="1" applyFont="1" applyBorder="1" applyAlignment="1">
      <alignment horizontal="right"/>
    </xf>
    <xf numFmtId="0" fontId="14" fillId="0" borderId="0" xfId="8"/>
    <xf numFmtId="0" fontId="32" fillId="0" borderId="34" xfId="8" applyFont="1" applyBorder="1" applyAlignment="1">
      <alignment horizontal="left" vertical="center"/>
    </xf>
    <xf numFmtId="0" fontId="32" fillId="0" borderId="34" xfId="8" applyFont="1" applyBorder="1" applyAlignment="1">
      <alignment horizontal="right" vertical="center"/>
    </xf>
    <xf numFmtId="0" fontId="133" fillId="0" borderId="0" xfId="184" applyFont="1" applyAlignment="1">
      <alignment horizontal="right" vertical="center"/>
    </xf>
    <xf numFmtId="0" fontId="91" fillId="0" borderId="0" xfId="184" applyFont="1" applyAlignment="1">
      <alignment horizontal="right" vertical="center"/>
    </xf>
    <xf numFmtId="0" fontId="86" fillId="0" borderId="34" xfId="184" applyFont="1" applyBorder="1" applyAlignment="1">
      <alignment horizontal="left" vertical="top"/>
    </xf>
    <xf numFmtId="0" fontId="133" fillId="0" borderId="0" xfId="184" applyFont="1" applyAlignment="1">
      <alignment horizontal="left" vertical="center"/>
    </xf>
    <xf numFmtId="1" fontId="12" fillId="0" borderId="34" xfId="36" applyNumberFormat="1" applyFont="1" applyBorder="1" applyAlignment="1">
      <alignment horizontal="right"/>
    </xf>
    <xf numFmtId="172" fontId="12" fillId="0" borderId="34" xfId="194" applyNumberFormat="1" applyFont="1" applyBorder="1" applyAlignment="1">
      <alignment horizontal="right"/>
    </xf>
    <xf numFmtId="0" fontId="15" fillId="0" borderId="0" xfId="184" applyFont="1" applyAlignment="1">
      <alignment horizontal="right"/>
    </xf>
    <xf numFmtId="0" fontId="15" fillId="0" borderId="0" xfId="184" applyFont="1" applyAlignment="1">
      <alignment horizontal="left"/>
    </xf>
    <xf numFmtId="172" fontId="57" fillId="0" borderId="34" xfId="194" applyNumberFormat="1" applyFont="1" applyBorder="1" applyAlignment="1">
      <alignment horizontal="right"/>
    </xf>
    <xf numFmtId="0" fontId="15" fillId="0" borderId="0" xfId="184" applyFont="1" applyAlignment="1">
      <alignment horizontal="right" vertical="center"/>
    </xf>
    <xf numFmtId="0" fontId="74" fillId="0" borderId="0" xfId="184" applyFont="1" applyAlignment="1">
      <alignment horizontal="left" vertical="center"/>
    </xf>
    <xf numFmtId="173" fontId="103" fillId="0" borderId="0" xfId="29" applyNumberFormat="1" applyFont="1" applyFill="1" applyAlignment="1" applyProtection="1">
      <alignment horizontal="center" vertical="center"/>
    </xf>
    <xf numFmtId="0" fontId="103" fillId="0" borderId="0" xfId="29" applyFont="1" applyFill="1" applyAlignment="1" applyProtection="1">
      <alignment horizontal="center" vertical="center"/>
    </xf>
    <xf numFmtId="0" fontId="93" fillId="0" borderId="0" xfId="184" applyFont="1" applyAlignment="1">
      <alignment horizontal="left" vertical="center"/>
    </xf>
    <xf numFmtId="2" fontId="103" fillId="0" borderId="0" xfId="29" applyNumberFormat="1" applyFont="1" applyFill="1" applyAlignment="1" applyProtection="1">
      <alignment horizontal="center" vertical="center"/>
    </xf>
    <xf numFmtId="39" fontId="103" fillId="0" borderId="0" xfId="29" applyNumberFormat="1" applyFont="1" applyFill="1" applyAlignment="1" applyProtection="1">
      <alignment horizontal="center" vertical="center"/>
    </xf>
    <xf numFmtId="0" fontId="248" fillId="0" borderId="0" xfId="184" applyFont="1" applyAlignment="1">
      <alignment horizontal="left" vertical="top"/>
    </xf>
    <xf numFmtId="0" fontId="91" fillId="0" borderId="0" xfId="146" applyFont="1" applyFill="1" applyAlignment="1" applyProtection="1">
      <alignment horizontal="left" vertical="center"/>
    </xf>
    <xf numFmtId="0" fontId="226" fillId="0" borderId="0" xfId="184" applyFont="1" applyAlignment="1">
      <alignment horizontal="left" vertical="center"/>
    </xf>
    <xf numFmtId="37" fontId="264" fillId="0" borderId="34" xfId="184" applyNumberFormat="1" applyFont="1" applyBorder="1" applyAlignment="1">
      <alignment horizontal="right"/>
    </xf>
    <xf numFmtId="39" fontId="264" fillId="0" borderId="37" xfId="205" applyNumberFormat="1" applyFont="1" applyBorder="1" applyAlignment="1">
      <alignment horizontal="center"/>
    </xf>
    <xf numFmtId="39" fontId="80" fillId="0" borderId="0" xfId="184" applyNumberFormat="1" applyFont="1"/>
    <xf numFmtId="39" fontId="5" fillId="0" borderId="0" xfId="184" applyNumberFormat="1" applyAlignment="1">
      <alignment horizontal="left" vertical="top"/>
    </xf>
    <xf numFmtId="0" fontId="57" fillId="0" borderId="34" xfId="47" applyFont="1" applyBorder="1" applyAlignment="1" applyProtection="1">
      <alignment horizontal="left" wrapText="1"/>
    </xf>
    <xf numFmtId="0" fontId="251" fillId="0" borderId="0" xfId="184" applyFont="1" applyAlignment="1">
      <alignment horizontal="left" vertical="center"/>
    </xf>
    <xf numFmtId="2" fontId="119" fillId="0" borderId="34" xfId="184" applyNumberFormat="1" applyFont="1" applyBorder="1" applyAlignment="1">
      <alignment horizontal="right"/>
    </xf>
    <xf numFmtId="37" fontId="71" fillId="0" borderId="34" xfId="184" applyNumberFormat="1" applyFont="1" applyBorder="1" applyAlignment="1">
      <alignment horizontal="right"/>
    </xf>
    <xf numFmtId="39" fontId="83" fillId="0" borderId="0" xfId="184" applyNumberFormat="1" applyFont="1" applyAlignment="1">
      <alignment horizontal="right" vertical="center"/>
    </xf>
    <xf numFmtId="39" fontId="12" fillId="0" borderId="0" xfId="184" applyNumberFormat="1" applyFont="1" applyAlignment="1">
      <alignment horizontal="right" vertical="center"/>
    </xf>
    <xf numFmtId="39" fontId="57" fillId="0" borderId="0" xfId="184" applyNumberFormat="1" applyFont="1" applyAlignment="1">
      <alignment horizontal="right" vertical="center"/>
    </xf>
    <xf numFmtId="37" fontId="77" fillId="0" borderId="34" xfId="184" applyNumberFormat="1" applyFont="1" applyBorder="1" applyAlignment="1">
      <alignment horizontal="right"/>
    </xf>
    <xf numFmtId="0" fontId="228" fillId="0" borderId="34" xfId="184" applyFont="1" applyBorder="1" applyAlignment="1">
      <alignment horizontal="left" wrapText="1"/>
    </xf>
    <xf numFmtId="0" fontId="77" fillId="0" borderId="34" xfId="184" applyFont="1" applyBorder="1" applyAlignment="1">
      <alignment horizontal="left" wrapText="1"/>
    </xf>
    <xf numFmtId="0" fontId="78" fillId="0" borderId="34" xfId="184" applyFont="1" applyBorder="1" applyAlignment="1">
      <alignment horizontal="left" wrapText="1"/>
    </xf>
    <xf numFmtId="4" fontId="78" fillId="0" borderId="34" xfId="184" applyNumberFormat="1" applyFont="1" applyBorder="1" applyAlignment="1">
      <alignment horizontal="right"/>
    </xf>
    <xf numFmtId="0" fontId="70" fillId="0" borderId="0" xfId="25" applyFont="1" applyAlignment="1" applyProtection="1">
      <alignment horizontal="left" vertical="top"/>
    </xf>
    <xf numFmtId="0" fontId="15" fillId="0" borderId="34" xfId="25" applyBorder="1" applyAlignment="1" applyProtection="1">
      <alignment horizontal="left" vertical="top"/>
    </xf>
    <xf numFmtId="0" fontId="252" fillId="0" borderId="0" xfId="184" applyFont="1" applyAlignment="1">
      <alignment horizontal="left" vertical="center"/>
    </xf>
    <xf numFmtId="2" fontId="70" fillId="0" borderId="0" xfId="184" applyNumberFormat="1" applyFont="1" applyAlignment="1">
      <alignment horizontal="left" vertical="center"/>
    </xf>
    <xf numFmtId="0" fontId="74" fillId="0" borderId="0" xfId="184" applyFont="1" applyAlignment="1">
      <alignment horizontal="right"/>
    </xf>
    <xf numFmtId="0" fontId="15" fillId="0" borderId="0" xfId="184" applyFont="1" applyAlignment="1">
      <alignment horizontal="right" vertical="top"/>
    </xf>
    <xf numFmtId="0" fontId="226" fillId="0" borderId="0" xfId="184" applyFont="1" applyAlignment="1">
      <alignment vertical="top"/>
    </xf>
    <xf numFmtId="0" fontId="5" fillId="0" borderId="34" xfId="184" applyBorder="1"/>
    <xf numFmtId="39" fontId="84" fillId="0" borderId="34" xfId="184" applyNumberFormat="1" applyFont="1" applyBorder="1" applyAlignment="1">
      <alignment horizontal="right" vertical="center"/>
    </xf>
    <xf numFmtId="6" fontId="86" fillId="0" borderId="0" xfId="184" applyNumberFormat="1" applyFont="1" applyAlignment="1">
      <alignment horizontal="left" vertical="top"/>
    </xf>
    <xf numFmtId="49" fontId="12" fillId="0" borderId="34" xfId="178" applyNumberFormat="1" applyFont="1" applyBorder="1" applyAlignment="1" applyProtection="1">
      <alignment horizontal="right"/>
    </xf>
    <xf numFmtId="0" fontId="60" fillId="0" borderId="0" xfId="184" applyFont="1" applyAlignment="1">
      <alignment vertical="top"/>
    </xf>
    <xf numFmtId="49" fontId="83" fillId="0" borderId="34" xfId="184" applyNumberFormat="1" applyFont="1" applyBorder="1" applyAlignment="1">
      <alignment horizontal="right"/>
    </xf>
    <xf numFmtId="39" fontId="12" fillId="0" borderId="34" xfId="194" applyNumberFormat="1" applyFont="1" applyBorder="1" applyAlignment="1">
      <alignment horizontal="right"/>
    </xf>
    <xf numFmtId="0" fontId="14" fillId="0" borderId="0" xfId="149" applyAlignment="1">
      <alignment horizontal="left" vertical="top"/>
    </xf>
    <xf numFmtId="0" fontId="86" fillId="0" borderId="0" xfId="194" applyFont="1" applyAlignment="1">
      <alignment horizontal="left" vertical="top"/>
    </xf>
    <xf numFmtId="0" fontId="57" fillId="0" borderId="34" xfId="194" applyFont="1" applyBorder="1" applyAlignment="1">
      <alignment horizontal="left" wrapText="1"/>
    </xf>
    <xf numFmtId="0" fontId="119" fillId="0" borderId="34" xfId="194" applyFont="1" applyBorder="1" applyAlignment="1">
      <alignment horizontal="left" wrapText="1"/>
    </xf>
    <xf numFmtId="172" fontId="117" fillId="0" borderId="34" xfId="194" applyNumberFormat="1" applyFont="1" applyBorder="1" applyAlignment="1">
      <alignment horizontal="right"/>
    </xf>
    <xf numFmtId="0" fontId="5" fillId="0" borderId="0" xfId="194" applyAlignment="1">
      <alignment vertical="top"/>
    </xf>
    <xf numFmtId="0" fontId="71" fillId="0" borderId="34" xfId="194" applyFont="1" applyBorder="1" applyAlignment="1">
      <alignment horizontal="left" wrapText="1"/>
    </xf>
    <xf numFmtId="0" fontId="253" fillId="0" borderId="0" xfId="184" applyFont="1" applyAlignment="1">
      <alignment vertical="center"/>
    </xf>
    <xf numFmtId="0" fontId="74" fillId="0" borderId="0" xfId="194" applyFont="1" applyAlignment="1">
      <alignment horizontal="right"/>
    </xf>
    <xf numFmtId="0" fontId="15" fillId="0" borderId="0" xfId="194" applyFont="1" applyAlignment="1">
      <alignment horizontal="left" vertical="top"/>
    </xf>
    <xf numFmtId="0" fontId="15" fillId="0" borderId="0" xfId="194" applyFont="1" applyAlignment="1">
      <alignment horizontal="right" vertical="top"/>
    </xf>
    <xf numFmtId="37" fontId="264" fillId="0" borderId="34" xfId="194" applyNumberFormat="1" applyFont="1" applyBorder="1" applyAlignment="1">
      <alignment horizontal="right"/>
    </xf>
    <xf numFmtId="49" fontId="264" fillId="0" borderId="34" xfId="194" applyNumberFormat="1" applyFont="1" applyBorder="1" applyAlignment="1">
      <alignment horizontal="left" wrapText="1"/>
    </xf>
    <xf numFmtId="0" fontId="264" fillId="0" borderId="34" xfId="194" applyFont="1" applyBorder="1" applyAlignment="1">
      <alignment horizontal="left" wrapText="1"/>
    </xf>
    <xf numFmtId="172" fontId="264" fillId="0" borderId="34" xfId="194" applyNumberFormat="1" applyFont="1" applyBorder="1" applyAlignment="1">
      <alignment horizontal="right"/>
    </xf>
    <xf numFmtId="39" fontId="264" fillId="0" borderId="34" xfId="194" applyNumberFormat="1" applyFont="1" applyBorder="1" applyAlignment="1">
      <alignment horizontal="right"/>
    </xf>
    <xf numFmtId="39" fontId="20" fillId="0" borderId="0" xfId="194" applyNumberFormat="1" applyFont="1" applyAlignment="1">
      <alignment horizontal="left" vertical="center"/>
    </xf>
    <xf numFmtId="0" fontId="226" fillId="0" borderId="0" xfId="194" applyFont="1" applyAlignment="1">
      <alignment horizontal="left" vertical="center"/>
    </xf>
    <xf numFmtId="0" fontId="5" fillId="0" borderId="0" xfId="194" applyAlignment="1">
      <alignment horizontal="left" vertical="center"/>
    </xf>
    <xf numFmtId="0" fontId="249" fillId="0" borderId="0" xfId="194" applyFont="1" applyAlignment="1">
      <alignment horizontal="right" vertical="center"/>
    </xf>
    <xf numFmtId="39" fontId="264" fillId="0" borderId="37" xfId="194" applyNumberFormat="1" applyFont="1" applyBorder="1" applyAlignment="1">
      <alignment horizontal="right"/>
    </xf>
    <xf numFmtId="0" fontId="74" fillId="0" borderId="0" xfId="194" applyFont="1" applyAlignment="1">
      <alignment horizontal="left" vertical="center"/>
    </xf>
    <xf numFmtId="0" fontId="34" fillId="0" borderId="0" xfId="27" applyFill="1" applyBorder="1" applyAlignment="1" applyProtection="1">
      <alignment horizontal="left" vertical="top"/>
    </xf>
    <xf numFmtId="0" fontId="248" fillId="0" borderId="0" xfId="194" applyFont="1" applyAlignment="1">
      <alignment horizontal="left" vertical="top"/>
    </xf>
    <xf numFmtId="0" fontId="34" fillId="0" borderId="0" xfId="27" applyFill="1" applyAlignment="1" applyProtection="1">
      <alignment horizontal="left" vertical="top"/>
    </xf>
    <xf numFmtId="0" fontId="226" fillId="0" borderId="0" xfId="194" applyFont="1" applyAlignment="1">
      <alignment horizontal="right" vertical="center"/>
    </xf>
    <xf numFmtId="6" fontId="5" fillId="0" borderId="0" xfId="194" applyNumberFormat="1" applyAlignment="1">
      <alignment vertical="top"/>
    </xf>
    <xf numFmtId="1" fontId="264" fillId="0" borderId="34" xfId="194" applyNumberFormat="1" applyFont="1" applyBorder="1" applyAlignment="1">
      <alignment horizontal="right"/>
    </xf>
    <xf numFmtId="0" fontId="264" fillId="0" borderId="34" xfId="194" applyFont="1" applyBorder="1" applyAlignment="1">
      <alignment horizontal="left" vertical="center" wrapText="1"/>
    </xf>
    <xf numFmtId="4" fontId="264" fillId="0" borderId="34" xfId="194" applyNumberFormat="1" applyFont="1" applyBorder="1" applyAlignment="1">
      <alignment horizontal="right"/>
    </xf>
    <xf numFmtId="4" fontId="264" fillId="0" borderId="37" xfId="194" applyNumberFormat="1" applyFont="1" applyBorder="1" applyAlignment="1">
      <alignment horizontal="right"/>
    </xf>
    <xf numFmtId="39" fontId="12" fillId="0" borderId="0" xfId="194" applyNumberFormat="1" applyFont="1" applyAlignment="1">
      <alignment horizontal="center"/>
    </xf>
    <xf numFmtId="0" fontId="307" fillId="0" borderId="0" xfId="194" applyFont="1" applyAlignment="1">
      <alignment horizontal="left" vertical="center"/>
    </xf>
    <xf numFmtId="49" fontId="34" fillId="0" borderId="0" xfId="27" applyNumberFormat="1" applyFill="1" applyBorder="1" applyAlignment="1" applyProtection="1">
      <alignment horizontal="left" vertical="top"/>
    </xf>
    <xf numFmtId="6" fontId="34" fillId="0" borderId="0" xfId="27" applyNumberFormat="1" applyFill="1" applyBorder="1" applyAlignment="1" applyProtection="1">
      <alignment horizontal="left" vertical="top"/>
    </xf>
    <xf numFmtId="0" fontId="15" fillId="0" borderId="0" xfId="194" applyFont="1" applyAlignment="1">
      <alignment horizontal="center" vertical="top"/>
    </xf>
    <xf numFmtId="37" fontId="119" fillId="0" borderId="34" xfId="194" applyNumberFormat="1" applyFont="1" applyBorder="1" applyAlignment="1">
      <alignment horizontal="right"/>
    </xf>
    <xf numFmtId="4" fontId="91" fillId="0" borderId="0" xfId="184" applyNumberFormat="1" applyFont="1" applyAlignment="1">
      <alignment horizontal="left" vertical="center"/>
    </xf>
    <xf numFmtId="2" fontId="83" fillId="0" borderId="34" xfId="184" applyNumberFormat="1" applyFont="1" applyBorder="1" applyAlignment="1">
      <alignment horizontal="right" wrapText="1"/>
    </xf>
    <xf numFmtId="37" fontId="12" fillId="0" borderId="34" xfId="26" applyNumberFormat="1" applyFont="1" applyBorder="1" applyAlignment="1" applyProtection="1">
      <alignment horizontal="right"/>
    </xf>
    <xf numFmtId="0" fontId="12" fillId="0" borderId="34" xfId="26" applyFont="1" applyBorder="1" applyAlignment="1" applyProtection="1">
      <alignment horizontal="left" wrapText="1"/>
    </xf>
    <xf numFmtId="0" fontId="57" fillId="0" borderId="34" xfId="205" applyFont="1" applyBorder="1" applyAlignment="1">
      <alignment horizontal="left" vertical="center" wrapText="1"/>
    </xf>
    <xf numFmtId="2"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center"/>
    </xf>
    <xf numFmtId="0" fontId="85" fillId="0" borderId="0" xfId="205" applyFont="1" applyAlignment="1">
      <alignment horizontal="left" vertical="center"/>
    </xf>
    <xf numFmtId="182" fontId="12" fillId="0" borderId="34" xfId="36" applyNumberFormat="1" applyFont="1" applyBorder="1" applyAlignment="1">
      <alignment horizontal="right"/>
    </xf>
    <xf numFmtId="37" fontId="12" fillId="0" borderId="34" xfId="36" applyNumberFormat="1" applyFont="1" applyBorder="1" applyAlignment="1">
      <alignment horizontal="right"/>
    </xf>
    <xf numFmtId="0" fontId="64" fillId="0" borderId="34" xfId="36" applyFont="1" applyBorder="1" applyAlignment="1">
      <alignment horizontal="left" wrapText="1"/>
    </xf>
    <xf numFmtId="0" fontId="12" fillId="0" borderId="34" xfId="36" applyFont="1" applyBorder="1" applyAlignment="1">
      <alignment horizontal="left" wrapText="1"/>
    </xf>
    <xf numFmtId="2" fontId="83" fillId="0" borderId="34" xfId="36" applyNumberFormat="1" applyFont="1" applyBorder="1" applyAlignment="1">
      <alignment horizontal="right" wrapText="1"/>
    </xf>
    <xf numFmtId="39" fontId="64" fillId="0" borderId="34" xfId="36" applyNumberFormat="1" applyFont="1" applyBorder="1" applyAlignment="1">
      <alignment horizontal="right"/>
    </xf>
    <xf numFmtId="0" fontId="86" fillId="0" borderId="34" xfId="36" applyFont="1" applyBorder="1" applyAlignment="1">
      <alignment horizontal="left" vertical="top"/>
    </xf>
    <xf numFmtId="49" fontId="12" fillId="0" borderId="34" xfId="36" applyNumberFormat="1" applyFont="1" applyBorder="1" applyAlignment="1">
      <alignment horizontal="left" wrapText="1"/>
    </xf>
    <xf numFmtId="4" fontId="12" fillId="0" borderId="34" xfId="36" applyNumberFormat="1" applyFont="1" applyBorder="1" applyAlignment="1">
      <alignment horizontal="right"/>
    </xf>
    <xf numFmtId="39" fontId="12" fillId="0" borderId="34" xfId="36" applyNumberFormat="1" applyFont="1" applyBorder="1" applyAlignment="1">
      <alignment horizontal="center"/>
    </xf>
    <xf numFmtId="0" fontId="150" fillId="0" borderId="0" xfId="184" applyFont="1" applyAlignment="1">
      <alignment horizontal="left" vertical="center"/>
    </xf>
    <xf numFmtId="0" fontId="86" fillId="0" borderId="0" xfId="36" applyFont="1" applyAlignment="1">
      <alignment horizontal="left" vertical="center"/>
    </xf>
    <xf numFmtId="6" fontId="5" fillId="0" borderId="0" xfId="184" applyNumberFormat="1" applyAlignment="1">
      <alignment horizontal="left" vertical="top"/>
    </xf>
    <xf numFmtId="2" fontId="57" fillId="0" borderId="34" xfId="36" applyNumberFormat="1" applyFont="1" applyBorder="1" applyAlignment="1">
      <alignment horizontal="right" wrapText="1"/>
    </xf>
    <xf numFmtId="0" fontId="92" fillId="0" borderId="34" xfId="32" applyFont="1" applyBorder="1" applyAlignment="1">
      <alignment horizontal="left" vertical="top" wrapText="1"/>
    </xf>
    <xf numFmtId="0" fontId="254" fillId="0" borderId="34" xfId="8" applyFont="1" applyBorder="1" applyAlignment="1">
      <alignment horizontal="right" vertical="center"/>
    </xf>
    <xf numFmtId="49" fontId="12" fillId="0" borderId="34" xfId="32" applyNumberFormat="1" applyFont="1" applyBorder="1" applyAlignment="1">
      <alignment horizontal="left" wrapText="1"/>
    </xf>
    <xf numFmtId="0" fontId="86" fillId="0" borderId="0" xfId="32" applyFont="1" applyAlignment="1">
      <alignment horizontal="left" vertical="top"/>
    </xf>
    <xf numFmtId="0" fontId="86" fillId="0" borderId="0" xfId="32" applyFont="1" applyAlignment="1">
      <alignment horizontal="left" vertical="center"/>
    </xf>
    <xf numFmtId="0" fontId="230" fillId="0" borderId="0" xfId="32" applyFont="1" applyAlignment="1">
      <alignment horizontal="left" vertical="center"/>
    </xf>
    <xf numFmtId="0" fontId="230" fillId="0" borderId="0" xfId="32" applyFont="1" applyAlignment="1">
      <alignment horizontal="left" vertical="top"/>
    </xf>
    <xf numFmtId="1" fontId="57" fillId="0" borderId="34" xfId="184" applyNumberFormat="1" applyFont="1" applyBorder="1" applyAlignment="1">
      <alignment horizontal="right"/>
    </xf>
    <xf numFmtId="0" fontId="92" fillId="0" borderId="34" xfId="184" applyFont="1" applyBorder="1" applyAlignment="1">
      <alignment horizontal="right" vertical="center"/>
    </xf>
    <xf numFmtId="0" fontId="150" fillId="0" borderId="0" xfId="184" applyFont="1" applyAlignment="1">
      <alignment horizontal="right" vertical="center"/>
    </xf>
    <xf numFmtId="1" fontId="12" fillId="0" borderId="34" xfId="32" applyNumberFormat="1" applyFont="1" applyBorder="1" applyAlignment="1">
      <alignment horizontal="right"/>
    </xf>
    <xf numFmtId="4" fontId="12" fillId="0" borderId="34" xfId="32" applyNumberFormat="1" applyFont="1" applyBorder="1" applyAlignment="1">
      <alignment horizontal="right"/>
    </xf>
    <xf numFmtId="1" fontId="57" fillId="0" borderId="34" xfId="32" applyNumberFormat="1" applyFont="1" applyBorder="1" applyAlignment="1">
      <alignment horizontal="right"/>
    </xf>
    <xf numFmtId="2" fontId="57" fillId="0" borderId="34" xfId="32" applyNumberFormat="1" applyFont="1" applyBorder="1" applyAlignment="1">
      <alignment horizontal="right" wrapText="1"/>
    </xf>
    <xf numFmtId="4" fontId="57" fillId="0" borderId="34" xfId="32" applyNumberFormat="1" applyFont="1" applyBorder="1" applyAlignment="1">
      <alignment horizontal="right"/>
    </xf>
    <xf numFmtId="0" fontId="92" fillId="0" borderId="34" xfId="32" applyFont="1" applyBorder="1" applyAlignment="1">
      <alignment horizontal="left" vertical="top"/>
    </xf>
    <xf numFmtId="0" fontId="150" fillId="0" borderId="0" xfId="27" applyFont="1" applyFill="1" applyAlignment="1" applyProtection="1">
      <alignment horizontal="left" vertical="center"/>
    </xf>
    <xf numFmtId="0" fontId="255" fillId="0" borderId="0" xfId="184" applyFont="1" applyAlignment="1">
      <alignment horizontal="left" vertical="center"/>
    </xf>
    <xf numFmtId="0" fontId="181" fillId="0" borderId="0" xfId="184" applyFont="1" applyAlignment="1">
      <alignment horizontal="left" vertical="center"/>
    </xf>
    <xf numFmtId="37" fontId="57" fillId="0" borderId="34" xfId="32" applyNumberFormat="1" applyFont="1" applyBorder="1" applyAlignment="1">
      <alignment horizontal="right"/>
    </xf>
    <xf numFmtId="2" fontId="57" fillId="0" borderId="34" xfId="32" applyNumberFormat="1" applyFont="1" applyBorder="1" applyAlignment="1">
      <alignment horizontal="right"/>
    </xf>
    <xf numFmtId="0" fontId="248" fillId="0" borderId="0" xfId="32" applyFont="1" applyAlignment="1">
      <alignment horizontal="left" vertical="center"/>
    </xf>
    <xf numFmtId="0" fontId="36" fillId="0" borderId="0" xfId="48" applyFill="1" applyAlignment="1" applyProtection="1">
      <alignment horizontal="left" vertical="center"/>
    </xf>
    <xf numFmtId="0" fontId="176" fillId="0" borderId="0" xfId="27" applyFont="1" applyFill="1" applyAlignment="1" applyProtection="1">
      <alignment horizontal="left" vertical="center"/>
    </xf>
    <xf numFmtId="1" fontId="135" fillId="0" borderId="34" xfId="36" applyNumberFormat="1" applyFont="1" applyBorder="1" applyAlignment="1">
      <alignment horizontal="right"/>
    </xf>
    <xf numFmtId="0" fontId="92" fillId="0" borderId="34" xfId="36" applyFont="1" applyBorder="1" applyAlignment="1">
      <alignment horizontal="left" vertical="top"/>
    </xf>
    <xf numFmtId="0" fontId="94" fillId="0" borderId="0" xfId="36" applyFont="1" applyAlignment="1">
      <alignment horizontal="left" vertical="center"/>
    </xf>
    <xf numFmtId="0" fontId="181" fillId="0" borderId="0" xfId="36" applyFont="1" applyAlignment="1">
      <alignment horizontal="left" vertical="center"/>
    </xf>
    <xf numFmtId="0" fontId="86" fillId="0" borderId="34" xfId="184" applyFont="1" applyBorder="1" applyAlignment="1">
      <alignment horizontal="left"/>
    </xf>
    <xf numFmtId="0" fontId="213" fillId="0" borderId="0" xfId="184" applyFont="1" applyAlignment="1">
      <alignment horizontal="right" vertical="center"/>
    </xf>
    <xf numFmtId="0" fontId="32" fillId="0" borderId="0" xfId="184" applyFont="1" applyAlignment="1">
      <alignment horizontal="left" vertical="center"/>
    </xf>
    <xf numFmtId="0" fontId="213" fillId="0" borderId="0" xfId="184" applyFont="1" applyAlignment="1">
      <alignment horizontal="left" vertical="top"/>
    </xf>
    <xf numFmtId="0" fontId="32" fillId="0" borderId="0" xfId="184" applyFont="1" applyAlignment="1">
      <alignment horizontal="left"/>
    </xf>
    <xf numFmtId="0" fontId="93" fillId="0" borderId="0" xfId="36" applyFont="1" applyAlignment="1">
      <alignment vertical="center"/>
    </xf>
    <xf numFmtId="2" fontId="12" fillId="0" borderId="34" xfId="36" applyNumberFormat="1" applyFont="1" applyBorder="1" applyAlignment="1">
      <alignment horizontal="right"/>
    </xf>
    <xf numFmtId="39" fontId="12" fillId="0" borderId="34" xfId="36" applyNumberFormat="1" applyFont="1" applyBorder="1" applyAlignment="1">
      <alignment horizontal="right"/>
    </xf>
    <xf numFmtId="39" fontId="91" fillId="0" borderId="0" xfId="36" applyNumberFormat="1" applyFont="1" applyAlignment="1">
      <alignment horizontal="right" vertical="center"/>
    </xf>
    <xf numFmtId="39" fontId="252" fillId="0" borderId="0" xfId="36" applyNumberFormat="1" applyFont="1" applyAlignment="1">
      <alignment horizontal="left" vertical="center"/>
    </xf>
    <xf numFmtId="37" fontId="83" fillId="0" borderId="34" xfId="36" applyNumberFormat="1" applyFont="1" applyBorder="1" applyAlignment="1">
      <alignment horizontal="right"/>
    </xf>
    <xf numFmtId="0" fontId="83" fillId="0" borderId="34" xfId="36" applyFont="1" applyBorder="1" applyAlignment="1">
      <alignment horizontal="left" wrapText="1"/>
    </xf>
    <xf numFmtId="0" fontId="31" fillId="0" borderId="34" xfId="36" applyBorder="1" applyAlignment="1">
      <alignment horizontal="left" vertical="top"/>
    </xf>
    <xf numFmtId="39" fontId="91" fillId="0" borderId="0" xfId="36" applyNumberFormat="1" applyFont="1" applyAlignment="1">
      <alignment horizontal="left" vertical="top"/>
    </xf>
    <xf numFmtId="0" fontId="14" fillId="0" borderId="0" xfId="154" applyFont="1" applyAlignment="1">
      <alignment horizontal="left" vertical="top"/>
    </xf>
    <xf numFmtId="0" fontId="14" fillId="0" borderId="0" xfId="154" applyFont="1" applyAlignment="1">
      <alignment horizontal="left" wrapText="1"/>
    </xf>
    <xf numFmtId="0" fontId="15" fillId="0" borderId="0" xfId="24" applyFont="1" applyAlignment="1" applyProtection="1">
      <alignment horizontal="left" vertical="top"/>
    </xf>
    <xf numFmtId="0" fontId="14" fillId="0" borderId="0" xfId="24" applyFont="1" applyAlignment="1" applyProtection="1">
      <alignment horizontal="left" vertical="top"/>
    </xf>
    <xf numFmtId="0" fontId="66" fillId="0" borderId="33" xfId="154" applyFont="1" applyBorder="1" applyAlignment="1">
      <alignment horizontal="center" vertical="center" wrapText="1"/>
    </xf>
    <xf numFmtId="0" fontId="66" fillId="0" borderId="33" xfId="154" applyFont="1" applyBorder="1" applyAlignment="1">
      <alignment horizontal="left" vertical="center" wrapText="1"/>
    </xf>
    <xf numFmtId="172" fontId="66" fillId="0" borderId="33" xfId="154" applyNumberFormat="1" applyFont="1" applyBorder="1" applyAlignment="1">
      <alignment horizontal="center" vertical="center" wrapText="1"/>
    </xf>
    <xf numFmtId="0" fontId="14" fillId="0" borderId="0" xfId="154" applyFont="1" applyAlignment="1">
      <alignment horizontal="center" vertical="center" wrapText="1"/>
    </xf>
    <xf numFmtId="0" fontId="116" fillId="0" borderId="0" xfId="154" applyFont="1"/>
    <xf numFmtId="37" fontId="64" fillId="0" borderId="0" xfId="154" applyNumberFormat="1" applyFont="1" applyAlignment="1">
      <alignment horizontal="right"/>
    </xf>
    <xf numFmtId="0" fontId="64" fillId="0" borderId="0" xfId="154" applyFont="1" applyAlignment="1">
      <alignment horizontal="left" wrapText="1"/>
    </xf>
    <xf numFmtId="172" fontId="64" fillId="0" borderId="0" xfId="154" applyNumberFormat="1" applyFont="1" applyAlignment="1">
      <alignment horizontal="right"/>
    </xf>
    <xf numFmtId="39" fontId="64" fillId="0" borderId="0" xfId="154" applyNumberFormat="1" applyFont="1" applyAlignment="1">
      <alignment horizontal="right"/>
    </xf>
    <xf numFmtId="0" fontId="178" fillId="0" borderId="0" xfId="154" applyFont="1" applyAlignment="1">
      <alignment vertical="center"/>
    </xf>
    <xf numFmtId="37" fontId="64" fillId="0" borderId="34" xfId="154" applyNumberFormat="1" applyFont="1" applyBorder="1" applyAlignment="1">
      <alignment horizontal="right"/>
    </xf>
    <xf numFmtId="0" fontId="64" fillId="0" borderId="34" xfId="154" applyFont="1" applyBorder="1" applyAlignment="1">
      <alignment horizontal="left" wrapText="1"/>
    </xf>
    <xf numFmtId="0" fontId="64" fillId="5" borderId="34" xfId="154" applyFont="1" applyFill="1" applyBorder="1" applyAlignment="1">
      <alignment horizontal="left" wrapText="1"/>
    </xf>
    <xf numFmtId="172" fontId="64" fillId="0" borderId="34" xfId="154" applyNumberFormat="1" applyFont="1" applyBorder="1" applyAlignment="1">
      <alignment horizontal="right"/>
    </xf>
    <xf numFmtId="39" fontId="64" fillId="0" borderId="34" xfId="154" applyNumberFormat="1" applyFont="1" applyBorder="1" applyAlignment="1">
      <alignment horizontal="right"/>
    </xf>
    <xf numFmtId="0" fontId="31" fillId="0" borderId="34" xfId="154" applyBorder="1" applyAlignment="1">
      <alignment horizontal="left" vertical="top"/>
    </xf>
    <xf numFmtId="0" fontId="12" fillId="0" borderId="34" xfId="154" applyFont="1" applyBorder="1" applyAlignment="1">
      <alignment horizontal="left" wrapText="1"/>
    </xf>
    <xf numFmtId="172" fontId="12" fillId="0" borderId="34" xfId="31" applyNumberFormat="1" applyFont="1" applyBorder="1" applyAlignment="1" applyProtection="1">
      <alignment horizontal="right"/>
    </xf>
    <xf numFmtId="4" fontId="12" fillId="0" borderId="34" xfId="154" applyNumberFormat="1" applyFont="1" applyBorder="1" applyAlignment="1">
      <alignment horizontal="right"/>
    </xf>
    <xf numFmtId="39" fontId="12" fillId="0" borderId="34" xfId="154" applyNumberFormat="1" applyFont="1" applyBorder="1" applyAlignment="1">
      <alignment horizontal="center"/>
    </xf>
    <xf numFmtId="39" fontId="14" fillId="0" borderId="0" xfId="154" applyNumberFormat="1" applyFont="1" applyAlignment="1">
      <alignment horizontal="center"/>
    </xf>
    <xf numFmtId="39" fontId="108" fillId="0" borderId="0" xfId="154" applyNumberFormat="1" applyFont="1" applyAlignment="1">
      <alignment horizontal="left" vertical="center"/>
    </xf>
    <xf numFmtId="49" fontId="57" fillId="0" borderId="34" xfId="154" applyNumberFormat="1" applyFont="1" applyBorder="1" applyAlignment="1">
      <alignment horizontal="right"/>
    </xf>
    <xf numFmtId="0" fontId="57" fillId="0" borderId="34" xfId="154" applyFont="1" applyBorder="1" applyAlignment="1">
      <alignment horizontal="left" wrapText="1"/>
    </xf>
    <xf numFmtId="172" fontId="57" fillId="0" borderId="34" xfId="154" applyNumberFormat="1" applyFont="1" applyBorder="1" applyAlignment="1">
      <alignment horizontal="right"/>
    </xf>
    <xf numFmtId="39" fontId="57" fillId="0" borderId="34" xfId="154" applyNumberFormat="1" applyFont="1" applyBorder="1" applyAlignment="1">
      <alignment horizontal="right"/>
    </xf>
    <xf numFmtId="49" fontId="12" fillId="0" borderId="34" xfId="154" applyNumberFormat="1" applyFont="1" applyBorder="1" applyAlignment="1">
      <alignment horizontal="right"/>
    </xf>
    <xf numFmtId="37" fontId="57" fillId="0" borderId="34" xfId="154" applyNumberFormat="1" applyFont="1" applyBorder="1" applyAlignment="1">
      <alignment horizontal="right"/>
    </xf>
    <xf numFmtId="0" fontId="31" fillId="0" borderId="34" xfId="154" applyBorder="1" applyAlignment="1">
      <alignment horizontal="right" vertical="top"/>
    </xf>
    <xf numFmtId="0" fontId="14" fillId="0" borderId="0" xfId="154" applyFont="1" applyAlignment="1">
      <alignment horizontal="right" vertical="top"/>
    </xf>
    <xf numFmtId="0" fontId="179" fillId="0" borderId="0" xfId="154" applyFont="1"/>
    <xf numFmtId="1" fontId="77" fillId="0" borderId="34" xfId="184" applyNumberFormat="1" applyFont="1" applyBorder="1" applyAlignment="1">
      <alignment horizontal="right"/>
    </xf>
    <xf numFmtId="0" fontId="76" fillId="0" borderId="34" xfId="184" applyFont="1" applyBorder="1" applyAlignment="1">
      <alignment horizontal="left" wrapText="1"/>
    </xf>
    <xf numFmtId="0" fontId="77" fillId="0" borderId="34" xfId="3" applyFont="1" applyBorder="1" applyAlignment="1">
      <alignment horizontal="left" wrapText="1"/>
    </xf>
    <xf numFmtId="2" fontId="78" fillId="0" borderId="34" xfId="184" applyNumberFormat="1" applyFont="1" applyBorder="1" applyAlignment="1">
      <alignment horizontal="right"/>
    </xf>
    <xf numFmtId="0" fontId="180" fillId="0" borderId="0" xfId="3" applyFont="1" applyAlignment="1">
      <alignment horizontal="left" vertical="top"/>
    </xf>
    <xf numFmtId="0" fontId="112" fillId="0" borderId="0" xfId="3" applyFont="1"/>
    <xf numFmtId="0" fontId="125" fillId="0" borderId="0" xfId="184" applyFont="1" applyAlignment="1">
      <alignment horizontal="left" vertical="top"/>
    </xf>
    <xf numFmtId="0" fontId="60" fillId="0" borderId="0" xfId="154" applyFont="1"/>
    <xf numFmtId="0" fontId="71" fillId="0" borderId="34" xfId="154" applyFont="1" applyBorder="1" applyAlignment="1">
      <alignment horizontal="left" wrapText="1"/>
    </xf>
    <xf numFmtId="172" fontId="12" fillId="0" borderId="34" xfId="154" applyNumberFormat="1" applyFont="1" applyBorder="1"/>
    <xf numFmtId="39" fontId="12" fillId="0" borderId="34" xfId="154" applyNumberFormat="1" applyFont="1" applyBorder="1" applyAlignment="1">
      <alignment horizontal="right"/>
    </xf>
    <xf numFmtId="0" fontId="31" fillId="0" borderId="0" xfId="154" applyAlignment="1">
      <alignment vertical="center"/>
    </xf>
    <xf numFmtId="0" fontId="109" fillId="0" borderId="0" xfId="154" applyFont="1" applyAlignment="1">
      <alignment horizontal="center" vertical="center"/>
    </xf>
    <xf numFmtId="0" fontId="181" fillId="0" borderId="0" xfId="154" applyFont="1" applyAlignment="1">
      <alignment horizontal="right" vertical="center"/>
    </xf>
    <xf numFmtId="173" fontId="182" fillId="0" borderId="0" xfId="154" applyNumberFormat="1" applyFont="1" applyAlignment="1">
      <alignment vertical="center"/>
    </xf>
    <xf numFmtId="0" fontId="183" fillId="0" borderId="0" xfId="154" applyFont="1" applyAlignment="1">
      <alignment vertical="center"/>
    </xf>
    <xf numFmtId="4" fontId="181" fillId="0" borderId="0" xfId="154" applyNumberFormat="1" applyFont="1" applyAlignment="1">
      <alignment horizontal="center" vertical="center"/>
    </xf>
    <xf numFmtId="49" fontId="12" fillId="0" borderId="34" xfId="154" applyNumberFormat="1" applyFont="1" applyBorder="1" applyAlignment="1">
      <alignment horizontal="left" wrapText="1"/>
    </xf>
    <xf numFmtId="172" fontId="12" fillId="0" borderId="34" xfId="154" applyNumberFormat="1" applyFont="1" applyBorder="1" applyAlignment="1">
      <alignment horizontal="right"/>
    </xf>
    <xf numFmtId="0" fontId="32" fillId="0" borderId="34" xfId="154" applyFont="1" applyBorder="1" applyAlignment="1">
      <alignment horizontal="left" vertical="center"/>
    </xf>
    <xf numFmtId="0" fontId="14" fillId="0" borderId="0" xfId="154" applyFont="1" applyAlignment="1">
      <alignment horizontal="left" vertical="center"/>
    </xf>
    <xf numFmtId="0" fontId="31" fillId="0" borderId="0" xfId="154" applyAlignment="1">
      <alignment horizontal="center"/>
    </xf>
    <xf numFmtId="0" fontId="14" fillId="0" borderId="0" xfId="154" applyFont="1"/>
    <xf numFmtId="1" fontId="57" fillId="0" borderId="34" xfId="154" applyNumberFormat="1" applyFont="1" applyBorder="1" applyAlignment="1">
      <alignment horizontal="right"/>
    </xf>
    <xf numFmtId="4" fontId="57" fillId="0" borderId="34" xfId="154" applyNumberFormat="1" applyFont="1" applyBorder="1" applyAlignment="1">
      <alignment horizontal="right"/>
    </xf>
    <xf numFmtId="6" fontId="31" fillId="0" borderId="0" xfId="154" applyNumberFormat="1"/>
    <xf numFmtId="0" fontId="163" fillId="0" borderId="34" xfId="154" applyFont="1" applyBorder="1" applyAlignment="1">
      <alignment horizontal="right" vertical="center"/>
    </xf>
    <xf numFmtId="39" fontId="14" fillId="0" borderId="0" xfId="154" applyNumberFormat="1" applyFont="1" applyAlignment="1">
      <alignment horizontal="left" vertical="center"/>
    </xf>
    <xf numFmtId="0" fontId="91" fillId="0" borderId="0" xfId="154" applyFont="1"/>
    <xf numFmtId="0" fontId="20" fillId="0" borderId="0" xfId="154" applyFont="1"/>
    <xf numFmtId="39" fontId="108" fillId="0" borderId="0" xfId="154" applyNumberFormat="1" applyFont="1" applyAlignment="1">
      <alignment horizontal="left"/>
    </xf>
    <xf numFmtId="0" fontId="53" fillId="0" borderId="0" xfId="154" applyFont="1"/>
    <xf numFmtId="39" fontId="184" fillId="0" borderId="0" xfId="154" applyNumberFormat="1" applyFont="1" applyAlignment="1">
      <alignment horizontal="left"/>
    </xf>
    <xf numFmtId="37" fontId="114" fillId="0" borderId="34" xfId="154" applyNumberFormat="1" applyFont="1" applyBorder="1" applyAlignment="1">
      <alignment horizontal="right"/>
    </xf>
    <xf numFmtId="0" fontId="114" fillId="0" borderId="34" xfId="154" applyFont="1" applyBorder="1" applyAlignment="1">
      <alignment horizontal="left" wrapText="1"/>
    </xf>
    <xf numFmtId="172" fontId="114" fillId="0" borderId="34" xfId="154" applyNumberFormat="1" applyFont="1" applyBorder="1" applyAlignment="1">
      <alignment horizontal="right"/>
    </xf>
    <xf numFmtId="4" fontId="12" fillId="0" borderId="34" xfId="25" applyNumberFormat="1" applyFont="1" applyBorder="1" applyAlignment="1" applyProtection="1">
      <alignment horizontal="right"/>
    </xf>
    <xf numFmtId="39" fontId="169" fillId="0" borderId="0" xfId="25" applyNumberFormat="1" applyFont="1" applyAlignment="1" applyProtection="1">
      <alignment horizontal="left" vertical="center"/>
    </xf>
    <xf numFmtId="172" fontId="32" fillId="0" borderId="0" xfId="25" applyNumberFormat="1" applyFont="1" applyAlignment="1" applyProtection="1">
      <alignment horizontal="left" vertical="top"/>
    </xf>
    <xf numFmtId="0" fontId="80" fillId="0" borderId="0" xfId="25" applyFont="1" applyAlignment="1" applyProtection="1">
      <alignment horizontal="right" vertical="center"/>
    </xf>
    <xf numFmtId="49" fontId="12" fillId="0" borderId="34" xfId="154" applyNumberFormat="1" applyFont="1" applyBorder="1" applyAlignment="1">
      <alignment horizontal="right" wrapText="1"/>
    </xf>
    <xf numFmtId="0" fontId="57" fillId="5" borderId="34" xfId="154" applyFont="1" applyFill="1" applyBorder="1" applyAlignment="1">
      <alignment horizontal="left" wrapText="1"/>
    </xf>
    <xf numFmtId="0" fontId="91" fillId="0" borderId="34" xfId="154" applyFont="1" applyBorder="1" applyAlignment="1">
      <alignment vertical="top" wrapText="1"/>
    </xf>
    <xf numFmtId="0" fontId="109" fillId="0" borderId="0" xfId="25" applyFont="1" applyAlignment="1" applyProtection="1">
      <alignment horizontal="right" vertical="center"/>
    </xf>
    <xf numFmtId="37" fontId="12" fillId="0" borderId="0" xfId="25" applyNumberFormat="1" applyFont="1" applyAlignment="1" applyProtection="1">
      <alignment horizontal="left" vertical="center"/>
    </xf>
    <xf numFmtId="0" fontId="31" fillId="0" borderId="34" xfId="154" applyBorder="1" applyAlignment="1">
      <alignment horizontal="center" vertical="top"/>
    </xf>
    <xf numFmtId="0" fontId="20" fillId="0" borderId="0" xfId="154" applyFont="1" applyAlignment="1">
      <alignment horizontal="right"/>
    </xf>
    <xf numFmtId="39" fontId="14" fillId="0" borderId="0" xfId="154" applyNumberFormat="1" applyFont="1" applyAlignment="1">
      <alignment horizontal="left"/>
    </xf>
    <xf numFmtId="0" fontId="20" fillId="0" borderId="0" xfId="154" applyFont="1" applyAlignment="1">
      <alignment horizontal="right" vertical="top"/>
    </xf>
    <xf numFmtId="0" fontId="14" fillId="0" borderId="0" xfId="154" applyFont="1" applyAlignment="1">
      <alignment horizontal="center"/>
    </xf>
    <xf numFmtId="0" fontId="104" fillId="0" borderId="0" xfId="154" applyFont="1"/>
    <xf numFmtId="8" fontId="14" fillId="0" borderId="0" xfId="154" applyNumberFormat="1" applyFont="1"/>
    <xf numFmtId="0" fontId="14" fillId="0" borderId="0" xfId="154" applyFont="1" applyAlignment="1">
      <alignment horizontal="center" vertical="center"/>
    </xf>
    <xf numFmtId="0" fontId="14" fillId="0" borderId="0" xfId="154" applyFont="1" applyAlignment="1">
      <alignment vertical="top"/>
    </xf>
    <xf numFmtId="0" fontId="90" fillId="0" borderId="0" xfId="154" applyFont="1"/>
    <xf numFmtId="39" fontId="14" fillId="0" borderId="0" xfId="154" applyNumberFormat="1" applyFont="1" applyAlignment="1">
      <alignment horizontal="center" vertical="center"/>
    </xf>
    <xf numFmtId="39" fontId="186" fillId="0" borderId="0" xfId="154" applyNumberFormat="1" applyFont="1" applyAlignment="1">
      <alignment horizontal="left"/>
    </xf>
    <xf numFmtId="0" fontId="14" fillId="0" borderId="0" xfId="154" applyFont="1" applyAlignment="1">
      <alignment horizontal="center" vertical="top"/>
    </xf>
    <xf numFmtId="0" fontId="184" fillId="0" borderId="0" xfId="154" applyFont="1" applyAlignment="1">
      <alignment horizontal="left"/>
    </xf>
    <xf numFmtId="39" fontId="184" fillId="0" borderId="0" xfId="154" applyNumberFormat="1" applyFont="1" applyAlignment="1">
      <alignment horizontal="left" vertical="center"/>
    </xf>
    <xf numFmtId="0" fontId="93" fillId="0" borderId="0" xfId="154" applyFont="1" applyAlignment="1">
      <alignment vertical="center"/>
    </xf>
    <xf numFmtId="0" fontId="184" fillId="0" borderId="0" xfId="154" applyFont="1"/>
    <xf numFmtId="39" fontId="12" fillId="0" borderId="34" xfId="154" applyNumberFormat="1" applyFont="1" applyBorder="1" applyAlignment="1">
      <alignment horizontal="right" vertical="center"/>
    </xf>
    <xf numFmtId="0" fontId="60" fillId="0" borderId="0" xfId="154" applyFont="1" applyAlignment="1">
      <alignment horizontal="right" vertical="center"/>
    </xf>
    <xf numFmtId="0" fontId="60" fillId="0" borderId="0" xfId="154" applyFont="1" applyAlignment="1">
      <alignment vertical="top"/>
    </xf>
    <xf numFmtId="0" fontId="14" fillId="0" borderId="0" xfId="154" applyFont="1" applyAlignment="1">
      <alignment horizontal="left"/>
    </xf>
    <xf numFmtId="49" fontId="64" fillId="0" borderId="34" xfId="154" applyNumberFormat="1" applyFont="1" applyBorder="1" applyAlignment="1">
      <alignment horizontal="right"/>
    </xf>
    <xf numFmtId="3" fontId="31" fillId="0" borderId="0" xfId="154" applyNumberFormat="1"/>
    <xf numFmtId="39" fontId="150" fillId="0" borderId="0" xfId="154" applyNumberFormat="1" applyFont="1"/>
    <xf numFmtId="39" fontId="31" fillId="0" borderId="0" xfId="154" applyNumberFormat="1"/>
    <xf numFmtId="0" fontId="93" fillId="0" borderId="0" xfId="154" applyFont="1" applyAlignment="1">
      <alignment horizontal="left" vertical="center"/>
    </xf>
    <xf numFmtId="49" fontId="83" fillId="0" borderId="34" xfId="154" applyNumberFormat="1" applyFont="1" applyBorder="1" applyAlignment="1">
      <alignment horizontal="right"/>
    </xf>
    <xf numFmtId="0" fontId="83" fillId="0" borderId="34" xfId="154" applyFont="1" applyBorder="1" applyAlignment="1">
      <alignment horizontal="left" wrapText="1"/>
    </xf>
    <xf numFmtId="172" fontId="71" fillId="0" borderId="34" xfId="154" applyNumberFormat="1" applyFont="1" applyBorder="1" applyAlignment="1">
      <alignment horizontal="right"/>
    </xf>
    <xf numFmtId="172" fontId="156" fillId="0" borderId="0" xfId="154" applyNumberFormat="1" applyFont="1" applyAlignment="1">
      <alignment horizontal="right"/>
    </xf>
    <xf numFmtId="37" fontId="31" fillId="0" borderId="0" xfId="154" applyNumberFormat="1" applyAlignment="1">
      <alignment horizontal="right" vertical="top"/>
    </xf>
    <xf numFmtId="0" fontId="31" fillId="0" borderId="0" xfId="154" applyAlignment="1">
      <alignment horizontal="left" vertical="top" wrapText="1"/>
    </xf>
    <xf numFmtId="172" fontId="31" fillId="0" borderId="0" xfId="154" applyNumberFormat="1" applyAlignment="1">
      <alignment horizontal="right" vertical="top"/>
    </xf>
    <xf numFmtId="39" fontId="31" fillId="0" borderId="0" xfId="154" applyNumberFormat="1" applyAlignment="1">
      <alignment horizontal="right" vertical="top"/>
    </xf>
    <xf numFmtId="172" fontId="83" fillId="0" borderId="40" xfId="154" applyNumberFormat="1" applyFont="1" applyBorder="1" applyAlignment="1">
      <alignment horizontal="right"/>
    </xf>
    <xf numFmtId="39" fontId="83" fillId="0" borderId="40" xfId="154" applyNumberFormat="1" applyFont="1" applyBorder="1" applyAlignment="1">
      <alignment horizontal="right"/>
    </xf>
    <xf numFmtId="37" fontId="33" fillId="0" borderId="0" xfId="146" applyNumberFormat="1" applyFill="1" applyBorder="1" applyAlignment="1" applyProtection="1">
      <alignment horizontal="left" vertical="center"/>
    </xf>
    <xf numFmtId="0" fontId="142" fillId="0" borderId="0" xfId="154" applyFont="1" applyAlignment="1">
      <alignment horizontal="center" vertical="center" wrapText="1"/>
    </xf>
    <xf numFmtId="0" fontId="63" fillId="0" borderId="0" xfId="26" applyFont="1" applyAlignment="1" applyProtection="1">
      <alignment horizontal="left" vertical="center" wrapText="1"/>
    </xf>
    <xf numFmtId="0" fontId="64" fillId="0" borderId="0" xfId="154" applyFont="1" applyAlignment="1">
      <alignment horizontal="left" vertical="center"/>
    </xf>
    <xf numFmtId="2" fontId="64" fillId="0" borderId="0" xfId="154" applyNumberFormat="1" applyFont="1" applyAlignment="1">
      <alignment horizontal="right"/>
    </xf>
    <xf numFmtId="0" fontId="13" fillId="0" borderId="0" xfId="176" applyFont="1" applyAlignment="1">
      <alignment horizontal="left" vertical="center"/>
    </xf>
    <xf numFmtId="37" fontId="20" fillId="0" borderId="0" xfId="154" applyNumberFormat="1" applyFont="1" applyAlignment="1">
      <alignment horizontal="left" vertical="center"/>
    </xf>
    <xf numFmtId="39" fontId="14" fillId="0" borderId="0" xfId="154" applyNumberFormat="1" applyFont="1" applyAlignment="1">
      <alignment horizontal="right"/>
    </xf>
    <xf numFmtId="0" fontId="14" fillId="0" borderId="0" xfId="176" applyAlignment="1">
      <alignment vertical="center"/>
    </xf>
    <xf numFmtId="0" fontId="14" fillId="0" borderId="0" xfId="176" applyAlignment="1">
      <alignment horizontal="center" vertical="center" wrapText="1"/>
    </xf>
    <xf numFmtId="0" fontId="15" fillId="0" borderId="0" xfId="154" applyFont="1" applyAlignment="1">
      <alignment horizontal="left" vertical="center" wrapText="1"/>
    </xf>
    <xf numFmtId="172" fontId="15" fillId="0" borderId="0" xfId="154" applyNumberFormat="1" applyFont="1" applyAlignment="1">
      <alignment vertical="center" wrapText="1"/>
    </xf>
    <xf numFmtId="4" fontId="12" fillId="0" borderId="34" xfId="25" applyNumberFormat="1" applyFont="1" applyBorder="1" applyAlignment="1">
      <alignment horizontal="right"/>
      <protection locked="0"/>
    </xf>
    <xf numFmtId="4" fontId="62" fillId="0" borderId="0" xfId="154" applyNumberFormat="1" applyFont="1" applyAlignment="1">
      <alignment horizontal="left"/>
    </xf>
    <xf numFmtId="0" fontId="5" fillId="0" borderId="0" xfId="154" applyFont="1"/>
    <xf numFmtId="49" fontId="31" fillId="0" borderId="0" xfId="154" applyNumberFormat="1" applyAlignment="1">
      <alignment horizontal="left"/>
    </xf>
    <xf numFmtId="0" fontId="31" fillId="0" borderId="0" xfId="154" applyAlignment="1">
      <alignment horizontal="left"/>
    </xf>
    <xf numFmtId="172" fontId="31" fillId="0" borderId="0" xfId="154" applyNumberFormat="1" applyAlignment="1">
      <alignment horizontal="left"/>
    </xf>
    <xf numFmtId="0" fontId="14" fillId="0" borderId="0" xfId="154" applyFont="1" applyAlignment="1">
      <alignment horizontal="right"/>
    </xf>
    <xf numFmtId="4" fontId="31" fillId="0" borderId="0" xfId="154" applyNumberFormat="1" applyAlignment="1">
      <alignment horizontal="left" vertical="top"/>
    </xf>
    <xf numFmtId="1" fontId="12" fillId="0" borderId="0" xfId="154" applyNumberFormat="1" applyFont="1" applyAlignment="1">
      <alignment horizontal="left"/>
    </xf>
    <xf numFmtId="0" fontId="84" fillId="0" borderId="0" xfId="154" applyFont="1" applyAlignment="1">
      <alignment horizontal="center"/>
    </xf>
    <xf numFmtId="172" fontId="12" fillId="0" borderId="0" xfId="154" applyNumberFormat="1" applyFont="1" applyAlignment="1">
      <alignment horizontal="left"/>
    </xf>
    <xf numFmtId="1" fontId="66" fillId="0" borderId="33" xfId="154" applyNumberFormat="1" applyFont="1" applyBorder="1" applyAlignment="1">
      <alignment horizontal="center" vertical="center" wrapText="1"/>
    </xf>
    <xf numFmtId="4" fontId="66" fillId="0" borderId="33" xfId="154" applyNumberFormat="1" applyFont="1" applyBorder="1" applyAlignment="1">
      <alignment horizontal="center" vertical="center" wrapText="1"/>
    </xf>
    <xf numFmtId="1" fontId="64" fillId="0" borderId="0" xfId="25" applyNumberFormat="1" applyFont="1" applyAlignment="1" applyProtection="1">
      <alignment horizontal="right"/>
    </xf>
    <xf numFmtId="172" fontId="64" fillId="0" borderId="0" xfId="25" applyNumberFormat="1" applyFont="1" applyAlignment="1" applyProtection="1">
      <alignment horizontal="right"/>
    </xf>
    <xf numFmtId="4" fontId="64" fillId="0" borderId="0" xfId="25" applyNumberFormat="1" applyFont="1" applyAlignment="1" applyProtection="1">
      <alignment horizontal="right"/>
    </xf>
    <xf numFmtId="0" fontId="14" fillId="0" borderId="0" xfId="25" applyFont="1" applyAlignment="1" applyProtection="1">
      <alignment horizontal="left" vertical="top"/>
    </xf>
    <xf numFmtId="1" fontId="64" fillId="0" borderId="34" xfId="154" applyNumberFormat="1" applyFont="1" applyBorder="1" applyAlignment="1">
      <alignment horizontal="right"/>
    </xf>
    <xf numFmtId="49" fontId="64" fillId="0" borderId="34" xfId="154" applyNumberFormat="1" applyFont="1" applyBorder="1" applyAlignment="1">
      <alignment horizontal="left" wrapText="1"/>
    </xf>
    <xf numFmtId="4" fontId="64" fillId="0" borderId="34" xfId="154" applyNumberFormat="1" applyFont="1" applyBorder="1" applyAlignment="1">
      <alignment horizontal="right"/>
    </xf>
    <xf numFmtId="0" fontId="86" fillId="0" borderId="34" xfId="154" applyFont="1" applyBorder="1" applyAlignment="1">
      <alignment horizontal="right" vertical="center"/>
    </xf>
    <xf numFmtId="0" fontId="5" fillId="0" borderId="0" xfId="154" applyFont="1" applyAlignment="1">
      <alignment horizontal="left" vertical="top"/>
    </xf>
    <xf numFmtId="49" fontId="12" fillId="0" borderId="34" xfId="12" applyNumberFormat="1" applyFont="1" applyBorder="1" applyAlignment="1" applyProtection="1">
      <alignment horizontal="left" wrapText="1"/>
    </xf>
    <xf numFmtId="0" fontId="12" fillId="0" borderId="34" xfId="12" applyFont="1" applyBorder="1" applyAlignment="1" applyProtection="1">
      <alignment horizontal="left" wrapText="1"/>
    </xf>
    <xf numFmtId="0" fontId="14" fillId="0" borderId="34" xfId="154" applyFont="1" applyBorder="1" applyAlignment="1">
      <alignment horizontal="left" vertical="top" wrapText="1"/>
    </xf>
    <xf numFmtId="37" fontId="71" fillId="0" borderId="34" xfId="154" applyNumberFormat="1" applyFont="1" applyBorder="1" applyAlignment="1">
      <alignment horizontal="right"/>
    </xf>
    <xf numFmtId="2" fontId="57" fillId="0" borderId="34" xfId="154" applyNumberFormat="1" applyFont="1" applyBorder="1" applyAlignment="1">
      <alignment horizontal="right"/>
    </xf>
    <xf numFmtId="2" fontId="12" fillId="0" borderId="34" xfId="154" applyNumberFormat="1" applyFont="1" applyBorder="1" applyAlignment="1">
      <alignment horizontal="center"/>
    </xf>
    <xf numFmtId="0" fontId="14" fillId="0" borderId="0" xfId="12" applyFont="1" applyAlignment="1" applyProtection="1">
      <alignment horizontal="left" vertical="top" wrapText="1"/>
    </xf>
    <xf numFmtId="0" fontId="14" fillId="0" borderId="0" xfId="12" applyFont="1" applyAlignment="1" applyProtection="1">
      <alignment horizontal="left" vertical="top"/>
    </xf>
    <xf numFmtId="4" fontId="14" fillId="0" borderId="0" xfId="154" applyNumberFormat="1" applyFont="1" applyAlignment="1">
      <alignment horizontal="center" vertical="center"/>
    </xf>
    <xf numFmtId="0" fontId="70" fillId="0" borderId="0" xfId="12" applyFont="1" applyAlignment="1" applyProtection="1">
      <alignment horizontal="right" vertical="top"/>
    </xf>
    <xf numFmtId="0" fontId="70" fillId="0" borderId="0" xfId="12" applyFont="1" applyAlignment="1" applyProtection="1">
      <alignment horizontal="left" vertical="top"/>
    </xf>
    <xf numFmtId="1" fontId="12" fillId="0" borderId="34" xfId="12" applyNumberFormat="1" applyFont="1" applyBorder="1" applyAlignment="1" applyProtection="1">
      <alignment horizontal="right" wrapText="1"/>
    </xf>
    <xf numFmtId="39" fontId="71" fillId="0" borderId="34" xfId="154" applyNumberFormat="1" applyFont="1" applyBorder="1" applyAlignment="1">
      <alignment horizontal="center"/>
    </xf>
    <xf numFmtId="0" fontId="164" fillId="0" borderId="0" xfId="154" applyFont="1" applyAlignment="1">
      <alignment horizontal="left" vertical="top"/>
    </xf>
    <xf numFmtId="4" fontId="31" fillId="0" borderId="0" xfId="154" applyNumberFormat="1" applyAlignment="1">
      <alignment horizontal="center" vertical="center"/>
    </xf>
    <xf numFmtId="0" fontId="14" fillId="0" borderId="0" xfId="12" applyFont="1" applyAlignment="1" applyProtection="1">
      <alignment horizontal="right"/>
    </xf>
    <xf numFmtId="172" fontId="12" fillId="0" borderId="34" xfId="12" applyNumberFormat="1" applyFont="1" applyBorder="1" applyAlignment="1" applyProtection="1">
      <alignment horizontal="right"/>
    </xf>
    <xf numFmtId="4" fontId="12" fillId="0" borderId="34" xfId="12" applyNumberFormat="1" applyFont="1" applyBorder="1" applyAlignment="1" applyProtection="1">
      <alignment horizontal="right"/>
    </xf>
    <xf numFmtId="1" fontId="12" fillId="0" borderId="34" xfId="12" applyNumberFormat="1" applyFont="1" applyBorder="1" applyAlignment="1" applyProtection="1">
      <alignment horizontal="right"/>
    </xf>
    <xf numFmtId="172" fontId="57" fillId="0" borderId="34" xfId="12" applyNumberFormat="1" applyFont="1" applyBorder="1" applyAlignment="1" applyProtection="1">
      <alignment horizontal="right"/>
    </xf>
    <xf numFmtId="1" fontId="12" fillId="0" borderId="34" xfId="154" applyNumberFormat="1" applyFont="1" applyBorder="1" applyAlignment="1">
      <alignment horizontal="right"/>
    </xf>
    <xf numFmtId="0" fontId="71" fillId="0" borderId="34" xfId="12" applyFont="1" applyBorder="1" applyAlignment="1" applyProtection="1">
      <alignment horizontal="left" wrapText="1"/>
    </xf>
    <xf numFmtId="2" fontId="12" fillId="0" borderId="34" xfId="154" applyNumberFormat="1" applyFont="1" applyBorder="1" applyAlignment="1">
      <alignment horizontal="center" vertical="center" wrapText="1"/>
    </xf>
    <xf numFmtId="0" fontId="89" fillId="0" borderId="0" xfId="146" applyFont="1" applyFill="1" applyAlignment="1" applyProtection="1">
      <alignment horizontal="right" vertical="center"/>
    </xf>
    <xf numFmtId="37" fontId="83" fillId="0" borderId="0" xfId="154" applyNumberFormat="1" applyFont="1" applyAlignment="1">
      <alignment horizontal="right" vertical="center"/>
    </xf>
    <xf numFmtId="0" fontId="83" fillId="0" borderId="0" xfId="154" applyFont="1" applyAlignment="1">
      <alignment horizontal="left" vertical="center" wrapText="1"/>
    </xf>
    <xf numFmtId="0" fontId="60" fillId="0" borderId="0" xfId="154" applyFont="1" applyAlignment="1">
      <alignment horizontal="left" vertical="top"/>
    </xf>
    <xf numFmtId="0" fontId="133" fillId="0" borderId="0" xfId="154" applyFont="1" applyAlignment="1">
      <alignment horizontal="left" vertical="center"/>
    </xf>
    <xf numFmtId="0" fontId="14" fillId="0" borderId="0" xfId="12" applyFont="1" applyAlignment="1" applyProtection="1">
      <alignment horizontal="left"/>
    </xf>
    <xf numFmtId="8" fontId="164" fillId="0" borderId="0" xfId="154" applyNumberFormat="1" applyFont="1" applyAlignment="1">
      <alignment horizontal="left" vertical="top"/>
    </xf>
    <xf numFmtId="39" fontId="14" fillId="0" borderId="0" xfId="12" applyNumberFormat="1" applyFont="1" applyAlignment="1" applyProtection="1">
      <alignment horizontal="left" vertical="top"/>
    </xf>
    <xf numFmtId="2" fontId="57" fillId="0" borderId="0" xfId="154" applyNumberFormat="1" applyFont="1" applyAlignment="1">
      <alignment horizontal="right" vertical="center"/>
    </xf>
    <xf numFmtId="39" fontId="83" fillId="0" borderId="0" xfId="154" applyNumberFormat="1" applyFont="1" applyAlignment="1">
      <alignment horizontal="right" vertical="center"/>
    </xf>
    <xf numFmtId="39" fontId="57" fillId="0" borderId="0" xfId="154" applyNumberFormat="1" applyFont="1" applyAlignment="1">
      <alignment horizontal="right" vertical="center"/>
    </xf>
    <xf numFmtId="0" fontId="57" fillId="0" borderId="34" xfId="154" applyFont="1" applyBorder="1" applyAlignment="1">
      <alignment horizontal="left" vertical="center" wrapText="1"/>
    </xf>
    <xf numFmtId="39" fontId="79" fillId="0" borderId="34" xfId="12" applyNumberFormat="1" applyFont="1" applyBorder="1" applyAlignment="1" applyProtection="1">
      <alignment horizontal="right" vertical="center"/>
    </xf>
    <xf numFmtId="0" fontId="89" fillId="0" borderId="0" xfId="146" applyFont="1" applyFill="1" applyAlignment="1" applyProtection="1">
      <alignment horizontal="left" vertical="center"/>
    </xf>
    <xf numFmtId="0" fontId="91" fillId="0" borderId="0" xfId="154" applyFont="1" applyAlignment="1">
      <alignment horizontal="left" vertical="center"/>
    </xf>
    <xf numFmtId="39" fontId="14" fillId="0" borderId="0" xfId="154" applyNumberFormat="1" applyFont="1" applyAlignment="1">
      <alignment horizontal="left" vertical="top"/>
    </xf>
    <xf numFmtId="1" fontId="12" fillId="0" borderId="34" xfId="154" applyNumberFormat="1" applyFont="1" applyBorder="1"/>
    <xf numFmtId="49" fontId="12" fillId="0" borderId="34" xfId="154" applyNumberFormat="1" applyFont="1" applyBorder="1"/>
    <xf numFmtId="0" fontId="12" fillId="0" borderId="34" xfId="154" applyFont="1" applyBorder="1"/>
    <xf numFmtId="4" fontId="12" fillId="0" borderId="34" xfId="154" applyNumberFormat="1" applyFont="1" applyBorder="1"/>
    <xf numFmtId="0" fontId="15" fillId="0" borderId="34" xfId="154" applyFont="1" applyBorder="1" applyAlignment="1">
      <alignment horizontal="left" vertical="top"/>
    </xf>
    <xf numFmtId="1" fontId="156" fillId="0" borderId="0" xfId="154" applyNumberFormat="1" applyFont="1" applyAlignment="1">
      <alignment horizontal="right"/>
    </xf>
    <xf numFmtId="4" fontId="156" fillId="0" borderId="0" xfId="154" applyNumberFormat="1" applyFont="1" applyAlignment="1">
      <alignment horizontal="right"/>
    </xf>
    <xf numFmtId="1" fontId="31" fillId="0" borderId="0" xfId="154" applyNumberFormat="1" applyAlignment="1">
      <alignment horizontal="right" vertical="top"/>
    </xf>
    <xf numFmtId="4" fontId="31" fillId="0" borderId="0" xfId="154" applyNumberFormat="1" applyAlignment="1">
      <alignment horizontal="right" vertical="top"/>
    </xf>
    <xf numFmtId="4" fontId="83" fillId="0" borderId="40" xfId="154" applyNumberFormat="1" applyFont="1" applyBorder="1" applyAlignment="1">
      <alignment horizontal="right"/>
    </xf>
    <xf numFmtId="4" fontId="64" fillId="0" borderId="33" xfId="154" applyNumberFormat="1" applyFont="1" applyBorder="1" applyAlignment="1">
      <alignment horizontal="right"/>
    </xf>
    <xf numFmtId="4" fontId="14" fillId="0" borderId="0" xfId="154" applyNumberFormat="1" applyFont="1" applyAlignment="1">
      <alignment horizontal="left" vertical="top"/>
    </xf>
    <xf numFmtId="1" fontId="83" fillId="0" borderId="0" xfId="154" applyNumberFormat="1" applyFont="1" applyAlignment="1">
      <alignment horizontal="right"/>
    </xf>
    <xf numFmtId="172" fontId="83" fillId="0" borderId="0" xfId="154" applyNumberFormat="1" applyFont="1" applyAlignment="1">
      <alignment horizontal="right"/>
    </xf>
    <xf numFmtId="4" fontId="83" fillId="0" borderId="0" xfId="154" applyNumberFormat="1" applyFont="1" applyAlignment="1">
      <alignment horizontal="right"/>
    </xf>
    <xf numFmtId="4" fontId="12" fillId="0" borderId="0" xfId="154" applyNumberFormat="1" applyFont="1" applyAlignment="1">
      <alignment horizontal="right"/>
    </xf>
    <xf numFmtId="1" fontId="13" fillId="0" borderId="0" xfId="176" applyNumberFormat="1" applyFont="1" applyAlignment="1">
      <alignment vertical="center"/>
    </xf>
    <xf numFmtId="0" fontId="14" fillId="0" borderId="0" xfId="176" applyAlignment="1">
      <alignment horizontal="left" vertical="top"/>
    </xf>
    <xf numFmtId="0" fontId="5" fillId="0" borderId="0" xfId="154" applyFont="1" applyAlignment="1">
      <alignment vertical="top"/>
    </xf>
    <xf numFmtId="1" fontId="31" fillId="0" borderId="0" xfId="154" applyNumberFormat="1"/>
    <xf numFmtId="172" fontId="31" fillId="0" borderId="0" xfId="154" applyNumberFormat="1" applyAlignment="1">
      <alignment horizontal="left" vertical="center"/>
    </xf>
    <xf numFmtId="4" fontId="31" fillId="0" borderId="0" xfId="154" applyNumberFormat="1" applyAlignment="1">
      <alignment horizontal="right" vertical="center"/>
    </xf>
    <xf numFmtId="4" fontId="97" fillId="0" borderId="0" xfId="154" applyNumberFormat="1" applyFont="1" applyAlignment="1">
      <alignment horizontal="left" vertical="center"/>
    </xf>
    <xf numFmtId="0" fontId="97" fillId="0" borderId="0" xfId="154" applyFont="1" applyAlignment="1">
      <alignment horizontal="left" vertical="center"/>
    </xf>
    <xf numFmtId="0" fontId="123" fillId="0" borderId="0" xfId="154" applyFont="1" applyAlignment="1">
      <alignment horizontal="right" vertical="center"/>
    </xf>
    <xf numFmtId="0" fontId="123" fillId="0" borderId="0" xfId="154" applyFont="1" applyAlignment="1">
      <alignment horizontal="left" vertical="center"/>
    </xf>
    <xf numFmtId="0" fontId="123" fillId="0" borderId="0" xfId="154" applyFont="1" applyAlignment="1">
      <alignment vertical="center"/>
    </xf>
    <xf numFmtId="172" fontId="123" fillId="0" borderId="0" xfId="154" applyNumberFormat="1" applyFont="1" applyAlignment="1">
      <alignment horizontal="left" vertical="center"/>
    </xf>
    <xf numFmtId="4" fontId="123" fillId="0" borderId="0" xfId="154" applyNumberFormat="1" applyFont="1" applyAlignment="1">
      <alignment horizontal="right" vertical="center"/>
    </xf>
    <xf numFmtId="0" fontId="211" fillId="0" borderId="0" xfId="154" applyFont="1" applyAlignment="1">
      <alignment horizontal="left" vertical="center"/>
    </xf>
    <xf numFmtId="172" fontId="31" fillId="0" borderId="0" xfId="154" applyNumberFormat="1"/>
    <xf numFmtId="4" fontId="12" fillId="0" borderId="34" xfId="12" applyNumberFormat="1" applyFont="1" applyBorder="1" applyAlignment="1">
      <alignment horizontal="right"/>
      <protection locked="0"/>
    </xf>
    <xf numFmtId="0" fontId="107" fillId="0" borderId="0" xfId="154" applyFont="1" applyAlignment="1">
      <alignment horizontal="left"/>
    </xf>
    <xf numFmtId="0" fontId="187" fillId="0" borderId="53" xfId="154" applyFont="1" applyBorder="1" applyAlignment="1">
      <alignment horizontal="left" vertical="center"/>
    </xf>
    <xf numFmtId="176" fontId="64" fillId="0" borderId="0" xfId="154" applyNumberFormat="1" applyFont="1" applyAlignment="1">
      <alignment horizontal="right"/>
    </xf>
    <xf numFmtId="0" fontId="178" fillId="0" borderId="0" xfId="154" applyFont="1" applyAlignment="1">
      <alignment horizontal="left" vertical="center"/>
    </xf>
    <xf numFmtId="37" fontId="64" fillId="5" borderId="34" xfId="25" applyNumberFormat="1" applyFont="1" applyFill="1" applyBorder="1" applyAlignment="1" applyProtection="1">
      <alignment horizontal="right"/>
    </xf>
    <xf numFmtId="0" fontId="64" fillId="5" borderId="34" xfId="25" applyFont="1" applyFill="1" applyBorder="1" applyAlignment="1" applyProtection="1">
      <alignment horizontal="left" wrapText="1"/>
    </xf>
    <xf numFmtId="4" fontId="64" fillId="5" borderId="34" xfId="25" applyNumberFormat="1" applyFont="1" applyFill="1" applyBorder="1" applyAlignment="1" applyProtection="1">
      <alignment horizontal="right"/>
    </xf>
    <xf numFmtId="4" fontId="64" fillId="0" borderId="34" xfId="25" applyNumberFormat="1" applyFont="1" applyBorder="1" applyAlignment="1" applyProtection="1">
      <alignment horizontal="right"/>
    </xf>
    <xf numFmtId="0" fontId="15" fillId="5" borderId="34" xfId="25" applyFill="1" applyBorder="1" applyAlignment="1" applyProtection="1">
      <alignment vertical="top"/>
    </xf>
    <xf numFmtId="0" fontId="174" fillId="0" borderId="0" xfId="25" applyFont="1" applyAlignment="1" applyProtection="1">
      <alignment horizontal="left" vertical="center"/>
    </xf>
    <xf numFmtId="39" fontId="12" fillId="0" borderId="34" xfId="25" applyNumberFormat="1" applyFont="1" applyBorder="1" applyAlignment="1" applyProtection="1">
      <alignment horizontal="center"/>
    </xf>
    <xf numFmtId="0" fontId="169" fillId="0" borderId="0" xfId="25" applyFont="1" applyAlignment="1" applyProtection="1">
      <alignment horizontal="left" vertical="center"/>
    </xf>
    <xf numFmtId="172" fontId="32" fillId="0" borderId="0" xfId="25" applyNumberFormat="1" applyFont="1" applyAlignment="1" applyProtection="1">
      <alignment horizontal="left" vertical="center"/>
    </xf>
    <xf numFmtId="0" fontId="163" fillId="0" borderId="34" xfId="154" applyFont="1" applyBorder="1" applyAlignment="1">
      <alignment horizontal="right" vertical="center" wrapText="1"/>
    </xf>
    <xf numFmtId="0" fontId="163" fillId="0" borderId="34" xfId="154" applyFont="1" applyBorder="1" applyAlignment="1">
      <alignment vertical="top" wrapText="1"/>
    </xf>
    <xf numFmtId="0" fontId="80" fillId="0" borderId="0" xfId="25" applyFont="1" applyAlignment="1" applyProtection="1">
      <alignment horizontal="left" vertical="center"/>
    </xf>
    <xf numFmtId="4" fontId="12" fillId="0" borderId="34" xfId="142" applyNumberFormat="1" applyFont="1" applyBorder="1" applyAlignment="1">
      <alignment horizontal="right"/>
    </xf>
    <xf numFmtId="37" fontId="12" fillId="0" borderId="34" xfId="154" applyNumberFormat="1" applyFont="1" applyBorder="1" applyAlignment="1">
      <alignment horizontal="right"/>
    </xf>
    <xf numFmtId="0" fontId="190" fillId="0" borderId="0" xfId="146" applyFont="1" applyFill="1" applyAlignment="1" applyProtection="1">
      <alignment horizontal="left" vertical="top"/>
    </xf>
    <xf numFmtId="0" fontId="57" fillId="0" borderId="0" xfId="154" applyFont="1" applyAlignment="1">
      <alignment horizontal="left" wrapText="1"/>
    </xf>
    <xf numFmtId="0" fontId="107" fillId="0" borderId="0" xfId="154" applyFont="1" applyAlignment="1">
      <alignment horizontal="left" vertical="top"/>
    </xf>
    <xf numFmtId="0" fontId="163" fillId="0" borderId="34" xfId="154" applyFont="1" applyBorder="1" applyAlignment="1">
      <alignment horizontal="right" wrapText="1"/>
    </xf>
    <xf numFmtId="0" fontId="194" fillId="0" borderId="0" xfId="25" applyFont="1" applyAlignment="1" applyProtection="1">
      <alignment horizontal="left" vertical="center"/>
    </xf>
    <xf numFmtId="176" fontId="31" fillId="0" borderId="0" xfId="154" applyNumberFormat="1" applyAlignment="1">
      <alignment horizontal="right" vertical="top"/>
    </xf>
    <xf numFmtId="37" fontId="140" fillId="0" borderId="0" xfId="154" applyNumberFormat="1" applyFont="1" applyAlignment="1">
      <alignment horizontal="left"/>
    </xf>
    <xf numFmtId="37" fontId="190" fillId="0" borderId="0" xfId="146" applyNumberFormat="1" applyFont="1" applyFill="1" applyBorder="1" applyAlignment="1" applyProtection="1">
      <alignment horizontal="left" vertical="center"/>
    </xf>
    <xf numFmtId="37" fontId="84" fillId="0" borderId="0" xfId="154" applyNumberFormat="1" applyFont="1" applyAlignment="1">
      <alignment horizontal="left" vertical="center"/>
    </xf>
    <xf numFmtId="49" fontId="12" fillId="0" borderId="0" xfId="154" applyNumberFormat="1" applyFont="1" applyAlignment="1">
      <alignment horizontal="left"/>
    </xf>
    <xf numFmtId="0" fontId="206" fillId="0" borderId="55" xfId="154" applyFont="1" applyBorder="1" applyAlignment="1">
      <alignment horizontal="left" vertical="center"/>
    </xf>
    <xf numFmtId="0" fontId="107" fillId="0" borderId="0" xfId="154" applyFont="1"/>
    <xf numFmtId="0" fontId="150" fillId="0" borderId="0" xfId="154" applyFont="1"/>
    <xf numFmtId="0" fontId="106" fillId="0" borderId="0" xfId="154" applyFont="1"/>
    <xf numFmtId="0" fontId="207" fillId="0" borderId="0" xfId="154" applyFont="1"/>
    <xf numFmtId="0" fontId="66" fillId="0" borderId="0" xfId="154" applyFont="1" applyAlignment="1">
      <alignment horizontal="center" vertical="center" wrapText="1"/>
    </xf>
    <xf numFmtId="4" fontId="64" fillId="0" borderId="0" xfId="154" applyNumberFormat="1" applyFont="1" applyAlignment="1">
      <alignment horizontal="right"/>
    </xf>
    <xf numFmtId="2" fontId="64" fillId="0" borderId="34" xfId="154" applyNumberFormat="1" applyFont="1" applyBorder="1" applyAlignment="1">
      <alignment horizontal="right"/>
    </xf>
    <xf numFmtId="49" fontId="264" fillId="0" borderId="34" xfId="178" applyNumberFormat="1" applyFont="1" applyBorder="1" applyAlignment="1" applyProtection="1">
      <alignment horizontal="right"/>
    </xf>
    <xf numFmtId="4" fontId="12" fillId="0" borderId="34" xfId="204" applyNumberFormat="1" applyFont="1" applyBorder="1" applyAlignment="1">
      <alignment horizontal="right"/>
    </xf>
    <xf numFmtId="0" fontId="97" fillId="0" borderId="0" xfId="154" applyFont="1" applyAlignment="1">
      <alignment horizontal="right" vertical="center"/>
    </xf>
    <xf numFmtId="0" fontId="97" fillId="0" borderId="34" xfId="154" applyFont="1" applyBorder="1" applyAlignment="1">
      <alignment horizontal="right" vertical="center"/>
    </xf>
    <xf numFmtId="0" fontId="95" fillId="0" borderId="0" xfId="154" applyFont="1" applyAlignment="1">
      <alignment horizontal="left" vertical="center"/>
    </xf>
    <xf numFmtId="49" fontId="71" fillId="0" borderId="34" xfId="154" applyNumberFormat="1" applyFont="1" applyBorder="1" applyAlignment="1">
      <alignment horizontal="right"/>
    </xf>
    <xf numFmtId="0" fontId="33" fillId="0" borderId="0" xfId="146" applyFill="1" applyBorder="1" applyAlignment="1" applyProtection="1">
      <alignment horizontal="left"/>
    </xf>
    <xf numFmtId="0" fontId="208" fillId="0" borderId="37" xfId="154" applyFont="1" applyBorder="1" applyAlignment="1">
      <alignment horizontal="center" vertical="top" wrapText="1"/>
    </xf>
    <xf numFmtId="0" fontId="14" fillId="0" borderId="0" xfId="154" applyFont="1" applyAlignment="1">
      <alignment vertical="top" wrapText="1"/>
    </xf>
    <xf numFmtId="0" fontId="33" fillId="0" borderId="0" xfId="146" applyFill="1" applyBorder="1" applyAlignment="1" applyProtection="1">
      <alignment horizontal="left" vertical="top"/>
    </xf>
    <xf numFmtId="0" fontId="14" fillId="0" borderId="0" xfId="154" applyFont="1" applyAlignment="1">
      <alignment vertical="center"/>
    </xf>
    <xf numFmtId="0" fontId="33" fillId="0" borderId="0" xfId="146" applyFill="1" applyBorder="1" applyAlignment="1" applyProtection="1">
      <alignment horizontal="left" vertical="center"/>
    </xf>
    <xf numFmtId="0" fontId="264" fillId="0" borderId="34" xfId="184" applyFont="1" applyBorder="1" applyAlignment="1">
      <alignment horizontal="left" wrapText="1"/>
    </xf>
    <xf numFmtId="2" fontId="264" fillId="0" borderId="34" xfId="184" applyNumberFormat="1" applyFont="1" applyBorder="1" applyAlignment="1">
      <alignment horizontal="right"/>
    </xf>
    <xf numFmtId="4" fontId="264" fillId="0" borderId="34" xfId="184" applyNumberFormat="1" applyFont="1" applyBorder="1" applyAlignment="1">
      <alignment horizontal="right"/>
    </xf>
    <xf numFmtId="39" fontId="264" fillId="0" borderId="34" xfId="12" applyNumberFormat="1" applyFont="1" applyBorder="1" applyAlignment="1" applyProtection="1">
      <alignment horizontal="center"/>
    </xf>
    <xf numFmtId="49" fontId="264" fillId="0" borderId="34" xfId="154" applyNumberFormat="1" applyFont="1" applyBorder="1" applyAlignment="1">
      <alignment horizontal="right"/>
    </xf>
    <xf numFmtId="0" fontId="264" fillId="0" borderId="34" xfId="154" applyFont="1" applyBorder="1" applyAlignment="1">
      <alignment horizontal="left" wrapText="1"/>
    </xf>
    <xf numFmtId="172" fontId="264" fillId="0" borderId="34" xfId="154" applyNumberFormat="1" applyFont="1" applyBorder="1" applyAlignment="1">
      <alignment horizontal="right"/>
    </xf>
    <xf numFmtId="4" fontId="264" fillId="0" borderId="34" xfId="154" applyNumberFormat="1" applyFont="1" applyBorder="1" applyAlignment="1">
      <alignment horizontal="right"/>
    </xf>
    <xf numFmtId="173" fontId="14" fillId="0" borderId="0" xfId="154" applyNumberFormat="1" applyFont="1" applyAlignment="1">
      <alignment horizontal="left" vertical="center"/>
    </xf>
    <xf numFmtId="172" fontId="264" fillId="0" borderId="34" xfId="154" applyNumberFormat="1" applyFont="1" applyBorder="1"/>
    <xf numFmtId="39" fontId="209" fillId="0" borderId="0" xfId="154" applyNumberFormat="1" applyFont="1" applyAlignment="1">
      <alignment horizontal="center"/>
    </xf>
    <xf numFmtId="0" fontId="208" fillId="0" borderId="37" xfId="154" applyFont="1" applyBorder="1" applyAlignment="1">
      <alignment horizontal="left" vertical="top"/>
    </xf>
    <xf numFmtId="4" fontId="264" fillId="0" borderId="34" xfId="204" applyNumberFormat="1" applyFont="1" applyBorder="1" applyAlignment="1">
      <alignment horizontal="right"/>
    </xf>
    <xf numFmtId="39" fontId="264" fillId="0" borderId="34" xfId="154" applyNumberFormat="1" applyFont="1" applyBorder="1" applyAlignment="1">
      <alignment horizontal="center"/>
    </xf>
    <xf numFmtId="39" fontId="304" fillId="0" borderId="0" xfId="154" applyNumberFormat="1" applyFont="1" applyAlignment="1">
      <alignment horizontal="left"/>
    </xf>
    <xf numFmtId="0" fontId="301" fillId="0" borderId="0" xfId="154" applyFont="1"/>
    <xf numFmtId="0" fontId="296" fillId="0" borderId="0" xfId="154" applyFont="1"/>
    <xf numFmtId="176" fontId="296" fillId="0" borderId="0" xfId="154" applyNumberFormat="1" applyFont="1" applyAlignment="1">
      <alignment horizontal="right" vertical="top"/>
    </xf>
    <xf numFmtId="0" fontId="305" fillId="0" borderId="34" xfId="154" applyFont="1" applyBorder="1" applyAlignment="1">
      <alignment horizontal="right" vertical="center"/>
    </xf>
    <xf numFmtId="0" fontId="297" fillId="0" borderId="0" xfId="154" applyFont="1" applyAlignment="1">
      <alignment horizontal="left" vertical="center"/>
    </xf>
    <xf numFmtId="0" fontId="306" fillId="0" borderId="37" xfId="154" applyFont="1" applyBorder="1" applyAlignment="1">
      <alignment horizontal="left" vertical="top"/>
    </xf>
    <xf numFmtId="0" fontId="301" fillId="0" borderId="0" xfId="154" applyFont="1" applyAlignment="1">
      <alignment vertical="top" wrapText="1"/>
    </xf>
    <xf numFmtId="0" fontId="296" fillId="0" borderId="0" xfId="154" applyFont="1" applyAlignment="1">
      <alignment vertical="top"/>
    </xf>
    <xf numFmtId="0" fontId="275" fillId="0" borderId="0" xfId="146" applyFont="1" applyFill="1" applyBorder="1" applyAlignment="1" applyProtection="1">
      <alignment horizontal="left" vertical="top"/>
    </xf>
    <xf numFmtId="0" fontId="267" fillId="0" borderId="0" xfId="154" applyFont="1" applyAlignment="1">
      <alignment horizontal="left" vertical="center"/>
    </xf>
    <xf numFmtId="39" fontId="14" fillId="0" borderId="0" xfId="154" applyNumberFormat="1" applyFont="1"/>
    <xf numFmtId="37" fontId="83" fillId="0" borderId="34" xfId="154" applyNumberFormat="1" applyFont="1" applyBorder="1" applyAlignment="1">
      <alignment horizontal="right"/>
    </xf>
    <xf numFmtId="37" fontId="14" fillId="0" borderId="0" xfId="154" applyNumberFormat="1" applyFont="1" applyAlignment="1">
      <alignment horizontal="right"/>
    </xf>
    <xf numFmtId="37" fontId="52" fillId="0" borderId="0" xfId="146" applyNumberFormat="1" applyFont="1" applyFill="1" applyBorder="1" applyAlignment="1" applyProtection="1">
      <alignment horizontal="left" vertical="center"/>
    </xf>
    <xf numFmtId="37" fontId="14" fillId="0" borderId="0" xfId="154" applyNumberFormat="1" applyFont="1" applyAlignment="1">
      <alignment horizontal="left" vertical="center"/>
    </xf>
    <xf numFmtId="0" fontId="115" fillId="0" borderId="0" xfId="154" applyFont="1"/>
    <xf numFmtId="0" fontId="31" fillId="0" borderId="0" xfId="154" applyAlignment="1">
      <alignment horizontal="right"/>
    </xf>
    <xf numFmtId="0" fontId="66" fillId="0" borderId="0" xfId="154" applyFont="1" applyAlignment="1">
      <alignment horizontal="left" vertical="center" wrapText="1"/>
    </xf>
    <xf numFmtId="0" fontId="91" fillId="0" borderId="0" xfId="154" applyFont="1" applyAlignment="1">
      <alignment horizontal="left" vertical="top"/>
    </xf>
    <xf numFmtId="0" fontId="91" fillId="0" borderId="0" xfId="154" applyFont="1" applyAlignment="1">
      <alignment vertical="center"/>
    </xf>
    <xf numFmtId="39" fontId="12" fillId="0" borderId="0" xfId="154" applyNumberFormat="1" applyFont="1" applyAlignment="1">
      <alignment horizontal="left"/>
    </xf>
    <xf numFmtId="2" fontId="63" fillId="0" borderId="34" xfId="154" applyNumberFormat="1" applyFont="1" applyBorder="1" applyAlignment="1">
      <alignment horizontal="center"/>
    </xf>
    <xf numFmtId="2" fontId="12" fillId="0" borderId="0" xfId="154" applyNumberFormat="1" applyFont="1" applyAlignment="1">
      <alignment horizontal="left" vertical="top"/>
    </xf>
    <xf numFmtId="2" fontId="63" fillId="0" borderId="0" xfId="154" applyNumberFormat="1" applyFont="1" applyAlignment="1">
      <alignment horizontal="left" vertical="top"/>
    </xf>
    <xf numFmtId="39" fontId="63" fillId="0" borderId="0" xfId="154" applyNumberFormat="1" applyFont="1"/>
    <xf numFmtId="0" fontId="63" fillId="0" borderId="0" xfId="154" applyFont="1" applyAlignment="1">
      <alignment horizontal="left" vertical="center"/>
    </xf>
    <xf numFmtId="0" fontId="63" fillId="0" borderId="0" xfId="154" applyFont="1" applyAlignment="1">
      <alignment horizontal="left" vertical="top"/>
    </xf>
    <xf numFmtId="37" fontId="64" fillId="0" borderId="34" xfId="25" applyNumberFormat="1" applyFont="1" applyBorder="1" applyAlignment="1" applyProtection="1">
      <alignment horizontal="right"/>
    </xf>
    <xf numFmtId="0" fontId="64" fillId="0" borderId="34" xfId="25" applyFont="1" applyBorder="1" applyAlignment="1" applyProtection="1">
      <alignment horizontal="left" wrapText="1"/>
    </xf>
    <xf numFmtId="0" fontId="102" fillId="0" borderId="0" xfId="25" applyFont="1" applyAlignment="1" applyProtection="1">
      <alignment horizontal="left" vertical="center"/>
    </xf>
    <xf numFmtId="0" fontId="176" fillId="0" borderId="0" xfId="25" applyFont="1" applyAlignment="1" applyProtection="1">
      <alignment horizontal="left" vertical="center"/>
    </xf>
    <xf numFmtId="37" fontId="63" fillId="0" borderId="0" xfId="25" applyNumberFormat="1" applyFont="1" applyAlignment="1" applyProtection="1">
      <alignment horizontal="left" vertical="center"/>
    </xf>
    <xf numFmtId="0" fontId="102" fillId="0" borderId="0" xfId="25" applyFont="1" applyAlignment="1" applyProtection="1">
      <alignment horizontal="left" vertical="top"/>
    </xf>
    <xf numFmtId="0" fontId="175" fillId="0" borderId="0" xfId="25" applyFont="1" applyAlignment="1" applyProtection="1">
      <alignment horizontal="left" vertical="top"/>
    </xf>
    <xf numFmtId="0" fontId="78" fillId="0" borderId="34" xfId="154" applyFont="1" applyBorder="1" applyAlignment="1">
      <alignment horizontal="left" wrapText="1"/>
    </xf>
    <xf numFmtId="39" fontId="91" fillId="0" borderId="0" xfId="154" applyNumberFormat="1" applyFont="1"/>
    <xf numFmtId="1" fontId="83" fillId="0" borderId="34" xfId="154" applyNumberFormat="1" applyFont="1" applyBorder="1" applyAlignment="1">
      <alignment horizontal="right"/>
    </xf>
    <xf numFmtId="4" fontId="83" fillId="0" borderId="34" xfId="154" applyNumberFormat="1" applyFont="1" applyBorder="1" applyAlignment="1">
      <alignment horizontal="right"/>
    </xf>
    <xf numFmtId="172" fontId="57" fillId="0" borderId="0" xfId="154" applyNumberFormat="1" applyFont="1" applyAlignment="1">
      <alignment horizontal="right"/>
    </xf>
    <xf numFmtId="37" fontId="63" fillId="0" borderId="0" xfId="154" applyNumberFormat="1" applyFont="1" applyAlignment="1">
      <alignment horizontal="right"/>
    </xf>
    <xf numFmtId="37" fontId="173" fillId="0" borderId="0" xfId="146" applyNumberFormat="1" applyFont="1" applyFill="1" applyBorder="1" applyAlignment="1" applyProtection="1">
      <alignment horizontal="left" vertical="center"/>
    </xf>
    <xf numFmtId="37" fontId="63" fillId="0" borderId="0" xfId="154" applyNumberFormat="1" applyFont="1" applyAlignment="1">
      <alignment horizontal="left" vertical="center"/>
    </xf>
    <xf numFmtId="39" fontId="31" fillId="8" borderId="0" xfId="154" applyNumberFormat="1" applyFill="1" applyAlignment="1">
      <alignment horizontal="right" vertical="top"/>
    </xf>
    <xf numFmtId="4" fontId="64" fillId="0" borderId="34" xfId="25" applyNumberFormat="1" applyFont="1" applyBorder="1" applyAlignment="1">
      <alignment horizontal="right"/>
      <protection locked="0"/>
    </xf>
    <xf numFmtId="0" fontId="63" fillId="0" borderId="0" xfId="89" applyFont="1" applyAlignment="1">
      <alignment horizontal="left" vertical="top"/>
    </xf>
    <xf numFmtId="0" fontId="35" fillId="0" borderId="0" xfId="28" applyFill="1" applyBorder="1" applyAlignment="1" applyProtection="1">
      <alignment horizontal="left" vertical="top"/>
    </xf>
    <xf numFmtId="0" fontId="14" fillId="0" borderId="0" xfId="125" applyFont="1" applyAlignment="1" applyProtection="1">
      <alignment horizontal="left"/>
    </xf>
    <xf numFmtId="4" fontId="30" fillId="0" borderId="0" xfId="125" applyNumberFormat="1" applyAlignment="1" applyProtection="1">
      <alignment horizontal="left" vertical="top"/>
    </xf>
    <xf numFmtId="0" fontId="12" fillId="5" borderId="51" xfId="89" applyFont="1" applyFill="1" applyBorder="1" applyAlignment="1">
      <alignment horizontal="left"/>
    </xf>
    <xf numFmtId="0" fontId="65" fillId="0" borderId="51" xfId="89" applyFont="1" applyBorder="1" applyAlignment="1">
      <alignment horizontal="left" vertical="center"/>
    </xf>
    <xf numFmtId="0" fontId="63" fillId="0" borderId="51" xfId="89" applyFont="1" applyBorder="1" applyAlignment="1">
      <alignment horizontal="left" vertical="center"/>
    </xf>
    <xf numFmtId="0" fontId="62" fillId="5" borderId="51" xfId="89" applyFont="1" applyFill="1" applyBorder="1" applyAlignment="1">
      <alignment horizontal="left"/>
    </xf>
    <xf numFmtId="0" fontId="31" fillId="5" borderId="51" xfId="89" applyFill="1" applyBorder="1" applyAlignment="1">
      <alignment horizontal="left" vertical="top"/>
    </xf>
    <xf numFmtId="0" fontId="66" fillId="5" borderId="33" xfId="89" applyFont="1" applyFill="1" applyBorder="1" applyAlignment="1">
      <alignment horizontal="center" vertical="center" wrapText="1"/>
    </xf>
    <xf numFmtId="0" fontId="164" fillId="0" borderId="0" xfId="89" applyFont="1" applyAlignment="1">
      <alignment vertical="center" wrapText="1"/>
    </xf>
    <xf numFmtId="37" fontId="64" fillId="0" borderId="0" xfId="89" applyNumberFormat="1" applyFont="1" applyAlignment="1">
      <alignment horizontal="right"/>
    </xf>
    <xf numFmtId="0" fontId="64" fillId="0" borderId="0" xfId="89" applyFont="1" applyAlignment="1">
      <alignment horizontal="left" wrapText="1"/>
    </xf>
    <xf numFmtId="176" fontId="64" fillId="0" borderId="0" xfId="89" applyNumberFormat="1" applyFont="1" applyAlignment="1">
      <alignment horizontal="right"/>
    </xf>
    <xf numFmtId="39" fontId="64" fillId="0" borderId="0" xfId="89" applyNumberFormat="1" applyFont="1" applyAlignment="1">
      <alignment horizontal="right"/>
    </xf>
    <xf numFmtId="37" fontId="64" fillId="0" borderId="34" xfId="23" applyNumberFormat="1" applyFont="1" applyBorder="1" applyAlignment="1" applyProtection="1">
      <alignment horizontal="right"/>
    </xf>
    <xf numFmtId="0" fontId="64" fillId="0" borderId="34" xfId="23" applyFont="1" applyBorder="1" applyAlignment="1" applyProtection="1">
      <alignment horizontal="left" wrapText="1"/>
    </xf>
    <xf numFmtId="4" fontId="64" fillId="0" borderId="34" xfId="23" applyNumberFormat="1" applyFont="1" applyBorder="1" applyAlignment="1" applyProtection="1">
      <alignment horizontal="right"/>
    </xf>
    <xf numFmtId="0" fontId="15" fillId="0" borderId="34" xfId="23" applyBorder="1" applyAlignment="1" applyProtection="1">
      <alignment vertical="top"/>
    </xf>
    <xf numFmtId="0" fontId="15" fillId="0" borderId="0" xfId="23" applyAlignment="1" applyProtection="1">
      <alignment horizontal="left" vertical="top"/>
    </xf>
    <xf numFmtId="37" fontId="114" fillId="0" borderId="34" xfId="21" applyNumberFormat="1" applyFont="1" applyBorder="1" applyAlignment="1">
      <alignment horizontal="right"/>
    </xf>
    <xf numFmtId="49" fontId="12" fillId="0" borderId="34" xfId="21" applyNumberFormat="1" applyFont="1" applyBorder="1" applyAlignment="1">
      <alignment horizontal="left" wrapText="1"/>
    </xf>
    <xf numFmtId="0" fontId="12" fillId="0" borderId="34" xfId="21" applyFont="1" applyBorder="1" applyAlignment="1">
      <alignment horizontal="left" wrapText="1"/>
    </xf>
    <xf numFmtId="4" fontId="12" fillId="0" borderId="34" xfId="23" applyNumberFormat="1" applyFont="1" applyBorder="1" applyAlignment="1" applyProtection="1">
      <alignment horizontal="right"/>
    </xf>
    <xf numFmtId="39" fontId="12" fillId="0" borderId="34" xfId="23" applyNumberFormat="1" applyFont="1" applyBorder="1" applyAlignment="1" applyProtection="1">
      <alignment horizontal="center"/>
    </xf>
    <xf numFmtId="39" fontId="12" fillId="0" borderId="0" xfId="181" applyNumberFormat="1" applyFont="1" applyAlignment="1">
      <alignment horizontal="center"/>
    </xf>
    <xf numFmtId="0" fontId="16" fillId="0" borderId="0" xfId="181" applyFont="1" applyAlignment="1">
      <alignment vertical="top" wrapText="1"/>
    </xf>
    <xf numFmtId="0" fontId="5" fillId="0" borderId="0" xfId="181" applyAlignment="1">
      <alignment vertical="top" wrapText="1"/>
    </xf>
    <xf numFmtId="0" fontId="31" fillId="0" borderId="0" xfId="21"/>
    <xf numFmtId="0" fontId="71" fillId="0" borderId="34" xfId="21" applyFont="1" applyBorder="1" applyAlignment="1">
      <alignment horizontal="left" vertical="center" wrapText="1"/>
    </xf>
    <xf numFmtId="2" fontId="12" fillId="0" borderId="34" xfId="21" applyNumberFormat="1" applyFont="1" applyBorder="1"/>
    <xf numFmtId="39" fontId="12" fillId="0" borderId="34" xfId="21" applyNumberFormat="1" applyFont="1" applyBorder="1" applyAlignment="1">
      <alignment horizontal="right"/>
    </xf>
    <xf numFmtId="5" fontId="41" fillId="0" borderId="34" xfId="21" applyNumberFormat="1" applyFont="1" applyBorder="1" applyAlignment="1">
      <alignment horizontal="right"/>
    </xf>
    <xf numFmtId="39" fontId="12" fillId="0" borderId="0" xfId="181" applyNumberFormat="1" applyFont="1" applyAlignment="1">
      <alignment horizontal="center" wrapText="1"/>
    </xf>
    <xf numFmtId="0" fontId="16" fillId="0" borderId="0" xfId="181" applyFont="1" applyAlignment="1">
      <alignment vertical="center"/>
    </xf>
    <xf numFmtId="0" fontId="31" fillId="0" borderId="0" xfId="21" applyAlignment="1">
      <alignment vertical="center"/>
    </xf>
    <xf numFmtId="49" fontId="12" fillId="0" borderId="34" xfId="21" applyNumberFormat="1" applyFont="1" applyBorder="1" applyAlignment="1">
      <alignment horizontal="right" wrapText="1"/>
    </xf>
    <xf numFmtId="0" fontId="57" fillId="0" borderId="34" xfId="21" applyFont="1" applyBorder="1" applyAlignment="1">
      <alignment horizontal="left" wrapText="1"/>
    </xf>
    <xf numFmtId="4" fontId="57" fillId="0" borderId="34" xfId="21" applyNumberFormat="1" applyFont="1" applyBorder="1" applyAlignment="1">
      <alignment horizontal="right"/>
    </xf>
    <xf numFmtId="0" fontId="16" fillId="0" borderId="0" xfId="181" applyFont="1" applyAlignment="1">
      <alignment horizontal="left" vertical="center"/>
    </xf>
    <xf numFmtId="0" fontId="5" fillId="0" borderId="0" xfId="181" applyAlignment="1">
      <alignment horizontal="right" vertical="center"/>
    </xf>
    <xf numFmtId="0" fontId="5" fillId="0" borderId="0" xfId="181" applyAlignment="1">
      <alignment vertical="center"/>
    </xf>
    <xf numFmtId="0" fontId="31" fillId="0" borderId="0" xfId="21" applyAlignment="1">
      <alignment vertical="top"/>
    </xf>
    <xf numFmtId="0" fontId="31" fillId="0" borderId="0" xfId="21" applyAlignment="1">
      <alignment horizontal="right" vertical="center"/>
    </xf>
    <xf numFmtId="39" fontId="12" fillId="0" borderId="0" xfId="21" applyNumberFormat="1" applyFont="1" applyAlignment="1">
      <alignment horizontal="center"/>
    </xf>
    <xf numFmtId="0" fontId="31" fillId="0" borderId="0" xfId="21" applyAlignment="1">
      <alignment horizontal="left" vertical="top"/>
    </xf>
    <xf numFmtId="0" fontId="91" fillId="0" borderId="34" xfId="21" applyFont="1" applyBorder="1" applyAlignment="1">
      <alignment vertical="top" wrapText="1"/>
    </xf>
    <xf numFmtId="39" fontId="84" fillId="0" borderId="0" xfId="181" applyNumberFormat="1" applyFont="1" applyAlignment="1">
      <alignment horizontal="right" vertical="center"/>
    </xf>
    <xf numFmtId="0" fontId="21" fillId="0" borderId="0" xfId="89" applyFont="1" applyAlignment="1">
      <alignment horizontal="left" vertical="center"/>
    </xf>
    <xf numFmtId="0" fontId="166" fillId="0" borderId="0" xfId="89" applyFont="1" applyAlignment="1">
      <alignment horizontal="left" vertical="center"/>
    </xf>
    <xf numFmtId="0" fontId="164" fillId="0" borderId="52" xfId="89" applyFont="1" applyBorder="1" applyAlignment="1">
      <alignment horizontal="left" vertical="center"/>
    </xf>
    <xf numFmtId="0" fontId="115" fillId="0" borderId="0" xfId="21" applyFont="1" applyAlignment="1">
      <alignment vertical="center"/>
    </xf>
    <xf numFmtId="9" fontId="167" fillId="0" borderId="34" xfId="21" applyNumberFormat="1" applyFont="1" applyBorder="1" applyAlignment="1">
      <alignment horizontal="right"/>
    </xf>
    <xf numFmtId="37" fontId="114" fillId="0" borderId="34" xfId="89" applyNumberFormat="1" applyFont="1" applyBorder="1" applyAlignment="1">
      <alignment horizontal="right"/>
    </xf>
    <xf numFmtId="49" fontId="12" fillId="0" borderId="34" xfId="89" applyNumberFormat="1" applyFont="1" applyBorder="1" applyAlignment="1">
      <alignment horizontal="left" wrapText="1"/>
    </xf>
    <xf numFmtId="2" fontId="12" fillId="0" borderId="34" xfId="89" applyNumberFormat="1" applyFont="1" applyBorder="1"/>
    <xf numFmtId="49" fontId="12" fillId="0" borderId="34" xfId="89" applyNumberFormat="1" applyFont="1" applyBorder="1" applyAlignment="1">
      <alignment horizontal="right" wrapText="1"/>
    </xf>
    <xf numFmtId="4" fontId="57" fillId="0" borderId="34" xfId="89" applyNumberFormat="1" applyFont="1" applyBorder="1" applyAlignment="1">
      <alignment horizontal="right"/>
    </xf>
    <xf numFmtId="0" fontId="31" fillId="0" borderId="0" xfId="89" applyAlignment="1">
      <alignment horizontal="right" vertical="center"/>
    </xf>
    <xf numFmtId="39" fontId="12" fillId="0" borderId="0" xfId="89" applyNumberFormat="1" applyFont="1" applyAlignment="1">
      <alignment horizontal="center"/>
    </xf>
    <xf numFmtId="0" fontId="168" fillId="0" borderId="0" xfId="89" applyFont="1" applyAlignment="1">
      <alignment horizontal="left" vertical="center"/>
    </xf>
    <xf numFmtId="0" fontId="164" fillId="0" borderId="0" xfId="89" applyFont="1" applyAlignment="1">
      <alignment vertical="center"/>
    </xf>
    <xf numFmtId="5" fontId="64" fillId="0" borderId="34" xfId="89" applyNumberFormat="1" applyFont="1" applyBorder="1" applyAlignment="1">
      <alignment horizontal="right"/>
    </xf>
    <xf numFmtId="0" fontId="145" fillId="0" borderId="34" xfId="89" applyFont="1" applyBorder="1" applyAlignment="1">
      <alignment horizontal="right" vertical="top" wrapText="1"/>
    </xf>
    <xf numFmtId="0" fontId="114" fillId="0" borderId="34" xfId="21" applyFont="1" applyBorder="1" applyAlignment="1">
      <alignment horizontal="left" wrapText="1"/>
    </xf>
    <xf numFmtId="2" fontId="114" fillId="0" borderId="34" xfId="21" applyNumberFormat="1" applyFont="1" applyBorder="1" applyAlignment="1">
      <alignment horizontal="right"/>
    </xf>
    <xf numFmtId="172" fontId="32" fillId="0" borderId="0" xfId="23" applyNumberFormat="1" applyFont="1" applyAlignment="1" applyProtection="1">
      <alignment horizontal="left" vertical="top"/>
    </xf>
    <xf numFmtId="0" fontId="80" fillId="0" borderId="0" xfId="23" applyFont="1" applyAlignment="1" applyProtection="1">
      <alignment horizontal="right" vertical="center"/>
    </xf>
    <xf numFmtId="1" fontId="31" fillId="0" borderId="0" xfId="89" applyNumberFormat="1" applyAlignment="1">
      <alignment horizontal="right"/>
    </xf>
    <xf numFmtId="1" fontId="31" fillId="0" borderId="0" xfId="89" applyNumberFormat="1" applyAlignment="1">
      <alignment horizontal="left"/>
    </xf>
    <xf numFmtId="4" fontId="91" fillId="0" borderId="0" xfId="21" applyNumberFormat="1" applyFont="1" applyAlignment="1">
      <alignment vertical="top"/>
    </xf>
    <xf numFmtId="39" fontId="169" fillId="0" borderId="0" xfId="23" applyNumberFormat="1" applyFont="1" applyAlignment="1" applyProtection="1">
      <alignment horizontal="left" vertical="center"/>
    </xf>
    <xf numFmtId="0" fontId="169" fillId="0" borderId="0" xfId="23" applyFont="1" applyAlignment="1" applyProtection="1">
      <alignment horizontal="left" vertical="center"/>
    </xf>
    <xf numFmtId="0" fontId="74" fillId="0" borderId="0" xfId="23" applyFont="1" applyAlignment="1" applyProtection="1">
      <alignment horizontal="left" vertical="top"/>
    </xf>
    <xf numFmtId="37" fontId="156" fillId="0" borderId="0" xfId="89" applyNumberFormat="1" applyFont="1" applyAlignment="1">
      <alignment horizontal="right"/>
    </xf>
    <xf numFmtId="0" fontId="156" fillId="0" borderId="0" xfId="89" applyFont="1" applyAlignment="1">
      <alignment horizontal="left" wrapText="1"/>
    </xf>
    <xf numFmtId="176" fontId="156" fillId="0" borderId="0" xfId="89" applyNumberFormat="1" applyFont="1" applyAlignment="1">
      <alignment horizontal="right"/>
    </xf>
    <xf numFmtId="39" fontId="156" fillId="0" borderId="0" xfId="89" applyNumberFormat="1" applyFont="1" applyAlignment="1">
      <alignment horizontal="right"/>
    </xf>
    <xf numFmtId="0" fontId="170" fillId="0" borderId="0" xfId="89" applyFont="1" applyAlignment="1">
      <alignment horizontal="center" vertical="center"/>
    </xf>
    <xf numFmtId="37" fontId="31" fillId="0" borderId="0" xfId="89" applyNumberFormat="1" applyAlignment="1">
      <alignment horizontal="right" vertical="top"/>
    </xf>
    <xf numFmtId="0" fontId="31" fillId="0" borderId="0" xfId="89" applyAlignment="1">
      <alignment horizontal="left" vertical="top" wrapText="1"/>
    </xf>
    <xf numFmtId="176" fontId="31" fillId="0" borderId="0" xfId="89" applyNumberFormat="1" applyAlignment="1">
      <alignment horizontal="right" vertical="top"/>
    </xf>
    <xf numFmtId="39" fontId="31" fillId="0" borderId="0" xfId="89" applyNumberFormat="1" applyAlignment="1">
      <alignment horizontal="right" vertical="top"/>
    </xf>
    <xf numFmtId="0" fontId="64" fillId="0" borderId="39" xfId="89" applyFont="1" applyBorder="1" applyAlignment="1">
      <alignment horizontal="left"/>
    </xf>
    <xf numFmtId="0" fontId="83" fillId="0" borderId="40" xfId="89" applyFont="1" applyBorder="1" applyAlignment="1">
      <alignment horizontal="center"/>
    </xf>
    <xf numFmtId="176" fontId="83" fillId="0" borderId="40" xfId="89" applyNumberFormat="1" applyFont="1" applyBorder="1" applyAlignment="1">
      <alignment horizontal="right"/>
    </xf>
    <xf numFmtId="39" fontId="83" fillId="0" borderId="40" xfId="89" applyNumberFormat="1" applyFont="1" applyBorder="1" applyAlignment="1">
      <alignment horizontal="right"/>
    </xf>
    <xf numFmtId="39" fontId="64" fillId="0" borderId="33" xfId="89" applyNumberFormat="1" applyFont="1" applyBorder="1" applyAlignment="1">
      <alignment horizontal="right"/>
    </xf>
    <xf numFmtId="177" fontId="31" fillId="0" borderId="0" xfId="89" applyNumberFormat="1" applyAlignment="1">
      <alignment horizontal="right" vertical="top"/>
    </xf>
    <xf numFmtId="177" fontId="31" fillId="0" borderId="0" xfId="89" applyNumberFormat="1" applyAlignment="1">
      <alignment horizontal="center" vertical="top"/>
    </xf>
    <xf numFmtId="4" fontId="116" fillId="0" borderId="0" xfId="89" applyNumberFormat="1" applyFont="1" applyAlignment="1">
      <alignment horizontal="right" vertical="top"/>
    </xf>
    <xf numFmtId="37" fontId="83" fillId="0" borderId="0" xfId="89" applyNumberFormat="1" applyFont="1" applyAlignment="1">
      <alignment horizontal="right"/>
    </xf>
    <xf numFmtId="0" fontId="83" fillId="0" borderId="0" xfId="89" applyFont="1" applyAlignment="1">
      <alignment horizontal="left" wrapText="1"/>
    </xf>
    <xf numFmtId="0" fontId="12" fillId="0" borderId="0" xfId="89" applyFont="1" applyAlignment="1">
      <alignment horizontal="left" wrapText="1"/>
    </xf>
    <xf numFmtId="0" fontId="83" fillId="0" borderId="0" xfId="89" applyFont="1" applyAlignment="1">
      <alignment horizontal="center" wrapText="1"/>
    </xf>
    <xf numFmtId="176" fontId="83" fillId="0" borderId="0" xfId="89" applyNumberFormat="1" applyFont="1" applyAlignment="1">
      <alignment horizontal="right"/>
    </xf>
    <xf numFmtId="39" fontId="83" fillId="0" borderId="0" xfId="89" applyNumberFormat="1" applyFont="1" applyAlignment="1">
      <alignment horizontal="right"/>
    </xf>
    <xf numFmtId="39" fontId="12" fillId="0" borderId="0" xfId="89" applyNumberFormat="1" applyFont="1" applyAlignment="1">
      <alignment horizontal="right"/>
    </xf>
    <xf numFmtId="173" fontId="115" fillId="0" borderId="0" xfId="176" applyNumberFormat="1" applyFont="1" applyAlignment="1">
      <alignment vertical="center"/>
    </xf>
    <xf numFmtId="0" fontId="171" fillId="0" borderId="0" xfId="176" applyFont="1" applyAlignment="1">
      <alignment vertical="center"/>
    </xf>
    <xf numFmtId="173" fontId="171" fillId="0" borderId="0" xfId="176" applyNumberFormat="1" applyFont="1" applyAlignment="1">
      <alignment vertical="center"/>
    </xf>
    <xf numFmtId="0" fontId="18" fillId="0" borderId="0" xfId="176" applyFont="1" applyAlignment="1">
      <alignment vertical="center"/>
    </xf>
    <xf numFmtId="4" fontId="12" fillId="0" borderId="34" xfId="23" applyNumberFormat="1" applyFont="1" applyBorder="1" applyAlignment="1">
      <alignment horizontal="right"/>
      <protection locked="0"/>
    </xf>
    <xf numFmtId="0" fontId="63" fillId="0" borderId="0" xfId="154" applyFont="1" applyAlignment="1">
      <alignment horizontal="center" vertical="center"/>
    </xf>
    <xf numFmtId="0" fontId="35" fillId="0" borderId="0" xfId="28" applyFill="1" applyAlignment="1" applyProtection="1">
      <alignment horizontal="left" vertical="top"/>
    </xf>
    <xf numFmtId="4" fontId="12" fillId="0" borderId="0" xfId="154" applyNumberFormat="1" applyFont="1" applyAlignment="1">
      <alignment horizontal="left"/>
    </xf>
    <xf numFmtId="0" fontId="65" fillId="0" borderId="0" xfId="154" applyFont="1" applyAlignment="1">
      <alignment horizontal="left" vertical="center"/>
    </xf>
    <xf numFmtId="4" fontId="63" fillId="0" borderId="0" xfId="154" applyNumberFormat="1" applyFont="1" applyAlignment="1">
      <alignment horizontal="left" vertical="center"/>
    </xf>
    <xf numFmtId="2" fontId="67" fillId="0" borderId="0" xfId="154" applyNumberFormat="1" applyFont="1" applyAlignment="1">
      <alignment horizontal="left" vertical="center"/>
    </xf>
    <xf numFmtId="0" fontId="68" fillId="0" borderId="0" xfId="154" applyFont="1" applyAlignment="1">
      <alignment horizontal="left" vertical="top"/>
    </xf>
    <xf numFmtId="0" fontId="60" fillId="0" borderId="0" xfId="154" applyFont="1" applyAlignment="1">
      <alignment horizontal="left" vertical="center"/>
    </xf>
    <xf numFmtId="37" fontId="264" fillId="0" borderId="34" xfId="142" applyNumberFormat="1" applyFont="1" applyBorder="1" applyAlignment="1">
      <alignment horizontal="right"/>
    </xf>
    <xf numFmtId="0" fontId="12" fillId="0" borderId="34" xfId="142" applyFont="1" applyBorder="1" applyAlignment="1">
      <alignment horizontal="left" wrapText="1"/>
    </xf>
    <xf numFmtId="4" fontId="264" fillId="0" borderId="34" xfId="3" applyNumberFormat="1" applyFont="1" applyBorder="1" applyAlignment="1">
      <alignment horizontal="right" wrapText="1"/>
    </xf>
    <xf numFmtId="4" fontId="12" fillId="0" borderId="34" xfId="3" applyNumberFormat="1" applyFont="1" applyBorder="1" applyAlignment="1">
      <alignment horizontal="right"/>
    </xf>
    <xf numFmtId="1" fontId="12" fillId="0" borderId="34" xfId="177" applyNumberFormat="1" applyFont="1" applyBorder="1" applyAlignment="1">
      <alignment horizontal="right"/>
    </xf>
    <xf numFmtId="0" fontId="12" fillId="0" borderId="34" xfId="177" applyFont="1" applyBorder="1" applyAlignment="1">
      <alignment horizontal="left" wrapText="1"/>
    </xf>
    <xf numFmtId="4" fontId="12" fillId="0" borderId="34" xfId="177" applyNumberFormat="1" applyFont="1" applyBorder="1" applyAlignment="1">
      <alignment horizontal="right"/>
    </xf>
    <xf numFmtId="1" fontId="71" fillId="0" borderId="34" xfId="177" applyNumberFormat="1" applyFont="1" applyBorder="1" applyAlignment="1">
      <alignment horizontal="right"/>
    </xf>
    <xf numFmtId="0" fontId="71" fillId="0" borderId="34" xfId="177" applyFont="1" applyBorder="1" applyAlignment="1">
      <alignment horizontal="left" wrapText="1"/>
    </xf>
    <xf numFmtId="4" fontId="71" fillId="0" borderId="34" xfId="177" applyNumberFormat="1" applyFont="1" applyBorder="1" applyAlignment="1">
      <alignment horizontal="right"/>
    </xf>
    <xf numFmtId="39" fontId="71" fillId="0" borderId="34" xfId="177" applyNumberFormat="1" applyFont="1" applyBorder="1" applyAlignment="1">
      <alignment horizontal="center"/>
    </xf>
    <xf numFmtId="0" fontId="73" fillId="0" borderId="0" xfId="25" applyFont="1" applyAlignment="1" applyProtection="1">
      <alignment horizontal="left" vertical="top"/>
    </xf>
    <xf numFmtId="2" fontId="73" fillId="0" borderId="0" xfId="25" applyNumberFormat="1" applyFont="1" applyAlignment="1" applyProtection="1">
      <alignment horizontal="left" vertical="top"/>
    </xf>
    <xf numFmtId="0" fontId="75" fillId="0" borderId="0" xfId="154" applyFont="1" applyAlignment="1">
      <alignment horizontal="left" vertical="center"/>
    </xf>
    <xf numFmtId="0" fontId="75" fillId="0" borderId="0" xfId="33" applyFont="1" applyAlignment="1">
      <alignment horizontal="left" vertical="center"/>
    </xf>
    <xf numFmtId="4" fontId="12" fillId="0" borderId="34" xfId="30" applyNumberFormat="1" applyFont="1" applyBorder="1" applyAlignment="1" applyProtection="1"/>
    <xf numFmtId="4" fontId="57" fillId="0" borderId="34" xfId="30" applyNumberFormat="1" applyFont="1" applyBorder="1" applyAlignment="1" applyProtection="1">
      <alignment horizontal="right"/>
    </xf>
    <xf numFmtId="0" fontId="31" fillId="0" borderId="34" xfId="154" applyBorder="1" applyAlignment="1">
      <alignment vertical="top"/>
    </xf>
    <xf numFmtId="39" fontId="63" fillId="0" borderId="0" xfId="154" applyNumberFormat="1" applyFont="1" applyAlignment="1">
      <alignment horizontal="left" vertical="center"/>
    </xf>
    <xf numFmtId="49" fontId="12" fillId="0" borderId="34" xfId="26" applyNumberFormat="1" applyFont="1" applyBorder="1" applyAlignment="1" applyProtection="1">
      <alignment horizontal="left"/>
    </xf>
    <xf numFmtId="4" fontId="12" fillId="0" borderId="34" xfId="26" applyNumberFormat="1" applyFont="1" applyBorder="1" applyAlignment="1" applyProtection="1">
      <alignment horizontal="right"/>
    </xf>
    <xf numFmtId="0" fontId="71" fillId="0" borderId="34" xfId="26" applyFont="1" applyBorder="1" applyAlignment="1" applyProtection="1">
      <alignment horizontal="left" wrapText="1"/>
    </xf>
    <xf numFmtId="2" fontId="12" fillId="0" borderId="34" xfId="26" applyNumberFormat="1" applyFont="1" applyBorder="1" applyAlignment="1" applyProtection="1">
      <alignment horizontal="center"/>
    </xf>
    <xf numFmtId="4" fontId="57" fillId="0" borderId="34" xfId="26" applyNumberFormat="1" applyFont="1" applyBorder="1" applyAlignment="1" applyProtection="1">
      <alignment horizontal="right"/>
    </xf>
    <xf numFmtId="37" fontId="264" fillId="0" borderId="34" xfId="178" applyNumberFormat="1" applyFont="1" applyBorder="1" applyAlignment="1" applyProtection="1">
      <alignment horizontal="right"/>
    </xf>
    <xf numFmtId="4" fontId="264" fillId="0" borderId="34" xfId="26" applyNumberFormat="1" applyFont="1" applyBorder="1" applyAlignment="1" applyProtection="1">
      <alignment horizontal="right"/>
    </xf>
    <xf numFmtId="37" fontId="76" fillId="0" borderId="34" xfId="3" applyNumberFormat="1" applyFont="1" applyBorder="1" applyAlignment="1">
      <alignment horizontal="right"/>
    </xf>
    <xf numFmtId="4" fontId="76" fillId="0" borderId="34" xfId="3" applyNumberFormat="1" applyFont="1" applyBorder="1" applyAlignment="1">
      <alignment horizontal="right"/>
    </xf>
    <xf numFmtId="37" fontId="76" fillId="0" borderId="34" xfId="178" applyNumberFormat="1" applyFont="1" applyBorder="1" applyAlignment="1" applyProtection="1">
      <alignment horizontal="right"/>
    </xf>
    <xf numFmtId="49" fontId="76" fillId="0" borderId="34" xfId="26" applyNumberFormat="1" applyFont="1" applyBorder="1" applyAlignment="1" applyProtection="1">
      <alignment horizontal="left"/>
    </xf>
    <xf numFmtId="0" fontId="76" fillId="0" borderId="34" xfId="26" applyFont="1" applyBorder="1" applyAlignment="1" applyProtection="1">
      <alignment horizontal="left" wrapText="1"/>
    </xf>
    <xf numFmtId="0" fontId="77" fillId="0" borderId="34" xfId="26" applyFont="1" applyBorder="1" applyAlignment="1" applyProtection="1">
      <alignment horizontal="left" wrapText="1"/>
    </xf>
    <xf numFmtId="4" fontId="76" fillId="0" borderId="34" xfId="26" applyNumberFormat="1" applyFont="1" applyBorder="1" applyAlignment="1" applyProtection="1">
      <alignment horizontal="right"/>
    </xf>
    <xf numFmtId="2" fontId="76" fillId="0" borderId="34" xfId="26" applyNumberFormat="1" applyFont="1" applyBorder="1" applyAlignment="1" applyProtection="1">
      <alignment horizontal="center"/>
    </xf>
    <xf numFmtId="4" fontId="78" fillId="0" borderId="34" xfId="26" applyNumberFormat="1" applyFont="1" applyBorder="1" applyAlignment="1" applyProtection="1">
      <alignment horizontal="right"/>
    </xf>
    <xf numFmtId="0" fontId="79" fillId="0" borderId="0" xfId="3" applyFont="1" applyAlignment="1">
      <alignment vertical="center"/>
    </xf>
    <xf numFmtId="37" fontId="264" fillId="0" borderId="34" xfId="140" applyNumberFormat="1" applyFont="1" applyBorder="1" applyAlignment="1">
      <alignment horizontal="right"/>
    </xf>
    <xf numFmtId="49" fontId="12" fillId="0" borderId="34" xfId="140" applyNumberFormat="1" applyFont="1" applyBorder="1" applyAlignment="1">
      <alignment horizontal="left" wrapText="1"/>
    </xf>
    <xf numFmtId="0" fontId="12" fillId="0" borderId="34" xfId="140" applyFont="1" applyBorder="1" applyAlignment="1">
      <alignment horizontal="left" wrapText="1"/>
    </xf>
    <xf numFmtId="4" fontId="12" fillId="0" borderId="34" xfId="140" applyNumberFormat="1" applyFont="1" applyBorder="1" applyAlignment="1">
      <alignment horizontal="right"/>
    </xf>
    <xf numFmtId="39" fontId="12" fillId="0" borderId="34" xfId="140" applyNumberFormat="1" applyFont="1" applyBorder="1" applyAlignment="1">
      <alignment horizontal="center"/>
    </xf>
    <xf numFmtId="2" fontId="85" fillId="0" borderId="0" xfId="140" applyNumberFormat="1" applyFont="1" applyAlignment="1">
      <alignment horizontal="left" vertical="center"/>
    </xf>
    <xf numFmtId="37" fontId="12" fillId="0" borderId="34" xfId="140" applyNumberFormat="1" applyFont="1" applyBorder="1" applyAlignment="1">
      <alignment horizontal="right"/>
    </xf>
    <xf numFmtId="0" fontId="57" fillId="0" borderId="34" xfId="140" applyFont="1" applyBorder="1" applyAlignment="1">
      <alignment horizontal="left" wrapText="1"/>
    </xf>
    <xf numFmtId="2" fontId="80" fillId="0" borderId="0" xfId="140" applyNumberFormat="1" applyFont="1" applyAlignment="1">
      <alignment horizontal="left" vertical="center"/>
    </xf>
    <xf numFmtId="0" fontId="64" fillId="0" borderId="34" xfId="140" applyFont="1" applyBorder="1" applyAlignment="1">
      <alignment horizontal="left" wrapText="1"/>
    </xf>
    <xf numFmtId="4" fontId="81" fillId="0" borderId="34" xfId="3" applyNumberFormat="1" applyFont="1" applyBorder="1" applyAlignment="1">
      <alignment horizontal="right"/>
    </xf>
    <xf numFmtId="2" fontId="70" fillId="0" borderId="0" xfId="140" applyNumberFormat="1" applyFont="1"/>
    <xf numFmtId="37" fontId="12" fillId="0" borderId="34" xfId="142" applyNumberFormat="1" applyFont="1" applyBorder="1" applyAlignment="1">
      <alignment horizontal="right"/>
    </xf>
    <xf numFmtId="0" fontId="57" fillId="0" borderId="34" xfId="142" applyFont="1" applyBorder="1" applyAlignment="1">
      <alignment horizontal="left" wrapText="1"/>
    </xf>
    <xf numFmtId="4" fontId="57" fillId="0" borderId="34" xfId="142" applyNumberFormat="1" applyFont="1" applyBorder="1" applyAlignment="1">
      <alignment horizontal="right"/>
    </xf>
    <xf numFmtId="0" fontId="14" fillId="0" borderId="0" xfId="142" applyAlignment="1">
      <alignment horizontal="left" vertical="center"/>
    </xf>
    <xf numFmtId="2" fontId="31" fillId="0" borderId="0" xfId="154" applyNumberFormat="1" applyAlignment="1">
      <alignment horizontal="left" vertical="top"/>
    </xf>
    <xf numFmtId="1" fontId="71" fillId="0" borderId="34" xfId="89" applyNumberFormat="1" applyFont="1" applyBorder="1" applyAlignment="1">
      <alignment horizontal="right"/>
    </xf>
    <xf numFmtId="0" fontId="71" fillId="0" borderId="34" xfId="89" applyFont="1" applyBorder="1" applyAlignment="1">
      <alignment horizontal="left" wrapText="1"/>
    </xf>
    <xf numFmtId="0" fontId="71" fillId="0" borderId="35" xfId="3" applyFont="1" applyBorder="1" applyAlignment="1">
      <alignment horizontal="left" wrapText="1"/>
    </xf>
    <xf numFmtId="37" fontId="71" fillId="0" borderId="34" xfId="140" applyNumberFormat="1" applyFont="1" applyBorder="1" applyAlignment="1">
      <alignment horizontal="right"/>
    </xf>
    <xf numFmtId="0" fontId="71" fillId="0" borderId="34" xfId="140" applyFont="1" applyBorder="1" applyAlignment="1">
      <alignment horizontal="left" wrapText="1"/>
    </xf>
    <xf numFmtId="4" fontId="57" fillId="0" borderId="34" xfId="140" applyNumberFormat="1" applyFont="1" applyBorder="1" applyAlignment="1">
      <alignment horizontal="right"/>
    </xf>
    <xf numFmtId="1" fontId="264" fillId="0" borderId="34" xfId="195" applyNumberFormat="1" applyFont="1" applyBorder="1" applyAlignment="1">
      <alignment horizontal="right"/>
    </xf>
    <xf numFmtId="0" fontId="264" fillId="0" borderId="34" xfId="195" applyFont="1" applyBorder="1" applyAlignment="1">
      <alignment horizontal="left" wrapText="1"/>
    </xf>
    <xf numFmtId="2" fontId="264" fillId="0" borderId="34" xfId="195" applyNumberFormat="1" applyFont="1" applyBorder="1" applyAlignment="1">
      <alignment horizontal="right"/>
    </xf>
    <xf numFmtId="4" fontId="264" fillId="0" borderId="34" xfId="195" applyNumberFormat="1" applyFont="1" applyBorder="1" applyAlignment="1">
      <alignment horizontal="right"/>
    </xf>
    <xf numFmtId="4" fontId="57" fillId="0" borderId="34" xfId="42" applyNumberFormat="1" applyFont="1" applyBorder="1" applyAlignment="1" applyProtection="1">
      <alignment horizontal="right" wrapText="1"/>
    </xf>
    <xf numFmtId="37" fontId="83" fillId="0" borderId="34" xfId="140" applyNumberFormat="1" applyFont="1" applyBorder="1" applyAlignment="1">
      <alignment horizontal="right"/>
    </xf>
    <xf numFmtId="49" fontId="83" fillId="0" borderId="34" xfId="140" applyNumberFormat="1" applyFont="1" applyBorder="1" applyAlignment="1">
      <alignment horizontal="left" wrapText="1"/>
    </xf>
    <xf numFmtId="0" fontId="83" fillId="0" borderId="34" xfId="140" applyFont="1" applyBorder="1" applyAlignment="1">
      <alignment horizontal="left" wrapText="1"/>
    </xf>
    <xf numFmtId="0" fontId="85" fillId="0" borderId="34" xfId="140" applyFont="1" applyBorder="1" applyAlignment="1">
      <alignment horizontal="right" vertical="center"/>
    </xf>
    <xf numFmtId="1" fontId="64" fillId="0" borderId="34" xfId="142" applyNumberFormat="1" applyFont="1" applyBorder="1" applyAlignment="1">
      <alignment horizontal="right"/>
    </xf>
    <xf numFmtId="49" fontId="64" fillId="0" borderId="34" xfId="142" applyNumberFormat="1" applyFont="1" applyBorder="1" applyAlignment="1">
      <alignment horizontal="left" wrapText="1"/>
    </xf>
    <xf numFmtId="0" fontId="64" fillId="0" borderId="34" xfId="142" applyFont="1" applyBorder="1" applyAlignment="1">
      <alignment horizontal="left" wrapText="1"/>
    </xf>
    <xf numFmtId="4" fontId="64" fillId="0" borderId="34" xfId="142" applyNumberFormat="1" applyFont="1" applyBorder="1" applyAlignment="1">
      <alignment horizontal="right"/>
    </xf>
    <xf numFmtId="0" fontId="14" fillId="0" borderId="34" xfId="142" applyBorder="1" applyAlignment="1">
      <alignment vertical="top"/>
    </xf>
    <xf numFmtId="0" fontId="12" fillId="0" borderId="0" xfId="142" applyFont="1" applyAlignment="1">
      <alignment horizontal="left" vertical="top"/>
    </xf>
    <xf numFmtId="49" fontId="12" fillId="0" borderId="34" xfId="142" applyNumberFormat="1" applyFont="1" applyBorder="1" applyAlignment="1">
      <alignment horizontal="right" wrapText="1"/>
    </xf>
    <xf numFmtId="49" fontId="12" fillId="0" borderId="34" xfId="142" applyNumberFormat="1" applyFont="1" applyBorder="1" applyAlignment="1">
      <alignment horizontal="left" wrapText="1"/>
    </xf>
    <xf numFmtId="0" fontId="20" fillId="0" borderId="0" xfId="142" applyFont="1" applyAlignment="1">
      <alignment horizontal="left" vertical="top"/>
    </xf>
    <xf numFmtId="0" fontId="32" fillId="0" borderId="0" xfId="142" applyFont="1" applyAlignment="1">
      <alignment horizontal="left" vertical="top"/>
    </xf>
    <xf numFmtId="37" fontId="64" fillId="0" borderId="34" xfId="142" applyNumberFormat="1" applyFont="1" applyBorder="1" applyAlignment="1">
      <alignment horizontal="right"/>
    </xf>
    <xf numFmtId="0" fontId="86" fillId="0" borderId="34" xfId="142" applyFont="1" applyBorder="1" applyAlignment="1">
      <alignment horizontal="right" vertical="center"/>
    </xf>
    <xf numFmtId="0" fontId="87" fillId="0" borderId="0" xfId="142" applyFont="1" applyAlignment="1">
      <alignment horizontal="left" vertical="top"/>
    </xf>
    <xf numFmtId="0" fontId="20" fillId="0" borderId="0" xfId="142" applyFont="1" applyAlignment="1">
      <alignment horizontal="center" vertical="center"/>
    </xf>
    <xf numFmtId="0" fontId="88" fillId="0" borderId="0" xfId="142" applyFont="1" applyAlignment="1">
      <alignment horizontal="left" vertical="top"/>
    </xf>
    <xf numFmtId="49" fontId="76" fillId="0" borderId="34" xfId="142" applyNumberFormat="1" applyFont="1" applyBorder="1" applyAlignment="1">
      <alignment horizontal="right" wrapText="1"/>
    </xf>
    <xf numFmtId="49" fontId="76" fillId="0" borderId="34" xfId="142" applyNumberFormat="1" applyFont="1" applyBorder="1" applyAlignment="1">
      <alignment horizontal="left" wrapText="1"/>
    </xf>
    <xf numFmtId="0" fontId="76" fillId="0" borderId="34" xfId="142" applyFont="1" applyBorder="1" applyAlignment="1">
      <alignment horizontal="left" wrapText="1"/>
    </xf>
    <xf numFmtId="4" fontId="76" fillId="0" borderId="34" xfId="142" applyNumberFormat="1" applyFont="1" applyBorder="1" applyAlignment="1">
      <alignment horizontal="right"/>
    </xf>
    <xf numFmtId="0" fontId="78" fillId="0" borderId="34" xfId="142" applyFont="1" applyBorder="1" applyAlignment="1">
      <alignment horizontal="left" wrapText="1"/>
    </xf>
    <xf numFmtId="4" fontId="78" fillId="0" borderId="34" xfId="142" applyNumberFormat="1" applyFont="1" applyBorder="1" applyAlignment="1">
      <alignment horizontal="right"/>
    </xf>
    <xf numFmtId="39" fontId="76" fillId="0" borderId="34" xfId="142" applyNumberFormat="1" applyFont="1" applyBorder="1" applyAlignment="1">
      <alignment horizontal="center"/>
    </xf>
    <xf numFmtId="1" fontId="12" fillId="0" borderId="34" xfId="142" applyNumberFormat="1" applyFont="1" applyBorder="1" applyAlignment="1">
      <alignment horizontal="right"/>
    </xf>
    <xf numFmtId="4" fontId="71" fillId="0" borderId="34" xfId="142" applyNumberFormat="1" applyFont="1" applyBorder="1" applyAlignment="1">
      <alignment horizontal="right"/>
    </xf>
    <xf numFmtId="39" fontId="12" fillId="0" borderId="34" xfId="177" applyNumberFormat="1" applyFont="1" applyBorder="1" applyAlignment="1">
      <alignment horizontal="center"/>
    </xf>
    <xf numFmtId="4" fontId="12" fillId="0" borderId="34" xfId="142" applyNumberFormat="1" applyFont="1" applyBorder="1"/>
    <xf numFmtId="0" fontId="15" fillId="0" borderId="0" xfId="142" applyFont="1" applyAlignment="1">
      <alignment horizontal="left" vertical="top"/>
    </xf>
    <xf numFmtId="0" fontId="89" fillId="0" borderId="0" xfId="142" applyFont="1" applyAlignment="1">
      <alignment horizontal="left" vertical="top"/>
    </xf>
    <xf numFmtId="1" fontId="71" fillId="0" borderId="34" xfId="142" applyNumberFormat="1" applyFont="1" applyBorder="1" applyAlignment="1">
      <alignment horizontal="right"/>
    </xf>
    <xf numFmtId="49" fontId="71" fillId="0" borderId="34" xfId="142" applyNumberFormat="1" applyFont="1" applyBorder="1" applyAlignment="1">
      <alignment horizontal="left" wrapText="1"/>
    </xf>
    <xf numFmtId="0" fontId="71" fillId="0" borderId="34" xfId="142" applyFont="1" applyBorder="1" applyAlignment="1">
      <alignment horizontal="left" wrapText="1"/>
    </xf>
    <xf numFmtId="0" fontId="71" fillId="0" borderId="0" xfId="142" applyFont="1" applyAlignment="1">
      <alignment horizontal="left" vertical="top"/>
    </xf>
    <xf numFmtId="0" fontId="73" fillId="0" borderId="0" xfId="142" applyFont="1" applyAlignment="1">
      <alignment horizontal="left" vertical="top"/>
    </xf>
    <xf numFmtId="0" fontId="90" fillId="0" borderId="0" xfId="142" applyFont="1" applyAlignment="1">
      <alignment horizontal="left" vertical="top"/>
    </xf>
    <xf numFmtId="1" fontId="57" fillId="0" borderId="34" xfId="142" applyNumberFormat="1" applyFont="1" applyBorder="1" applyAlignment="1">
      <alignment horizontal="right"/>
    </xf>
    <xf numFmtId="49" fontId="57" fillId="0" borderId="34" xfId="142" applyNumberFormat="1" applyFont="1" applyBorder="1" applyAlignment="1">
      <alignment horizontal="left" wrapText="1"/>
    </xf>
    <xf numFmtId="0" fontId="79" fillId="0" borderId="34" xfId="142" applyFont="1" applyBorder="1" applyAlignment="1">
      <alignment horizontal="center" vertical="center" wrapText="1"/>
    </xf>
    <xf numFmtId="0" fontId="14" fillId="0" borderId="34" xfId="142" applyBorder="1" applyAlignment="1">
      <alignment horizontal="center" vertical="top"/>
    </xf>
    <xf numFmtId="0" fontId="92" fillId="0" borderId="0" xfId="142" applyFont="1" applyAlignment="1">
      <alignment horizontal="left" vertical="top"/>
    </xf>
    <xf numFmtId="37" fontId="12" fillId="0" borderId="34" xfId="38" applyNumberFormat="1" applyFont="1" applyBorder="1" applyAlignment="1" applyProtection="1">
      <alignment horizontal="right"/>
    </xf>
    <xf numFmtId="4" fontId="12" fillId="0" borderId="34" xfId="38" applyNumberFormat="1" applyFont="1" applyBorder="1" applyAlignment="1" applyProtection="1"/>
    <xf numFmtId="4" fontId="12" fillId="0" borderId="34" xfId="38" applyNumberFormat="1" applyFont="1" applyBorder="1" applyAlignment="1" applyProtection="1">
      <alignment horizontal="right"/>
    </xf>
    <xf numFmtId="0" fontId="93" fillId="0" borderId="0" xfId="38" applyFont="1" applyAlignment="1" applyProtection="1">
      <alignment vertical="center"/>
    </xf>
    <xf numFmtId="0" fontId="31" fillId="0" borderId="0" xfId="38" applyFont="1" applyAlignment="1" applyProtection="1">
      <alignment horizontal="left" vertical="top"/>
    </xf>
    <xf numFmtId="0" fontId="94" fillId="0" borderId="0" xfId="154" applyFont="1" applyAlignment="1">
      <alignment horizontal="left" vertical="center"/>
    </xf>
    <xf numFmtId="0" fontId="12" fillId="0" borderId="0" xfId="142" applyFont="1" applyAlignment="1">
      <alignment horizontal="left" vertical="center"/>
    </xf>
    <xf numFmtId="0" fontId="12" fillId="0" borderId="0" xfId="154" applyFont="1" applyAlignment="1">
      <alignment horizontal="left" vertical="top"/>
    </xf>
    <xf numFmtId="49" fontId="57" fillId="0" borderId="34" xfId="154" applyNumberFormat="1" applyFont="1" applyBorder="1" applyAlignment="1">
      <alignment horizontal="left" wrapText="1"/>
    </xf>
    <xf numFmtId="4" fontId="92" fillId="0" borderId="34" xfId="154" applyNumberFormat="1" applyFont="1" applyBorder="1" applyAlignment="1">
      <alignment horizontal="left" vertical="top"/>
    </xf>
    <xf numFmtId="37" fontId="264" fillId="0" borderId="34" xfId="154" applyNumberFormat="1" applyFont="1" applyBorder="1" applyAlignment="1">
      <alignment horizontal="right"/>
    </xf>
    <xf numFmtId="0" fontId="75" fillId="0" borderId="0" xfId="154" applyFont="1" applyAlignment="1">
      <alignment horizontal="left" vertical="top"/>
    </xf>
    <xf numFmtId="0" fontId="95" fillId="0" borderId="0" xfId="154" applyFont="1" applyAlignment="1">
      <alignment horizontal="right" vertical="top"/>
    </xf>
    <xf numFmtId="0" fontId="95" fillId="0" borderId="0" xfId="154" applyFont="1" applyAlignment="1">
      <alignment horizontal="left" vertical="top"/>
    </xf>
    <xf numFmtId="0" fontId="96" fillId="0" borderId="0" xfId="154" applyFont="1" applyAlignment="1">
      <alignment horizontal="left" vertical="top"/>
    </xf>
    <xf numFmtId="0" fontId="97" fillId="0" borderId="0" xfId="154" applyFont="1" applyAlignment="1">
      <alignment horizontal="left" vertical="top"/>
    </xf>
    <xf numFmtId="0" fontId="93" fillId="0" borderId="0" xfId="154" applyFont="1" applyAlignment="1">
      <alignment horizontal="center" vertical="center"/>
    </xf>
    <xf numFmtId="4" fontId="31" fillId="0" borderId="34" xfId="154" applyNumberFormat="1" applyBorder="1" applyAlignment="1">
      <alignment horizontal="left" vertical="top"/>
    </xf>
    <xf numFmtId="0" fontId="39" fillId="0" borderId="0" xfId="25" applyFont="1" applyAlignment="1" applyProtection="1">
      <alignment horizontal="left" vertical="top"/>
    </xf>
    <xf numFmtId="0" fontId="98" fillId="0" borderId="0" xfId="25" applyFont="1" applyAlignment="1" applyProtection="1">
      <alignment horizontal="left" vertical="top"/>
    </xf>
    <xf numFmtId="0" fontId="14" fillId="0" borderId="0" xfId="25" applyFont="1" applyAlignment="1" applyProtection="1">
      <alignment vertical="top" wrapText="1"/>
    </xf>
    <xf numFmtId="49" fontId="83" fillId="0" borderId="34" xfId="154" applyNumberFormat="1" applyFont="1" applyBorder="1" applyAlignment="1">
      <alignment horizontal="left" wrapText="1"/>
    </xf>
    <xf numFmtId="0" fontId="99" fillId="0" borderId="0" xfId="154" applyFont="1" applyAlignment="1">
      <alignment horizontal="left" vertical="center"/>
    </xf>
    <xf numFmtId="0" fontId="99" fillId="0" borderId="0" xfId="154" applyFont="1" applyAlignment="1">
      <alignment horizontal="left" vertical="top"/>
    </xf>
    <xf numFmtId="1" fontId="264" fillId="0" borderId="34" xfId="142" applyNumberFormat="1" applyFont="1" applyBorder="1" applyAlignment="1">
      <alignment horizontal="right"/>
    </xf>
    <xf numFmtId="0" fontId="65" fillId="0" borderId="34" xfId="142" applyFont="1" applyBorder="1" applyAlignment="1">
      <alignment horizontal="center" vertical="center" wrapText="1"/>
    </xf>
    <xf numFmtId="0" fontId="90" fillId="0" borderId="34" xfId="142" applyFont="1" applyBorder="1" applyAlignment="1">
      <alignment horizontal="left" vertical="top"/>
    </xf>
    <xf numFmtId="4" fontId="12" fillId="0" borderId="34" xfId="3" applyNumberFormat="1" applyFont="1" applyBorder="1" applyAlignment="1">
      <alignment horizontal="right" wrapText="1"/>
    </xf>
    <xf numFmtId="49" fontId="264" fillId="0" borderId="34" xfId="142" applyNumberFormat="1" applyFont="1" applyBorder="1" applyAlignment="1">
      <alignment horizontal="left" wrapText="1"/>
    </xf>
    <xf numFmtId="0" fontId="264" fillId="0" borderId="34" xfId="142" applyFont="1" applyBorder="1" applyAlignment="1">
      <alignment horizontal="left" wrapText="1"/>
    </xf>
    <xf numFmtId="4" fontId="264" fillId="0" borderId="34" xfId="142" applyNumberFormat="1" applyFont="1" applyBorder="1" applyAlignment="1">
      <alignment horizontal="right"/>
    </xf>
    <xf numFmtId="39" fontId="264" fillId="0" borderId="34" xfId="177" applyNumberFormat="1" applyFont="1" applyBorder="1" applyAlignment="1">
      <alignment horizontal="center"/>
    </xf>
    <xf numFmtId="0" fontId="140" fillId="0" borderId="0" xfId="142" applyFont="1" applyAlignment="1">
      <alignment horizontal="left" vertical="center"/>
    </xf>
    <xf numFmtId="0" fontId="295" fillId="0" borderId="34" xfId="142" applyFont="1" applyBorder="1" applyAlignment="1">
      <alignment horizontal="center" vertical="center" wrapText="1"/>
    </xf>
    <xf numFmtId="0" fontId="296" fillId="0" borderId="34" xfId="142" applyFont="1" applyBorder="1" applyAlignment="1">
      <alignment horizontal="left" vertical="top"/>
    </xf>
    <xf numFmtId="0" fontId="39" fillId="0" borderId="0" xfId="142" applyFont="1" applyAlignment="1">
      <alignment horizontal="left" vertical="top"/>
    </xf>
    <xf numFmtId="0" fontId="100" fillId="0" borderId="0" xfId="142" applyFont="1" applyAlignment="1">
      <alignment horizontal="left" vertical="top"/>
    </xf>
    <xf numFmtId="0" fontId="96" fillId="0" borderId="0" xfId="142" applyFont="1" applyAlignment="1">
      <alignment horizontal="left" vertical="top"/>
    </xf>
    <xf numFmtId="49" fontId="39" fillId="0" borderId="0" xfId="154" applyNumberFormat="1" applyFont="1" applyAlignment="1">
      <alignment horizontal="left" vertical="center"/>
    </xf>
    <xf numFmtId="0" fontId="12" fillId="0" borderId="0" xfId="154" applyFont="1" applyAlignment="1">
      <alignment horizontal="left" vertical="center"/>
    </xf>
    <xf numFmtId="0" fontId="101" fillId="0" borderId="0" xfId="154" applyFont="1" applyAlignment="1">
      <alignment horizontal="right" vertical="center"/>
    </xf>
    <xf numFmtId="173" fontId="41" fillId="0" borderId="0" xfId="154" applyNumberFormat="1" applyFont="1" applyAlignment="1">
      <alignment vertical="center"/>
    </xf>
    <xf numFmtId="0" fontId="102" fillId="0" borderId="0" xfId="154" applyFont="1" applyAlignment="1">
      <alignment vertical="center"/>
    </xf>
    <xf numFmtId="4" fontId="103" fillId="0" borderId="0" xfId="154" applyNumberFormat="1" applyFont="1" applyAlignment="1">
      <alignment horizontal="center" vertical="center"/>
    </xf>
    <xf numFmtId="0" fontId="39" fillId="0" borderId="0" xfId="154" applyFont="1" applyAlignment="1">
      <alignment horizontal="left" vertical="top"/>
    </xf>
    <xf numFmtId="0" fontId="100" fillId="0" borderId="0" xfId="154" applyFont="1" applyAlignment="1">
      <alignment horizontal="left" vertical="top"/>
    </xf>
    <xf numFmtId="173" fontId="104" fillId="0" borderId="0" xfId="154" applyNumberFormat="1" applyFont="1" applyAlignment="1">
      <alignment vertical="center"/>
    </xf>
    <xf numFmtId="0" fontId="105" fillId="0" borderId="0" xfId="154" applyFont="1" applyAlignment="1">
      <alignment vertical="center"/>
    </xf>
    <xf numFmtId="0" fontId="106" fillId="0" borderId="0" xfId="154" applyFont="1" applyAlignment="1">
      <alignment horizontal="left" vertical="center"/>
    </xf>
    <xf numFmtId="2" fontId="108" fillId="0" borderId="0" xfId="154" applyNumberFormat="1" applyFont="1" applyAlignment="1">
      <alignment horizontal="left" vertical="center"/>
    </xf>
    <xf numFmtId="0" fontId="103" fillId="0" borderId="0" xfId="154" applyFont="1" applyAlignment="1">
      <alignment horizontal="right" vertical="center"/>
    </xf>
    <xf numFmtId="4" fontId="95" fillId="0" borderId="0" xfId="154" applyNumberFormat="1" applyFont="1" applyAlignment="1">
      <alignment horizontal="right" vertical="top"/>
    </xf>
    <xf numFmtId="0" fontId="60" fillId="0" borderId="0" xfId="154" applyFont="1" applyAlignment="1">
      <alignment horizontal="center" vertical="center"/>
    </xf>
    <xf numFmtId="0" fontId="75" fillId="0" borderId="0" xfId="154" applyFont="1" applyAlignment="1">
      <alignment horizontal="right" vertical="top"/>
    </xf>
    <xf numFmtId="0" fontId="96" fillId="0" borderId="0" xfId="154" applyFont="1" applyAlignment="1">
      <alignment vertical="top"/>
    </xf>
    <xf numFmtId="0" fontId="75" fillId="0" borderId="0" xfId="154" applyFont="1" applyAlignment="1">
      <alignment vertical="top"/>
    </xf>
    <xf numFmtId="0" fontId="75" fillId="0" borderId="0" xfId="154" applyFont="1" applyAlignment="1">
      <alignment horizontal="right"/>
    </xf>
    <xf numFmtId="0" fontId="31" fillId="0" borderId="34" xfId="142" applyFont="1" applyBorder="1" applyAlignment="1">
      <alignment vertical="top"/>
    </xf>
    <xf numFmtId="0" fontId="31" fillId="0" borderId="0" xfId="142" applyFont="1" applyAlignment="1">
      <alignment horizontal="left" vertical="top"/>
    </xf>
    <xf numFmtId="37" fontId="264" fillId="0" borderId="34" xfId="12" applyNumberFormat="1" applyFont="1" applyBorder="1" applyAlignment="1" applyProtection="1">
      <alignment horizontal="right"/>
    </xf>
    <xf numFmtId="4" fontId="264" fillId="0" borderId="34" xfId="12" applyNumberFormat="1" applyFont="1" applyBorder="1" applyAlignment="1" applyProtection="1">
      <alignment horizontal="right"/>
    </xf>
    <xf numFmtId="0" fontId="20" fillId="0" borderId="0" xfId="12" applyFont="1" applyAlignment="1" applyProtection="1">
      <alignment horizontal="left" vertical="top"/>
    </xf>
    <xf numFmtId="0" fontId="88" fillId="0" borderId="0" xfId="12" applyFont="1" applyAlignment="1" applyProtection="1">
      <alignment horizontal="left" vertical="top"/>
    </xf>
    <xf numFmtId="37" fontId="12" fillId="0" borderId="34" xfId="12" applyNumberFormat="1" applyFont="1" applyBorder="1" applyAlignment="1" applyProtection="1">
      <alignment horizontal="right"/>
    </xf>
    <xf numFmtId="4" fontId="57" fillId="0" borderId="34" xfId="12" applyNumberFormat="1" applyFont="1" applyBorder="1" applyAlignment="1" applyProtection="1">
      <alignment horizontal="right"/>
    </xf>
    <xf numFmtId="39" fontId="12" fillId="0" borderId="34" xfId="12" applyNumberFormat="1" applyFont="1" applyBorder="1" applyAlignment="1" applyProtection="1">
      <alignment horizontal="center"/>
    </xf>
    <xf numFmtId="0" fontId="98" fillId="0" borderId="0" xfId="12" applyFont="1" applyAlignment="1" applyProtection="1">
      <alignment horizontal="left" vertical="top"/>
    </xf>
    <xf numFmtId="0" fontId="264" fillId="0" borderId="34" xfId="12" applyFont="1" applyBorder="1" applyAlignment="1" applyProtection="1">
      <alignment horizontal="left" wrapText="1"/>
    </xf>
    <xf numFmtId="1" fontId="264" fillId="0" borderId="34" xfId="33" applyNumberFormat="1" applyFont="1" applyBorder="1" applyAlignment="1">
      <alignment horizontal="right"/>
    </xf>
    <xf numFmtId="0" fontId="12" fillId="0" borderId="34" xfId="33" applyFont="1" applyBorder="1" applyAlignment="1">
      <alignment horizontal="left"/>
    </xf>
    <xf numFmtId="0" fontId="12" fillId="0" borderId="34" xfId="33" applyFont="1" applyBorder="1" applyAlignment="1">
      <alignment horizontal="left" shrinkToFit="1"/>
    </xf>
    <xf numFmtId="4" fontId="12" fillId="0" borderId="34" xfId="33" applyNumberFormat="1" applyFont="1" applyBorder="1" applyAlignment="1">
      <alignment shrinkToFit="1"/>
    </xf>
    <xf numFmtId="0" fontId="20" fillId="0" borderId="0" xfId="26" applyFont="1" applyAlignment="1" applyProtection="1">
      <alignment horizontal="left" vertical="top"/>
    </xf>
    <xf numFmtId="0" fontId="32" fillId="0" borderId="0" xfId="26" applyAlignment="1" applyProtection="1">
      <alignment horizontal="left" vertical="top"/>
    </xf>
    <xf numFmtId="1" fontId="12" fillId="0" borderId="34" xfId="33" applyNumberFormat="1" applyFont="1" applyBorder="1" applyAlignment="1">
      <alignment horizontal="right"/>
    </xf>
    <xf numFmtId="4" fontId="57" fillId="0" borderId="34" xfId="33" applyNumberFormat="1" applyFont="1" applyBorder="1" applyAlignment="1">
      <alignment horizontal="right" wrapText="1"/>
    </xf>
    <xf numFmtId="4" fontId="32" fillId="0" borderId="34" xfId="26" applyNumberFormat="1" applyBorder="1" applyAlignment="1" applyProtection="1">
      <alignment horizontal="left" vertical="top"/>
    </xf>
    <xf numFmtId="0" fontId="264" fillId="0" borderId="34" xfId="33" applyFont="1" applyBorder="1" applyAlignment="1">
      <alignment horizontal="left" wrapText="1"/>
    </xf>
    <xf numFmtId="49" fontId="264" fillId="0" borderId="34" xfId="33" applyNumberFormat="1" applyFont="1" applyBorder="1" applyAlignment="1">
      <alignment horizontal="left" wrapText="1"/>
    </xf>
    <xf numFmtId="0" fontId="264" fillId="0" borderId="34" xfId="33" applyFont="1" applyBorder="1" applyAlignment="1">
      <alignment horizontal="left"/>
    </xf>
    <xf numFmtId="0" fontId="264" fillId="0" borderId="34" xfId="33" applyFont="1" applyBorder="1" applyAlignment="1">
      <alignment horizontal="left" shrinkToFit="1"/>
    </xf>
    <xf numFmtId="4" fontId="264" fillId="0" borderId="34" xfId="33" applyNumberFormat="1" applyFont="1" applyBorder="1" applyAlignment="1">
      <alignment shrinkToFit="1"/>
    </xf>
    <xf numFmtId="4" fontId="264" fillId="0" borderId="34" xfId="33" applyNumberFormat="1" applyFont="1" applyBorder="1" applyAlignment="1">
      <alignment horizontal="right"/>
    </xf>
    <xf numFmtId="0" fontId="270" fillId="0" borderId="0" xfId="26" applyFont="1" applyAlignment="1" applyProtection="1">
      <alignment horizontal="left" vertical="top"/>
    </xf>
    <xf numFmtId="39" fontId="264" fillId="0" borderId="34" xfId="33" applyNumberFormat="1" applyFont="1" applyBorder="1" applyAlignment="1">
      <alignment horizontal="center"/>
    </xf>
    <xf numFmtId="1" fontId="264" fillId="0" borderId="80" xfId="33" applyNumberFormat="1" applyFont="1" applyBorder="1" applyAlignment="1">
      <alignment horizontal="right"/>
    </xf>
    <xf numFmtId="49" fontId="264" fillId="0" borderId="80" xfId="33" applyNumberFormat="1" applyFont="1" applyBorder="1" applyAlignment="1">
      <alignment horizontal="left" wrapText="1"/>
    </xf>
    <xf numFmtId="0" fontId="264" fillId="0" borderId="80" xfId="33" applyFont="1" applyBorder="1" applyAlignment="1">
      <alignment horizontal="left"/>
    </xf>
    <xf numFmtId="0" fontId="264" fillId="0" borderId="80" xfId="33" applyFont="1" applyBorder="1" applyAlignment="1">
      <alignment horizontal="left" shrinkToFit="1"/>
    </xf>
    <xf numFmtId="4" fontId="264" fillId="0" borderId="80" xfId="33" applyNumberFormat="1" applyFont="1" applyBorder="1" applyAlignment="1">
      <alignment horizontal="right"/>
    </xf>
    <xf numFmtId="39" fontId="264" fillId="0" borderId="80" xfId="33" applyNumberFormat="1" applyFont="1" applyBorder="1" applyAlignment="1">
      <alignment horizontal="center"/>
    </xf>
    <xf numFmtId="1" fontId="264" fillId="0" borderId="34" xfId="89" applyNumberFormat="1" applyFont="1" applyBorder="1" applyAlignment="1">
      <alignment horizontal="right"/>
    </xf>
    <xf numFmtId="4" fontId="12" fillId="0" borderId="34" xfId="89" applyNumberFormat="1" applyFont="1" applyBorder="1" applyAlignment="1">
      <alignment horizontal="right"/>
    </xf>
    <xf numFmtId="1" fontId="12" fillId="0" borderId="34" xfId="89" applyNumberFormat="1" applyFont="1" applyBorder="1" applyAlignment="1">
      <alignment horizontal="right"/>
    </xf>
    <xf numFmtId="39" fontId="12" fillId="0" borderId="34" xfId="89" applyNumberFormat="1" applyFont="1" applyBorder="1" applyAlignment="1">
      <alignment horizontal="center"/>
    </xf>
    <xf numFmtId="0" fontId="110" fillId="0" borderId="34" xfId="12" applyFont="1" applyBorder="1" applyAlignment="1" applyProtection="1">
      <alignment horizontal="center" vertical="center" wrapText="1"/>
    </xf>
    <xf numFmtId="39" fontId="12" fillId="0" borderId="34" xfId="12" applyNumberFormat="1" applyFont="1" applyBorder="1" applyAlignment="1" applyProtection="1">
      <alignment horizontal="right"/>
    </xf>
    <xf numFmtId="0" fontId="39" fillId="0" borderId="0" xfId="12" applyFont="1" applyAlignment="1" applyProtection="1">
      <alignment horizontal="left" vertical="center"/>
    </xf>
    <xf numFmtId="4" fontId="111" fillId="0" borderId="0" xfId="154" applyNumberFormat="1" applyFont="1" applyAlignment="1">
      <alignment horizontal="left" vertical="center"/>
    </xf>
    <xf numFmtId="0" fontId="112" fillId="0" borderId="0" xfId="154" applyFont="1" applyAlignment="1">
      <alignment horizontal="left" vertical="center"/>
    </xf>
    <xf numFmtId="37" fontId="76" fillId="0" borderId="0" xfId="154" applyNumberFormat="1" applyFont="1" applyAlignment="1">
      <alignment horizontal="right"/>
    </xf>
    <xf numFmtId="0" fontId="76" fillId="0" borderId="0" xfId="154" applyFont="1" applyAlignment="1">
      <alignment horizontal="left" wrapText="1"/>
    </xf>
    <xf numFmtId="2" fontId="76" fillId="0" borderId="0" xfId="154" applyNumberFormat="1" applyFont="1" applyAlignment="1">
      <alignment horizontal="right"/>
    </xf>
    <xf numFmtId="39" fontId="76" fillId="0" borderId="0" xfId="154" applyNumberFormat="1" applyFont="1" applyAlignment="1">
      <alignment horizontal="right"/>
    </xf>
    <xf numFmtId="0" fontId="112" fillId="0" borderId="0" xfId="154" applyFont="1" applyAlignment="1">
      <alignment horizontal="right" vertical="center"/>
    </xf>
    <xf numFmtId="37" fontId="12" fillId="0" borderId="34" xfId="179" applyNumberFormat="1" applyFont="1" applyBorder="1" applyAlignment="1">
      <alignment horizontal="right"/>
    </xf>
    <xf numFmtId="0" fontId="12" fillId="0" borderId="34" xfId="179" applyFont="1" applyBorder="1" applyAlignment="1">
      <alignment horizontal="left" wrapText="1"/>
    </xf>
    <xf numFmtId="4" fontId="57" fillId="0" borderId="34" xfId="3" applyNumberFormat="1" applyFont="1" applyBorder="1" applyAlignment="1">
      <alignment horizontal="right"/>
    </xf>
    <xf numFmtId="0" fontId="102" fillId="0" borderId="0" xfId="154" applyFont="1" applyAlignment="1">
      <alignment horizontal="left" vertical="center"/>
    </xf>
    <xf numFmtId="1" fontId="264" fillId="0" borderId="34" xfId="154" applyNumberFormat="1" applyFont="1" applyBorder="1" applyAlignment="1">
      <alignment horizontal="right"/>
    </xf>
    <xf numFmtId="49" fontId="264" fillId="0" borderId="34" xfId="154" applyNumberFormat="1" applyFont="1" applyBorder="1" applyAlignment="1">
      <alignment horizontal="left" wrapText="1"/>
    </xf>
    <xf numFmtId="39" fontId="264" fillId="0" borderId="70" xfId="33" applyNumberFormat="1" applyFont="1" applyBorder="1" applyAlignment="1">
      <alignment horizontal="center"/>
    </xf>
    <xf numFmtId="0" fontId="296" fillId="0" borderId="34" xfId="154" applyFont="1" applyBorder="1" applyAlignment="1">
      <alignment vertical="top"/>
    </xf>
    <xf numFmtId="37" fontId="264" fillId="0" borderId="70" xfId="154" applyNumberFormat="1" applyFont="1" applyBorder="1" applyAlignment="1">
      <alignment horizontal="right"/>
    </xf>
    <xf numFmtId="49" fontId="264" fillId="0" borderId="70" xfId="154" applyNumberFormat="1" applyFont="1" applyBorder="1" applyAlignment="1">
      <alignment horizontal="left" wrapText="1"/>
    </xf>
    <xf numFmtId="0" fontId="264" fillId="0" borderId="70" xfId="154" applyFont="1" applyBorder="1" applyAlignment="1">
      <alignment horizontal="left" wrapText="1"/>
    </xf>
    <xf numFmtId="2" fontId="264" fillId="0" borderId="70" xfId="154" applyNumberFormat="1" applyFont="1" applyBorder="1" applyAlignment="1">
      <alignment horizontal="right"/>
    </xf>
    <xf numFmtId="39" fontId="264" fillId="0" borderId="70" xfId="154" applyNumberFormat="1" applyFont="1" applyBorder="1" applyAlignment="1">
      <alignment horizontal="right"/>
    </xf>
    <xf numFmtId="0" fontId="296" fillId="0" borderId="70" xfId="154" applyFont="1" applyBorder="1" applyAlignment="1">
      <alignment vertical="top"/>
    </xf>
    <xf numFmtId="0" fontId="92" fillId="0" borderId="34" xfId="154" applyFont="1" applyBorder="1" applyAlignment="1">
      <alignment horizontal="left" vertical="top"/>
    </xf>
    <xf numFmtId="4" fontId="71" fillId="0" borderId="34" xfId="154" applyNumberFormat="1" applyFont="1" applyBorder="1" applyAlignment="1">
      <alignment horizontal="right"/>
    </xf>
    <xf numFmtId="0" fontId="113" fillId="0" borderId="0" xfId="154" applyFont="1" applyAlignment="1">
      <alignment horizontal="left" vertical="center"/>
    </xf>
    <xf numFmtId="0" fontId="65" fillId="0" borderId="0" xfId="12" applyFont="1" applyAlignment="1" applyProtection="1">
      <alignment horizontal="center" vertical="center"/>
    </xf>
    <xf numFmtId="0" fontId="71" fillId="0" borderId="0" xfId="154" applyFont="1" applyAlignment="1">
      <alignment horizontal="left"/>
    </xf>
    <xf numFmtId="0" fontId="95" fillId="0" borderId="0" xfId="154" applyFont="1" applyAlignment="1">
      <alignment horizontal="right"/>
    </xf>
    <xf numFmtId="0" fontId="298" fillId="0" borderId="0" xfId="154" applyFont="1" applyAlignment="1">
      <alignment horizontal="left" vertical="top"/>
    </xf>
    <xf numFmtId="0" fontId="296" fillId="0" borderId="0" xfId="154" applyFont="1" applyAlignment="1">
      <alignment horizontal="left" vertical="top"/>
    </xf>
    <xf numFmtId="0" fontId="297" fillId="0" borderId="0" xfId="154" applyFont="1" applyAlignment="1">
      <alignment horizontal="left" vertical="top"/>
    </xf>
    <xf numFmtId="0" fontId="31" fillId="0" borderId="34" xfId="142" applyFont="1" applyBorder="1" applyAlignment="1">
      <alignment horizontal="left" vertical="top"/>
    </xf>
    <xf numFmtId="1" fontId="299" fillId="0" borderId="34" xfId="142" applyNumberFormat="1" applyFont="1" applyBorder="1" applyAlignment="1">
      <alignment horizontal="right"/>
    </xf>
    <xf numFmtId="49" fontId="114" fillId="0" borderId="34" xfId="142" applyNumberFormat="1" applyFont="1" applyBorder="1" applyAlignment="1">
      <alignment horizontal="left" wrapText="1"/>
    </xf>
    <xf numFmtId="0" fontId="114" fillId="0" borderId="34" xfId="142" applyFont="1" applyBorder="1" applyAlignment="1">
      <alignment horizontal="left" wrapText="1"/>
    </xf>
    <xf numFmtId="4" fontId="264" fillId="0" borderId="34" xfId="37" applyNumberFormat="1" applyFont="1" applyBorder="1" applyAlignment="1">
      <alignment horizontal="right"/>
    </xf>
    <xf numFmtId="4" fontId="114" fillId="0" borderId="34" xfId="142" applyNumberFormat="1" applyFont="1" applyBorder="1" applyAlignment="1">
      <alignment horizontal="right"/>
    </xf>
    <xf numFmtId="0" fontId="115" fillId="0" borderId="0" xfId="23" applyFont="1" applyAlignment="1" applyProtection="1">
      <alignment horizontal="left" vertical="center"/>
    </xf>
    <xf numFmtId="0" fontId="21" fillId="0" borderId="0" xfId="23" applyFont="1" applyAlignment="1" applyProtection="1">
      <alignment horizontal="right" vertical="top"/>
    </xf>
    <xf numFmtId="1" fontId="114" fillId="0" borderId="34" xfId="142" applyNumberFormat="1" applyFont="1" applyBorder="1" applyAlignment="1">
      <alignment horizontal="right"/>
    </xf>
    <xf numFmtId="37" fontId="299" fillId="0" borderId="34" xfId="154" applyNumberFormat="1" applyFont="1" applyBorder="1" applyAlignment="1">
      <alignment horizontal="right"/>
    </xf>
    <xf numFmtId="4" fontId="114" fillId="0" borderId="34" xfId="154" applyNumberFormat="1" applyFont="1" applyBorder="1" applyAlignment="1">
      <alignment horizontal="right"/>
    </xf>
    <xf numFmtId="1" fontId="12" fillId="0" borderId="34" xfId="142" applyNumberFormat="1" applyFont="1" applyBorder="1" applyAlignment="1">
      <alignment horizontal="right" wrapText="1"/>
    </xf>
    <xf numFmtId="4" fontId="12" fillId="0" borderId="34" xfId="37" applyNumberFormat="1" applyFont="1" applyBorder="1" applyAlignment="1">
      <alignment horizontal="right"/>
    </xf>
    <xf numFmtId="0" fontId="12" fillId="0" borderId="0" xfId="142" applyFont="1" applyAlignment="1">
      <alignment vertical="top"/>
    </xf>
    <xf numFmtId="0" fontId="31" fillId="0" borderId="0" xfId="142" applyFont="1" applyAlignment="1">
      <alignment vertical="top"/>
    </xf>
    <xf numFmtId="172" fontId="116" fillId="0" borderId="0" xfId="154" applyNumberFormat="1" applyFont="1" applyAlignment="1">
      <alignment horizontal="right" vertical="top"/>
    </xf>
    <xf numFmtId="0" fontId="14" fillId="0" borderId="34" xfId="142" applyBorder="1" applyAlignment="1">
      <alignment horizontal="left" vertical="top"/>
    </xf>
    <xf numFmtId="1" fontId="83" fillId="0" borderId="34" xfId="142" applyNumberFormat="1" applyFont="1" applyBorder="1" applyAlignment="1">
      <alignment horizontal="right"/>
    </xf>
    <xf numFmtId="49" fontId="83" fillId="0" borderId="34" xfId="142" applyNumberFormat="1" applyFont="1" applyBorder="1" applyAlignment="1">
      <alignment horizontal="left" wrapText="1"/>
    </xf>
    <xf numFmtId="0" fontId="83" fillId="0" borderId="34" xfId="142" applyFont="1" applyBorder="1" applyAlignment="1">
      <alignment horizontal="left" wrapText="1"/>
    </xf>
    <xf numFmtId="4" fontId="83" fillId="0" borderId="34" xfId="142" applyNumberFormat="1" applyFont="1" applyBorder="1" applyAlignment="1">
      <alignment horizontal="right"/>
    </xf>
    <xf numFmtId="0" fontId="65" fillId="0" borderId="0" xfId="33" applyFont="1" applyAlignment="1">
      <alignment horizontal="left" vertical="center"/>
    </xf>
    <xf numFmtId="0" fontId="64" fillId="0" borderId="0" xfId="33" applyFont="1" applyAlignment="1">
      <alignment horizontal="left" vertical="center"/>
    </xf>
    <xf numFmtId="0" fontId="57" fillId="0" borderId="34" xfId="142" applyFont="1" applyBorder="1" applyAlignment="1">
      <alignment horizontal="right" wrapText="1"/>
    </xf>
    <xf numFmtId="39" fontId="71" fillId="0" borderId="34" xfId="142" applyNumberFormat="1" applyFont="1" applyBorder="1" applyAlignment="1">
      <alignment horizontal="center"/>
    </xf>
    <xf numFmtId="0" fontId="14" fillId="0" borderId="0" xfId="142"/>
    <xf numFmtId="39" fontId="77" fillId="0" borderId="34" xfId="142" applyNumberFormat="1" applyFont="1" applyBorder="1" applyAlignment="1">
      <alignment horizontal="center"/>
    </xf>
    <xf numFmtId="37" fontId="83" fillId="0" borderId="34" xfId="142" applyNumberFormat="1" applyFont="1" applyBorder="1" applyAlignment="1">
      <alignment horizontal="right"/>
    </xf>
    <xf numFmtId="4" fontId="117" fillId="0" borderId="34" xfId="142" applyNumberFormat="1" applyFont="1" applyBorder="1" applyAlignment="1">
      <alignment horizontal="right" wrapText="1"/>
    </xf>
    <xf numFmtId="0" fontId="6" fillId="0" borderId="34" xfId="142" applyFont="1" applyBorder="1" applyAlignment="1">
      <alignment horizontal="left" vertical="top"/>
    </xf>
    <xf numFmtId="4" fontId="100" fillId="0" borderId="0" xfId="142" applyNumberFormat="1" applyFont="1" applyAlignment="1">
      <alignment horizontal="left" vertical="top"/>
    </xf>
    <xf numFmtId="0" fontId="118" fillId="0" borderId="0" xfId="142" applyFont="1" applyAlignment="1">
      <alignment horizontal="left" vertical="top"/>
    </xf>
    <xf numFmtId="0" fontId="63" fillId="0" borderId="0" xfId="33" applyFont="1" applyAlignment="1">
      <alignment horizontal="left" vertical="center"/>
    </xf>
    <xf numFmtId="0" fontId="93" fillId="0" borderId="0" xfId="142" applyFont="1" applyAlignment="1">
      <alignment horizontal="left" vertical="center"/>
    </xf>
    <xf numFmtId="0" fontId="99" fillId="0" borderId="0" xfId="142" applyFont="1" applyAlignment="1">
      <alignment horizontal="left" vertical="top"/>
    </xf>
    <xf numFmtId="4" fontId="14" fillId="0" borderId="0" xfId="142" applyNumberFormat="1" applyAlignment="1">
      <alignment horizontal="right"/>
    </xf>
    <xf numFmtId="0" fontId="12" fillId="0" borderId="0" xfId="23" applyFont="1" applyAlignment="1" applyProtection="1">
      <alignment horizontal="left" vertical="top"/>
    </xf>
    <xf numFmtId="0" fontId="83" fillId="0" borderId="34" xfId="142" applyFont="1" applyBorder="1" applyAlignment="1">
      <alignment horizontal="left" vertical="center" wrapText="1"/>
    </xf>
    <xf numFmtId="4" fontId="57" fillId="0" borderId="34" xfId="142" applyNumberFormat="1" applyFont="1" applyBorder="1" applyAlignment="1">
      <alignment horizontal="right" vertical="center"/>
    </xf>
    <xf numFmtId="4" fontId="12" fillId="0" borderId="0" xfId="23" applyNumberFormat="1" applyFont="1" applyAlignment="1" applyProtection="1">
      <alignment horizontal="left" vertical="top"/>
    </xf>
    <xf numFmtId="0" fontId="77" fillId="0" borderId="34" xfId="142" applyFont="1" applyBorder="1" applyAlignment="1">
      <alignment horizontal="left" wrapText="1"/>
    </xf>
    <xf numFmtId="0" fontId="6" fillId="0" borderId="0" xfId="154" applyFont="1" applyAlignment="1">
      <alignment horizontal="left" vertical="center"/>
    </xf>
    <xf numFmtId="174" fontId="31" fillId="0" borderId="0" xfId="154" applyNumberFormat="1" applyAlignment="1">
      <alignment horizontal="left" vertical="center"/>
    </xf>
    <xf numFmtId="0" fontId="71" fillId="0" borderId="34" xfId="142" applyFont="1" applyBorder="1" applyAlignment="1">
      <alignment horizontal="left"/>
    </xf>
    <xf numFmtId="0" fontId="121" fillId="0" borderId="0" xfId="143" applyFont="1" applyFill="1" applyAlignment="1" applyProtection="1">
      <alignment horizontal="left" vertical="top"/>
    </xf>
    <xf numFmtId="0" fontId="60" fillId="0" borderId="0" xfId="154" applyFont="1" applyAlignment="1">
      <alignment horizontal="right" vertical="center" wrapText="1"/>
    </xf>
    <xf numFmtId="37" fontId="71" fillId="0" borderId="34" xfId="142" applyNumberFormat="1" applyFont="1" applyBorder="1" applyAlignment="1">
      <alignment horizontal="right"/>
    </xf>
    <xf numFmtId="0" fontId="119" fillId="0" borderId="34" xfId="142" applyFont="1" applyBorder="1" applyAlignment="1">
      <alignment horizontal="left" wrapText="1"/>
    </xf>
    <xf numFmtId="0" fontId="31" fillId="0" borderId="34" xfId="142" applyFont="1" applyBorder="1" applyAlignment="1">
      <alignment horizontal="center" vertical="top"/>
    </xf>
    <xf numFmtId="0" fontId="57" fillId="0" borderId="34" xfId="142" applyFont="1" applyBorder="1" applyAlignment="1">
      <alignment horizontal="left" vertical="center" wrapText="1"/>
    </xf>
    <xf numFmtId="1" fontId="264" fillId="0" borderId="34" xfId="142" applyNumberFormat="1" applyFont="1" applyBorder="1" applyAlignment="1">
      <alignment horizontal="right" wrapText="1"/>
    </xf>
    <xf numFmtId="174" fontId="31" fillId="0" borderId="0" xfId="154" applyNumberFormat="1" applyAlignment="1">
      <alignment horizontal="right" vertical="center"/>
    </xf>
    <xf numFmtId="0" fontId="60" fillId="0" borderId="0" xfId="154" applyFont="1" applyAlignment="1">
      <alignment horizontal="center" vertical="center" wrapText="1"/>
    </xf>
    <xf numFmtId="0" fontId="14" fillId="0" borderId="0" xfId="142" applyAlignment="1">
      <alignment vertical="top"/>
    </xf>
    <xf numFmtId="0" fontId="122" fillId="0" borderId="0" xfId="154" applyFont="1" applyAlignment="1">
      <alignment horizontal="right" vertical="center"/>
    </xf>
    <xf numFmtId="174" fontId="123" fillId="0" borderId="0" xfId="154" applyNumberFormat="1" applyFont="1" applyAlignment="1">
      <alignment horizontal="right" vertical="center"/>
    </xf>
    <xf numFmtId="0" fontId="124" fillId="0" borderId="0" xfId="142" applyFont="1" applyAlignment="1">
      <alignment vertical="top" wrapText="1"/>
    </xf>
    <xf numFmtId="174" fontId="125" fillId="0" borderId="0" xfId="154" applyNumberFormat="1" applyFont="1" applyAlignment="1">
      <alignment horizontal="right" vertical="center"/>
    </xf>
    <xf numFmtId="174" fontId="89" fillId="0" borderId="0" xfId="154" applyNumberFormat="1" applyFont="1" applyAlignment="1">
      <alignment horizontal="left" vertical="center"/>
    </xf>
    <xf numFmtId="39" fontId="12" fillId="0" borderId="34" xfId="142" applyNumberFormat="1" applyFont="1" applyBorder="1" applyAlignment="1">
      <alignment horizontal="center" vertical="center"/>
    </xf>
    <xf numFmtId="39" fontId="126" fillId="0" borderId="0" xfId="142" applyNumberFormat="1" applyFont="1" applyAlignment="1">
      <alignment horizontal="right" vertical="center"/>
    </xf>
    <xf numFmtId="4" fontId="116" fillId="0" borderId="0" xfId="142" applyNumberFormat="1" applyFont="1" applyAlignment="1">
      <alignment horizontal="right" vertical="top"/>
    </xf>
    <xf numFmtId="37" fontId="114" fillId="0" borderId="34" xfId="32" applyNumberFormat="1" applyFont="1" applyBorder="1" applyAlignment="1">
      <alignment horizontal="right"/>
    </xf>
    <xf numFmtId="49" fontId="114" fillId="0" borderId="34" xfId="32" applyNumberFormat="1" applyFont="1" applyBorder="1" applyAlignment="1">
      <alignment horizontal="left" wrapText="1"/>
    </xf>
    <xf numFmtId="0" fontId="114" fillId="0" borderId="34" xfId="32" applyFont="1" applyBorder="1" applyAlignment="1">
      <alignment horizontal="left" wrapText="1"/>
    </xf>
    <xf numFmtId="4" fontId="114" fillId="0" borderId="34" xfId="32" applyNumberFormat="1" applyFont="1" applyBorder="1" applyAlignment="1">
      <alignment horizontal="right"/>
    </xf>
    <xf numFmtId="39" fontId="114" fillId="0" borderId="34" xfId="32" applyNumberFormat="1" applyFont="1" applyBorder="1" applyAlignment="1">
      <alignment horizontal="center"/>
    </xf>
    <xf numFmtId="0" fontId="31" fillId="0" borderId="0" xfId="32" applyAlignment="1">
      <alignment vertical="top"/>
    </xf>
    <xf numFmtId="0" fontId="75" fillId="0" borderId="0" xfId="142" applyFont="1" applyAlignment="1">
      <alignment vertical="top"/>
    </xf>
    <xf numFmtId="0" fontId="99" fillId="0" borderId="0" xfId="142" applyFont="1" applyAlignment="1">
      <alignment vertical="top"/>
    </xf>
    <xf numFmtId="0" fontId="100" fillId="0" borderId="0" xfId="142" applyFont="1" applyAlignment="1">
      <alignment vertical="top"/>
    </xf>
    <xf numFmtId="0" fontId="64" fillId="0" borderId="34" xfId="142" applyFont="1" applyBorder="1" applyAlignment="1">
      <alignment horizontal="center" wrapText="1"/>
    </xf>
    <xf numFmtId="0" fontId="14" fillId="0" borderId="0" xfId="142" applyAlignment="1">
      <alignment horizontal="right" vertical="top"/>
    </xf>
    <xf numFmtId="0" fontId="100" fillId="0" borderId="34" xfId="142" applyFont="1" applyBorder="1" applyAlignment="1">
      <alignment horizontal="left" vertical="top"/>
    </xf>
    <xf numFmtId="0" fontId="127" fillId="0" borderId="0" xfId="154" applyFont="1" applyAlignment="1">
      <alignment horizontal="right" vertical="center"/>
    </xf>
    <xf numFmtId="0" fontId="125" fillId="0" borderId="0" xfId="154" applyFont="1" applyAlignment="1">
      <alignment horizontal="left" vertical="center"/>
    </xf>
    <xf numFmtId="0" fontId="118" fillId="0" borderId="0" xfId="142" applyFont="1" applyAlignment="1">
      <alignment vertical="top" wrapText="1"/>
    </xf>
    <xf numFmtId="0" fontId="89" fillId="0" borderId="0" xfId="142" applyFont="1" applyAlignment="1">
      <alignment vertical="top"/>
    </xf>
    <xf numFmtId="0" fontId="71" fillId="0" borderId="34" xfId="142" applyFont="1" applyBorder="1" applyAlignment="1">
      <alignment horizontal="left" vertical="center" wrapText="1"/>
    </xf>
    <xf numFmtId="39" fontId="114" fillId="0" borderId="34" xfId="142" applyNumberFormat="1" applyFont="1" applyBorder="1" applyAlignment="1">
      <alignment horizontal="center" vertical="center"/>
    </xf>
    <xf numFmtId="2" fontId="128" fillId="0" borderId="0" xfId="142" applyNumberFormat="1" applyFont="1" applyAlignment="1">
      <alignment horizontal="right" vertical="center"/>
    </xf>
    <xf numFmtId="0" fontId="129" fillId="0" borderId="0" xfId="142" applyFont="1" applyAlignment="1">
      <alignment vertical="center"/>
    </xf>
    <xf numFmtId="0" fontId="130" fillId="0" borderId="0" xfId="142" applyFont="1" applyAlignment="1">
      <alignment vertical="top"/>
    </xf>
    <xf numFmtId="0" fontId="131" fillId="0" borderId="0" xfId="142" applyFont="1" applyAlignment="1">
      <alignment vertical="top"/>
    </xf>
    <xf numFmtId="0" fontId="14" fillId="0" borderId="0" xfId="142" applyAlignment="1">
      <alignment vertical="center"/>
    </xf>
    <xf numFmtId="0" fontId="91" fillId="0" borderId="0" xfId="142" applyFont="1" applyAlignment="1">
      <alignment horizontal="left" vertical="center"/>
    </xf>
    <xf numFmtId="0" fontId="132" fillId="0" borderId="0" xfId="142" applyFont="1" applyAlignment="1">
      <alignment vertical="top"/>
    </xf>
    <xf numFmtId="0" fontId="133" fillId="0" borderId="0" xfId="142" applyFont="1" applyAlignment="1">
      <alignment horizontal="left" vertical="center"/>
    </xf>
    <xf numFmtId="0" fontId="99" fillId="0" borderId="0" xfId="142" applyFont="1" applyAlignment="1">
      <alignment vertical="center"/>
    </xf>
    <xf numFmtId="39" fontId="60" fillId="0" borderId="0" xfId="154" applyNumberFormat="1" applyFont="1" applyAlignment="1">
      <alignment vertical="top"/>
    </xf>
    <xf numFmtId="37" fontId="83" fillId="0" borderId="34" xfId="130" applyNumberFormat="1" applyFont="1" applyBorder="1" applyAlignment="1" applyProtection="1">
      <alignment horizontal="right"/>
    </xf>
    <xf numFmtId="0" fontId="83" fillId="0" borderId="34" xfId="130" applyFont="1" applyBorder="1" applyAlignment="1" applyProtection="1">
      <alignment horizontal="left" wrapText="1"/>
    </xf>
    <xf numFmtId="0" fontId="64" fillId="0" borderId="34" xfId="130" applyFont="1" applyBorder="1" applyAlignment="1" applyProtection="1">
      <alignment horizontal="left" wrapText="1"/>
    </xf>
    <xf numFmtId="4" fontId="64" fillId="0" borderId="34" xfId="130" applyNumberFormat="1" applyFont="1" applyBorder="1" applyAlignment="1" applyProtection="1">
      <alignment horizontal="right"/>
    </xf>
    <xf numFmtId="0" fontId="30" fillId="0" borderId="34" xfId="130" applyBorder="1" applyAlignment="1" applyProtection="1">
      <alignment horizontal="left" vertical="top"/>
    </xf>
    <xf numFmtId="37" fontId="12" fillId="0" borderId="34" xfId="130" applyNumberFormat="1" applyFont="1" applyBorder="1" applyAlignment="1" applyProtection="1">
      <alignment horizontal="right"/>
    </xf>
    <xf numFmtId="0" fontId="12" fillId="0" borderId="34" xfId="130" applyFont="1" applyBorder="1" applyAlignment="1" applyProtection="1">
      <alignment horizontal="left" wrapText="1"/>
    </xf>
    <xf numFmtId="0" fontId="41" fillId="0" borderId="0" xfId="154" applyFont="1" applyAlignment="1">
      <alignment horizontal="left" vertical="top"/>
    </xf>
    <xf numFmtId="0" fontId="134" fillId="0" borderId="0" xfId="25" applyFont="1" applyAlignment="1" applyProtection="1">
      <alignment horizontal="left" vertical="top"/>
    </xf>
    <xf numFmtId="37" fontId="135" fillId="0" borderId="34" xfId="130" applyNumberFormat="1" applyFont="1" applyBorder="1" applyAlignment="1" applyProtection="1">
      <alignment horizontal="right"/>
    </xf>
    <xf numFmtId="0" fontId="135" fillId="0" borderId="34" xfId="130" applyFont="1" applyBorder="1" applyAlignment="1" applyProtection="1">
      <alignment horizontal="left" wrapText="1"/>
    </xf>
    <xf numFmtId="0" fontId="57" fillId="0" borderId="34" xfId="130" applyFont="1" applyBorder="1" applyAlignment="1" applyProtection="1">
      <alignment horizontal="left" wrapText="1"/>
    </xf>
    <xf numFmtId="4" fontId="57" fillId="0" borderId="34" xfId="130" applyNumberFormat="1" applyFont="1" applyBorder="1" applyAlignment="1" applyProtection="1">
      <alignment horizontal="right"/>
    </xf>
    <xf numFmtId="4" fontId="135" fillId="0" borderId="34" xfId="130" applyNumberFormat="1" applyFont="1" applyBorder="1" applyAlignment="1" applyProtection="1">
      <alignment horizontal="right"/>
    </xf>
    <xf numFmtId="0" fontId="136" fillId="0" borderId="34" xfId="130" applyFont="1" applyBorder="1" applyAlignment="1" applyProtection="1">
      <alignment horizontal="left" vertical="top"/>
    </xf>
    <xf numFmtId="0" fontId="71" fillId="0" borderId="34" xfId="130" applyFont="1" applyBorder="1" applyAlignment="1" applyProtection="1">
      <alignment horizontal="left" wrapText="1"/>
    </xf>
    <xf numFmtId="0" fontId="76" fillId="0" borderId="0" xfId="25" applyFont="1" applyAlignment="1" applyProtection="1">
      <alignment horizontal="left" vertical="top"/>
    </xf>
    <xf numFmtId="49" fontId="12" fillId="0" borderId="34" xfId="130" applyNumberFormat="1" applyFont="1" applyBorder="1" applyAlignment="1" applyProtection="1">
      <alignment horizontal="left" wrapText="1"/>
    </xf>
    <xf numFmtId="0" fontId="30" fillId="0" borderId="0" xfId="130" applyAlignment="1" applyProtection="1">
      <alignment horizontal="left" vertical="top"/>
    </xf>
    <xf numFmtId="0" fontId="83" fillId="0" borderId="34" xfId="130" applyFont="1" applyBorder="1" applyAlignment="1" applyProtection="1">
      <alignment horizontal="left" vertical="center" wrapText="1"/>
    </xf>
    <xf numFmtId="4" fontId="57" fillId="0" borderId="34" xfId="130" applyNumberFormat="1" applyFont="1" applyBorder="1" applyAlignment="1" applyProtection="1">
      <alignment horizontal="right" vertical="center"/>
    </xf>
    <xf numFmtId="0" fontId="137" fillId="0" borderId="0" xfId="142" applyFont="1" applyAlignment="1">
      <alignment horizontal="left" vertical="center"/>
    </xf>
    <xf numFmtId="4" fontId="14" fillId="0" borderId="0" xfId="142" applyNumberFormat="1" applyAlignment="1">
      <alignment horizontal="right" vertical="top"/>
    </xf>
    <xf numFmtId="0" fontId="137" fillId="0" borderId="34" xfId="142" applyFont="1" applyBorder="1" applyAlignment="1">
      <alignment horizontal="center" vertical="center" wrapText="1"/>
    </xf>
    <xf numFmtId="0" fontId="137" fillId="0" borderId="34" xfId="142" applyFont="1" applyBorder="1" applyAlignment="1">
      <alignment horizontal="center" wrapText="1"/>
    </xf>
    <xf numFmtId="0" fontId="138" fillId="0" borderId="34" xfId="142" applyFont="1" applyBorder="1" applyAlignment="1">
      <alignment horizontal="center" vertical="center" wrapText="1"/>
    </xf>
    <xf numFmtId="0" fontId="139" fillId="0" borderId="34" xfId="142" applyFont="1" applyBorder="1" applyAlignment="1">
      <alignment horizontal="center" vertical="center" wrapText="1"/>
    </xf>
    <xf numFmtId="49" fontId="12" fillId="0" borderId="34" xfId="142" applyNumberFormat="1" applyFont="1" applyBorder="1" applyAlignment="1">
      <alignment wrapText="1"/>
    </xf>
    <xf numFmtId="0" fontId="12" fillId="0" borderId="34" xfId="142" applyFont="1" applyBorder="1" applyAlignment="1">
      <alignment horizontal="left"/>
    </xf>
    <xf numFmtId="0" fontId="12" fillId="0" borderId="34" xfId="142" applyFont="1" applyBorder="1" applyAlignment="1">
      <alignment horizontal="left" shrinkToFit="1"/>
    </xf>
    <xf numFmtId="4" fontId="12" fillId="0" borderId="34" xfId="142" applyNumberFormat="1" applyFont="1" applyBorder="1" applyAlignment="1">
      <alignment shrinkToFit="1"/>
    </xf>
    <xf numFmtId="0" fontId="12" fillId="0" borderId="0" xfId="142" applyFont="1"/>
    <xf numFmtId="0" fontId="140" fillId="0" borderId="0" xfId="23" applyFont="1" applyAlignment="1" applyProtection="1">
      <alignment horizontal="left" vertical="top"/>
    </xf>
    <xf numFmtId="49" fontId="264" fillId="0" borderId="34" xfId="142" applyNumberFormat="1" applyFont="1" applyBorder="1" applyAlignment="1">
      <alignment wrapText="1"/>
    </xf>
    <xf numFmtId="0" fontId="264" fillId="0" borderId="34" xfId="142" applyFont="1" applyBorder="1" applyAlignment="1">
      <alignment horizontal="left"/>
    </xf>
    <xf numFmtId="0" fontId="264" fillId="0" borderId="34" xfId="142" applyFont="1" applyBorder="1" applyAlignment="1">
      <alignment horizontal="left" shrinkToFit="1"/>
    </xf>
    <xf numFmtId="4" fontId="264" fillId="0" borderId="34" xfId="142" applyNumberFormat="1" applyFont="1" applyBorder="1" applyAlignment="1">
      <alignment shrinkToFit="1"/>
    </xf>
    <xf numFmtId="39" fontId="264" fillId="0" borderId="34" xfId="142" applyNumberFormat="1" applyFont="1" applyBorder="1" applyAlignment="1">
      <alignment horizontal="center"/>
    </xf>
    <xf numFmtId="0" fontId="300" fillId="0" borderId="34" xfId="142" applyFont="1" applyBorder="1" applyAlignment="1">
      <alignment horizontal="center" vertical="center" wrapText="1"/>
    </xf>
    <xf numFmtId="0" fontId="301" fillId="0" borderId="34" xfId="142" applyFont="1" applyBorder="1" applyAlignment="1">
      <alignment horizontal="left" vertical="top"/>
    </xf>
    <xf numFmtId="0" fontId="297" fillId="0" borderId="34" xfId="142" applyFont="1" applyBorder="1" applyAlignment="1">
      <alignment horizontal="center" vertical="center" wrapText="1"/>
    </xf>
    <xf numFmtId="0" fontId="141" fillId="0" borderId="34" xfId="142" applyFont="1" applyBorder="1" applyAlignment="1">
      <alignment horizontal="center" vertical="center" wrapText="1"/>
    </xf>
    <xf numFmtId="0" fontId="64" fillId="0" borderId="0" xfId="23" applyFont="1" applyAlignment="1" applyProtection="1">
      <alignment horizontal="left" vertical="center"/>
    </xf>
    <xf numFmtId="0" fontId="84" fillId="0" borderId="0" xfId="23" applyFont="1" applyAlignment="1" applyProtection="1">
      <alignment horizontal="left" vertical="center"/>
    </xf>
    <xf numFmtId="0" fontId="63" fillId="0" borderId="34" xfId="142" applyFont="1" applyBorder="1" applyAlignment="1">
      <alignment horizontal="center" vertical="center" wrapText="1"/>
    </xf>
    <xf numFmtId="0" fontId="20" fillId="0" borderId="0" xfId="23" applyFont="1" applyAlignment="1" applyProtection="1">
      <alignment horizontal="left"/>
    </xf>
    <xf numFmtId="0" fontId="84" fillId="0" borderId="34" xfId="154" applyFont="1" applyBorder="1" applyAlignment="1">
      <alignment horizontal="center" vertical="center" wrapText="1"/>
    </xf>
    <xf numFmtId="0" fontId="97" fillId="0" borderId="34" xfId="154" applyFont="1" applyBorder="1" applyAlignment="1">
      <alignment horizontal="center" vertical="center"/>
    </xf>
    <xf numFmtId="0" fontId="14" fillId="0" borderId="0" xfId="25" applyFont="1" applyAlignment="1" applyProtection="1">
      <alignment horizontal="right" vertical="top"/>
    </xf>
    <xf numFmtId="0" fontId="15" fillId="0" borderId="0" xfId="25" applyAlignment="1" applyProtection="1">
      <alignment vertical="top" wrapText="1"/>
    </xf>
    <xf numFmtId="0" fontId="20" fillId="0" borderId="0" xfId="23" applyFont="1" applyAlignment="1" applyProtection="1">
      <alignment horizontal="right"/>
    </xf>
    <xf numFmtId="0" fontId="12" fillId="0" borderId="36" xfId="154" applyFont="1" applyBorder="1" applyAlignment="1">
      <alignment horizontal="left" wrapText="1"/>
    </xf>
    <xf numFmtId="0" fontId="12" fillId="0" borderId="0" xfId="25" applyFont="1" applyAlignment="1" applyProtection="1">
      <alignment horizontal="left" vertical="top"/>
    </xf>
    <xf numFmtId="173" fontId="15" fillId="0" borderId="0" xfId="25" applyNumberFormat="1" applyAlignment="1" applyProtection="1">
      <alignment horizontal="left" vertical="top"/>
    </xf>
    <xf numFmtId="4" fontId="142" fillId="0" borderId="0" xfId="142" applyNumberFormat="1" applyFont="1" applyAlignment="1">
      <alignment horizontal="center"/>
    </xf>
    <xf numFmtId="0" fontId="143" fillId="0" borderId="0" xfId="142" applyFont="1" applyAlignment="1">
      <alignment horizontal="left"/>
    </xf>
    <xf numFmtId="37" fontId="267" fillId="0" borderId="34" xfId="154" applyNumberFormat="1" applyFont="1" applyBorder="1" applyAlignment="1">
      <alignment horizontal="right"/>
    </xf>
    <xf numFmtId="0" fontId="267" fillId="0" borderId="34" xfId="154" applyFont="1" applyBorder="1" applyAlignment="1">
      <alignment horizontal="left" wrapText="1"/>
    </xf>
    <xf numFmtId="4" fontId="267" fillId="0" borderId="34" xfId="154" applyNumberFormat="1" applyFont="1" applyBorder="1" applyAlignment="1">
      <alignment horizontal="right"/>
    </xf>
    <xf numFmtId="0" fontId="270" fillId="0" borderId="34" xfId="154" applyFont="1" applyBorder="1" applyAlignment="1">
      <alignment horizontal="right" vertical="center"/>
    </xf>
    <xf numFmtId="4" fontId="116" fillId="0" borderId="0" xfId="154" applyNumberFormat="1" applyFont="1" applyAlignment="1">
      <alignment horizontal="right" vertical="top"/>
    </xf>
    <xf numFmtId="4" fontId="12" fillId="0" borderId="0" xfId="142" applyNumberFormat="1" applyFont="1" applyAlignment="1">
      <alignment horizontal="left" vertical="top"/>
    </xf>
    <xf numFmtId="0" fontId="140" fillId="0" borderId="34" xfId="154" applyFont="1" applyBorder="1" applyAlignment="1">
      <alignment horizontal="left" vertical="center"/>
    </xf>
    <xf numFmtId="0" fontId="60" fillId="0" borderId="0" xfId="154" applyFont="1" applyAlignment="1">
      <alignment horizontal="right" vertical="top"/>
    </xf>
    <xf numFmtId="0" fontId="127" fillId="0" borderId="0" xfId="154" applyFont="1" applyAlignment="1">
      <alignment horizontal="right" vertical="top"/>
    </xf>
    <xf numFmtId="0" fontId="125" fillId="0" borderId="0" xfId="154" applyFont="1" applyAlignment="1">
      <alignment horizontal="left" vertical="top"/>
    </xf>
    <xf numFmtId="174" fontId="31" fillId="0" borderId="0" xfId="154" applyNumberFormat="1" applyAlignment="1">
      <alignment horizontal="left" vertical="top"/>
    </xf>
    <xf numFmtId="0" fontId="125" fillId="0" borderId="0" xfId="154" applyFont="1" applyAlignment="1">
      <alignment horizontal="right" vertical="top"/>
    </xf>
    <xf numFmtId="0" fontId="125" fillId="0" borderId="0" xfId="154" applyFont="1" applyAlignment="1">
      <alignment horizontal="right" vertical="center"/>
    </xf>
    <xf numFmtId="9" fontId="83" fillId="0" borderId="34" xfId="154" applyNumberFormat="1" applyFont="1" applyBorder="1" applyAlignment="1">
      <alignment horizontal="left" wrapText="1"/>
    </xf>
    <xf numFmtId="0" fontId="92" fillId="0" borderId="34" xfId="154" applyFont="1" applyBorder="1" applyAlignment="1">
      <alignment vertical="top"/>
    </xf>
    <xf numFmtId="0" fontId="144" fillId="0" borderId="0" xfId="154" applyFont="1" applyAlignment="1">
      <alignment horizontal="right" vertical="top"/>
    </xf>
    <xf numFmtId="0" fontId="144" fillId="0" borderId="0" xfId="154" applyFont="1" applyAlignment="1">
      <alignment horizontal="left" vertical="top"/>
    </xf>
    <xf numFmtId="0" fontId="92" fillId="0" borderId="0" xfId="154" applyFont="1" applyAlignment="1">
      <alignment vertical="top"/>
    </xf>
    <xf numFmtId="173" fontId="60" fillId="0" borderId="0" xfId="154" applyNumberFormat="1" applyFont="1" applyAlignment="1">
      <alignment horizontal="center" vertical="center"/>
    </xf>
    <xf numFmtId="0" fontId="107" fillId="0" borderId="34" xfId="154" applyFont="1" applyBorder="1" applyAlignment="1">
      <alignment horizontal="left" vertical="top"/>
    </xf>
    <xf numFmtId="3" fontId="64" fillId="0" borderId="34" xfId="3" applyNumberFormat="1" applyFont="1" applyBorder="1" applyAlignment="1">
      <alignment horizontal="right"/>
    </xf>
    <xf numFmtId="4" fontId="64" fillId="0" borderId="34" xfId="3" applyNumberFormat="1" applyFont="1" applyBorder="1" applyAlignment="1">
      <alignment horizontal="right"/>
    </xf>
    <xf numFmtId="0" fontId="14" fillId="0" borderId="34" xfId="3" applyBorder="1" applyAlignment="1">
      <alignment horizontal="left" vertical="top"/>
    </xf>
    <xf numFmtId="2" fontId="14" fillId="0" borderId="0" xfId="3" applyNumberFormat="1" applyAlignment="1">
      <alignment horizontal="left" vertical="top"/>
    </xf>
    <xf numFmtId="0" fontId="123" fillId="0" borderId="0" xfId="3" applyFont="1" applyAlignment="1">
      <alignment horizontal="right" vertical="top"/>
    </xf>
    <xf numFmtId="3" fontId="12" fillId="0" borderId="34" xfId="3" applyNumberFormat="1" applyFont="1" applyBorder="1" applyAlignment="1">
      <alignment horizontal="right"/>
    </xf>
    <xf numFmtId="39" fontId="12" fillId="0" borderId="34" xfId="180" applyNumberFormat="1" applyFont="1" applyBorder="1" applyAlignment="1">
      <alignment horizontal="center"/>
    </xf>
    <xf numFmtId="39" fontId="133" fillId="0" borderId="0" xfId="3" applyNumberFormat="1" applyFont="1" applyAlignment="1">
      <alignment horizontal="center" vertical="center"/>
    </xf>
    <xf numFmtId="0" fontId="103" fillId="0" borderId="0" xfId="3" applyFont="1" applyAlignment="1">
      <alignment horizontal="center" vertical="center"/>
    </xf>
    <xf numFmtId="3" fontId="83" fillId="0" borderId="34" xfId="3" applyNumberFormat="1" applyFont="1" applyBorder="1" applyAlignment="1">
      <alignment horizontal="right"/>
    </xf>
    <xf numFmtId="0" fontId="83" fillId="0" borderId="34" xfId="3" applyFont="1" applyBorder="1" applyAlignment="1">
      <alignment horizontal="left" wrapText="1"/>
    </xf>
    <xf numFmtId="0" fontId="148" fillId="0" borderId="0" xfId="3" applyFont="1" applyAlignment="1">
      <alignment horizontal="left" vertical="top"/>
    </xf>
    <xf numFmtId="0" fontId="149" fillId="0" borderId="0" xfId="154" applyFont="1" applyAlignment="1">
      <alignment vertical="top"/>
    </xf>
    <xf numFmtId="1" fontId="71" fillId="0" borderId="34" xfId="154" applyNumberFormat="1" applyFont="1" applyBorder="1" applyAlignment="1">
      <alignment horizontal="right"/>
    </xf>
    <xf numFmtId="1" fontId="12" fillId="0" borderId="34" xfId="3" applyNumberFormat="1" applyFont="1" applyBorder="1" applyAlignment="1">
      <alignment horizontal="right"/>
    </xf>
    <xf numFmtId="4" fontId="133" fillId="0" borderId="0" xfId="3" applyNumberFormat="1" applyFont="1" applyAlignment="1">
      <alignment horizontal="center" vertical="center"/>
    </xf>
    <xf numFmtId="1" fontId="83" fillId="0" borderId="34" xfId="3" applyNumberFormat="1" applyFont="1" applyBorder="1" applyAlignment="1">
      <alignment horizontal="right"/>
    </xf>
    <xf numFmtId="0" fontId="150" fillId="0" borderId="0" xfId="142" applyFont="1" applyAlignment="1">
      <alignment horizontal="left" vertical="center"/>
    </xf>
    <xf numFmtId="0" fontId="6" fillId="0" borderId="0" xfId="142" applyFont="1" applyAlignment="1">
      <alignment horizontal="left" vertical="top"/>
    </xf>
    <xf numFmtId="0" fontId="35" fillId="0" borderId="0" xfId="145" applyFill="1" applyAlignment="1" applyProtection="1">
      <alignment horizontal="left" vertical="top"/>
    </xf>
    <xf numFmtId="0" fontId="84" fillId="0" borderId="34" xfId="142" applyFont="1" applyBorder="1" applyAlignment="1">
      <alignment horizontal="center" wrapText="1"/>
    </xf>
    <xf numFmtId="0" fontId="89" fillId="0" borderId="0" xfId="154" applyFont="1" applyAlignment="1">
      <alignment horizontal="left" vertical="top"/>
    </xf>
    <xf numFmtId="0" fontId="100" fillId="0" borderId="0" xfId="154" applyFont="1" applyAlignment="1">
      <alignment horizontal="left"/>
    </xf>
    <xf numFmtId="1" fontId="77" fillId="0" borderId="34" xfId="142" applyNumberFormat="1" applyFont="1" applyBorder="1" applyAlignment="1">
      <alignment horizontal="right"/>
    </xf>
    <xf numFmtId="0" fontId="77" fillId="0" borderId="34" xfId="142" applyFont="1" applyBorder="1" applyAlignment="1">
      <alignment horizontal="left"/>
    </xf>
    <xf numFmtId="4" fontId="77" fillId="0" borderId="34" xfId="142" applyNumberFormat="1" applyFont="1" applyBorder="1" applyAlignment="1">
      <alignment horizontal="right"/>
    </xf>
    <xf numFmtId="0" fontId="276" fillId="0" borderId="0" xfId="142" applyFont="1" applyAlignment="1">
      <alignment vertical="top"/>
    </xf>
    <xf numFmtId="0" fontId="84" fillId="0" borderId="0" xfId="142" applyFont="1" applyAlignment="1">
      <alignment horizontal="left" vertical="center"/>
    </xf>
    <xf numFmtId="0" fontId="151" fillId="0" borderId="0" xfId="142" applyFont="1" applyAlignment="1">
      <alignment horizontal="left" vertical="top"/>
    </xf>
    <xf numFmtId="0" fontId="152" fillId="0" borderId="0" xfId="142" applyFont="1" applyAlignment="1">
      <alignment horizontal="left" vertical="top"/>
    </xf>
    <xf numFmtId="4" fontId="153" fillId="0" borderId="0" xfId="23" applyNumberFormat="1" applyFont="1" applyAlignment="1" applyProtection="1">
      <alignment horizontal="left" vertical="top"/>
    </xf>
    <xf numFmtId="4" fontId="15" fillId="0" borderId="0" xfId="23" applyNumberFormat="1" applyAlignment="1" applyProtection="1">
      <alignment horizontal="left" vertical="top"/>
    </xf>
    <xf numFmtId="0" fontId="153" fillId="0" borderId="0" xfId="23" applyFont="1" applyAlignment="1" applyProtection="1">
      <alignment horizontal="left" vertical="top"/>
    </xf>
    <xf numFmtId="2" fontId="153" fillId="0" borderId="0" xfId="23" applyNumberFormat="1" applyFont="1" applyAlignment="1" applyProtection="1">
      <alignment horizontal="left" vertical="top"/>
    </xf>
    <xf numFmtId="0" fontId="111" fillId="0" borderId="0" xfId="23" applyFont="1" applyAlignment="1" applyProtection="1">
      <alignment horizontal="left" vertical="center"/>
    </xf>
    <xf numFmtId="0" fontId="154" fillId="0" borderId="0" xfId="23" applyFont="1" applyAlignment="1" applyProtection="1">
      <alignment horizontal="left" vertical="center"/>
    </xf>
    <xf numFmtId="0" fontId="53" fillId="0" borderId="0" xfId="23" applyFont="1" applyAlignment="1" applyProtection="1">
      <alignment horizontal="left" vertical="top"/>
    </xf>
    <xf numFmtId="4" fontId="12" fillId="0" borderId="37" xfId="12" applyNumberFormat="1" applyFont="1" applyBorder="1" applyAlignment="1" applyProtection="1">
      <alignment horizontal="right"/>
    </xf>
    <xf numFmtId="39" fontId="148" fillId="0" borderId="0" xfId="142" applyNumberFormat="1" applyFont="1" applyAlignment="1">
      <alignment vertical="center"/>
    </xf>
    <xf numFmtId="0" fontId="20" fillId="0" borderId="0" xfId="142" applyFont="1" applyAlignment="1">
      <alignment vertical="top"/>
    </xf>
    <xf numFmtId="2" fontId="71" fillId="0" borderId="0" xfId="142" applyNumberFormat="1" applyFont="1" applyAlignment="1">
      <alignment horizontal="left"/>
    </xf>
    <xf numFmtId="1" fontId="264" fillId="0" borderId="34" xfId="12" applyNumberFormat="1" applyFont="1" applyBorder="1" applyAlignment="1" applyProtection="1">
      <alignment horizontal="right"/>
    </xf>
    <xf numFmtId="49" fontId="264" fillId="0" borderId="34" xfId="12" applyNumberFormat="1" applyFont="1" applyBorder="1" applyAlignment="1" applyProtection="1">
      <alignment horizontal="left" wrapText="1"/>
    </xf>
    <xf numFmtId="4" fontId="264" fillId="0" borderId="37" xfId="12" applyNumberFormat="1" applyFont="1" applyBorder="1" applyAlignment="1" applyProtection="1">
      <alignment horizontal="right"/>
    </xf>
    <xf numFmtId="0" fontId="155" fillId="0" borderId="0" xfId="25" applyFont="1" applyAlignment="1" applyProtection="1">
      <alignment horizontal="left" vertical="center"/>
    </xf>
    <xf numFmtId="0" fontId="71" fillId="0" borderId="34" xfId="154" applyFont="1" applyBorder="1" applyAlignment="1">
      <alignment horizontal="left" vertical="center" wrapText="1"/>
    </xf>
    <xf numFmtId="172" fontId="264" fillId="0" borderId="34" xfId="38" applyNumberFormat="1" applyFont="1" applyBorder="1" applyAlignment="1" applyProtection="1">
      <alignment horizontal="right"/>
    </xf>
    <xf numFmtId="0" fontId="150" fillId="0" borderId="0" xfId="154" applyFont="1" applyAlignment="1">
      <alignment horizontal="left" vertical="center"/>
    </xf>
    <xf numFmtId="0" fontId="6" fillId="0" borderId="0" xfId="154" applyFont="1" applyAlignment="1">
      <alignment horizontal="left" vertical="top"/>
    </xf>
    <xf numFmtId="39" fontId="145" fillId="0" borderId="0" xfId="154" applyNumberFormat="1" applyFont="1" applyAlignment="1">
      <alignment horizontal="left" vertical="center"/>
    </xf>
    <xf numFmtId="0" fontId="57" fillId="0" borderId="35" xfId="154" applyFont="1" applyBorder="1" applyAlignment="1">
      <alignment vertical="top"/>
    </xf>
    <xf numFmtId="0" fontId="57" fillId="0" borderId="0" xfId="154" applyFont="1" applyAlignment="1">
      <alignment vertical="top"/>
    </xf>
    <xf numFmtId="49" fontId="71" fillId="0" borderId="34" xfId="154" applyNumberFormat="1" applyFont="1" applyBorder="1" applyAlignment="1">
      <alignment horizontal="left" wrapText="1"/>
    </xf>
    <xf numFmtId="0" fontId="90" fillId="0" borderId="34" xfId="154" applyFont="1" applyBorder="1" applyAlignment="1">
      <alignment horizontal="left" vertical="top"/>
    </xf>
    <xf numFmtId="4" fontId="15" fillId="0" borderId="0" xfId="154" applyNumberFormat="1" applyFont="1" applyAlignment="1">
      <alignment vertical="center" wrapText="1"/>
    </xf>
    <xf numFmtId="0" fontId="16" fillId="0" borderId="0" xfId="8" applyFont="1"/>
    <xf numFmtId="0" fontId="17" fillId="0" borderId="0" xfId="8" applyFont="1" applyAlignment="1">
      <alignment horizontal="center"/>
    </xf>
    <xf numFmtId="0" fontId="17" fillId="0" borderId="0" xfId="8" applyFont="1"/>
    <xf numFmtId="0" fontId="16" fillId="0" borderId="0" xfId="8" applyFont="1" applyAlignment="1">
      <alignment horizontal="center"/>
    </xf>
    <xf numFmtId="0" fontId="16" fillId="0" borderId="0" xfId="8" applyFont="1" applyAlignment="1">
      <alignment vertical="center"/>
    </xf>
    <xf numFmtId="0" fontId="19" fillId="0" borderId="0" xfId="8" applyFont="1" applyAlignment="1">
      <alignment horizontal="left" vertical="center"/>
    </xf>
    <xf numFmtId="0" fontId="21" fillId="0" borderId="0" xfId="8" applyFont="1" applyAlignment="1">
      <alignment vertical="center"/>
    </xf>
    <xf numFmtId="14" fontId="22" fillId="0" borderId="0" xfId="8" applyNumberFormat="1" applyFont="1" applyAlignment="1">
      <alignment horizontal="left" vertical="center"/>
    </xf>
    <xf numFmtId="0" fontId="18" fillId="0" borderId="0" xfId="8" applyFont="1" applyAlignment="1">
      <alignment horizontal="left"/>
    </xf>
    <xf numFmtId="0" fontId="19" fillId="0" borderId="0" xfId="8" applyFont="1" applyAlignment="1">
      <alignment horizontal="left" vertical="top" wrapText="1"/>
    </xf>
    <xf numFmtId="0" fontId="14" fillId="0" borderId="0" xfId="8" applyAlignment="1">
      <alignment vertical="top" wrapText="1"/>
    </xf>
    <xf numFmtId="0" fontId="21" fillId="0" borderId="0" xfId="8" applyFont="1"/>
    <xf numFmtId="14" fontId="22" fillId="0" borderId="0" xfId="8" applyNumberFormat="1" applyFont="1" applyAlignment="1">
      <alignment horizontal="left"/>
    </xf>
    <xf numFmtId="0" fontId="21" fillId="0" borderId="0" xfId="8" applyFont="1" applyAlignment="1">
      <alignment horizontal="left" vertical="center"/>
    </xf>
    <xf numFmtId="0" fontId="16" fillId="0" borderId="0" xfId="8" applyFont="1" applyAlignment="1">
      <alignment horizontal="right"/>
    </xf>
    <xf numFmtId="0" fontId="16" fillId="0" borderId="0" xfId="8" applyFont="1" applyAlignment="1">
      <alignment horizontal="left"/>
    </xf>
    <xf numFmtId="0" fontId="23" fillId="2" borderId="1" xfId="8" applyFont="1" applyFill="1" applyBorder="1" applyAlignment="1">
      <alignment wrapText="1"/>
    </xf>
    <xf numFmtId="0" fontId="23" fillId="2" borderId="2" xfId="8" applyFont="1" applyFill="1" applyBorder="1" applyAlignment="1">
      <alignment wrapText="1"/>
    </xf>
    <xf numFmtId="0" fontId="23" fillId="2" borderId="3" xfId="8" applyFont="1" applyFill="1" applyBorder="1" applyAlignment="1">
      <alignment wrapText="1"/>
    </xf>
    <xf numFmtId="0" fontId="23" fillId="2" borderId="1" xfId="8" applyFont="1" applyFill="1" applyBorder="1" applyAlignment="1">
      <alignment horizontal="right" wrapText="1"/>
    </xf>
    <xf numFmtId="0" fontId="16" fillId="2" borderId="2" xfId="8" applyFont="1" applyFill="1" applyBorder="1"/>
    <xf numFmtId="0" fontId="23" fillId="2" borderId="2" xfId="8" applyFont="1" applyFill="1" applyBorder="1" applyAlignment="1">
      <alignment horizontal="right" wrapText="1"/>
    </xf>
    <xf numFmtId="0" fontId="21" fillId="2" borderId="3" xfId="8" applyFont="1" applyFill="1" applyBorder="1" applyAlignment="1">
      <alignment horizontal="right"/>
    </xf>
    <xf numFmtId="0" fontId="23" fillId="0" borderId="0" xfId="8" applyFont="1" applyAlignment="1">
      <alignment horizontal="left"/>
    </xf>
    <xf numFmtId="0" fontId="16" fillId="0" borderId="4" xfId="8" applyFont="1" applyBorder="1" applyAlignment="1">
      <alignment vertical="center"/>
    </xf>
    <xf numFmtId="1" fontId="16" fillId="0" borderId="0" xfId="8" applyNumberFormat="1" applyFont="1" applyAlignment="1">
      <alignment horizontal="right" vertical="center"/>
    </xf>
    <xf numFmtId="0" fontId="16" fillId="0" borderId="5" xfId="8" applyFont="1" applyBorder="1" applyAlignment="1">
      <alignment vertical="center"/>
    </xf>
    <xf numFmtId="4" fontId="16" fillId="0" borderId="6" xfId="8" applyNumberFormat="1" applyFont="1" applyBorder="1" applyAlignment="1">
      <alignment horizontal="right" vertical="center"/>
    </xf>
    <xf numFmtId="4" fontId="16" fillId="0" borderId="7" xfId="8" applyNumberFormat="1" applyFont="1" applyBorder="1" applyAlignment="1">
      <alignment horizontal="right" vertical="center"/>
    </xf>
    <xf numFmtId="4" fontId="16" fillId="0" borderId="8" xfId="8" applyNumberFormat="1" applyFont="1" applyBorder="1" applyAlignment="1">
      <alignment horizontal="right" vertical="center"/>
    </xf>
    <xf numFmtId="4" fontId="16" fillId="0" borderId="0" xfId="8" applyNumberFormat="1" applyFont="1" applyAlignment="1">
      <alignment vertical="center"/>
    </xf>
    <xf numFmtId="4" fontId="16" fillId="0" borderId="4" xfId="8" applyNumberFormat="1" applyFont="1" applyBorder="1" applyAlignment="1">
      <alignment horizontal="right" vertical="center"/>
    </xf>
    <xf numFmtId="4" fontId="16" fillId="0" borderId="0" xfId="8" applyNumberFormat="1" applyFont="1" applyAlignment="1">
      <alignment horizontal="right" vertical="center"/>
    </xf>
    <xf numFmtId="4" fontId="16" fillId="0" borderId="5" xfId="8" applyNumberFormat="1" applyFont="1" applyBorder="1" applyAlignment="1">
      <alignment horizontal="right" vertical="center"/>
    </xf>
    <xf numFmtId="4" fontId="16" fillId="5" borderId="5" xfId="8" applyNumberFormat="1" applyFont="1" applyFill="1" applyBorder="1" applyAlignment="1">
      <alignment horizontal="right" vertical="center"/>
    </xf>
    <xf numFmtId="4" fontId="16" fillId="0" borderId="9" xfId="8" applyNumberFormat="1" applyFont="1" applyBorder="1" applyAlignment="1">
      <alignment horizontal="right" vertical="center"/>
    </xf>
    <xf numFmtId="4" fontId="16" fillId="0" borderId="10" xfId="8" applyNumberFormat="1" applyFont="1" applyBorder="1" applyAlignment="1">
      <alignment horizontal="right" vertical="center"/>
    </xf>
    <xf numFmtId="4" fontId="16" fillId="5" borderId="11" xfId="8" applyNumberFormat="1" applyFont="1" applyFill="1" applyBorder="1" applyAlignment="1">
      <alignment horizontal="right" vertical="center"/>
    </xf>
    <xf numFmtId="0" fontId="19" fillId="3" borderId="1" xfId="8" applyFont="1" applyFill="1" applyBorder="1" applyAlignment="1">
      <alignment vertical="center"/>
    </xf>
    <xf numFmtId="0" fontId="21" fillId="3" borderId="2" xfId="8" applyFont="1" applyFill="1" applyBorder="1" applyAlignment="1">
      <alignment vertical="center"/>
    </xf>
    <xf numFmtId="0" fontId="16" fillId="3" borderId="2" xfId="8" applyFont="1" applyFill="1" applyBorder="1" applyAlignment="1">
      <alignment vertical="center"/>
    </xf>
    <xf numFmtId="4" fontId="19" fillId="3" borderId="12" xfId="8" applyNumberFormat="1" applyFont="1" applyFill="1" applyBorder="1" applyAlignment="1">
      <alignment horizontal="right" vertical="center"/>
    </xf>
    <xf numFmtId="4" fontId="19" fillId="3" borderId="13" xfId="8" applyNumberFormat="1" applyFont="1" applyFill="1" applyBorder="1" applyAlignment="1">
      <alignment horizontal="right" vertical="center"/>
    </xf>
    <xf numFmtId="3" fontId="19" fillId="4" borderId="14" xfId="8" applyNumberFormat="1" applyFont="1" applyFill="1" applyBorder="1" applyAlignment="1">
      <alignment horizontal="right" vertical="center"/>
    </xf>
    <xf numFmtId="4" fontId="19" fillId="0" borderId="0" xfId="8" applyNumberFormat="1" applyFont="1" applyAlignment="1">
      <alignment vertical="top"/>
    </xf>
    <xf numFmtId="3" fontId="29" fillId="0" borderId="0" xfId="8" applyNumberFormat="1" applyFont="1"/>
    <xf numFmtId="3" fontId="16" fillId="0" borderId="0" xfId="8" applyNumberFormat="1" applyFont="1"/>
    <xf numFmtId="0" fontId="19" fillId="0" borderId="0" xfId="8" applyFont="1" applyAlignment="1">
      <alignment horizontal="left"/>
    </xf>
    <xf numFmtId="4" fontId="16" fillId="0" borderId="0" xfId="8" applyNumberFormat="1" applyFont="1"/>
    <xf numFmtId="0" fontId="23" fillId="2" borderId="1" xfId="8" applyFont="1" applyFill="1" applyBorder="1" applyAlignment="1">
      <alignment vertical="center"/>
    </xf>
    <xf numFmtId="0" fontId="21" fillId="2" borderId="2" xfId="8" applyFont="1" applyFill="1" applyBorder="1" applyAlignment="1">
      <alignment vertical="center"/>
    </xf>
    <xf numFmtId="0" fontId="21" fillId="2" borderId="3" xfId="8" applyFont="1" applyFill="1" applyBorder="1" applyAlignment="1">
      <alignment vertical="center" wrapText="1"/>
    </xf>
    <xf numFmtId="0" fontId="21" fillId="2" borderId="15" xfId="8" applyFont="1" applyFill="1" applyBorder="1" applyAlignment="1">
      <alignment horizontal="center" vertical="center" wrapText="1"/>
    </xf>
    <xf numFmtId="0" fontId="21" fillId="2" borderId="3" xfId="8" applyFont="1" applyFill="1" applyBorder="1" applyAlignment="1">
      <alignment horizontal="center" vertical="center" wrapText="1"/>
    </xf>
    <xf numFmtId="0" fontId="29" fillId="0" borderId="0" xfId="8" applyFont="1"/>
    <xf numFmtId="49" fontId="22" fillId="0" borderId="4" xfId="8" applyNumberFormat="1" applyFont="1" applyBorder="1" applyAlignment="1">
      <alignment horizontal="left"/>
    </xf>
    <xf numFmtId="0" fontId="22" fillId="0" borderId="0" xfId="8" applyFont="1" applyAlignment="1">
      <alignment horizontal="left"/>
    </xf>
    <xf numFmtId="0" fontId="22" fillId="0" borderId="0" xfId="8" applyFont="1"/>
    <xf numFmtId="165" fontId="22" fillId="0" borderId="0" xfId="8" applyNumberFormat="1" applyFont="1"/>
    <xf numFmtId="3" fontId="23" fillId="0" borderId="16" xfId="8" applyNumberFormat="1" applyFont="1" applyBorder="1" applyAlignment="1">
      <alignment horizontal="right"/>
    </xf>
    <xf numFmtId="3" fontId="22" fillId="0" borderId="16" xfId="8" applyNumberFormat="1" applyFont="1" applyBorder="1" applyAlignment="1">
      <alignment horizontal="right"/>
    </xf>
    <xf numFmtId="3" fontId="22" fillId="0" borderId="20" xfId="8" applyNumberFormat="1" applyFont="1" applyBorder="1" applyAlignment="1">
      <alignment horizontal="right"/>
    </xf>
    <xf numFmtId="3" fontId="16" fillId="0" borderId="0" xfId="8" applyNumberFormat="1" applyFont="1" applyAlignment="1">
      <alignment horizontal="center" vertical="center"/>
    </xf>
    <xf numFmtId="49" fontId="22" fillId="0" borderId="17" xfId="8" applyNumberFormat="1" applyFont="1" applyBorder="1" applyAlignment="1">
      <alignment horizontal="left"/>
    </xf>
    <xf numFmtId="3" fontId="23" fillId="0" borderId="18" xfId="8" applyNumberFormat="1" applyFont="1" applyBorder="1" applyAlignment="1">
      <alignment horizontal="right"/>
    </xf>
    <xf numFmtId="3" fontId="23" fillId="0" borderId="19" xfId="8" applyNumberFormat="1" applyFont="1" applyBorder="1" applyAlignment="1">
      <alignment horizontal="right"/>
    </xf>
    <xf numFmtId="3" fontId="29" fillId="0" borderId="0" xfId="8" applyNumberFormat="1" applyFont="1" applyAlignment="1">
      <alignment horizontal="left"/>
    </xf>
    <xf numFmtId="0" fontId="21" fillId="0" borderId="0" xfId="8" applyFont="1" applyAlignment="1">
      <alignment horizontal="center" vertical="center"/>
    </xf>
    <xf numFmtId="49" fontId="23" fillId="0" borderId="17" xfId="8" applyNumberFormat="1" applyFont="1" applyBorder="1" applyAlignment="1">
      <alignment horizontal="left"/>
    </xf>
    <xf numFmtId="3" fontId="22" fillId="0" borderId="18" xfId="8" applyNumberFormat="1" applyFont="1" applyBorder="1" applyAlignment="1">
      <alignment horizontal="right"/>
    </xf>
    <xf numFmtId="3" fontId="22" fillId="0" borderId="19" xfId="8" applyNumberFormat="1" applyFont="1" applyBorder="1" applyAlignment="1">
      <alignment horizontal="right"/>
    </xf>
    <xf numFmtId="3" fontId="29" fillId="0" borderId="0" xfId="8" applyNumberFormat="1" applyFont="1" applyAlignment="1">
      <alignment horizontal="right"/>
    </xf>
    <xf numFmtId="49" fontId="23" fillId="0" borderId="75" xfId="8" applyNumberFormat="1" applyFont="1" applyBorder="1" applyAlignment="1">
      <alignment horizontal="left"/>
    </xf>
    <xf numFmtId="0" fontId="23" fillId="3" borderId="1" xfId="8" applyFont="1" applyFill="1" applyBorder="1" applyAlignment="1">
      <alignment vertical="center"/>
    </xf>
    <xf numFmtId="49" fontId="23" fillId="3" borderId="2" xfId="8" applyNumberFormat="1" applyFont="1" applyFill="1" applyBorder="1" applyAlignment="1">
      <alignment horizontal="left" vertical="center"/>
    </xf>
    <xf numFmtId="0" fontId="23" fillId="3" borderId="2" xfId="8" applyFont="1" applyFill="1" applyBorder="1" applyAlignment="1">
      <alignment vertical="center"/>
    </xf>
    <xf numFmtId="165" fontId="22" fillId="3" borderId="3" xfId="8" applyNumberFormat="1" applyFont="1" applyFill="1" applyBorder="1"/>
    <xf numFmtId="3" fontId="23" fillId="3" borderId="15" xfId="8" applyNumberFormat="1" applyFont="1" applyFill="1" applyBorder="1" applyAlignment="1">
      <alignment horizontal="right" vertical="center"/>
    </xf>
    <xf numFmtId="0" fontId="16" fillId="0" borderId="0" xfId="8" applyFont="1" applyAlignment="1">
      <alignment horizontal="left" vertical="top" wrapText="1"/>
    </xf>
    <xf numFmtId="0" fontId="13" fillId="0" borderId="0" xfId="8" applyFont="1"/>
    <xf numFmtId="4" fontId="13" fillId="0" borderId="0" xfId="16" applyNumberFormat="1" applyFont="1"/>
    <xf numFmtId="0" fontId="13" fillId="0" borderId="0" xfId="16" applyFont="1"/>
    <xf numFmtId="0" fontId="13" fillId="0" borderId="0" xfId="16" applyFont="1" applyAlignment="1">
      <alignment wrapText="1"/>
    </xf>
    <xf numFmtId="0" fontId="24" fillId="0" borderId="0" xfId="16" applyFont="1" applyAlignment="1">
      <alignment wrapText="1"/>
    </xf>
    <xf numFmtId="0" fontId="24" fillId="0" borderId="0" xfId="16" applyFont="1"/>
    <xf numFmtId="0" fontId="12" fillId="0" borderId="0" xfId="175" applyFont="1" applyAlignment="1">
      <alignment vertical="center"/>
    </xf>
    <xf numFmtId="0" fontId="51" fillId="0" borderId="0" xfId="175" applyFont="1" applyAlignment="1">
      <alignment horizontal="centerContinuous" vertical="center"/>
    </xf>
    <xf numFmtId="0" fontId="52" fillId="0" borderId="0" xfId="175" applyFont="1" applyAlignment="1">
      <alignment horizontal="centerContinuous" vertical="center"/>
    </xf>
    <xf numFmtId="0" fontId="52" fillId="0" borderId="0" xfId="175" applyFont="1" applyAlignment="1">
      <alignment horizontal="right" vertical="center"/>
    </xf>
    <xf numFmtId="0" fontId="14" fillId="0" borderId="0" xfId="175" applyAlignment="1">
      <alignment vertical="center"/>
    </xf>
    <xf numFmtId="0" fontId="16" fillId="0" borderId="0" xfId="20" applyFont="1"/>
    <xf numFmtId="0" fontId="55" fillId="0" borderId="0" xfId="175" applyFont="1" applyAlignment="1">
      <alignment vertical="center"/>
    </xf>
    <xf numFmtId="4" fontId="22" fillId="0" borderId="0" xfId="20" applyNumberFormat="1" applyFont="1"/>
    <xf numFmtId="4" fontId="16" fillId="0" borderId="0" xfId="20" applyNumberFormat="1" applyFont="1"/>
    <xf numFmtId="0" fontId="21" fillId="0" borderId="0" xfId="20" applyFont="1" applyAlignment="1">
      <alignment horizontal="center" vertical="center"/>
    </xf>
    <xf numFmtId="0" fontId="20" fillId="0" borderId="15" xfId="175" applyFont="1" applyBorder="1" applyAlignment="1">
      <alignment horizontal="center" vertical="justify"/>
    </xf>
    <xf numFmtId="49" fontId="20" fillId="0" borderId="15" xfId="175" applyNumberFormat="1" applyFont="1" applyBorder="1" applyAlignment="1">
      <alignment horizontal="left" vertical="justify"/>
    </xf>
    <xf numFmtId="0" fontId="20" fillId="0" borderId="15" xfId="175" applyFont="1" applyBorder="1" applyAlignment="1">
      <alignment vertical="justify"/>
    </xf>
    <xf numFmtId="0" fontId="12" fillId="0" borderId="15" xfId="175" applyFont="1" applyBorder="1" applyAlignment="1">
      <alignment horizontal="center" vertical="center" wrapText="1"/>
    </xf>
    <xf numFmtId="0" fontId="20" fillId="0" borderId="15" xfId="175" applyFont="1" applyBorder="1" applyAlignment="1">
      <alignment horizontal="center" vertical="center" wrapText="1"/>
    </xf>
    <xf numFmtId="0" fontId="59" fillId="0" borderId="0" xfId="20" applyFont="1"/>
    <xf numFmtId="0" fontId="12" fillId="5" borderId="15" xfId="175" applyFont="1" applyFill="1" applyBorder="1" applyAlignment="1">
      <alignment horizontal="center" vertical="center" wrapText="1"/>
    </xf>
    <xf numFmtId="49" fontId="12" fillId="5" borderId="15" xfId="175" applyNumberFormat="1" applyFont="1" applyFill="1" applyBorder="1" applyAlignment="1">
      <alignment vertical="center" wrapText="1"/>
    </xf>
    <xf numFmtId="0" fontId="12" fillId="5" borderId="15" xfId="175" applyFont="1" applyFill="1" applyBorder="1" applyAlignment="1">
      <alignment vertical="center" wrapText="1"/>
    </xf>
    <xf numFmtId="49" fontId="12" fillId="5" borderId="15" xfId="175" applyNumberFormat="1" applyFont="1" applyFill="1" applyBorder="1" applyAlignment="1">
      <alignment horizontal="center" vertical="center" wrapText="1" shrinkToFit="1"/>
    </xf>
    <xf numFmtId="4" fontId="12" fillId="5" borderId="15" xfId="175" applyNumberFormat="1" applyFont="1" applyFill="1" applyBorder="1" applyAlignment="1">
      <alignment vertical="center" wrapText="1"/>
    </xf>
    <xf numFmtId="4" fontId="12" fillId="0" borderId="15" xfId="175" applyNumberFormat="1" applyFont="1" applyBorder="1" applyAlignment="1">
      <alignment vertical="center" wrapText="1"/>
    </xf>
    <xf numFmtId="39" fontId="12" fillId="5" borderId="15" xfId="3" applyNumberFormat="1" applyFont="1" applyFill="1" applyBorder="1" applyAlignment="1">
      <alignment horizontal="center" vertical="center"/>
    </xf>
    <xf numFmtId="0" fontId="264" fillId="0" borderId="15" xfId="175" applyFont="1" applyBorder="1" applyAlignment="1">
      <alignment horizontal="center" vertical="center" wrapText="1"/>
    </xf>
    <xf numFmtId="49" fontId="264" fillId="5" borderId="15" xfId="175" applyNumberFormat="1" applyFont="1" applyFill="1" applyBorder="1" applyAlignment="1">
      <alignment vertical="center" wrapText="1"/>
    </xf>
    <xf numFmtId="0" fontId="264" fillId="0" borderId="15" xfId="175" applyFont="1" applyBorder="1" applyAlignment="1">
      <alignment vertical="center" wrapText="1"/>
    </xf>
    <xf numFmtId="49" fontId="264" fillId="0" borderId="15" xfId="175" applyNumberFormat="1" applyFont="1" applyBorder="1" applyAlignment="1">
      <alignment horizontal="center" vertical="center" wrapText="1" shrinkToFit="1"/>
    </xf>
    <xf numFmtId="172" fontId="264" fillId="0" borderId="15" xfId="175" applyNumberFormat="1" applyFont="1" applyBorder="1" applyAlignment="1">
      <alignment vertical="center" wrapText="1"/>
    </xf>
    <xf numFmtId="4" fontId="264" fillId="0" borderId="15" xfId="175" applyNumberFormat="1" applyFont="1" applyBorder="1" applyAlignment="1">
      <alignment vertical="center" wrapText="1"/>
    </xf>
    <xf numFmtId="39" fontId="264" fillId="5" borderId="15" xfId="3" applyNumberFormat="1" applyFont="1" applyFill="1" applyBorder="1" applyAlignment="1">
      <alignment horizontal="center" vertical="center"/>
    </xf>
    <xf numFmtId="3" fontId="16" fillId="0" borderId="0" xfId="20" applyNumberFormat="1" applyFont="1" applyAlignment="1">
      <alignment horizontal="center" vertical="center"/>
    </xf>
    <xf numFmtId="4" fontId="16" fillId="0" borderId="0" xfId="20" applyNumberFormat="1" applyFont="1" applyAlignment="1">
      <alignment horizontal="center" vertical="center"/>
    </xf>
    <xf numFmtId="0" fontId="16" fillId="0" borderId="0" xfId="20" applyFont="1" applyAlignment="1">
      <alignment horizontal="center" vertical="center"/>
    </xf>
    <xf numFmtId="49" fontId="12" fillId="0" borderId="15" xfId="175" applyNumberFormat="1" applyFont="1" applyBorder="1" applyAlignment="1">
      <alignment vertical="center" wrapText="1"/>
    </xf>
    <xf numFmtId="0" fontId="56" fillId="0" borderId="15" xfId="175" applyFont="1" applyBorder="1" applyAlignment="1">
      <alignment vertical="center" wrapText="1"/>
    </xf>
    <xf numFmtId="49" fontId="12" fillId="0" borderId="15" xfId="175" applyNumberFormat="1" applyFont="1" applyBorder="1" applyAlignment="1">
      <alignment horizontal="center" vertical="center" wrapText="1" shrinkToFit="1"/>
    </xf>
    <xf numFmtId="39" fontId="12" fillId="0" borderId="15" xfId="3" applyNumberFormat="1" applyFont="1" applyBorder="1" applyAlignment="1">
      <alignment horizontal="center" vertical="center"/>
    </xf>
    <xf numFmtId="0" fontId="57" fillId="0" borderId="15" xfId="175" applyFont="1" applyBorder="1" applyAlignment="1">
      <alignment vertical="center" wrapText="1"/>
    </xf>
    <xf numFmtId="39" fontId="12" fillId="0" borderId="15" xfId="3" applyNumberFormat="1" applyFont="1" applyBorder="1" applyAlignment="1">
      <alignment horizontal="center"/>
    </xf>
    <xf numFmtId="49" fontId="264" fillId="0" borderId="15" xfId="175" applyNumberFormat="1" applyFont="1" applyBorder="1" applyAlignment="1">
      <alignment vertical="center" wrapText="1"/>
    </xf>
    <xf numFmtId="0" fontId="350" fillId="0" borderId="15" xfId="175" applyFont="1" applyBorder="1" applyAlignment="1">
      <alignment vertical="center" wrapText="1"/>
    </xf>
    <xf numFmtId="39" fontId="264" fillId="0" borderId="15" xfId="3" applyNumberFormat="1" applyFont="1" applyBorder="1" applyAlignment="1">
      <alignment horizontal="center" vertical="center"/>
    </xf>
    <xf numFmtId="39" fontId="264" fillId="0" borderId="15" xfId="3" applyNumberFormat="1" applyFont="1" applyBorder="1" applyAlignment="1">
      <alignment horizontal="center"/>
    </xf>
    <xf numFmtId="0" fontId="19" fillId="0" borderId="0" xfId="20" applyFont="1" applyAlignment="1">
      <alignment horizontal="left" vertical="center"/>
    </xf>
    <xf numFmtId="6" fontId="16" fillId="0" borderId="0" xfId="20" applyNumberFormat="1" applyFont="1"/>
    <xf numFmtId="0" fontId="12" fillId="0" borderId="15" xfId="175" applyFont="1" applyBorder="1" applyAlignment="1">
      <alignment vertical="center" wrapText="1"/>
    </xf>
    <xf numFmtId="0" fontId="29" fillId="0" borderId="0" xfId="20" applyFont="1"/>
    <xf numFmtId="3" fontId="16" fillId="0" borderId="0" xfId="20" applyNumberFormat="1" applyFont="1"/>
    <xf numFmtId="0" fontId="56" fillId="5" borderId="15" xfId="175" applyFont="1" applyFill="1" applyBorder="1" applyAlignment="1">
      <alignment vertical="center" wrapText="1"/>
    </xf>
    <xf numFmtId="0" fontId="57" fillId="5" borderId="15" xfId="175" applyFont="1" applyFill="1" applyBorder="1" applyAlignment="1">
      <alignment vertical="center" wrapText="1"/>
    </xf>
    <xf numFmtId="0" fontId="56" fillId="5" borderId="15" xfId="175" applyFont="1" applyFill="1" applyBorder="1" applyAlignment="1">
      <alignment horizontal="center" vertical="center" wrapText="1"/>
    </xf>
    <xf numFmtId="0" fontId="16" fillId="0" borderId="0" xfId="20" applyFont="1" applyAlignment="1">
      <alignment vertical="center"/>
    </xf>
    <xf numFmtId="0" fontId="56" fillId="0" borderId="15" xfId="175" applyFont="1" applyBorder="1" applyAlignment="1">
      <alignment horizontal="center" vertical="center" wrapText="1"/>
    </xf>
    <xf numFmtId="0" fontId="12" fillId="0" borderId="15" xfId="176" applyFont="1" applyBorder="1" applyAlignment="1">
      <alignment horizontal="center" vertical="center" wrapText="1"/>
    </xf>
    <xf numFmtId="4" fontId="12" fillId="0" borderId="15" xfId="176" applyNumberFormat="1" applyFont="1" applyBorder="1" applyAlignment="1">
      <alignment vertical="center" wrapText="1"/>
    </xf>
    <xf numFmtId="0" fontId="264" fillId="0" borderId="15" xfId="176" applyFont="1" applyBorder="1" applyAlignment="1">
      <alignment horizontal="center" vertical="center" wrapText="1"/>
    </xf>
    <xf numFmtId="0" fontId="14" fillId="7" borderId="15" xfId="175" applyFill="1" applyBorder="1" applyAlignment="1">
      <alignment horizontal="center" vertical="justify"/>
    </xf>
    <xf numFmtId="49" fontId="58" fillId="2" borderId="15" xfId="175" applyNumberFormat="1" applyFont="1" applyFill="1" applyBorder="1" applyAlignment="1">
      <alignment horizontal="left" vertical="justify"/>
    </xf>
    <xf numFmtId="0" fontId="58" fillId="2" borderId="1" xfId="175" applyFont="1" applyFill="1" applyBorder="1" applyAlignment="1">
      <alignment vertical="justify"/>
    </xf>
    <xf numFmtId="0" fontId="14" fillId="2" borderId="2" xfId="175" applyFill="1" applyBorder="1" applyAlignment="1">
      <alignment horizontal="center" vertical="justify"/>
    </xf>
    <xf numFmtId="4" fontId="14" fillId="2" borderId="2" xfId="175" applyNumberFormat="1" applyFill="1" applyBorder="1" applyAlignment="1">
      <alignment horizontal="right" vertical="justify"/>
    </xf>
    <xf numFmtId="4" fontId="14" fillId="2" borderId="3" xfId="175" applyNumberFormat="1" applyFill="1" applyBorder="1" applyAlignment="1">
      <alignment horizontal="right" vertical="justify"/>
    </xf>
    <xf numFmtId="4" fontId="20" fillId="2" borderId="15" xfId="175" applyNumberFormat="1" applyFont="1" applyFill="1" applyBorder="1" applyAlignment="1">
      <alignment vertical="center"/>
    </xf>
    <xf numFmtId="4" fontId="12" fillId="0" borderId="15" xfId="175" applyNumberFormat="1" applyFont="1" applyBorder="1" applyAlignment="1" applyProtection="1">
      <alignment vertical="center" wrapText="1"/>
      <protection locked="0"/>
    </xf>
    <xf numFmtId="4" fontId="264" fillId="0" borderId="15" xfId="175" applyNumberFormat="1" applyFont="1" applyBorder="1" applyAlignment="1" applyProtection="1">
      <alignment vertical="center" wrapText="1"/>
      <protection locked="0"/>
    </xf>
    <xf numFmtId="4" fontId="12" fillId="0" borderId="15" xfId="176" applyNumberFormat="1" applyFont="1" applyBorder="1" applyAlignment="1" applyProtection="1">
      <alignment vertical="center" wrapText="1"/>
      <protection locked="0"/>
    </xf>
    <xf numFmtId="0" fontId="62" fillId="5" borderId="0" xfId="154" applyFont="1" applyFill="1" applyAlignment="1">
      <alignment horizontal="left"/>
    </xf>
    <xf numFmtId="0" fontId="12" fillId="5" borderId="0" xfId="154" applyFont="1" applyFill="1" applyAlignment="1">
      <alignment horizontal="left"/>
    </xf>
    <xf numFmtId="0" fontId="79" fillId="5" borderId="0" xfId="154" applyFont="1" applyFill="1" applyAlignment="1">
      <alignment horizontal="left" vertical="center"/>
    </xf>
    <xf numFmtId="37" fontId="64" fillId="0" borderId="48" xfId="140" applyNumberFormat="1" applyFont="1" applyBorder="1" applyAlignment="1">
      <alignment horizontal="right"/>
    </xf>
    <xf numFmtId="0" fontId="64" fillId="0" borderId="48" xfId="140" applyFont="1" applyBorder="1" applyAlignment="1">
      <alignment horizontal="left" wrapText="1"/>
    </xf>
    <xf numFmtId="176" fontId="64" fillId="0" borderId="48" xfId="140" applyNumberFormat="1" applyFont="1" applyBorder="1" applyAlignment="1">
      <alignment horizontal="right"/>
    </xf>
    <xf numFmtId="39" fontId="64" fillId="0" borderId="48" xfId="140" applyNumberFormat="1" applyFont="1" applyBorder="1" applyAlignment="1">
      <alignment horizontal="right"/>
    </xf>
    <xf numFmtId="39" fontId="64" fillId="0" borderId="34" xfId="25" applyNumberFormat="1" applyFont="1" applyBorder="1" applyAlignment="1" applyProtection="1">
      <alignment horizontal="right"/>
    </xf>
    <xf numFmtId="0" fontId="27" fillId="0" borderId="48" xfId="140" applyBorder="1" applyAlignment="1">
      <alignment horizontal="left" vertical="top"/>
    </xf>
    <xf numFmtId="0" fontId="115" fillId="0" borderId="0" xfId="140" applyFont="1" applyAlignment="1">
      <alignment horizontal="left" vertical="center"/>
    </xf>
    <xf numFmtId="2" fontId="165" fillId="0" borderId="0" xfId="140" applyNumberFormat="1" applyFont="1" applyAlignment="1">
      <alignment horizontal="left" vertical="center"/>
    </xf>
    <xf numFmtId="1" fontId="12" fillId="0" borderId="34" xfId="195" applyNumberFormat="1" applyFont="1" applyBorder="1" applyAlignment="1">
      <alignment horizontal="right"/>
    </xf>
    <xf numFmtId="0" fontId="12" fillId="0" borderId="34" xfId="195" applyFont="1" applyBorder="1" applyAlignment="1">
      <alignment horizontal="left" wrapText="1"/>
    </xf>
    <xf numFmtId="2" fontId="12" fillId="0" borderId="34" xfId="195" applyNumberFormat="1" applyFont="1" applyBorder="1"/>
    <xf numFmtId="4" fontId="12" fillId="0" borderId="34" xfId="195" applyNumberFormat="1" applyFont="1" applyBorder="1" applyAlignment="1">
      <alignment horizontal="right"/>
    </xf>
    <xf numFmtId="0" fontId="63" fillId="0" borderId="0" xfId="195" applyFont="1" applyAlignment="1">
      <alignment horizontal="left" vertical="center"/>
    </xf>
    <xf numFmtId="0" fontId="107" fillId="0" borderId="0" xfId="195" applyFont="1" applyAlignment="1">
      <alignment horizontal="left" vertical="top"/>
    </xf>
    <xf numFmtId="0" fontId="57" fillId="0" borderId="34" xfId="195" applyFont="1" applyBorder="1" applyAlignment="1">
      <alignment horizontal="left" wrapText="1"/>
    </xf>
    <xf numFmtId="2" fontId="57" fillId="0" borderId="34" xfId="33" applyNumberFormat="1" applyFont="1" applyBorder="1" applyAlignment="1">
      <alignment horizontal="right"/>
    </xf>
    <xf numFmtId="167" fontId="256" fillId="0" borderId="0" xfId="78" applyFont="1">
      <alignment vertical="center"/>
    </xf>
    <xf numFmtId="167" fontId="73" fillId="0" borderId="0" xfId="78" applyFont="1" applyAlignment="1">
      <alignment horizontal="left" vertical="top"/>
    </xf>
    <xf numFmtId="2" fontId="73" fillId="0" borderId="0" xfId="78" applyNumberFormat="1" applyFont="1" applyAlignment="1">
      <alignment horizontal="left" vertical="top"/>
    </xf>
    <xf numFmtId="0" fontId="75" fillId="0" borderId="0" xfId="195" applyFont="1" applyAlignment="1">
      <alignment horizontal="left" vertical="center"/>
    </xf>
    <xf numFmtId="37" fontId="12" fillId="0" borderId="34" xfId="195" applyNumberFormat="1" applyFont="1" applyBorder="1" applyAlignment="1">
      <alignment horizontal="right"/>
    </xf>
    <xf numFmtId="2" fontId="57" fillId="0" borderId="34" xfId="195" applyNumberFormat="1" applyFont="1" applyBorder="1" applyAlignment="1">
      <alignment horizontal="right"/>
    </xf>
    <xf numFmtId="39" fontId="12" fillId="0" borderId="34" xfId="195" applyNumberFormat="1" applyFont="1" applyBorder="1" applyAlignment="1">
      <alignment horizontal="right"/>
    </xf>
    <xf numFmtId="39" fontId="12" fillId="0" borderId="34" xfId="195" applyNumberFormat="1" applyFont="1" applyBorder="1" applyAlignment="1">
      <alignment horizontal="center"/>
    </xf>
    <xf numFmtId="37" fontId="12" fillId="0" borderId="34" xfId="149" applyNumberFormat="1" applyFont="1" applyBorder="1" applyAlignment="1">
      <alignment horizontal="right"/>
    </xf>
    <xf numFmtId="49" fontId="12" fillId="0" borderId="34" xfId="149" applyNumberFormat="1" applyFont="1" applyBorder="1" applyAlignment="1">
      <alignment horizontal="left" wrapText="1"/>
    </xf>
    <xf numFmtId="0" fontId="12" fillId="0" borderId="34" xfId="149" applyFont="1" applyBorder="1" applyAlignment="1">
      <alignment horizontal="left" wrapText="1"/>
    </xf>
    <xf numFmtId="2" fontId="12" fillId="0" borderId="34" xfId="149" applyNumberFormat="1" applyFont="1" applyBorder="1" applyAlignment="1">
      <alignment horizontal="right"/>
    </xf>
    <xf numFmtId="4" fontId="12" fillId="0" borderId="34" xfId="149" applyNumberFormat="1" applyFont="1" applyBorder="1" applyAlignment="1">
      <alignment horizontal="right"/>
    </xf>
    <xf numFmtId="2" fontId="101" fillId="0" borderId="0" xfId="149" applyNumberFormat="1" applyFont="1" applyAlignment="1">
      <alignment horizontal="left" vertical="center"/>
    </xf>
    <xf numFmtId="0" fontId="14" fillId="0" borderId="0" xfId="149"/>
    <xf numFmtId="49" fontId="12" fillId="0" borderId="34" xfId="195" applyNumberFormat="1" applyFont="1" applyBorder="1" applyAlignment="1">
      <alignment horizontal="left" wrapText="1"/>
    </xf>
    <xf numFmtId="2" fontId="12" fillId="0" borderId="34" xfId="195" applyNumberFormat="1" applyFont="1" applyBorder="1" applyAlignment="1">
      <alignment horizontal="right"/>
    </xf>
    <xf numFmtId="49" fontId="83" fillId="0" borderId="34" xfId="195" applyNumberFormat="1" applyFont="1" applyBorder="1" applyAlignment="1">
      <alignment horizontal="left" wrapText="1"/>
    </xf>
    <xf numFmtId="0" fontId="83" fillId="0" borderId="34" xfId="195" applyFont="1" applyBorder="1" applyAlignment="1">
      <alignment horizontal="left" wrapText="1"/>
    </xf>
    <xf numFmtId="0" fontId="4" fillId="0" borderId="34" xfId="195" applyBorder="1" applyAlignment="1">
      <alignment horizontal="left" vertical="top"/>
    </xf>
    <xf numFmtId="37" fontId="83" fillId="0" borderId="34" xfId="149" applyNumberFormat="1" applyFont="1" applyBorder="1" applyAlignment="1">
      <alignment horizontal="right"/>
    </xf>
    <xf numFmtId="49" fontId="83" fillId="0" borderId="34" xfId="149" applyNumberFormat="1" applyFont="1" applyBorder="1" applyAlignment="1">
      <alignment horizontal="left" wrapText="1"/>
    </xf>
    <xf numFmtId="0" fontId="83" fillId="0" borderId="34" xfId="149" applyFont="1" applyBorder="1" applyAlignment="1">
      <alignment horizontal="left" wrapText="1"/>
    </xf>
    <xf numFmtId="0" fontId="57" fillId="0" borderId="34" xfId="149" applyFont="1" applyBorder="1" applyAlignment="1">
      <alignment horizontal="left" wrapText="1"/>
    </xf>
    <xf numFmtId="2" fontId="57" fillId="0" borderId="34" xfId="149" applyNumberFormat="1" applyFont="1" applyBorder="1" applyAlignment="1">
      <alignment horizontal="right" wrapText="1"/>
    </xf>
    <xf numFmtId="0" fontId="14" fillId="0" borderId="34" xfId="149" applyBorder="1" applyAlignment="1">
      <alignment horizontal="left" vertical="top"/>
    </xf>
    <xf numFmtId="0" fontId="98" fillId="0" borderId="0" xfId="149" applyFont="1" applyAlignment="1">
      <alignment horizontal="left" vertical="top"/>
    </xf>
    <xf numFmtId="0" fontId="82" fillId="0" borderId="0" xfId="149" applyFont="1" applyAlignment="1">
      <alignment horizontal="left" vertical="top"/>
    </xf>
    <xf numFmtId="0" fontId="82" fillId="0" borderId="0" xfId="149" applyFont="1"/>
    <xf numFmtId="1" fontId="71" fillId="0" borderId="34" xfId="195" applyNumberFormat="1" applyFont="1" applyBorder="1" applyAlignment="1">
      <alignment horizontal="right"/>
    </xf>
    <xf numFmtId="0" fontId="71" fillId="0" borderId="34" xfId="195" applyFont="1" applyBorder="1" applyAlignment="1">
      <alignment horizontal="left" wrapText="1"/>
    </xf>
    <xf numFmtId="4" fontId="57" fillId="0" borderId="34" xfId="195" applyNumberFormat="1" applyFont="1" applyBorder="1" applyAlignment="1">
      <alignment horizontal="right"/>
    </xf>
    <xf numFmtId="0" fontId="57" fillId="0" borderId="34" xfId="22" applyFont="1" applyBorder="1" applyAlignment="1">
      <alignment horizontal="left" wrapText="1"/>
    </xf>
    <xf numFmtId="1" fontId="264" fillId="0" borderId="34" xfId="32" applyNumberFormat="1" applyFont="1" applyBorder="1" applyAlignment="1">
      <alignment horizontal="right"/>
    </xf>
    <xf numFmtId="49" fontId="83" fillId="0" borderId="34" xfId="32" applyNumberFormat="1" applyFont="1" applyBorder="1" applyAlignment="1">
      <alignment horizontal="left" wrapText="1"/>
    </xf>
    <xf numFmtId="0" fontId="71" fillId="0" borderId="34" xfId="32" applyFont="1" applyBorder="1" applyAlignment="1">
      <alignment horizontal="left" wrapText="1"/>
    </xf>
    <xf numFmtId="0" fontId="264" fillId="0" borderId="34" xfId="32" applyFont="1" applyBorder="1" applyAlignment="1">
      <alignment horizontal="left" wrapText="1"/>
    </xf>
    <xf numFmtId="0" fontId="257" fillId="0" borderId="34" xfId="195" applyFont="1" applyBorder="1" applyAlignment="1">
      <alignment horizontal="center" vertical="center" wrapText="1"/>
    </xf>
    <xf numFmtId="2" fontId="12" fillId="0" borderId="34" xfId="154" applyNumberFormat="1" applyFont="1" applyBorder="1" applyAlignment="1">
      <alignment horizontal="right"/>
    </xf>
    <xf numFmtId="0" fontId="264" fillId="0" borderId="70" xfId="89" applyFont="1" applyBorder="1" applyAlignment="1">
      <alignment horizontal="left" wrapText="1"/>
    </xf>
    <xf numFmtId="0" fontId="31" fillId="0" borderId="70" xfId="89" applyBorder="1" applyAlignment="1">
      <alignment horizontal="right" vertical="top"/>
    </xf>
    <xf numFmtId="0" fontId="65" fillId="0" borderId="0" xfId="89" applyFont="1" applyAlignment="1">
      <alignment horizontal="left" vertical="center"/>
    </xf>
    <xf numFmtId="0" fontId="99" fillId="0" borderId="0" xfId="89" applyFont="1" applyAlignment="1">
      <alignment horizontal="left" vertical="center"/>
    </xf>
    <xf numFmtId="0" fontId="99" fillId="0" borderId="0" xfId="89" applyFont="1" applyAlignment="1">
      <alignment horizontal="left" vertical="top"/>
    </xf>
    <xf numFmtId="0" fontId="31" fillId="0" borderId="34" xfId="154" applyBorder="1" applyAlignment="1">
      <alignment horizontal="left" vertical="top" wrapText="1"/>
    </xf>
    <xf numFmtId="2" fontId="64" fillId="0" borderId="34" xfId="25" applyNumberFormat="1" applyFont="1" applyBorder="1" applyAlignment="1" applyProtection="1">
      <alignment horizontal="right"/>
    </xf>
    <xf numFmtId="2" fontId="12" fillId="0" borderId="34" xfId="154" applyNumberFormat="1" applyFont="1" applyBorder="1"/>
    <xf numFmtId="0" fontId="148" fillId="0" borderId="0" xfId="25" applyFont="1" applyAlignment="1" applyProtection="1">
      <alignment horizontal="left" vertical="center"/>
    </xf>
    <xf numFmtId="0" fontId="258" fillId="0" borderId="0" xfId="195" applyFont="1" applyAlignment="1">
      <alignment horizontal="left" vertical="center"/>
    </xf>
    <xf numFmtId="2" fontId="57" fillId="0" borderId="34" xfId="12" applyNumberFormat="1" applyFont="1" applyBorder="1" applyAlignment="1" applyProtection="1">
      <alignment horizontal="right"/>
    </xf>
    <xf numFmtId="49" fontId="264" fillId="0" borderId="34" xfId="89" applyNumberFormat="1" applyFont="1" applyBorder="1" applyAlignment="1">
      <alignment horizontal="left" wrapText="1"/>
    </xf>
    <xf numFmtId="0" fontId="264" fillId="0" borderId="34" xfId="89" applyFont="1" applyBorder="1" applyAlignment="1">
      <alignment horizontal="left" wrapText="1"/>
    </xf>
    <xf numFmtId="4" fontId="264" fillId="0" borderId="34" xfId="89" applyNumberFormat="1" applyFont="1" applyBorder="1" applyAlignment="1">
      <alignment horizontal="right"/>
    </xf>
    <xf numFmtId="39" fontId="264" fillId="0" borderId="34" xfId="89" applyNumberFormat="1" applyFont="1" applyBorder="1" applyAlignment="1">
      <alignment horizontal="center"/>
    </xf>
    <xf numFmtId="0" fontId="264" fillId="0" borderId="34" xfId="34" applyFont="1" applyBorder="1" applyAlignment="1">
      <alignment horizontal="left" vertical="center" wrapText="1"/>
    </xf>
    <xf numFmtId="0" fontId="352" fillId="0" borderId="34" xfId="12" applyFont="1" applyBorder="1" applyAlignment="1" applyProtection="1">
      <alignment horizontal="center" vertical="center" wrapText="1"/>
    </xf>
    <xf numFmtId="39" fontId="264" fillId="0" borderId="34" xfId="12" applyNumberFormat="1" applyFont="1" applyBorder="1" applyAlignment="1" applyProtection="1">
      <alignment horizontal="right"/>
    </xf>
    <xf numFmtId="0" fontId="145" fillId="0" borderId="0" xfId="154" applyFont="1" applyAlignment="1">
      <alignment vertical="center"/>
    </xf>
    <xf numFmtId="2" fontId="264" fillId="0" borderId="34" xfId="154" applyNumberFormat="1" applyFont="1" applyBorder="1" applyAlignment="1">
      <alignment horizontal="right"/>
    </xf>
    <xf numFmtId="39" fontId="264" fillId="0" borderId="34" xfId="154" applyNumberFormat="1" applyFont="1" applyBorder="1" applyAlignment="1">
      <alignment horizontal="right"/>
    </xf>
    <xf numFmtId="0" fontId="71" fillId="0" borderId="34" xfId="33" applyFont="1" applyBorder="1" applyAlignment="1">
      <alignment horizontal="left" wrapText="1"/>
    </xf>
    <xf numFmtId="2" fontId="12" fillId="0" borderId="34" xfId="33" applyNumberFormat="1" applyFont="1" applyBorder="1" applyAlignment="1">
      <alignment horizontal="right"/>
    </xf>
    <xf numFmtId="0" fontId="32" fillId="0" borderId="0" xfId="33" applyFont="1" applyAlignment="1">
      <alignment vertical="top"/>
    </xf>
    <xf numFmtId="2" fontId="71" fillId="0" borderId="34" xfId="154" applyNumberFormat="1" applyFont="1" applyBorder="1" applyAlignment="1">
      <alignment horizontal="right" wrapText="1"/>
    </xf>
    <xf numFmtId="2" fontId="154" fillId="0" borderId="0" xfId="154" applyNumberFormat="1" applyFont="1" applyAlignment="1">
      <alignment horizontal="left" vertical="center"/>
    </xf>
    <xf numFmtId="2" fontId="264" fillId="0" borderId="34" xfId="154" applyNumberFormat="1" applyFont="1" applyBorder="1" applyAlignment="1">
      <alignment horizontal="right" wrapText="1"/>
    </xf>
    <xf numFmtId="1" fontId="264" fillId="0" borderId="70" xfId="154" applyNumberFormat="1" applyFont="1" applyBorder="1" applyAlignment="1">
      <alignment horizontal="right"/>
    </xf>
    <xf numFmtId="4" fontId="264" fillId="0" borderId="70" xfId="154" applyNumberFormat="1" applyFont="1" applyBorder="1" applyAlignment="1">
      <alignment horizontal="right"/>
    </xf>
    <xf numFmtId="39" fontId="264" fillId="0" borderId="70" xfId="154" applyNumberFormat="1" applyFont="1" applyBorder="1" applyAlignment="1">
      <alignment horizontal="center"/>
    </xf>
    <xf numFmtId="2" fontId="104" fillId="0" borderId="0" xfId="154" applyNumberFormat="1" applyFont="1" applyAlignment="1">
      <alignment horizontal="left" vertical="center"/>
    </xf>
    <xf numFmtId="0" fontId="104" fillId="0" borderId="0" xfId="154" applyFont="1" applyAlignment="1">
      <alignment horizontal="left" vertical="center"/>
    </xf>
    <xf numFmtId="0" fontId="32" fillId="0" borderId="0" xfId="154" applyFont="1" applyAlignment="1">
      <alignment horizontal="left" vertical="top"/>
    </xf>
    <xf numFmtId="2" fontId="85" fillId="0" borderId="0" xfId="154" applyNumberFormat="1" applyFont="1" applyAlignment="1">
      <alignment horizontal="left" vertical="center"/>
    </xf>
    <xf numFmtId="0" fontId="259" fillId="0" borderId="0" xfId="154" applyFont="1" applyAlignment="1">
      <alignment horizontal="left" vertical="top"/>
    </xf>
    <xf numFmtId="1" fontId="264" fillId="0" borderId="34" xfId="38" applyNumberFormat="1" applyFont="1" applyBorder="1" applyAlignment="1" applyProtection="1">
      <alignment horizontal="right"/>
    </xf>
    <xf numFmtId="2" fontId="12" fillId="0" borderId="34" xfId="38" applyNumberFormat="1" applyFont="1" applyBorder="1" applyAlignment="1" applyProtection="1">
      <alignment horizontal="right"/>
    </xf>
    <xf numFmtId="1" fontId="12" fillId="0" borderId="34" xfId="38" applyNumberFormat="1" applyFont="1" applyBorder="1" applyAlignment="1" applyProtection="1">
      <alignment horizontal="right"/>
    </xf>
    <xf numFmtId="1" fontId="83" fillId="0" borderId="34" xfId="38" applyNumberFormat="1" applyFont="1" applyBorder="1" applyAlignment="1" applyProtection="1">
      <alignment horizontal="right"/>
    </xf>
    <xf numFmtId="2" fontId="83" fillId="0" borderId="34" xfId="38" applyNumberFormat="1" applyFont="1" applyBorder="1" applyAlignment="1" applyProtection="1">
      <alignment horizontal="right"/>
    </xf>
    <xf numFmtId="1" fontId="12" fillId="0" borderId="34" xfId="197" applyNumberFormat="1" applyFont="1" applyBorder="1" applyAlignment="1">
      <alignment horizontal="right"/>
    </xf>
    <xf numFmtId="49" fontId="83" fillId="0" borderId="34" xfId="197" applyNumberFormat="1" applyFont="1" applyBorder="1" applyAlignment="1">
      <alignment horizontal="left" wrapText="1"/>
    </xf>
    <xf numFmtId="0" fontId="71" fillId="0" borderId="34" xfId="197" applyFont="1" applyBorder="1" applyAlignment="1">
      <alignment horizontal="left" wrapText="1"/>
    </xf>
    <xf numFmtId="2" fontId="57" fillId="0" borderId="34" xfId="197" applyNumberFormat="1" applyFont="1" applyBorder="1" applyAlignment="1">
      <alignment horizontal="right" wrapText="1"/>
    </xf>
    <xf numFmtId="4" fontId="12" fillId="0" borderId="34" xfId="197" applyNumberFormat="1" applyFont="1" applyBorder="1" applyAlignment="1">
      <alignment horizontal="right"/>
    </xf>
    <xf numFmtId="0" fontId="38" fillId="0" borderId="34" xfId="197" applyBorder="1" applyAlignment="1">
      <alignment horizontal="left" vertical="top"/>
    </xf>
    <xf numFmtId="0" fontId="39" fillId="0" borderId="0" xfId="197" applyFont="1" applyAlignment="1">
      <alignment horizontal="left" vertical="center"/>
    </xf>
    <xf numFmtId="0" fontId="38" fillId="0" borderId="0" xfId="197" applyAlignment="1">
      <alignment horizontal="left" vertical="top"/>
    </xf>
    <xf numFmtId="0" fontId="31" fillId="0" borderId="0" xfId="196" applyAlignment="1">
      <alignment horizontal="left" vertical="top"/>
    </xf>
    <xf numFmtId="0" fontId="148" fillId="0" borderId="0" xfId="154" applyFont="1" applyAlignment="1">
      <alignment horizontal="left" vertical="center"/>
    </xf>
    <xf numFmtId="2" fontId="57" fillId="0" borderId="34" xfId="33" applyNumberFormat="1" applyFont="1" applyBorder="1" applyAlignment="1">
      <alignment horizontal="right" wrapText="1"/>
    </xf>
    <xf numFmtId="37" fontId="264" fillId="0" borderId="70" xfId="33" applyNumberFormat="1" applyFont="1" applyBorder="1" applyAlignment="1">
      <alignment horizontal="right"/>
    </xf>
    <xf numFmtId="0" fontId="32" fillId="0" borderId="0" xfId="26" applyAlignment="1" applyProtection="1">
      <alignment horizontal="left" vertical="center"/>
    </xf>
    <xf numFmtId="37" fontId="12" fillId="0" borderId="34" xfId="33" applyNumberFormat="1" applyFont="1" applyBorder="1" applyAlignment="1">
      <alignment horizontal="right"/>
    </xf>
    <xf numFmtId="39" fontId="12" fillId="0" borderId="34" xfId="33" applyNumberFormat="1" applyFont="1" applyBorder="1" applyAlignment="1">
      <alignment horizontal="right"/>
    </xf>
    <xf numFmtId="49" fontId="12" fillId="0" borderId="34" xfId="89" applyNumberFormat="1" applyFont="1" applyBorder="1" applyAlignment="1">
      <alignment horizontal="right"/>
    </xf>
    <xf numFmtId="0" fontId="83" fillId="0" borderId="34" xfId="89" applyFont="1" applyBorder="1" applyAlignment="1">
      <alignment horizontal="left" wrapText="1"/>
    </xf>
    <xf numFmtId="172" fontId="57" fillId="0" borderId="34" xfId="89" applyNumberFormat="1" applyFont="1" applyBorder="1" applyAlignment="1">
      <alignment horizontal="right"/>
    </xf>
    <xf numFmtId="0" fontId="31" fillId="0" borderId="34" xfId="89" applyBorder="1" applyAlignment="1">
      <alignment horizontal="left" vertical="top"/>
    </xf>
    <xf numFmtId="0" fontId="75" fillId="0" borderId="0" xfId="89" applyFont="1" applyAlignment="1">
      <alignment horizontal="left" vertical="center"/>
    </xf>
    <xf numFmtId="1" fontId="12" fillId="0" borderId="70" xfId="12" applyNumberFormat="1" applyFont="1" applyBorder="1" applyAlignment="1" applyProtection="1">
      <alignment horizontal="right"/>
    </xf>
    <xf numFmtId="0" fontId="57" fillId="0" borderId="70" xfId="34" applyFont="1" applyBorder="1" applyAlignment="1">
      <alignment horizontal="left" wrapText="1"/>
    </xf>
    <xf numFmtId="2" fontId="57" fillId="0" borderId="70" xfId="12" applyNumberFormat="1" applyFont="1" applyBorder="1" applyAlignment="1" applyProtection="1">
      <alignment horizontal="right"/>
    </xf>
    <xf numFmtId="39" fontId="12" fillId="0" borderId="70" xfId="12" applyNumberFormat="1" applyFont="1" applyBorder="1" applyAlignment="1" applyProtection="1">
      <alignment horizontal="right"/>
    </xf>
    <xf numFmtId="0" fontId="351" fillId="0" borderId="0" xfId="12" applyFont="1" applyAlignment="1" applyProtection="1">
      <alignment horizontal="left" vertical="top" wrapText="1"/>
    </xf>
    <xf numFmtId="1" fontId="264" fillId="0" borderId="80" xfId="119" applyNumberFormat="1" applyFont="1" applyBorder="1" applyAlignment="1">
      <alignment horizontal="right"/>
    </xf>
    <xf numFmtId="49" fontId="264" fillId="0" borderId="80" xfId="119" applyNumberFormat="1" applyFont="1" applyBorder="1" applyAlignment="1">
      <alignment horizontal="left" wrapText="1"/>
    </xf>
    <xf numFmtId="0" fontId="264" fillId="0" borderId="80" xfId="119" applyFont="1" applyBorder="1" applyAlignment="1">
      <alignment horizontal="left" wrapText="1"/>
    </xf>
    <xf numFmtId="172" fontId="264" fillId="0" borderId="80" xfId="119" applyNumberFormat="1" applyFont="1" applyBorder="1" applyAlignment="1">
      <alignment horizontal="right"/>
    </xf>
    <xf numFmtId="4" fontId="264" fillId="0" borderId="80" xfId="119" applyNumberFormat="1" applyFont="1" applyBorder="1" applyAlignment="1">
      <alignment horizontal="right"/>
    </xf>
    <xf numFmtId="0" fontId="99" fillId="0" borderId="0" xfId="119" applyFont="1" applyAlignment="1">
      <alignment vertical="center"/>
    </xf>
    <xf numFmtId="0" fontId="99" fillId="0" borderId="0" xfId="119" applyFont="1" applyAlignment="1">
      <alignment vertical="top"/>
    </xf>
    <xf numFmtId="0" fontId="99" fillId="0" borderId="0" xfId="119" applyFont="1" applyAlignment="1">
      <alignment horizontal="left" vertical="top"/>
    </xf>
    <xf numFmtId="0" fontId="11" fillId="0" borderId="0" xfId="119" applyAlignment="1">
      <alignment vertical="top"/>
    </xf>
    <xf numFmtId="0" fontId="353" fillId="0" borderId="80" xfId="119" applyFont="1" applyBorder="1" applyAlignment="1">
      <alignment vertical="top"/>
    </xf>
    <xf numFmtId="1" fontId="264" fillId="0" borderId="80" xfId="43" applyNumberFormat="1" applyFont="1" applyBorder="1" applyAlignment="1">
      <alignment horizontal="right"/>
    </xf>
    <xf numFmtId="49" fontId="264" fillId="0" borderId="80" xfId="43" applyNumberFormat="1" applyFont="1" applyBorder="1" applyAlignment="1">
      <alignment horizontal="left" wrapText="1"/>
    </xf>
    <xf numFmtId="0" fontId="264" fillId="0" borderId="80" xfId="43" applyFont="1" applyBorder="1" applyAlignment="1">
      <alignment horizontal="left" wrapText="1"/>
    </xf>
    <xf numFmtId="172" fontId="264" fillId="0" borderId="80" xfId="148" applyNumberFormat="1" applyFont="1" applyBorder="1" applyAlignment="1">
      <alignment horizontal="right"/>
    </xf>
    <xf numFmtId="4" fontId="264" fillId="0" borderId="80" xfId="43" applyNumberFormat="1" applyFont="1" applyBorder="1" applyAlignment="1">
      <alignment horizontal="right"/>
    </xf>
    <xf numFmtId="0" fontId="276" fillId="0" borderId="0" xfId="43" applyFont="1" applyAlignment="1">
      <alignment horizontal="left" vertical="center"/>
    </xf>
    <xf numFmtId="0" fontId="60" fillId="0" borderId="0" xfId="43" applyFont="1" applyAlignment="1">
      <alignment horizontal="left" vertical="top"/>
    </xf>
    <xf numFmtId="0" fontId="11" fillId="0" borderId="0" xfId="43" applyAlignment="1">
      <alignment horizontal="left" vertical="top"/>
    </xf>
    <xf numFmtId="172" fontId="264" fillId="0" borderId="80" xfId="43" applyNumberFormat="1" applyFont="1" applyBorder="1" applyAlignment="1">
      <alignment horizontal="right"/>
    </xf>
    <xf numFmtId="0" fontId="353" fillId="0" borderId="80" xfId="43" applyFont="1" applyBorder="1" applyAlignment="1">
      <alignment horizontal="left" vertical="top"/>
    </xf>
    <xf numFmtId="0" fontId="75" fillId="0" borderId="0" xfId="43" applyFont="1" applyAlignment="1">
      <alignment horizontal="left" vertical="top"/>
    </xf>
    <xf numFmtId="0" fontId="1" fillId="0" borderId="0" xfId="43" applyFont="1" applyAlignment="1">
      <alignment horizontal="left" vertical="top"/>
    </xf>
    <xf numFmtId="0" fontId="75" fillId="0" borderId="0" xfId="43" applyFont="1" applyAlignment="1">
      <alignment horizontal="left" vertical="center"/>
    </xf>
    <xf numFmtId="39" fontId="264" fillId="0" borderId="80" xfId="119" applyNumberFormat="1" applyFont="1" applyBorder="1" applyAlignment="1">
      <alignment horizontal="center"/>
    </xf>
    <xf numFmtId="0" fontId="98" fillId="0" borderId="0" xfId="154" applyFont="1" applyAlignment="1">
      <alignment horizontal="left" vertical="center"/>
    </xf>
    <xf numFmtId="2" fontId="12" fillId="0" borderId="34" xfId="12" applyNumberFormat="1" applyFont="1" applyBorder="1" applyAlignment="1" applyProtection="1">
      <alignment horizontal="right"/>
    </xf>
    <xf numFmtId="0" fontId="57" fillId="0" borderId="34" xfId="196" applyFont="1" applyBorder="1" applyAlignment="1">
      <alignment horizontal="left" wrapText="1"/>
    </xf>
    <xf numFmtId="0" fontId="75" fillId="0" borderId="0" xfId="196" applyFont="1" applyAlignment="1">
      <alignment horizontal="left" vertical="center"/>
    </xf>
    <xf numFmtId="1" fontId="12" fillId="0" borderId="34" xfId="196" applyNumberFormat="1" applyFont="1" applyBorder="1" applyAlignment="1">
      <alignment horizontal="right"/>
    </xf>
    <xf numFmtId="49" fontId="12" fillId="0" borderId="34" xfId="196" applyNumberFormat="1" applyFont="1" applyBorder="1" applyAlignment="1">
      <alignment horizontal="left" wrapText="1"/>
    </xf>
    <xf numFmtId="0" fontId="12" fillId="0" borderId="34" xfId="196" applyFont="1" applyBorder="1" applyAlignment="1">
      <alignment horizontal="left" wrapText="1"/>
    </xf>
    <xf numFmtId="2" fontId="57" fillId="0" borderId="34" xfId="196" applyNumberFormat="1" applyFont="1" applyBorder="1" applyAlignment="1">
      <alignment horizontal="right"/>
    </xf>
    <xf numFmtId="4" fontId="12" fillId="0" borderId="34" xfId="196" applyNumberFormat="1" applyFont="1" applyBorder="1" applyAlignment="1">
      <alignment horizontal="right"/>
    </xf>
    <xf numFmtId="39" fontId="12" fillId="0" borderId="34" xfId="196" applyNumberFormat="1" applyFont="1" applyBorder="1" applyAlignment="1">
      <alignment horizontal="center"/>
    </xf>
    <xf numFmtId="0" fontId="258" fillId="0" borderId="0" xfId="196" applyFont="1" applyAlignment="1">
      <alignment horizontal="left" vertical="center"/>
    </xf>
    <xf numFmtId="0" fontId="107" fillId="0" borderId="0" xfId="196" applyFont="1" applyAlignment="1">
      <alignment horizontal="left" vertical="top"/>
    </xf>
    <xf numFmtId="1" fontId="264" fillId="0" borderId="34" xfId="12" applyNumberFormat="1" applyFont="1" applyBorder="1" applyAlignment="1" applyProtection="1">
      <alignment horizontal="right" wrapText="1"/>
    </xf>
    <xf numFmtId="2" fontId="264" fillId="0" borderId="34" xfId="12" applyNumberFormat="1" applyFont="1" applyBorder="1" applyAlignment="1" applyProtection="1">
      <alignment horizontal="right"/>
    </xf>
    <xf numFmtId="1" fontId="264" fillId="0" borderId="80" xfId="12" applyNumberFormat="1" applyFont="1" applyBorder="1" applyAlignment="1" applyProtection="1">
      <alignment horizontal="right"/>
    </xf>
    <xf numFmtId="0" fontId="264" fillId="0" borderId="80" xfId="12" applyFont="1" applyBorder="1" applyAlignment="1" applyProtection="1">
      <alignment horizontal="left" wrapText="1"/>
    </xf>
    <xf numFmtId="4" fontId="264" fillId="0" borderId="80" xfId="12" applyNumberFormat="1" applyFont="1" applyBorder="1" applyAlignment="1" applyProtection="1">
      <alignment horizontal="right"/>
    </xf>
    <xf numFmtId="39" fontId="264" fillId="0" borderId="80" xfId="12" applyNumberFormat="1" applyFont="1" applyBorder="1" applyAlignment="1" applyProtection="1">
      <alignment horizontal="center"/>
    </xf>
    <xf numFmtId="0" fontId="264" fillId="0" borderId="34" xfId="196" applyFont="1" applyBorder="1" applyAlignment="1">
      <alignment horizontal="left" wrapText="1"/>
    </xf>
    <xf numFmtId="1" fontId="264" fillId="0" borderId="34" xfId="196" applyNumberFormat="1" applyFont="1" applyBorder="1" applyAlignment="1">
      <alignment horizontal="right"/>
    </xf>
    <xf numFmtId="49" fontId="264" fillId="0" borderId="34" xfId="196" applyNumberFormat="1" applyFont="1" applyBorder="1" applyAlignment="1">
      <alignment horizontal="left" wrapText="1"/>
    </xf>
    <xf numFmtId="2" fontId="264" fillId="0" borderId="34" xfId="196" applyNumberFormat="1" applyFont="1" applyBorder="1" applyAlignment="1">
      <alignment horizontal="right"/>
    </xf>
    <xf numFmtId="4" fontId="264" fillId="0" borderId="34" xfId="196" applyNumberFormat="1" applyFont="1" applyBorder="1" applyAlignment="1">
      <alignment horizontal="right"/>
    </xf>
    <xf numFmtId="39" fontId="264" fillId="0" borderId="34" xfId="196" applyNumberFormat="1" applyFont="1" applyBorder="1" applyAlignment="1">
      <alignment horizontal="center"/>
    </xf>
    <xf numFmtId="0" fontId="199" fillId="0" borderId="0" xfId="154" applyFont="1" applyAlignment="1">
      <alignment horizontal="left" vertical="top"/>
    </xf>
    <xf numFmtId="49" fontId="12" fillId="0" borderId="34" xfId="12" applyNumberFormat="1" applyFont="1" applyBorder="1" applyAlignment="1" applyProtection="1">
      <alignment horizontal="right"/>
    </xf>
    <xf numFmtId="0" fontId="296" fillId="0" borderId="34" xfId="154" applyFont="1" applyBorder="1" applyAlignment="1">
      <alignment horizontal="left" vertical="top"/>
    </xf>
    <xf numFmtId="49" fontId="264" fillId="0" borderId="34" xfId="12" applyNumberFormat="1" applyFont="1" applyBorder="1" applyAlignment="1" applyProtection="1">
      <alignment horizontal="right"/>
    </xf>
    <xf numFmtId="172" fontId="264" fillId="0" borderId="34" xfId="12" applyNumberFormat="1" applyFont="1" applyBorder="1" applyAlignment="1" applyProtection="1">
      <alignment horizontal="right"/>
    </xf>
    <xf numFmtId="1" fontId="264" fillId="0" borderId="34" xfId="197" applyNumberFormat="1" applyFont="1" applyBorder="1" applyAlignment="1">
      <alignment horizontal="right"/>
    </xf>
    <xf numFmtId="0" fontId="12" fillId="0" borderId="34" xfId="197" applyFont="1" applyBorder="1" applyAlignment="1">
      <alignment horizontal="left" wrapText="1"/>
    </xf>
    <xf numFmtId="2" fontId="12" fillId="0" borderId="34" xfId="197" applyNumberFormat="1" applyFont="1" applyBorder="1" applyAlignment="1">
      <alignment horizontal="right"/>
    </xf>
    <xf numFmtId="0" fontId="258" fillId="0" borderId="0" xfId="197" applyFont="1" applyAlignment="1">
      <alignment horizontal="left" vertical="center"/>
    </xf>
    <xf numFmtId="0" fontId="84" fillId="0" borderId="34" xfId="196" applyFont="1" applyBorder="1" applyAlignment="1">
      <alignment horizontal="center" vertical="center" wrapText="1"/>
    </xf>
    <xf numFmtId="2" fontId="57" fillId="0" borderId="34" xfId="196" applyNumberFormat="1" applyFont="1" applyBorder="1" applyAlignment="1">
      <alignment horizontal="left"/>
    </xf>
    <xf numFmtId="0" fontId="15" fillId="0" borderId="34" xfId="196" applyFont="1" applyBorder="1" applyAlignment="1">
      <alignment vertical="top"/>
    </xf>
    <xf numFmtId="1" fontId="12" fillId="0" borderId="70" xfId="196" applyNumberFormat="1" applyFont="1" applyBorder="1" applyAlignment="1">
      <alignment horizontal="right"/>
    </xf>
    <xf numFmtId="0" fontId="12" fillId="0" borderId="70" xfId="196" applyFont="1" applyBorder="1" applyAlignment="1">
      <alignment horizontal="left" wrapText="1"/>
    </xf>
    <xf numFmtId="0" fontId="84" fillId="0" borderId="70" xfId="196" applyFont="1" applyBorder="1" applyAlignment="1">
      <alignment horizontal="center" vertical="center" wrapText="1"/>
    </xf>
    <xf numFmtId="4" fontId="12" fillId="0" borderId="70" xfId="196" applyNumberFormat="1" applyFont="1" applyBorder="1" applyAlignment="1">
      <alignment horizontal="right"/>
    </xf>
    <xf numFmtId="0" fontId="15" fillId="0" borderId="70" xfId="196" applyFont="1" applyBorder="1" applyAlignment="1">
      <alignment vertical="top"/>
    </xf>
    <xf numFmtId="0" fontId="300" fillId="0" borderId="0" xfId="196" applyFont="1" applyAlignment="1">
      <alignment horizontal="left" vertical="center"/>
    </xf>
    <xf numFmtId="0" fontId="264" fillId="0" borderId="34" xfId="197" applyFont="1" applyBorder="1" applyAlignment="1">
      <alignment horizontal="left" wrapText="1"/>
    </xf>
    <xf numFmtId="4" fontId="57" fillId="0" borderId="34" xfId="197" applyNumberFormat="1" applyFont="1" applyBorder="1" applyAlignment="1">
      <alignment horizontal="right"/>
    </xf>
    <xf numFmtId="0" fontId="260" fillId="0" borderId="0" xfId="197" applyFont="1" applyAlignment="1">
      <alignment horizontal="right" vertical="center"/>
    </xf>
    <xf numFmtId="0" fontId="114" fillId="0" borderId="0" xfId="197" applyFont="1" applyAlignment="1">
      <alignment horizontal="left" vertical="center"/>
    </xf>
    <xf numFmtId="4" fontId="260" fillId="0" borderId="0" xfId="197" applyNumberFormat="1" applyFont="1" applyAlignment="1">
      <alignment horizontal="right" vertical="center"/>
    </xf>
    <xf numFmtId="2" fontId="114" fillId="0" borderId="0" xfId="197" applyNumberFormat="1" applyFont="1" applyAlignment="1">
      <alignment horizontal="left"/>
    </xf>
    <xf numFmtId="49" fontId="264" fillId="0" borderId="34" xfId="197" applyNumberFormat="1" applyFont="1" applyBorder="1" applyAlignment="1">
      <alignment horizontal="left" wrapText="1"/>
    </xf>
    <xf numFmtId="2" fontId="264" fillId="0" borderId="34" xfId="197" applyNumberFormat="1" applyFont="1" applyBorder="1" applyAlignment="1">
      <alignment horizontal="right" wrapText="1"/>
    </xf>
    <xf numFmtId="4" fontId="264" fillId="0" borderId="34" xfId="197" applyNumberFormat="1" applyFont="1" applyBorder="1" applyAlignment="1">
      <alignment horizontal="right"/>
    </xf>
    <xf numFmtId="1" fontId="71" fillId="0" borderId="34" xfId="197" applyNumberFormat="1" applyFont="1" applyBorder="1" applyAlignment="1">
      <alignment horizontal="right"/>
    </xf>
    <xf numFmtId="0" fontId="260" fillId="0" borderId="0" xfId="197" applyFont="1" applyAlignment="1">
      <alignment horizontal="left" vertical="center"/>
    </xf>
    <xf numFmtId="1" fontId="71" fillId="0" borderId="34" xfId="4" applyNumberFormat="1" applyFont="1" applyBorder="1" applyAlignment="1">
      <alignment horizontal="right"/>
    </xf>
    <xf numFmtId="0" fontId="12" fillId="0" borderId="34" xfId="4" applyFont="1" applyBorder="1" applyAlignment="1">
      <alignment horizontal="left" wrapText="1"/>
    </xf>
    <xf numFmtId="0" fontId="71" fillId="0" borderId="34" xfId="4" applyFont="1" applyBorder="1" applyAlignment="1">
      <alignment horizontal="left" wrapText="1"/>
    </xf>
    <xf numFmtId="172" fontId="57" fillId="0" borderId="34" xfId="4" applyNumberFormat="1" applyFont="1" applyBorder="1" applyAlignment="1">
      <alignment horizontal="right"/>
    </xf>
    <xf numFmtId="4" fontId="57" fillId="0" borderId="34" xfId="4" applyNumberFormat="1" applyFont="1" applyBorder="1" applyAlignment="1">
      <alignment horizontal="right"/>
    </xf>
    <xf numFmtId="39" fontId="12" fillId="0" borderId="34" xfId="4" applyNumberFormat="1" applyFont="1" applyBorder="1" applyAlignment="1">
      <alignment horizontal="center"/>
    </xf>
    <xf numFmtId="2" fontId="20" fillId="0" borderId="0" xfId="4" applyNumberFormat="1" applyFont="1" applyAlignment="1">
      <alignment horizontal="left" vertical="top"/>
    </xf>
    <xf numFmtId="0" fontId="28" fillId="0" borderId="0" xfId="4" applyAlignment="1">
      <alignment horizontal="left" vertical="top"/>
    </xf>
    <xf numFmtId="1" fontId="264" fillId="0" borderId="70" xfId="197" applyNumberFormat="1" applyFont="1" applyBorder="1" applyAlignment="1">
      <alignment horizontal="right"/>
    </xf>
    <xf numFmtId="49" fontId="264" fillId="0" borderId="70" xfId="197" applyNumberFormat="1" applyFont="1" applyBorder="1" applyAlignment="1">
      <alignment horizontal="left" wrapText="1"/>
    </xf>
    <xf numFmtId="0" fontId="264" fillId="0" borderId="70" xfId="197" applyFont="1" applyBorder="1" applyAlignment="1">
      <alignment horizontal="left" wrapText="1"/>
    </xf>
    <xf numFmtId="0" fontId="264" fillId="0" borderId="70" xfId="12" applyFont="1" applyBorder="1" applyAlignment="1" applyProtection="1">
      <alignment horizontal="left" wrapText="1"/>
    </xf>
    <xf numFmtId="2" fontId="264" fillId="0" borderId="70" xfId="197" applyNumberFormat="1" applyFont="1" applyBorder="1" applyAlignment="1">
      <alignment horizontal="right" wrapText="1"/>
    </xf>
    <xf numFmtId="4" fontId="264" fillId="0" borderId="70" xfId="197" applyNumberFormat="1" applyFont="1" applyBorder="1" applyAlignment="1">
      <alignment horizontal="right"/>
    </xf>
    <xf numFmtId="0" fontId="83" fillId="0" borderId="34" xfId="197" applyFont="1" applyBorder="1" applyAlignment="1">
      <alignment horizontal="left" wrapText="1"/>
    </xf>
    <xf numFmtId="0" fontId="137" fillId="0" borderId="0" xfId="197" applyFont="1" applyAlignment="1">
      <alignment horizontal="left" vertical="center"/>
    </xf>
    <xf numFmtId="0" fontId="137" fillId="0" borderId="0" xfId="196" applyFont="1" applyAlignment="1">
      <alignment horizontal="left" vertical="center"/>
    </xf>
    <xf numFmtId="1" fontId="83" fillId="0" borderId="34" xfId="196" applyNumberFormat="1" applyFont="1" applyBorder="1" applyAlignment="1">
      <alignment horizontal="right"/>
    </xf>
    <xf numFmtId="49" fontId="83" fillId="0" borderId="34" xfId="196" applyNumberFormat="1" applyFont="1" applyBorder="1" applyAlignment="1">
      <alignment horizontal="left" wrapText="1"/>
    </xf>
    <xf numFmtId="0" fontId="83" fillId="0" borderId="34" xfId="196" applyFont="1" applyBorder="1" applyAlignment="1">
      <alignment horizontal="left" wrapText="1"/>
    </xf>
    <xf numFmtId="2" fontId="57" fillId="0" borderId="34" xfId="196" applyNumberFormat="1" applyFont="1" applyBorder="1" applyAlignment="1">
      <alignment horizontal="right" wrapText="1"/>
    </xf>
    <xf numFmtId="0" fontId="31" fillId="0" borderId="34" xfId="196" applyBorder="1" applyAlignment="1">
      <alignment horizontal="left" vertical="top"/>
    </xf>
    <xf numFmtId="0" fontId="31" fillId="0" borderId="0" xfId="196" applyAlignment="1">
      <alignment horizontal="left" vertical="center"/>
    </xf>
    <xf numFmtId="2" fontId="31" fillId="0" borderId="0" xfId="196" applyNumberFormat="1" applyAlignment="1">
      <alignment horizontal="left" vertical="top"/>
    </xf>
    <xf numFmtId="0" fontId="57" fillId="0" borderId="34" xfId="79" applyFont="1" applyBorder="1" applyAlignment="1" applyProtection="1">
      <alignment horizontal="left" wrapText="1"/>
    </xf>
    <xf numFmtId="0" fontId="261" fillId="0" borderId="0" xfId="197" applyFont="1" applyAlignment="1">
      <alignment horizontal="left" vertical="center"/>
    </xf>
    <xf numFmtId="0" fontId="262" fillId="0" borderId="0" xfId="197" applyFont="1" applyAlignment="1">
      <alignment horizontal="left" vertical="center"/>
    </xf>
    <xf numFmtId="0" fontId="263" fillId="0" borderId="0" xfId="197" applyFont="1" applyAlignment="1">
      <alignment horizontal="left" vertical="top"/>
    </xf>
    <xf numFmtId="0" fontId="65" fillId="0" borderId="0" xfId="197" applyFont="1" applyAlignment="1">
      <alignment horizontal="left" vertical="center"/>
    </xf>
    <xf numFmtId="0" fontId="202" fillId="0" borderId="34" xfId="154" applyFont="1" applyBorder="1" applyAlignment="1">
      <alignment horizontal="left" wrapText="1"/>
    </xf>
    <xf numFmtId="2" fontId="57" fillId="0" borderId="34" xfId="154" applyNumberFormat="1" applyFont="1" applyBorder="1"/>
    <xf numFmtId="39" fontId="202" fillId="0" borderId="34" xfId="154" applyNumberFormat="1" applyFont="1" applyBorder="1" applyAlignment="1">
      <alignment horizontal="right"/>
    </xf>
    <xf numFmtId="39" fontId="202" fillId="0" borderId="34" xfId="154" applyNumberFormat="1" applyFont="1" applyBorder="1" applyAlignment="1">
      <alignment horizontal="center"/>
    </xf>
    <xf numFmtId="176" fontId="64" fillId="0" borderId="34" xfId="154" applyNumberFormat="1" applyFont="1" applyBorder="1" applyAlignment="1">
      <alignment horizontal="right"/>
    </xf>
    <xf numFmtId="2" fontId="12" fillId="0" borderId="34" xfId="196" applyNumberFormat="1" applyFont="1" applyBorder="1" applyAlignment="1">
      <alignment horizontal="right"/>
    </xf>
    <xf numFmtId="49" fontId="83" fillId="0" borderId="34" xfId="89" applyNumberFormat="1" applyFont="1" applyBorder="1" applyAlignment="1">
      <alignment horizontal="left" wrapText="1"/>
    </xf>
    <xf numFmtId="172" fontId="57" fillId="0" borderId="34" xfId="89" applyNumberFormat="1" applyFont="1" applyBorder="1" applyAlignment="1">
      <alignment horizontal="right" wrapText="1"/>
    </xf>
    <xf numFmtId="1" fontId="64" fillId="0" borderId="34" xfId="196" applyNumberFormat="1" applyFont="1" applyBorder="1" applyAlignment="1">
      <alignment horizontal="right"/>
    </xf>
    <xf numFmtId="0" fontId="64" fillId="0" borderId="34" xfId="196" applyFont="1" applyBorder="1" applyAlignment="1">
      <alignment horizontal="left" wrapText="1"/>
    </xf>
    <xf numFmtId="2" fontId="64" fillId="0" borderId="34" xfId="196" applyNumberFormat="1" applyFont="1" applyBorder="1" applyAlignment="1">
      <alignment horizontal="right"/>
    </xf>
    <xf numFmtId="4" fontId="64" fillId="0" borderId="34" xfId="196" applyNumberFormat="1" applyFont="1" applyBorder="1" applyAlignment="1">
      <alignment horizontal="right"/>
    </xf>
    <xf numFmtId="49" fontId="264" fillId="0" borderId="34" xfId="89" applyNumberFormat="1" applyFont="1" applyBorder="1" applyAlignment="1">
      <alignment horizontal="right"/>
    </xf>
    <xf numFmtId="172" fontId="264" fillId="0" borderId="34" xfId="196" applyNumberFormat="1" applyFont="1" applyBorder="1" applyAlignment="1">
      <alignment horizontal="right"/>
    </xf>
    <xf numFmtId="0" fontId="63" fillId="0" borderId="0" xfId="89" applyFont="1" applyAlignment="1">
      <alignment horizontal="left" vertical="center"/>
    </xf>
    <xf numFmtId="0" fontId="57" fillId="0" borderId="34" xfId="34" applyFont="1" applyBorder="1" applyAlignment="1">
      <alignment horizontal="left" wrapText="1"/>
    </xf>
    <xf numFmtId="172" fontId="264" fillId="0" borderId="34" xfId="89" applyNumberFormat="1" applyFont="1" applyBorder="1" applyAlignment="1">
      <alignment horizontal="right"/>
    </xf>
    <xf numFmtId="172" fontId="12" fillId="0" borderId="34" xfId="196" applyNumberFormat="1" applyFont="1" applyBorder="1" applyAlignment="1">
      <alignment horizontal="right"/>
    </xf>
    <xf numFmtId="0" fontId="93" fillId="0" borderId="0" xfId="32" applyFont="1" applyAlignment="1">
      <alignment horizontal="left" vertical="center"/>
    </xf>
    <xf numFmtId="172" fontId="12" fillId="0" borderId="34" xfId="195" applyNumberFormat="1" applyFont="1" applyBorder="1" applyAlignment="1">
      <alignment horizontal="right"/>
    </xf>
    <xf numFmtId="8" fontId="31" fillId="0" borderId="0" xfId="89" applyNumberFormat="1" applyAlignment="1">
      <alignment horizontal="left" vertical="top"/>
    </xf>
    <xf numFmtId="173" fontId="12" fillId="0" borderId="34" xfId="154" applyNumberFormat="1" applyFont="1" applyBorder="1" applyAlignment="1">
      <alignment horizontal="right"/>
    </xf>
    <xf numFmtId="0" fontId="12" fillId="0" borderId="34" xfId="89" applyFont="1" applyBorder="1" applyAlignment="1">
      <alignment horizontal="left"/>
    </xf>
    <xf numFmtId="0" fontId="137" fillId="0" borderId="0" xfId="89" applyFont="1" applyAlignment="1">
      <alignment horizontal="left" vertical="center"/>
    </xf>
    <xf numFmtId="172" fontId="12" fillId="0" borderId="34" xfId="89" applyNumberFormat="1" applyFont="1" applyBorder="1" applyAlignment="1">
      <alignment horizontal="right"/>
    </xf>
    <xf numFmtId="0" fontId="12" fillId="0" borderId="34" xfId="154" applyFont="1" applyBorder="1" applyAlignment="1">
      <alignment horizontal="left"/>
    </xf>
    <xf numFmtId="0" fontId="12" fillId="0" borderId="34" xfId="154" applyFont="1" applyBorder="1" applyAlignment="1">
      <alignment horizontal="left" vertical="center" wrapText="1"/>
    </xf>
    <xf numFmtId="2" fontId="12" fillId="0" borderId="34" xfId="154" applyNumberFormat="1" applyFont="1" applyBorder="1" applyAlignment="1">
      <alignment horizontal="right" vertical="center"/>
    </xf>
    <xf numFmtId="0" fontId="83" fillId="0" borderId="34" xfId="154" applyFont="1" applyBorder="1" applyAlignment="1">
      <alignment horizontal="left" vertical="center" wrapText="1"/>
    </xf>
    <xf numFmtId="2" fontId="57" fillId="0" borderId="34" xfId="154" applyNumberFormat="1" applyFont="1" applyBorder="1" applyAlignment="1">
      <alignment horizontal="right" vertical="center"/>
    </xf>
    <xf numFmtId="0" fontId="31" fillId="0" borderId="34" xfId="154" applyBorder="1" applyAlignment="1">
      <alignment horizontal="left" vertical="center"/>
    </xf>
    <xf numFmtId="37" fontId="64" fillId="0" borderId="18" xfId="154" applyNumberFormat="1" applyFont="1" applyBorder="1" applyAlignment="1">
      <alignment horizontal="right"/>
    </xf>
    <xf numFmtId="49" fontId="64" fillId="0" borderId="18" xfId="154" applyNumberFormat="1" applyFont="1" applyBorder="1" applyAlignment="1">
      <alignment horizontal="left" wrapText="1"/>
    </xf>
    <xf numFmtId="0" fontId="64" fillId="0" borderId="18" xfId="154" applyFont="1" applyBorder="1" applyAlignment="1">
      <alignment horizontal="left" wrapText="1"/>
    </xf>
    <xf numFmtId="2" fontId="64" fillId="0" borderId="18" xfId="154" applyNumberFormat="1" applyFont="1" applyBorder="1" applyAlignment="1">
      <alignment horizontal="right"/>
    </xf>
    <xf numFmtId="39" fontId="64" fillId="0" borderId="18" xfId="154" applyNumberFormat="1" applyFont="1" applyBorder="1" applyAlignment="1">
      <alignment horizontal="right"/>
    </xf>
    <xf numFmtId="0" fontId="86" fillId="0" borderId="18" xfId="154" applyFont="1" applyBorder="1" applyAlignment="1">
      <alignment horizontal="right" vertical="center"/>
    </xf>
    <xf numFmtId="2" fontId="12" fillId="0" borderId="34" xfId="33" applyNumberFormat="1" applyFont="1" applyBorder="1" applyAlignment="1">
      <alignment shrinkToFit="1"/>
    </xf>
    <xf numFmtId="0" fontId="37" fillId="0" borderId="0" xfId="33" applyAlignment="1">
      <alignment vertical="top"/>
    </xf>
    <xf numFmtId="0" fontId="37" fillId="0" borderId="34" xfId="33" applyBorder="1" applyAlignment="1">
      <alignment horizontal="left" vertical="top"/>
    </xf>
    <xf numFmtId="37" fontId="83" fillId="0" borderId="34" xfId="33" applyNumberFormat="1" applyFont="1" applyBorder="1" applyAlignment="1">
      <alignment horizontal="right"/>
    </xf>
    <xf numFmtId="49" fontId="83" fillId="0" borderId="34" xfId="33" applyNumberFormat="1" applyFont="1" applyBorder="1" applyAlignment="1">
      <alignment horizontal="left" wrapText="1"/>
    </xf>
    <xf numFmtId="0" fontId="83" fillId="0" borderId="34" xfId="33" applyFont="1" applyBorder="1" applyAlignment="1">
      <alignment horizontal="left" wrapText="1"/>
    </xf>
    <xf numFmtId="39" fontId="64" fillId="0" borderId="63" xfId="154" applyNumberFormat="1" applyFont="1" applyBorder="1" applyAlignment="1">
      <alignment horizontal="right"/>
    </xf>
    <xf numFmtId="0" fontId="86" fillId="0" borderId="63" xfId="154" applyFont="1" applyBorder="1" applyAlignment="1">
      <alignment horizontal="right" vertical="center"/>
    </xf>
    <xf numFmtId="37" fontId="64" fillId="0" borderId="34" xfId="34" applyNumberFormat="1" applyFont="1" applyBorder="1" applyAlignment="1">
      <alignment horizontal="right"/>
    </xf>
    <xf numFmtId="0" fontId="64" fillId="0" borderId="34" xfId="34" applyFont="1" applyBorder="1" applyAlignment="1">
      <alignment horizontal="left" wrapText="1"/>
    </xf>
    <xf numFmtId="2" fontId="64" fillId="0" borderId="34" xfId="34" applyNumberFormat="1" applyFont="1" applyBorder="1" applyAlignment="1">
      <alignment horizontal="right"/>
    </xf>
    <xf numFmtId="39" fontId="64" fillId="0" borderId="34" xfId="34" applyNumberFormat="1" applyFont="1" applyBorder="1" applyAlignment="1">
      <alignment horizontal="right"/>
    </xf>
    <xf numFmtId="0" fontId="32" fillId="0" borderId="34" xfId="34" applyFont="1" applyBorder="1" applyAlignment="1">
      <alignment horizontal="left" vertical="top"/>
    </xf>
    <xf numFmtId="0" fontId="32" fillId="0" borderId="0" xfId="34" applyFont="1"/>
    <xf numFmtId="49" fontId="12" fillId="0" borderId="34" xfId="12" applyNumberFormat="1" applyFont="1" applyBorder="1" applyAlignment="1" applyProtection="1">
      <alignment horizontal="right" wrapText="1"/>
    </xf>
    <xf numFmtId="0" fontId="255" fillId="0" borderId="0" xfId="154" applyFont="1" applyAlignment="1">
      <alignment horizontal="left" vertical="center"/>
    </xf>
    <xf numFmtId="0" fontId="258" fillId="0" borderId="0" xfId="12" applyFont="1" applyAlignment="1" applyProtection="1">
      <alignment horizontal="left" vertical="center"/>
    </xf>
    <xf numFmtId="0" fontId="96" fillId="0" borderId="0" xfId="196" applyFont="1" applyAlignment="1">
      <alignment horizontal="left" vertical="center"/>
    </xf>
    <xf numFmtId="1" fontId="64" fillId="0" borderId="34" xfId="89" applyNumberFormat="1" applyFont="1" applyBorder="1" applyAlignment="1">
      <alignment horizontal="right"/>
    </xf>
    <xf numFmtId="4" fontId="64" fillId="0" borderId="34" xfId="89" applyNumberFormat="1" applyFont="1" applyBorder="1" applyAlignment="1">
      <alignment horizontal="right"/>
    </xf>
    <xf numFmtId="2" fontId="12" fillId="0" borderId="34" xfId="89" applyNumberFormat="1" applyFont="1" applyBorder="1" applyAlignment="1">
      <alignment horizontal="right"/>
    </xf>
    <xf numFmtId="0" fontId="84" fillId="0" borderId="0" xfId="89" applyFont="1" applyAlignment="1">
      <alignment horizontal="left" vertical="center"/>
    </xf>
    <xf numFmtId="4" fontId="64" fillId="0" borderId="34" xfId="0" applyNumberFormat="1" applyFont="1" applyBorder="1" applyAlignment="1">
      <alignment horizontal="right"/>
      <protection locked="0"/>
    </xf>
    <xf numFmtId="4" fontId="264" fillId="0" borderId="34" xfId="12" applyNumberFormat="1" applyFont="1" applyBorder="1" applyAlignment="1">
      <alignment horizontal="right"/>
      <protection locked="0"/>
    </xf>
    <xf numFmtId="39" fontId="264" fillId="0" borderId="70" xfId="0" applyNumberFormat="1" applyFont="1" applyBorder="1" applyAlignment="1">
      <alignment horizontal="right"/>
      <protection locked="0"/>
    </xf>
    <xf numFmtId="4" fontId="264" fillId="0" borderId="70" xfId="0" applyNumberFormat="1" applyFont="1" applyBorder="1" applyAlignment="1">
      <alignment horizontal="right"/>
      <protection locked="0"/>
    </xf>
    <xf numFmtId="39" fontId="57" fillId="0" borderId="34" xfId="0" applyNumberFormat="1" applyFont="1" applyBorder="1" applyAlignment="1">
      <alignment horizontal="right"/>
      <protection locked="0"/>
    </xf>
    <xf numFmtId="39" fontId="83" fillId="0" borderId="34" xfId="0" applyNumberFormat="1" applyFont="1" applyBorder="1" applyAlignment="1">
      <alignment horizontal="right"/>
      <protection locked="0"/>
    </xf>
    <xf numFmtId="4" fontId="12" fillId="0" borderId="34" xfId="38" applyNumberFormat="1" applyFont="1" applyBorder="1" applyAlignment="1">
      <alignment horizontal="right"/>
      <protection locked="0"/>
    </xf>
    <xf numFmtId="4" fontId="83" fillId="0" borderId="34" xfId="38" applyNumberFormat="1" applyFont="1" applyBorder="1" applyAlignment="1">
      <alignment horizontal="right"/>
      <protection locked="0"/>
    </xf>
    <xf numFmtId="39" fontId="12" fillId="0" borderId="34" xfId="12" applyNumberFormat="1" applyFont="1" applyBorder="1" applyAlignment="1">
      <alignment horizontal="right"/>
      <protection locked="0"/>
    </xf>
    <xf numFmtId="4" fontId="264" fillId="0" borderId="80" xfId="12" applyNumberFormat="1" applyFont="1" applyBorder="1" applyAlignment="1">
      <alignment horizontal="right"/>
      <protection locked="0"/>
    </xf>
    <xf numFmtId="4" fontId="57" fillId="9" borderId="34" xfId="79" applyNumberFormat="1" applyFont="1" applyFill="1" applyBorder="1" applyAlignment="1">
      <alignment horizontal="right"/>
      <protection locked="0"/>
    </xf>
    <xf numFmtId="39" fontId="202" fillId="0" borderId="34" xfId="0" applyNumberFormat="1" applyFont="1" applyBorder="1" applyAlignment="1">
      <alignment horizontal="right"/>
      <protection locked="0"/>
    </xf>
    <xf numFmtId="173" fontId="83" fillId="0" borderId="34" xfId="0" applyNumberFormat="1" applyFont="1" applyBorder="1" applyAlignment="1">
      <alignment horizontal="right"/>
      <protection locked="0"/>
    </xf>
    <xf numFmtId="4" fontId="83" fillId="0" borderId="34" xfId="0" applyNumberFormat="1" applyFont="1" applyBorder="1" applyAlignment="1">
      <alignment horizontal="right"/>
      <protection locked="0"/>
    </xf>
    <xf numFmtId="39" fontId="119" fillId="0" borderId="34" xfId="0" applyNumberFormat="1" applyFont="1" applyBorder="1" applyAlignment="1">
      <alignment horizontal="right"/>
      <protection locked="0"/>
    </xf>
    <xf numFmtId="4" fontId="12" fillId="0" borderId="34" xfId="0" applyNumberFormat="1" applyFont="1" applyBorder="1" applyAlignment="1">
      <alignment shrinkToFit="1"/>
      <protection locked="0"/>
    </xf>
    <xf numFmtId="4" fontId="12" fillId="0" borderId="34" xfId="26" applyNumberFormat="1" applyFont="1" applyBorder="1" applyAlignment="1">
      <alignment horizontal="right"/>
      <protection locked="0"/>
    </xf>
    <xf numFmtId="4" fontId="76" fillId="0" borderId="34" xfId="26" applyNumberFormat="1" applyFont="1" applyBorder="1" applyAlignment="1">
      <alignment horizontal="right"/>
      <protection locked="0"/>
    </xf>
    <xf numFmtId="4" fontId="76" fillId="0" borderId="34" xfId="142" applyNumberFormat="1" applyFont="1" applyBorder="1" applyAlignment="1" applyProtection="1">
      <alignment horizontal="right"/>
      <protection locked="0"/>
    </xf>
    <xf numFmtId="4" fontId="57" fillId="9" borderId="34" xfId="142" applyNumberFormat="1" applyFont="1" applyFill="1" applyBorder="1" applyAlignment="1" applyProtection="1">
      <alignment horizontal="right"/>
      <protection locked="0"/>
    </xf>
    <xf numFmtId="4" fontId="71" fillId="9" borderId="34" xfId="142" applyNumberFormat="1" applyFont="1" applyFill="1" applyBorder="1" applyAlignment="1" applyProtection="1">
      <alignment horizontal="right"/>
      <protection locked="0"/>
    </xf>
    <xf numFmtId="4" fontId="64" fillId="0" borderId="34" xfId="130" applyNumberFormat="1" applyFont="1" applyBorder="1" applyAlignment="1">
      <alignment horizontal="right"/>
      <protection locked="0"/>
    </xf>
    <xf numFmtId="4" fontId="12" fillId="0" borderId="34" xfId="130" applyNumberFormat="1" applyFont="1" applyBorder="1" applyAlignment="1">
      <alignment horizontal="right"/>
      <protection locked="0"/>
    </xf>
    <xf numFmtId="4" fontId="135" fillId="0" borderId="34" xfId="130" applyNumberFormat="1" applyFont="1" applyBorder="1" applyAlignment="1">
      <alignment horizontal="right"/>
      <protection locked="0"/>
    </xf>
    <xf numFmtId="4" fontId="83" fillId="0" borderId="34" xfId="130" applyNumberFormat="1" applyFont="1" applyBorder="1" applyAlignment="1">
      <alignment horizontal="right"/>
      <protection locked="0"/>
    </xf>
    <xf numFmtId="4" fontId="77" fillId="9" borderId="34" xfId="142" applyNumberFormat="1" applyFont="1" applyFill="1" applyBorder="1" applyAlignment="1" applyProtection="1">
      <alignment horizontal="right"/>
      <protection locked="0"/>
    </xf>
    <xf numFmtId="172" fontId="264" fillId="0" borderId="18" xfId="190" applyNumberFormat="1" applyFont="1" applyBorder="1" applyAlignment="1">
      <alignment horizontal="right"/>
    </xf>
    <xf numFmtId="49" fontId="264" fillId="0" borderId="18" xfId="0" applyNumberFormat="1" applyFont="1" applyBorder="1" applyAlignment="1" applyProtection="1">
      <alignment horizontal="right"/>
    </xf>
    <xf numFmtId="1" fontId="64" fillId="0" borderId="80" xfId="44" applyNumberFormat="1" applyFont="1" applyBorder="1" applyAlignment="1" applyProtection="1">
      <alignment horizontal="right"/>
    </xf>
    <xf numFmtId="49" fontId="64" fillId="0" borderId="80" xfId="44" applyNumberFormat="1" applyFont="1" applyBorder="1" applyAlignment="1" applyProtection="1">
      <alignment horizontal="left" wrapText="1"/>
    </xf>
    <xf numFmtId="0" fontId="64" fillId="0" borderId="80" xfId="44" applyFont="1" applyBorder="1" applyAlignment="1" applyProtection="1">
      <alignment horizontal="left" wrapText="1"/>
    </xf>
    <xf numFmtId="0" fontId="12" fillId="0" borderId="80" xfId="44" applyFont="1" applyBorder="1" applyAlignment="1" applyProtection="1">
      <alignment horizontal="left" wrapText="1"/>
    </xf>
    <xf numFmtId="172" fontId="32" fillId="0" borderId="80" xfId="44" applyNumberFormat="1" applyBorder="1" applyAlignment="1" applyProtection="1">
      <alignment horizontal="left" vertical="top"/>
    </xf>
    <xf numFmtId="4" fontId="64" fillId="0" borderId="80" xfId="44" applyNumberFormat="1" applyFont="1" applyBorder="1" applyAlignment="1" applyProtection="1">
      <alignment horizontal="right"/>
    </xf>
    <xf numFmtId="39" fontId="79" fillId="0" borderId="80" xfId="44" applyNumberFormat="1" applyFont="1" applyBorder="1" applyAlignment="1" applyProtection="1">
      <alignment horizontal="right" vertical="center"/>
    </xf>
    <xf numFmtId="0" fontId="264" fillId="0" borderId="80" xfId="44" applyFont="1" applyBorder="1" applyAlignment="1" applyProtection="1">
      <alignment horizontal="left" wrapText="1"/>
    </xf>
    <xf numFmtId="1" fontId="264" fillId="0" borderId="34" xfId="44" applyNumberFormat="1" applyFont="1" applyBorder="1" applyAlignment="1" applyProtection="1">
      <alignment horizontal="right"/>
    </xf>
    <xf numFmtId="172" fontId="264" fillId="0" borderId="34" xfId="44" applyNumberFormat="1" applyFont="1" applyBorder="1" applyAlignment="1" applyProtection="1">
      <alignment horizontal="right"/>
    </xf>
    <xf numFmtId="172" fontId="12" fillId="0" borderId="34" xfId="190" applyNumberFormat="1" applyFont="1" applyBorder="1" applyAlignment="1">
      <alignment horizontal="right"/>
    </xf>
    <xf numFmtId="4" fontId="12" fillId="0" borderId="34" xfId="199" applyNumberFormat="1" applyFont="1" applyBorder="1" applyAlignment="1" applyProtection="1">
      <alignment horizontal="right"/>
    </xf>
    <xf numFmtId="4" fontId="64" fillId="0" borderId="34" xfId="199" applyNumberFormat="1" applyFont="1" applyBorder="1" applyAlignment="1" applyProtection="1">
      <alignment horizontal="right"/>
    </xf>
    <xf numFmtId="37" fontId="264" fillId="0" borderId="80" xfId="0" applyNumberFormat="1" applyFont="1" applyBorder="1" applyAlignment="1" applyProtection="1">
      <alignment horizontal="right"/>
    </xf>
    <xf numFmtId="9" fontId="264" fillId="0" borderId="80" xfId="0" applyNumberFormat="1" applyFont="1" applyBorder="1" applyAlignment="1" applyProtection="1">
      <alignment horizontal="left" wrapText="1"/>
    </xf>
    <xf numFmtId="0" fontId="264" fillId="0" borderId="80" xfId="0" applyFont="1" applyBorder="1" applyAlignment="1" applyProtection="1">
      <alignment horizontal="left" wrapText="1"/>
    </xf>
    <xf numFmtId="172" fontId="264" fillId="0" borderId="80" xfId="0" applyNumberFormat="1" applyFont="1" applyBorder="1" applyAlignment="1" applyProtection="1">
      <alignment horizontal="right"/>
    </xf>
    <xf numFmtId="4" fontId="264" fillId="0" borderId="80" xfId="184" applyNumberFormat="1" applyFont="1" applyBorder="1" applyAlignment="1">
      <alignment horizontal="right"/>
    </xf>
    <xf numFmtId="0" fontId="354" fillId="0" borderId="80" xfId="0" applyFont="1" applyBorder="1" applyAlignment="1" applyProtection="1">
      <alignment horizontal="left" wrapText="1"/>
    </xf>
    <xf numFmtId="172" fontId="354" fillId="0" borderId="80" xfId="0" applyNumberFormat="1" applyFont="1" applyBorder="1" applyAlignment="1" applyProtection="1">
      <alignment horizontal="right"/>
    </xf>
    <xf numFmtId="4" fontId="354" fillId="0" borderId="80" xfId="184" applyNumberFormat="1" applyFont="1" applyBorder="1" applyAlignment="1">
      <alignment horizontal="right"/>
    </xf>
    <xf numFmtId="39" fontId="354" fillId="0" borderId="80" xfId="12" applyNumberFormat="1" applyFont="1" applyBorder="1" applyAlignment="1" applyProtection="1">
      <alignment horizontal="center"/>
    </xf>
    <xf numFmtId="4" fontId="64" fillId="0" borderId="80" xfId="199" applyNumberFormat="1" applyFont="1" applyBorder="1" applyAlignment="1" applyProtection="1">
      <alignment horizontal="right"/>
    </xf>
    <xf numFmtId="39" fontId="83" fillId="0" borderId="34" xfId="38" applyNumberFormat="1" applyFont="1" applyBorder="1" applyAlignment="1" applyProtection="1">
      <alignment horizontal="right"/>
    </xf>
    <xf numFmtId="4" fontId="264" fillId="9" borderId="80" xfId="0" applyNumberFormat="1" applyFont="1" applyFill="1" applyBorder="1" applyAlignment="1">
      <alignment horizontal="right"/>
      <protection locked="0"/>
    </xf>
    <xf numFmtId="4" fontId="354" fillId="9" borderId="80" xfId="0" applyNumberFormat="1" applyFont="1" applyFill="1" applyBorder="1" applyAlignment="1">
      <alignment horizontal="right"/>
      <protection locked="0"/>
    </xf>
    <xf numFmtId="39" fontId="12" fillId="0" borderId="76" xfId="38" applyNumberFormat="1" applyFont="1" applyBorder="1" applyAlignment="1">
      <alignment horizontal="right"/>
      <protection locked="0"/>
    </xf>
    <xf numFmtId="39" fontId="12" fillId="0" borderId="18" xfId="38" applyNumberFormat="1" applyFont="1" applyBorder="1" applyAlignment="1">
      <alignment horizontal="right"/>
      <protection locked="0"/>
    </xf>
    <xf numFmtId="0" fontId="210" fillId="0" borderId="0" xfId="0" applyFont="1" applyAlignment="1" applyProtection="1">
      <alignment horizontal="center"/>
    </xf>
    <xf numFmtId="0" fontId="16" fillId="0" borderId="0" xfId="0" applyFont="1" applyAlignment="1" applyProtection="1">
      <alignment horizontal="left"/>
    </xf>
    <xf numFmtId="0" fontId="14" fillId="0" borderId="0" xfId="0" applyFont="1" applyAlignment="1" applyProtection="1">
      <alignment horizontal="left"/>
    </xf>
    <xf numFmtId="0" fontId="14" fillId="0" borderId="0" xfId="0" applyFont="1" applyAlignment="1" applyProtection="1"/>
    <xf numFmtId="0" fontId="14" fillId="0" borderId="0" xfId="0" applyFont="1" applyAlignment="1" applyProtection="1">
      <alignment horizontal="right"/>
    </xf>
    <xf numFmtId="0" fontId="4" fillId="0" borderId="0" xfId="0" applyFont="1" applyAlignment="1" applyProtection="1"/>
    <xf numFmtId="0" fontId="16" fillId="0" borderId="0" xfId="0" applyFont="1" applyAlignment="1" applyProtection="1"/>
    <xf numFmtId="4" fontId="225" fillId="0" borderId="0" xfId="0" applyNumberFormat="1" applyFont="1" applyAlignment="1" applyProtection="1">
      <alignment horizontal="left" vertical="center"/>
    </xf>
    <xf numFmtId="2" fontId="0" fillId="0" borderId="0" xfId="0" applyNumberFormat="1" applyAlignment="1" applyProtection="1">
      <alignment horizontal="left" vertical="top"/>
    </xf>
    <xf numFmtId="0" fontId="227" fillId="0" borderId="0" xfId="0" applyFont="1" applyAlignment="1" applyProtection="1">
      <alignment horizontal="left" vertical="top"/>
    </xf>
    <xf numFmtId="0" fontId="227" fillId="0" borderId="64" xfId="0" applyFont="1" applyBorder="1" applyAlignment="1" applyProtection="1">
      <alignment vertical="top"/>
    </xf>
    <xf numFmtId="0" fontId="227" fillId="0" borderId="0" xfId="0" applyFont="1" applyAlignment="1" applyProtection="1">
      <alignment vertical="top"/>
    </xf>
    <xf numFmtId="0" fontId="222" fillId="0" borderId="0" xfId="0" applyFont="1" applyAlignment="1" applyProtection="1">
      <alignment horizontal="left" vertical="top"/>
    </xf>
    <xf numFmtId="0" fontId="135" fillId="0" borderId="0" xfId="0" applyFont="1" applyAlignment="1" applyProtection="1">
      <alignment horizontal="right" vertical="center"/>
    </xf>
    <xf numFmtId="0" fontId="74" fillId="0" borderId="0" xfId="0" applyFont="1" applyAlignment="1" applyProtection="1">
      <alignment horizontal="right" vertical="top"/>
    </xf>
    <xf numFmtId="0" fontId="64" fillId="0" borderId="0" xfId="0" applyFont="1" applyAlignment="1" applyProtection="1">
      <alignment horizontal="left" vertical="top"/>
    </xf>
    <xf numFmtId="0" fontId="12" fillId="0" borderId="0" xfId="0" applyFont="1" applyAlignment="1" applyProtection="1">
      <alignment horizontal="right" vertical="top"/>
    </xf>
    <xf numFmtId="0" fontId="104" fillId="0" borderId="0" xfId="0" applyFont="1" applyAlignment="1" applyProtection="1">
      <alignment horizontal="left" vertical="center"/>
    </xf>
    <xf numFmtId="39" fontId="176" fillId="0" borderId="0" xfId="0" applyNumberFormat="1" applyFont="1" applyAlignment="1" applyProtection="1">
      <alignment horizontal="right" vertical="center"/>
    </xf>
    <xf numFmtId="0" fontId="20" fillId="0" borderId="0" xfId="0" applyFont="1" applyAlignment="1" applyProtection="1">
      <alignment horizontal="left"/>
    </xf>
    <xf numFmtId="0" fontId="74" fillId="0" borderId="0" xfId="44" applyFont="1" applyAlignment="1" applyProtection="1">
      <alignment horizontal="left" vertical="center"/>
    </xf>
    <xf numFmtId="0" fontId="70" fillId="0" borderId="0" xfId="44" applyFont="1" applyAlignment="1" applyProtection="1">
      <alignment horizontal="left" vertical="center"/>
    </xf>
    <xf numFmtId="0" fontId="32" fillId="0" borderId="0" xfId="44" applyAlignment="1" applyProtection="1">
      <alignment horizontal="left" vertical="center"/>
    </xf>
    <xf numFmtId="0" fontId="182" fillId="0" borderId="0" xfId="44" applyFont="1" applyAlignment="1" applyProtection="1">
      <alignment horizontal="right" vertical="center"/>
    </xf>
    <xf numFmtId="0" fontId="74" fillId="0" borderId="0" xfId="44" applyFont="1" applyAlignment="1" applyProtection="1">
      <alignment horizontal="right" vertical="center"/>
    </xf>
    <xf numFmtId="4" fontId="70" fillId="0" borderId="0" xfId="44" applyNumberFormat="1" applyFont="1" applyAlignment="1" applyProtection="1">
      <alignment horizontal="left" vertical="center"/>
    </xf>
    <xf numFmtId="49" fontId="109" fillId="0" borderId="59" xfId="44" applyNumberFormat="1" applyFont="1" applyBorder="1" applyAlignment="1" applyProtection="1">
      <alignment horizontal="right" vertical="center" wrapText="1"/>
    </xf>
    <xf numFmtId="0" fontId="109" fillId="0" borderId="0" xfId="44" applyFont="1" applyAlignment="1" applyProtection="1">
      <alignment vertical="center"/>
    </xf>
    <xf numFmtId="0" fontId="32" fillId="0" borderId="0" xfId="44" applyAlignment="1" applyProtection="1">
      <alignment horizontal="right" vertical="center"/>
    </xf>
    <xf numFmtId="0" fontId="32" fillId="0" borderId="0" xfId="44" applyAlignment="1" applyProtection="1">
      <alignment horizontal="center" vertical="center"/>
    </xf>
    <xf numFmtId="0" fontId="74" fillId="0" borderId="0" xfId="199" applyFont="1" applyAlignment="1" applyProtection="1">
      <alignment horizontal="right" vertical="center"/>
    </xf>
    <xf numFmtId="0" fontId="70" fillId="0" borderId="0" xfId="199" applyFont="1" applyAlignment="1" applyProtection="1">
      <alignment horizontal="left" vertical="center"/>
    </xf>
    <xf numFmtId="0" fontId="32" fillId="0" borderId="0" xfId="199" applyAlignment="1" applyProtection="1">
      <alignment vertical="center"/>
    </xf>
    <xf numFmtId="0" fontId="32" fillId="0" borderId="0" xfId="199" applyAlignment="1" applyProtection="1">
      <alignment horizontal="left" vertical="center"/>
    </xf>
    <xf numFmtId="0" fontId="182" fillId="0" borderId="0" xfId="199" applyFont="1" applyAlignment="1" applyProtection="1">
      <alignment horizontal="right" vertical="center"/>
    </xf>
    <xf numFmtId="0" fontId="32" fillId="0" borderId="0" xfId="199" applyAlignment="1" applyProtection="1">
      <alignment horizontal="left" vertical="top"/>
    </xf>
    <xf numFmtId="0" fontId="91" fillId="0" borderId="0" xfId="0" applyFont="1" applyAlignment="1" applyProtection="1">
      <alignment horizontal="right" vertical="center"/>
    </xf>
    <xf numFmtId="39" fontId="83" fillId="0" borderId="0" xfId="0" applyNumberFormat="1" applyFont="1" applyAlignment="1" applyProtection="1">
      <alignment horizontal="right" vertical="center"/>
    </xf>
    <xf numFmtId="39" fontId="12" fillId="0" borderId="0" xfId="0" applyNumberFormat="1" applyFont="1" applyAlignment="1" applyProtection="1">
      <alignment horizontal="right" vertical="center"/>
    </xf>
    <xf numFmtId="39" fontId="57" fillId="0" borderId="0" xfId="0" applyNumberFormat="1" applyFont="1" applyAlignment="1" applyProtection="1">
      <alignment horizontal="right" vertical="center"/>
    </xf>
    <xf numFmtId="49" fontId="109" fillId="0" borderId="59" xfId="199" applyNumberFormat="1" applyFont="1" applyBorder="1" applyAlignment="1" applyProtection="1">
      <alignment horizontal="right" vertical="center" wrapText="1"/>
    </xf>
    <xf numFmtId="0" fontId="109" fillId="0" borderId="0" xfId="199" applyFont="1" applyAlignment="1" applyProtection="1">
      <alignment vertical="center"/>
    </xf>
    <xf numFmtId="0" fontId="74" fillId="0" borderId="0" xfId="0" applyFont="1" applyAlignment="1" applyProtection="1">
      <alignment vertical="center"/>
    </xf>
    <xf numFmtId="0" fontId="70" fillId="0" borderId="0" xfId="0" applyFont="1" applyAlignment="1" applyProtection="1">
      <alignment vertical="center"/>
    </xf>
    <xf numFmtId="0" fontId="230" fillId="0" borderId="0" xfId="0" applyFont="1" applyAlignment="1" applyProtection="1">
      <alignment horizontal="left" vertical="center"/>
    </xf>
    <xf numFmtId="0" fontId="265" fillId="0" borderId="0" xfId="199" applyFont="1" applyAlignment="1" applyProtection="1">
      <alignment horizontal="left" vertical="center"/>
    </xf>
    <xf numFmtId="4" fontId="74" fillId="0" borderId="0" xfId="44" applyNumberFormat="1" applyFont="1" applyAlignment="1" applyProtection="1">
      <alignment horizontal="left" vertical="center"/>
    </xf>
    <xf numFmtId="177" fontId="70" fillId="0" borderId="0" xfId="199" applyNumberFormat="1" applyFont="1" applyAlignment="1" applyProtection="1">
      <alignment horizontal="left" vertical="center"/>
    </xf>
    <xf numFmtId="0" fontId="79" fillId="0" borderId="0" xfId="0" applyFont="1" applyAlignment="1" applyProtection="1">
      <alignment horizontal="left" vertical="center"/>
    </xf>
    <xf numFmtId="177" fontId="265" fillId="0" borderId="0" xfId="199" applyNumberFormat="1" applyFont="1" applyAlignment="1" applyProtection="1">
      <alignment horizontal="left" vertical="center"/>
    </xf>
    <xf numFmtId="0" fontId="15" fillId="0" borderId="0" xfId="38" applyAlignment="1" applyProtection="1">
      <alignment horizontal="right" vertical="center"/>
    </xf>
    <xf numFmtId="0" fontId="88" fillId="0" borderId="0" xfId="38" applyFont="1" applyAlignment="1" applyProtection="1">
      <alignment horizontal="left" vertical="center"/>
    </xf>
    <xf numFmtId="0" fontId="15" fillId="0" borderId="0" xfId="38" applyAlignment="1" applyProtection="1">
      <alignment horizontal="left" vertical="center"/>
    </xf>
    <xf numFmtId="0" fontId="249" fillId="0" borderId="0" xfId="38" applyFont="1" applyAlignment="1" applyProtection="1">
      <alignment horizontal="left" vertical="center"/>
    </xf>
    <xf numFmtId="0" fontId="98" fillId="0" borderId="0" xfId="38" applyFont="1" applyAlignment="1" applyProtection="1">
      <alignment horizontal="left" vertical="center"/>
    </xf>
    <xf numFmtId="0" fontId="88" fillId="0" borderId="0" xfId="38" applyFont="1" applyAlignment="1" applyProtection="1">
      <alignment vertical="center"/>
    </xf>
    <xf numFmtId="0" fontId="230" fillId="0" borderId="0" xfId="38" applyFont="1" applyAlignment="1" applyProtection="1">
      <alignment horizontal="left" vertical="center"/>
    </xf>
    <xf numFmtId="0" fontId="88" fillId="0" borderId="0" xfId="38" applyFont="1" applyAlignment="1" applyProtection="1">
      <alignment horizontal="left" vertical="top"/>
    </xf>
    <xf numFmtId="0" fontId="57" fillId="0" borderId="0" xfId="13" applyFont="1" applyAlignment="1" applyProtection="1">
      <alignment vertical="center" wrapText="1"/>
    </xf>
    <xf numFmtId="0" fontId="214" fillId="0" borderId="0" xfId="38" applyFont="1" applyAlignment="1" applyProtection="1">
      <alignment horizontal="left" vertical="center"/>
    </xf>
    <xf numFmtId="0" fontId="15" fillId="0" borderId="0" xfId="38" applyAlignment="1" applyProtection="1">
      <alignment vertical="center"/>
    </xf>
    <xf numFmtId="0" fontId="226" fillId="0" borderId="0" xfId="38" applyFont="1" applyAlignment="1" applyProtection="1">
      <alignment vertical="center"/>
    </xf>
    <xf numFmtId="0" fontId="36" fillId="0" borderId="0" xfId="200" applyFill="1" applyAlignment="1" applyProtection="1">
      <alignment vertical="center"/>
    </xf>
    <xf numFmtId="0" fontId="98" fillId="0" borderId="0" xfId="38" applyFont="1" applyAlignment="1" applyProtection="1">
      <alignment vertical="center"/>
    </xf>
    <xf numFmtId="0" fontId="86" fillId="0" borderId="0" xfId="38" applyFont="1" applyAlignment="1" applyProtection="1">
      <alignment horizontal="left" vertical="center"/>
    </xf>
    <xf numFmtId="0" fontId="104" fillId="0" borderId="0" xfId="38" applyFont="1" applyAlignment="1" applyProtection="1">
      <alignment horizontal="left" vertical="center"/>
    </xf>
    <xf numFmtId="0" fontId="104" fillId="0" borderId="0" xfId="38" applyFont="1" applyAlignment="1" applyProtection="1">
      <alignment horizontal="left" vertical="top"/>
    </xf>
    <xf numFmtId="4" fontId="98" fillId="0" borderId="0" xfId="0" applyNumberFormat="1" applyFont="1" applyAlignment="1" applyProtection="1">
      <alignment horizontal="left" vertical="center"/>
    </xf>
    <xf numFmtId="177" fontId="16" fillId="0" borderId="0" xfId="0" applyNumberFormat="1" applyFont="1" applyAlignment="1" applyProtection="1">
      <alignment horizontal="center"/>
    </xf>
    <xf numFmtId="0" fontId="53" fillId="0" borderId="0" xfId="0" applyFont="1" applyAlignment="1" applyProtection="1">
      <alignment horizontal="center"/>
    </xf>
    <xf numFmtId="39" fontId="12" fillId="0" borderId="34" xfId="0" applyNumberFormat="1" applyFont="1" applyBorder="1" applyAlignment="1" applyProtection="1">
      <alignment horizontal="left"/>
    </xf>
    <xf numFmtId="4" fontId="70" fillId="0" borderId="0" xfId="0" applyNumberFormat="1" applyFont="1" applyAlignment="1" applyProtection="1">
      <alignment horizontal="left" vertical="center"/>
    </xf>
    <xf numFmtId="0" fontId="265" fillId="0" borderId="0" xfId="0" applyFont="1" applyAlignment="1" applyProtection="1">
      <alignment horizontal="right"/>
    </xf>
    <xf numFmtId="0" fontId="269" fillId="0" borderId="0" xfId="0" applyFont="1" applyAlignment="1" applyProtection="1">
      <alignment horizontal="right"/>
    </xf>
    <xf numFmtId="0" fontId="265" fillId="0" borderId="0" xfId="0" applyFont="1" applyAlignment="1" applyProtection="1">
      <alignment horizontal="right" vertical="center"/>
    </xf>
    <xf numFmtId="0" fontId="269" fillId="0" borderId="0" xfId="0" applyFont="1" applyAlignment="1" applyProtection="1">
      <alignment horizontal="left" vertical="top"/>
    </xf>
    <xf numFmtId="0" fontId="269" fillId="0" borderId="0" xfId="0" applyFont="1" applyAlignment="1" applyProtection="1">
      <alignment horizontal="right" vertical="top"/>
    </xf>
    <xf numFmtId="173" fontId="265" fillId="0" borderId="0" xfId="0" applyNumberFormat="1" applyFont="1" applyAlignment="1" applyProtection="1">
      <alignment vertical="center"/>
    </xf>
    <xf numFmtId="0" fontId="269" fillId="0" borderId="0" xfId="0" applyFont="1" applyAlignment="1" applyProtection="1">
      <alignment horizontal="left"/>
    </xf>
    <xf numFmtId="0" fontId="266" fillId="0" borderId="0" xfId="0" applyFont="1" applyAlignment="1" applyProtection="1">
      <alignment horizontal="left"/>
    </xf>
    <xf numFmtId="0" fontId="265" fillId="0" borderId="0" xfId="0" applyFont="1" applyAlignment="1" applyProtection="1"/>
    <xf numFmtId="173" fontId="265" fillId="0" borderId="0" xfId="0" applyNumberFormat="1" applyFont="1" applyAlignment="1" applyProtection="1">
      <alignment vertical="top"/>
    </xf>
    <xf numFmtId="0" fontId="271" fillId="0" borderId="0" xfId="0" applyFont="1" applyAlignment="1" applyProtection="1">
      <alignment vertical="center"/>
    </xf>
    <xf numFmtId="0" fontId="266" fillId="0" borderId="0" xfId="0" applyFont="1" applyAlignment="1" applyProtection="1">
      <alignment vertical="center"/>
    </xf>
    <xf numFmtId="0" fontId="269" fillId="0" borderId="0" xfId="0" applyFont="1" applyAlignment="1" applyProtection="1">
      <alignment horizontal="right" vertical="center"/>
    </xf>
    <xf numFmtId="0" fontId="266" fillId="0" borderId="0" xfId="0" applyFont="1" applyAlignment="1" applyProtection="1">
      <alignment horizontal="right" vertical="center"/>
    </xf>
    <xf numFmtId="0" fontId="272" fillId="0" borderId="0" xfId="0" applyFont="1" applyAlignment="1" applyProtection="1">
      <alignment horizontal="left" vertical="top"/>
    </xf>
    <xf numFmtId="2" fontId="266" fillId="0" borderId="0" xfId="0" applyNumberFormat="1" applyFont="1" applyAlignment="1" applyProtection="1"/>
    <xf numFmtId="0" fontId="269" fillId="0" borderId="0" xfId="0" applyFont="1" applyAlignment="1" applyProtection="1"/>
    <xf numFmtId="0" fontId="271" fillId="0" borderId="0" xfId="0" applyFont="1" applyAlignment="1" applyProtection="1">
      <alignment horizontal="right" vertical="center"/>
    </xf>
    <xf numFmtId="0" fontId="265" fillId="0" borderId="0" xfId="0" applyFont="1" applyAlignment="1" applyProtection="1">
      <alignment horizontal="left" vertical="center"/>
    </xf>
    <xf numFmtId="0" fontId="265" fillId="0" borderId="0" xfId="25" applyFont="1" applyAlignment="1" applyProtection="1">
      <alignment horizontal="left" vertical="center"/>
    </xf>
    <xf numFmtId="0" fontId="273" fillId="0" borderId="0" xfId="0" applyFont="1" applyAlignment="1" applyProtection="1">
      <alignment horizontal="left" vertical="center"/>
    </xf>
    <xf numFmtId="0" fontId="269" fillId="0" borderId="0" xfId="0" applyFont="1" applyAlignment="1" applyProtection="1">
      <alignment vertical="center"/>
    </xf>
    <xf numFmtId="0" fontId="270" fillId="0" borderId="0" xfId="25" applyFont="1" applyAlignment="1" applyProtection="1">
      <alignment horizontal="right" vertical="top"/>
    </xf>
    <xf numFmtId="0" fontId="270" fillId="0" borderId="0" xfId="25" applyFont="1" applyAlignment="1" applyProtection="1">
      <alignment horizontal="left" vertical="center"/>
    </xf>
    <xf numFmtId="173" fontId="266" fillId="0" borderId="0" xfId="0" applyNumberFormat="1" applyFont="1" applyAlignment="1" applyProtection="1">
      <alignment vertical="center"/>
    </xf>
    <xf numFmtId="0" fontId="32" fillId="0" borderId="0" xfId="0" applyFont="1" applyAlignment="1" applyProtection="1">
      <alignment vertical="center"/>
    </xf>
    <xf numFmtId="0" fontId="0" fillId="0" borderId="0" xfId="0" applyAlignment="1" applyProtection="1">
      <alignment vertical="center"/>
    </xf>
    <xf numFmtId="0" fontId="104" fillId="0" borderId="0" xfId="0" applyFont="1" applyAlignment="1" applyProtection="1">
      <alignment horizontal="right" vertical="center"/>
    </xf>
    <xf numFmtId="0" fontId="0" fillId="0" borderId="0" xfId="0" applyAlignment="1" applyProtection="1">
      <alignment horizontal="right" vertical="center"/>
    </xf>
    <xf numFmtId="0" fontId="265" fillId="0" borderId="0" xfId="25" applyFont="1" applyAlignment="1" applyProtection="1">
      <alignment horizontal="left" vertical="top"/>
    </xf>
    <xf numFmtId="173" fontId="266" fillId="0" borderId="0" xfId="0" applyNumberFormat="1" applyFont="1" applyAlignment="1" applyProtection="1">
      <alignment vertical="top"/>
    </xf>
    <xf numFmtId="0" fontId="278" fillId="0" borderId="0" xfId="0" applyFont="1" applyAlignment="1" applyProtection="1">
      <alignment horizontal="left" vertical="center"/>
    </xf>
    <xf numFmtId="0" fontId="271" fillId="0" borderId="0" xfId="0" applyFont="1" applyAlignment="1" applyProtection="1">
      <alignment horizontal="left" vertical="center"/>
    </xf>
    <xf numFmtId="0" fontId="266" fillId="0" borderId="0" xfId="0" applyFont="1" applyAlignment="1" applyProtection="1">
      <alignment horizontal="right" vertical="top"/>
    </xf>
    <xf numFmtId="9" fontId="266" fillId="0" borderId="0" xfId="0" applyNumberFormat="1" applyFont="1" applyAlignment="1" applyProtection="1">
      <alignment horizontal="right" vertical="center"/>
    </xf>
    <xf numFmtId="0" fontId="265" fillId="0" borderId="0" xfId="25" applyFont="1" applyAlignment="1" applyProtection="1">
      <alignment horizontal="right" vertical="center"/>
    </xf>
    <xf numFmtId="0" fontId="103" fillId="0" borderId="0" xfId="44" applyFont="1" applyAlignment="1" applyProtection="1">
      <alignment horizontal="left" vertical="center"/>
    </xf>
    <xf numFmtId="0" fontId="210" fillId="0" borderId="0" xfId="44" applyFont="1" applyAlignment="1" applyProtection="1">
      <alignment horizontal="center"/>
    </xf>
    <xf numFmtId="173" fontId="0" fillId="0" borderId="0" xfId="0" applyNumberFormat="1" applyAlignment="1" applyProtection="1">
      <alignment horizontal="left" vertical="top"/>
    </xf>
    <xf numFmtId="2" fontId="32" fillId="0" borderId="0" xfId="44" applyNumberFormat="1" applyAlignment="1" applyProtection="1">
      <alignment vertical="center"/>
    </xf>
    <xf numFmtId="0" fontId="104" fillId="0" borderId="0" xfId="0" applyFont="1" applyAlignment="1" applyProtection="1">
      <alignment vertical="center"/>
    </xf>
    <xf numFmtId="0" fontId="226" fillId="0" borderId="0" xfId="0" applyFont="1" applyAlignment="1" applyProtection="1"/>
    <xf numFmtId="0" fontId="104" fillId="0" borderId="0" xfId="0" applyFont="1" applyAlignment="1" applyProtection="1">
      <alignment horizontal="right"/>
    </xf>
    <xf numFmtId="181" fontId="70" fillId="0" borderId="0" xfId="0" applyNumberFormat="1" applyFont="1" applyAlignment="1" applyProtection="1">
      <alignment vertical="center"/>
    </xf>
    <xf numFmtId="0" fontId="20" fillId="0" borderId="0" xfId="0" applyFont="1" applyAlignment="1" applyProtection="1">
      <alignment horizontal="right"/>
    </xf>
    <xf numFmtId="0" fontId="70" fillId="0" borderId="0" xfId="0" applyFont="1" applyAlignment="1" applyProtection="1">
      <alignment horizontal="right"/>
    </xf>
    <xf numFmtId="0" fontId="32" fillId="0" borderId="0" xfId="0" applyFont="1" applyAlignment="1" applyProtection="1">
      <alignment horizontal="left"/>
    </xf>
    <xf numFmtId="0" fontId="74" fillId="0" borderId="0" xfId="0" applyFont="1" applyAlignment="1" applyProtection="1">
      <alignment horizontal="right"/>
    </xf>
    <xf numFmtId="0" fontId="32" fillId="0" borderId="0" xfId="0" applyFont="1" applyAlignment="1" applyProtection="1">
      <alignment horizontal="left" vertical="top"/>
    </xf>
    <xf numFmtId="174" fontId="115" fillId="0" borderId="0" xfId="0" applyNumberFormat="1" applyFont="1" applyAlignment="1" applyProtection="1">
      <alignment horizontal="left"/>
    </xf>
    <xf numFmtId="0" fontId="142" fillId="0" borderId="0" xfId="146" applyNumberFormat="1" applyFont="1" applyFill="1" applyBorder="1" applyAlignment="1" applyProtection="1">
      <alignment horizontal="right" vertical="center"/>
    </xf>
    <xf numFmtId="0" fontId="74" fillId="0" borderId="79" xfId="44" applyFont="1" applyBorder="1" applyAlignment="1" applyProtection="1">
      <alignment horizontal="center" vertical="center"/>
    </xf>
    <xf numFmtId="0" fontId="70" fillId="0" borderId="79" xfId="44" applyFont="1" applyBorder="1" applyAlignment="1" applyProtection="1">
      <alignment horizontal="center" vertical="center"/>
    </xf>
    <xf numFmtId="37" fontId="64" fillId="0" borderId="80" xfId="184" applyNumberFormat="1" applyFont="1" applyBorder="1" applyAlignment="1">
      <alignment horizontal="right"/>
    </xf>
    <xf numFmtId="0" fontId="64" fillId="0" borderId="80" xfId="184" applyFont="1" applyBorder="1" applyAlignment="1">
      <alignment horizontal="left" wrapText="1"/>
    </xf>
    <xf numFmtId="172" fontId="64" fillId="0" borderId="80" xfId="184" applyNumberFormat="1" applyFont="1" applyBorder="1" applyAlignment="1">
      <alignment horizontal="right"/>
    </xf>
    <xf numFmtId="39" fontId="64" fillId="0" borderId="80" xfId="184" applyNumberFormat="1" applyFont="1" applyBorder="1" applyAlignment="1">
      <alignment horizontal="right"/>
    </xf>
    <xf numFmtId="0" fontId="5" fillId="0" borderId="80" xfId="184" applyBorder="1" applyAlignment="1">
      <alignment vertical="top"/>
    </xf>
    <xf numFmtId="37" fontId="12" fillId="0" borderId="80" xfId="184" applyNumberFormat="1" applyFont="1" applyBorder="1" applyAlignment="1">
      <alignment horizontal="right"/>
    </xf>
    <xf numFmtId="49" fontId="12" fillId="0" borderId="80" xfId="184" applyNumberFormat="1" applyFont="1" applyBorder="1" applyAlignment="1">
      <alignment horizontal="left" wrapText="1"/>
    </xf>
    <xf numFmtId="0" fontId="12" fillId="0" borderId="80" xfId="184" applyFont="1" applyBorder="1" applyAlignment="1">
      <alignment horizontal="left" wrapText="1"/>
    </xf>
    <xf numFmtId="172" fontId="12" fillId="0" borderId="80" xfId="184" applyNumberFormat="1" applyFont="1" applyBorder="1" applyAlignment="1">
      <alignment horizontal="right"/>
    </xf>
    <xf numFmtId="39" fontId="12" fillId="0" borderId="80" xfId="184" applyNumberFormat="1" applyFont="1" applyBorder="1" applyAlignment="1" applyProtection="1">
      <alignment horizontal="right"/>
      <protection locked="0"/>
    </xf>
    <xf numFmtId="4" fontId="12" fillId="0" borderId="80" xfId="183" applyNumberFormat="1" applyFont="1" applyBorder="1" applyAlignment="1">
      <alignment horizontal="right"/>
    </xf>
    <xf numFmtId="39" fontId="12" fillId="0" borderId="80" xfId="3" applyNumberFormat="1" applyFont="1" applyBorder="1" applyAlignment="1">
      <alignment horizontal="center"/>
    </xf>
    <xf numFmtId="49" fontId="12" fillId="0" borderId="80" xfId="184" applyNumberFormat="1" applyFont="1" applyBorder="1" applyAlignment="1">
      <alignment horizontal="right"/>
    </xf>
    <xf numFmtId="0" fontId="57" fillId="0" borderId="80" xfId="36" applyFont="1" applyBorder="1" applyAlignment="1">
      <alignment horizontal="left" wrapText="1"/>
    </xf>
    <xf numFmtId="172" fontId="117" fillId="0" borderId="80" xfId="184" applyNumberFormat="1" applyFont="1" applyBorder="1" applyAlignment="1">
      <alignment horizontal="right"/>
    </xf>
    <xf numFmtId="4" fontId="12" fillId="0" borderId="80" xfId="129" applyNumberFormat="1" applyFont="1" applyBorder="1" applyAlignment="1">
      <alignment horizontal="right"/>
    </xf>
    <xf numFmtId="37" fontId="12" fillId="0" borderId="80" xfId="46" applyNumberFormat="1" applyFont="1" applyBorder="1" applyAlignment="1" applyProtection="1">
      <alignment horizontal="right"/>
    </xf>
    <xf numFmtId="0" fontId="12" fillId="0" borderId="80" xfId="46" applyFont="1" applyBorder="1" applyAlignment="1" applyProtection="1">
      <alignment horizontal="left" wrapText="1"/>
    </xf>
    <xf numFmtId="0" fontId="57" fillId="0" borderId="80" xfId="46" applyFont="1" applyBorder="1" applyAlignment="1" applyProtection="1">
      <alignment horizontal="left" wrapText="1"/>
    </xf>
    <xf numFmtId="172" fontId="117" fillId="0" borderId="80" xfId="46" applyNumberFormat="1" applyFont="1" applyBorder="1" applyAlignment="1" applyProtection="1">
      <alignment horizontal="right"/>
    </xf>
    <xf numFmtId="39" fontId="12" fillId="0" borderId="80" xfId="46" applyNumberFormat="1" applyFont="1" applyBorder="1" applyAlignment="1">
      <alignment horizontal="right"/>
      <protection locked="0"/>
    </xf>
    <xf numFmtId="39" fontId="12" fillId="0" borderId="80" xfId="46" applyNumberFormat="1" applyFont="1" applyBorder="1" applyAlignment="1" applyProtection="1">
      <alignment horizontal="right"/>
    </xf>
    <xf numFmtId="0" fontId="103" fillId="0" borderId="80" xfId="46" applyFont="1" applyBorder="1" applyAlignment="1" applyProtection="1">
      <alignment horizontal="right" vertical="center"/>
    </xf>
    <xf numFmtId="37" fontId="83" fillId="0" borderId="80" xfId="184" applyNumberFormat="1" applyFont="1" applyBorder="1" applyAlignment="1">
      <alignment horizontal="right"/>
    </xf>
    <xf numFmtId="0" fontId="83" fillId="0" borderId="80" xfId="184" applyFont="1" applyBorder="1" applyAlignment="1">
      <alignment horizontal="left" wrapText="1"/>
    </xf>
    <xf numFmtId="0" fontId="57" fillId="0" borderId="80" xfId="184" applyFont="1" applyBorder="1" applyAlignment="1">
      <alignment horizontal="left" wrapText="1"/>
    </xf>
    <xf numFmtId="172" fontId="57" fillId="0" borderId="80" xfId="184" applyNumberFormat="1" applyFont="1" applyBorder="1" applyAlignment="1">
      <alignment horizontal="right"/>
    </xf>
    <xf numFmtId="39" fontId="83" fillId="0" borderId="80" xfId="184" applyNumberFormat="1" applyFont="1" applyBorder="1" applyAlignment="1" applyProtection="1">
      <alignment horizontal="right"/>
      <protection locked="0"/>
    </xf>
    <xf numFmtId="39" fontId="12" fillId="0" borderId="80" xfId="184" applyNumberFormat="1" applyFont="1" applyBorder="1" applyAlignment="1">
      <alignment horizontal="right"/>
    </xf>
    <xf numFmtId="0" fontId="93" fillId="0" borderId="80" xfId="184" applyFont="1" applyBorder="1" applyAlignment="1">
      <alignment horizontal="center" vertical="center"/>
    </xf>
    <xf numFmtId="2" fontId="61" fillId="0" borderId="80" xfId="184" applyNumberFormat="1" applyFont="1" applyBorder="1" applyAlignment="1" applyProtection="1">
      <alignment horizontal="left" vertical="center"/>
      <protection locked="0"/>
    </xf>
    <xf numFmtId="0" fontId="5" fillId="0" borderId="80" xfId="184" applyBorder="1" applyAlignment="1">
      <alignment horizontal="left" vertical="top"/>
    </xf>
    <xf numFmtId="172" fontId="71" fillId="0" borderId="80" xfId="184" applyNumberFormat="1" applyFont="1" applyBorder="1" applyAlignment="1">
      <alignment horizontal="right"/>
    </xf>
    <xf numFmtId="0" fontId="65" fillId="0" borderId="80" xfId="184" applyFont="1" applyBorder="1" applyAlignment="1">
      <alignment horizontal="center" vertical="center" wrapText="1"/>
    </xf>
    <xf numFmtId="37" fontId="12" fillId="0" borderId="80" xfId="3" applyNumberFormat="1" applyFont="1" applyBorder="1" applyAlignment="1">
      <alignment horizontal="right"/>
    </xf>
    <xf numFmtId="0" fontId="12" fillId="0" borderId="80" xfId="3" applyFont="1" applyBorder="1" applyAlignment="1">
      <alignment horizontal="left" wrapText="1"/>
    </xf>
    <xf numFmtId="172" fontId="12" fillId="0" borderId="80" xfId="3" applyNumberFormat="1" applyFont="1" applyBorder="1" applyAlignment="1">
      <alignment horizontal="right"/>
    </xf>
    <xf numFmtId="39" fontId="12" fillId="0" borderId="80" xfId="3" applyNumberFormat="1" applyFont="1" applyBorder="1" applyAlignment="1" applyProtection="1">
      <alignment horizontal="right"/>
      <protection locked="0"/>
    </xf>
    <xf numFmtId="1" fontId="12" fillId="0" borderId="80" xfId="46" applyNumberFormat="1" applyFont="1" applyBorder="1" applyAlignment="1" applyProtection="1">
      <alignment horizontal="right" wrapText="1"/>
    </xf>
    <xf numFmtId="49" fontId="12" fillId="0" borderId="80" xfId="46" applyNumberFormat="1" applyFont="1" applyBorder="1" applyAlignment="1" applyProtection="1">
      <alignment horizontal="left" wrapText="1"/>
    </xf>
    <xf numFmtId="0" fontId="57" fillId="0" borderId="80" xfId="3" applyFont="1" applyBorder="1" applyAlignment="1">
      <alignment horizontal="left" wrapText="1"/>
    </xf>
    <xf numFmtId="172" fontId="57" fillId="0" borderId="80" xfId="3" applyNumberFormat="1" applyFont="1" applyBorder="1" applyAlignment="1">
      <alignment horizontal="right"/>
    </xf>
    <xf numFmtId="4" fontId="57" fillId="0" borderId="80" xfId="46" applyNumberFormat="1" applyFont="1" applyBorder="1" applyAlignment="1">
      <alignment horizontal="right"/>
      <protection locked="0"/>
    </xf>
    <xf numFmtId="4" fontId="12" fillId="0" borderId="80" xfId="46" applyNumberFormat="1" applyFont="1" applyBorder="1" applyAlignment="1" applyProtection="1">
      <alignment horizontal="right"/>
    </xf>
    <xf numFmtId="39" fontId="12" fillId="0" borderId="80" xfId="46" applyNumberFormat="1" applyFont="1" applyBorder="1" applyAlignment="1" applyProtection="1">
      <alignment horizontal="center"/>
    </xf>
    <xf numFmtId="0" fontId="64" fillId="0" borderId="80" xfId="3" applyFont="1" applyBorder="1" applyAlignment="1">
      <alignment horizontal="left" wrapText="1"/>
    </xf>
    <xf numFmtId="172" fontId="64" fillId="0" borderId="80" xfId="3" applyNumberFormat="1" applyFont="1" applyBorder="1" applyAlignment="1">
      <alignment horizontal="right"/>
    </xf>
    <xf numFmtId="39" fontId="64" fillId="0" borderId="80" xfId="3" applyNumberFormat="1" applyFont="1" applyBorder="1" applyAlignment="1" applyProtection="1">
      <alignment horizontal="right"/>
      <protection locked="0"/>
    </xf>
    <xf numFmtId="39" fontId="64" fillId="0" borderId="80" xfId="3" applyNumberFormat="1" applyFont="1" applyBorder="1" applyAlignment="1">
      <alignment horizontal="right"/>
    </xf>
    <xf numFmtId="172" fontId="12" fillId="0" borderId="80" xfId="67" applyNumberFormat="1" applyFont="1" applyBorder="1" applyAlignment="1">
      <alignment horizontal="right"/>
    </xf>
    <xf numFmtId="1" fontId="83" fillId="0" borderId="80" xfId="184" applyNumberFormat="1" applyFont="1" applyBorder="1" applyAlignment="1">
      <alignment horizontal="right"/>
    </xf>
    <xf numFmtId="49" fontId="83" fillId="0" borderId="80" xfId="184" applyNumberFormat="1" applyFont="1" applyBorder="1" applyAlignment="1">
      <alignment horizontal="left" wrapText="1"/>
    </xf>
    <xf numFmtId="0" fontId="57" fillId="0" borderId="80" xfId="44" applyFont="1" applyBorder="1" applyAlignment="1" applyProtection="1">
      <alignment horizontal="left" vertical="center" wrapText="1"/>
    </xf>
    <xf numFmtId="4" fontId="12" fillId="0" borderId="80" xfId="184" applyNumberFormat="1" applyFont="1" applyBorder="1" applyAlignment="1" applyProtection="1">
      <alignment horizontal="right"/>
      <protection locked="0"/>
    </xf>
    <xf numFmtId="172" fontId="12" fillId="0" borderId="80" xfId="44" applyNumberFormat="1" applyFont="1" applyBorder="1" applyAlignment="1" applyProtection="1">
      <alignment horizontal="right"/>
    </xf>
    <xf numFmtId="172" fontId="5" fillId="0" borderId="80" xfId="184" applyNumberFormat="1" applyBorder="1"/>
    <xf numFmtId="39" fontId="119" fillId="0" borderId="80" xfId="184" applyNumberFormat="1" applyFont="1" applyBorder="1" applyAlignment="1">
      <alignment horizontal="right"/>
    </xf>
    <xf numFmtId="39" fontId="12" fillId="0" borderId="80" xfId="184" applyNumberFormat="1" applyFont="1" applyBorder="1" applyAlignment="1">
      <alignment horizontal="center" vertical="center"/>
    </xf>
    <xf numFmtId="0" fontId="86" fillId="0" borderId="80" xfId="184" applyFont="1" applyBorder="1" applyAlignment="1">
      <alignment horizontal="right" vertical="center"/>
    </xf>
    <xf numFmtId="0" fontId="119" fillId="0" borderId="80" xfId="184" applyFont="1" applyBorder="1" applyAlignment="1">
      <alignment horizontal="left" wrapText="1"/>
    </xf>
    <xf numFmtId="39" fontId="12" fillId="0" borderId="80" xfId="184" applyNumberFormat="1" applyFont="1" applyBorder="1" applyAlignment="1">
      <alignment horizontal="center"/>
    </xf>
    <xf numFmtId="2" fontId="12" fillId="0" borderId="80" xfId="3" applyNumberFormat="1" applyFont="1" applyBorder="1" applyAlignment="1">
      <alignment horizontal="right"/>
    </xf>
    <xf numFmtId="39" fontId="12" fillId="0" borderId="80" xfId="3" applyNumberFormat="1" applyFont="1" applyBorder="1" applyAlignment="1">
      <alignment horizontal="right"/>
    </xf>
    <xf numFmtId="0" fontId="71" fillId="0" borderId="80" xfId="25" applyFont="1" applyBorder="1" applyAlignment="1" applyProtection="1">
      <alignment horizontal="left" wrapText="1"/>
    </xf>
    <xf numFmtId="2" fontId="57" fillId="0" borderId="80" xfId="184" applyNumberFormat="1" applyFont="1" applyBorder="1" applyAlignment="1">
      <alignment horizontal="right"/>
    </xf>
    <xf numFmtId="39" fontId="12" fillId="0" borderId="80" xfId="184" applyNumberFormat="1" applyFont="1" applyBorder="1" applyAlignment="1">
      <alignment horizontal="right" vertical="center"/>
    </xf>
    <xf numFmtId="2" fontId="57" fillId="0" borderId="80" xfId="3" applyNumberFormat="1" applyFont="1" applyBorder="1" applyAlignment="1">
      <alignment horizontal="right"/>
    </xf>
    <xf numFmtId="2" fontId="12" fillId="0" borderId="80" xfId="184" applyNumberFormat="1" applyFont="1" applyBorder="1" applyAlignment="1">
      <alignment horizontal="right"/>
    </xf>
    <xf numFmtId="172" fontId="83" fillId="0" borderId="80" xfId="184" applyNumberFormat="1" applyFont="1" applyBorder="1" applyAlignment="1">
      <alignment horizontal="right" wrapText="1"/>
    </xf>
    <xf numFmtId="39" fontId="119" fillId="0" borderId="80" xfId="184" applyNumberFormat="1" applyFont="1" applyBorder="1" applyAlignment="1" applyProtection="1">
      <alignment horizontal="right"/>
      <protection locked="0"/>
    </xf>
    <xf numFmtId="0" fontId="15" fillId="0" borderId="80" xfId="184" applyFont="1" applyBorder="1" applyAlignment="1">
      <alignment horizontal="center" vertical="top"/>
    </xf>
    <xf numFmtId="39" fontId="57" fillId="0" borderId="80" xfId="3" applyNumberFormat="1" applyFont="1" applyBorder="1" applyAlignment="1" applyProtection="1">
      <alignment horizontal="right"/>
      <protection locked="0"/>
    </xf>
    <xf numFmtId="39" fontId="57" fillId="0" borderId="80" xfId="3" applyNumberFormat="1" applyFont="1" applyBorder="1" applyAlignment="1">
      <alignment horizontal="right"/>
    </xf>
    <xf numFmtId="37" fontId="119" fillId="0" borderId="80" xfId="184" applyNumberFormat="1" applyFont="1" applyBorder="1" applyAlignment="1">
      <alignment horizontal="right"/>
    </xf>
    <xf numFmtId="0" fontId="57" fillId="0" borderId="80" xfId="184" applyFont="1" applyBorder="1" applyAlignment="1">
      <alignment horizontal="left" vertical="center" wrapText="1"/>
    </xf>
    <xf numFmtId="172" fontId="5" fillId="0" borderId="80" xfId="184" applyNumberFormat="1" applyBorder="1" applyAlignment="1">
      <alignment vertical="top"/>
    </xf>
    <xf numFmtId="1" fontId="12" fillId="0" borderId="80" xfId="178" applyNumberFormat="1" applyFont="1" applyBorder="1" applyAlignment="1" applyProtection="1">
      <alignment horizontal="right"/>
    </xf>
    <xf numFmtId="0" fontId="57" fillId="0" borderId="80" xfId="34" applyFont="1" applyBorder="1" applyAlignment="1">
      <alignment horizontal="left" vertical="center" wrapText="1"/>
    </xf>
    <xf numFmtId="172" fontId="57" fillId="0" borderId="80" xfId="184" applyNumberFormat="1" applyFont="1" applyBorder="1" applyAlignment="1">
      <alignment horizontal="right" wrapText="1"/>
    </xf>
    <xf numFmtId="4" fontId="12" fillId="0" borderId="80" xfId="184" applyNumberFormat="1" applyFont="1" applyBorder="1" applyAlignment="1">
      <alignment horizontal="right"/>
    </xf>
    <xf numFmtId="172" fontId="14" fillId="0" borderId="80" xfId="3" applyNumberFormat="1" applyBorder="1"/>
    <xf numFmtId="0" fontId="71" fillId="0" borderId="80" xfId="47" applyFont="1" applyBorder="1" applyAlignment="1" applyProtection="1">
      <alignment horizontal="left" wrapText="1"/>
    </xf>
    <xf numFmtId="2" fontId="117" fillId="0" borderId="80" xfId="184" applyNumberFormat="1" applyFont="1" applyBorder="1" applyAlignment="1">
      <alignment horizontal="right"/>
    </xf>
    <xf numFmtId="39" fontId="64" fillId="0" borderId="80" xfId="46" applyNumberFormat="1" applyFont="1" applyBorder="1" applyAlignment="1" applyProtection="1">
      <alignment horizontal="right" vertical="center"/>
    </xf>
    <xf numFmtId="0" fontId="15" fillId="0" borderId="80" xfId="184" applyFont="1" applyBorder="1" applyAlignment="1">
      <alignment horizontal="left" vertical="top"/>
    </xf>
    <xf numFmtId="2" fontId="12" fillId="0" borderId="80" xfId="46" applyNumberFormat="1" applyFont="1" applyBorder="1" applyAlignment="1" applyProtection="1">
      <alignment horizontal="right"/>
    </xf>
    <xf numFmtId="2" fontId="117" fillId="0" borderId="80" xfId="46" applyNumberFormat="1" applyFont="1" applyBorder="1" applyAlignment="1" applyProtection="1">
      <alignment horizontal="right"/>
    </xf>
    <xf numFmtId="0" fontId="103" fillId="0" borderId="80" xfId="46" applyFont="1" applyBorder="1" applyAlignment="1" applyProtection="1">
      <alignment horizontal="center" vertical="center"/>
    </xf>
    <xf numFmtId="0" fontId="205" fillId="0" borderId="80" xfId="184" applyFont="1" applyBorder="1"/>
    <xf numFmtId="0" fontId="119" fillId="0" borderId="80" xfId="26" applyFont="1" applyBorder="1" applyAlignment="1" applyProtection="1">
      <alignment horizontal="left" wrapText="1"/>
    </xf>
    <xf numFmtId="0" fontId="245" fillId="0" borderId="80" xfId="26" applyFont="1" applyBorder="1" applyAlignment="1" applyProtection="1">
      <alignment horizontal="left" vertical="center" wrapText="1"/>
    </xf>
    <xf numFmtId="0" fontId="71" fillId="0" borderId="80" xfId="26" quotePrefix="1" applyFont="1" applyBorder="1" applyAlignment="1" applyProtection="1">
      <alignment horizontal="left" wrapText="1"/>
    </xf>
    <xf numFmtId="172" fontId="57" fillId="0" borderId="80" xfId="26" applyNumberFormat="1" applyFont="1" applyBorder="1" applyAlignment="1" applyProtection="1">
      <alignment horizontal="right"/>
    </xf>
    <xf numFmtId="173" fontId="12" fillId="0" borderId="80" xfId="184" applyNumberFormat="1" applyFont="1" applyBorder="1" applyAlignment="1" applyProtection="1">
      <alignment horizontal="right"/>
      <protection locked="0"/>
    </xf>
    <xf numFmtId="173" fontId="12" fillId="0" borderId="80" xfId="184" applyNumberFormat="1" applyFont="1" applyBorder="1" applyAlignment="1">
      <alignment horizontal="right"/>
    </xf>
    <xf numFmtId="0" fontId="15" fillId="0" borderId="80" xfId="184" applyFont="1" applyBorder="1" applyAlignment="1">
      <alignment horizontal="right" vertical="center"/>
    </xf>
    <xf numFmtId="37" fontId="57" fillId="0" borderId="80" xfId="184" applyNumberFormat="1" applyFont="1" applyBorder="1" applyAlignment="1">
      <alignment horizontal="right"/>
    </xf>
    <xf numFmtId="39" fontId="57" fillId="0" borderId="80" xfId="184" applyNumberFormat="1" applyFont="1" applyBorder="1" applyAlignment="1" applyProtection="1">
      <alignment horizontal="right"/>
      <protection locked="0"/>
    </xf>
    <xf numFmtId="39" fontId="57" fillId="0" borderId="80" xfId="184" applyNumberFormat="1" applyFont="1" applyBorder="1" applyAlignment="1">
      <alignment horizontal="right"/>
    </xf>
    <xf numFmtId="0" fontId="74" fillId="0" borderId="80" xfId="44" applyFont="1" applyBorder="1" applyAlignment="1" applyProtection="1">
      <alignment horizontal="center" vertical="center"/>
    </xf>
    <xf numFmtId="37" fontId="12" fillId="0" borderId="80" xfId="44" applyNumberFormat="1" applyFont="1" applyBorder="1" applyAlignment="1" applyProtection="1">
      <alignment horizontal="right"/>
    </xf>
    <xf numFmtId="0" fontId="71" fillId="0" borderId="80" xfId="44" applyFont="1" applyBorder="1" applyAlignment="1" applyProtection="1">
      <alignment horizontal="left" wrapText="1"/>
    </xf>
    <xf numFmtId="172" fontId="71" fillId="0" borderId="80" xfId="44" applyNumberFormat="1" applyFont="1" applyBorder="1" applyAlignment="1" applyProtection="1">
      <alignment horizontal="right"/>
    </xf>
    <xf numFmtId="39" fontId="12" fillId="0" borderId="80" xfId="44" applyNumberFormat="1" applyFont="1" applyBorder="1" applyAlignment="1">
      <alignment horizontal="right"/>
      <protection locked="0"/>
    </xf>
    <xf numFmtId="39" fontId="12" fillId="0" borderId="80" xfId="44" applyNumberFormat="1" applyFont="1" applyBorder="1" applyAlignment="1" applyProtection="1">
      <alignment horizontal="right"/>
    </xf>
    <xf numFmtId="0" fontId="21" fillId="0" borderId="80" xfId="184" applyFont="1" applyBorder="1" applyAlignment="1">
      <alignment horizontal="right" vertical="center"/>
    </xf>
    <xf numFmtId="0" fontId="71" fillId="0" borderId="80" xfId="184" applyFont="1" applyBorder="1" applyAlignment="1">
      <alignment horizontal="left" wrapText="1"/>
    </xf>
    <xf numFmtId="49" fontId="12" fillId="0" borderId="80" xfId="25" applyNumberFormat="1" applyFont="1" applyBorder="1" applyAlignment="1" applyProtection="1">
      <alignment horizontal="left" wrapText="1"/>
    </xf>
    <xf numFmtId="172" fontId="12" fillId="0" borderId="80" xfId="46" applyNumberFormat="1" applyFont="1" applyBorder="1" applyAlignment="1" applyProtection="1">
      <alignment horizontal="right"/>
    </xf>
    <xf numFmtId="39" fontId="12" fillId="0" borderId="80" xfId="44" applyNumberFormat="1" applyFont="1" applyBorder="1" applyAlignment="1" applyProtection="1">
      <alignment horizontal="center"/>
    </xf>
    <xf numFmtId="0" fontId="23" fillId="0" borderId="18" xfId="8" applyFont="1" applyBorder="1" applyAlignment="1">
      <alignment horizontal="left" wrapText="1"/>
    </xf>
    <xf numFmtId="0" fontId="20" fillId="0" borderId="18" xfId="8" applyFont="1" applyBorder="1" applyAlignment="1">
      <alignment wrapText="1"/>
    </xf>
    <xf numFmtId="0" fontId="22" fillId="0" borderId="18" xfId="8" applyFont="1" applyBorder="1" applyAlignment="1">
      <alignment horizontal="left"/>
    </xf>
    <xf numFmtId="0" fontId="14" fillId="0" borderId="18" xfId="8" applyBorder="1"/>
    <xf numFmtId="0" fontId="23" fillId="0" borderId="56" xfId="8" applyFont="1" applyBorder="1" applyAlignment="1">
      <alignment wrapText="1"/>
    </xf>
    <xf numFmtId="0" fontId="23" fillId="0" borderId="57" xfId="8" applyFont="1" applyBorder="1" applyAlignment="1">
      <alignment wrapText="1"/>
    </xf>
    <xf numFmtId="0" fontId="23" fillId="0" borderId="58" xfId="8" applyFont="1" applyBorder="1" applyAlignment="1">
      <alignment wrapText="1"/>
    </xf>
    <xf numFmtId="0" fontId="23" fillId="0" borderId="18" xfId="8" applyFont="1" applyBorder="1" applyAlignment="1">
      <alignment wrapText="1"/>
    </xf>
    <xf numFmtId="0" fontId="17" fillId="0" borderId="0" xfId="8" applyFont="1" applyAlignment="1">
      <alignment horizontal="center"/>
    </xf>
    <xf numFmtId="0" fontId="14" fillId="0" borderId="0" xfId="8" applyAlignment="1">
      <alignment horizontal="center"/>
    </xf>
    <xf numFmtId="0" fontId="16" fillId="0" borderId="0" xfId="8" applyFont="1" applyAlignment="1">
      <alignment horizontal="center"/>
    </xf>
    <xf numFmtId="0" fontId="19" fillId="0" borderId="0" xfId="8" applyFont="1" applyAlignment="1">
      <alignment horizontal="left" vertical="center" wrapText="1"/>
    </xf>
    <xf numFmtId="0" fontId="20" fillId="0" borderId="0" xfId="8" applyFont="1" applyAlignment="1">
      <alignment horizontal="left" vertical="center" wrapText="1"/>
    </xf>
    <xf numFmtId="0" fontId="0" fillId="0" borderId="0" xfId="0" applyAlignment="1" applyProtection="1">
      <alignment horizontal="left" vertical="center" wrapText="1"/>
    </xf>
    <xf numFmtId="0" fontId="23" fillId="0" borderId="18" xfId="8" applyFont="1" applyBorder="1" applyAlignment="1">
      <alignment horizontal="left"/>
    </xf>
    <xf numFmtId="0" fontId="20" fillId="0" borderId="18" xfId="8" applyFont="1" applyBorder="1"/>
    <xf numFmtId="0" fontId="16" fillId="0" borderId="0" xfId="8" applyFont="1" applyAlignment="1">
      <alignment horizontal="left" wrapText="1"/>
    </xf>
    <xf numFmtId="0" fontId="16" fillId="0" borderId="0" xfId="8" applyFont="1" applyAlignment="1" applyProtection="1">
      <alignment horizontal="left" vertical="center"/>
      <protection locked="0"/>
    </xf>
    <xf numFmtId="0" fontId="98" fillId="0" borderId="0" xfId="0" applyFont="1" applyAlignment="1" applyProtection="1">
      <alignment horizontal="left" vertical="center" wrapText="1"/>
    </xf>
    <xf numFmtId="0" fontId="13" fillId="0" borderId="0" xfId="8" applyFont="1" applyAlignment="1">
      <alignment horizontal="justify" wrapText="1"/>
    </xf>
    <xf numFmtId="0" fontId="12" fillId="0" borderId="0" xfId="8" applyFont="1" applyAlignment="1">
      <alignment wrapText="1"/>
    </xf>
    <xf numFmtId="0" fontId="12" fillId="0" borderId="0" xfId="8" applyFont="1"/>
    <xf numFmtId="0" fontId="13" fillId="0" borderId="0" xfId="8" applyFont="1" applyAlignment="1">
      <alignment wrapText="1"/>
    </xf>
    <xf numFmtId="0" fontId="14" fillId="0" borderId="0" xfId="8" applyAlignment="1">
      <alignment wrapText="1"/>
    </xf>
    <xf numFmtId="0" fontId="13" fillId="0" borderId="0" xfId="8" applyFont="1" applyAlignment="1">
      <alignment horizontal="left" vertical="center" wrapText="1"/>
    </xf>
    <xf numFmtId="3" fontId="308" fillId="0" borderId="56" xfId="8" applyNumberFormat="1" applyFont="1" applyBorder="1" applyAlignment="1">
      <alignment horizontal="center"/>
    </xf>
    <xf numFmtId="3" fontId="308" fillId="0" borderId="57" xfId="8" applyNumberFormat="1" applyFont="1" applyBorder="1" applyAlignment="1">
      <alignment horizontal="center"/>
    </xf>
    <xf numFmtId="3" fontId="308" fillId="0" borderId="66" xfId="8" applyNumberFormat="1" applyFont="1" applyBorder="1" applyAlignment="1">
      <alignment horizontal="center"/>
    </xf>
    <xf numFmtId="0" fontId="53" fillId="0" borderId="23" xfId="175" applyFont="1" applyBorder="1" applyAlignment="1">
      <alignment horizontal="center" vertical="center" wrapText="1"/>
    </xf>
    <xf numFmtId="0" fontId="53" fillId="0" borderId="24" xfId="175" applyFont="1" applyBorder="1" applyAlignment="1">
      <alignment horizontal="center" vertical="center" wrapText="1"/>
    </xf>
    <xf numFmtId="0" fontId="53" fillId="0" borderId="27" xfId="175" applyFont="1" applyBorder="1" applyAlignment="1">
      <alignment horizontal="center" vertical="center" wrapText="1"/>
    </xf>
    <xf numFmtId="0" fontId="53" fillId="0" borderId="5" xfId="175" applyFont="1" applyBorder="1" applyAlignment="1">
      <alignment horizontal="center" vertical="center" wrapText="1"/>
    </xf>
    <xf numFmtId="0" fontId="54" fillId="0" borderId="25" xfId="175" applyFont="1" applyBorder="1" applyAlignment="1">
      <alignment vertical="center" wrapText="1"/>
    </xf>
    <xf numFmtId="0" fontId="53" fillId="0" borderId="25" xfId="20" applyFont="1" applyBorder="1" applyAlignment="1">
      <alignment vertical="center" wrapText="1"/>
    </xf>
    <xf numFmtId="0" fontId="53" fillId="0" borderId="26" xfId="20" applyFont="1" applyBorder="1" applyAlignment="1">
      <alignment vertical="center" wrapText="1"/>
    </xf>
    <xf numFmtId="0" fontId="53" fillId="0" borderId="28" xfId="20" applyFont="1" applyBorder="1" applyAlignment="1">
      <alignment vertical="center" wrapText="1"/>
    </xf>
    <xf numFmtId="0" fontId="53" fillId="0" borderId="29" xfId="20" applyFont="1" applyBorder="1" applyAlignment="1">
      <alignment vertical="center" wrapText="1"/>
    </xf>
    <xf numFmtId="49" fontId="53" fillId="0" borderId="30" xfId="175" applyNumberFormat="1" applyFont="1" applyBorder="1" applyAlignment="1">
      <alignment horizontal="center" vertical="center"/>
    </xf>
    <xf numFmtId="0" fontId="53" fillId="0" borderId="31" xfId="175" applyFont="1" applyBorder="1" applyAlignment="1">
      <alignment horizontal="center" vertical="center"/>
    </xf>
    <xf numFmtId="0" fontId="54" fillId="0" borderId="31" xfId="175" applyFont="1" applyBorder="1" applyAlignment="1">
      <alignment vertical="center" wrapText="1"/>
    </xf>
    <xf numFmtId="0" fontId="53" fillId="0" borderId="31" xfId="20" applyFont="1" applyBorder="1" applyAlignment="1">
      <alignment vertical="center" wrapText="1"/>
    </xf>
    <xf numFmtId="0" fontId="53" fillId="0" borderId="32" xfId="20" applyFont="1" applyBorder="1" applyAlignment="1">
      <alignment vertical="center" wrapText="1"/>
    </xf>
    <xf numFmtId="0" fontId="12" fillId="0" borderId="15" xfId="175" applyFont="1" applyBorder="1" applyAlignment="1">
      <alignment horizontal="center" vertical="center" wrapText="1"/>
    </xf>
    <xf numFmtId="0" fontId="12" fillId="0" borderId="15" xfId="20" applyFont="1" applyBorder="1" applyAlignment="1">
      <alignment vertical="center" wrapText="1"/>
    </xf>
    <xf numFmtId="0" fontId="157" fillId="0" borderId="0" xfId="176" applyFont="1" applyAlignment="1">
      <alignment horizontal="left" vertical="center" wrapText="1"/>
    </xf>
    <xf numFmtId="4" fontId="264" fillId="0" borderId="37" xfId="154" applyNumberFormat="1" applyFont="1" applyBorder="1" applyAlignment="1">
      <alignment horizontal="center"/>
    </xf>
    <xf numFmtId="4" fontId="264" fillId="0" borderId="38" xfId="154" applyNumberFormat="1" applyFont="1" applyBorder="1" applyAlignment="1">
      <alignment horizontal="center"/>
    </xf>
    <xf numFmtId="0" fontId="13" fillId="0" borderId="0" xfId="176" applyFont="1" applyAlignment="1">
      <alignment vertical="center" wrapText="1"/>
    </xf>
    <xf numFmtId="0" fontId="15" fillId="0" borderId="0" xfId="3" applyFont="1" applyAlignment="1">
      <alignment vertical="center" wrapText="1"/>
    </xf>
    <xf numFmtId="0" fontId="14" fillId="0" borderId="0" xfId="3" applyAlignment="1">
      <alignment vertical="center" wrapText="1"/>
    </xf>
    <xf numFmtId="0" fontId="14" fillId="0" borderId="0" xfId="25" applyFont="1" applyAlignment="1" applyProtection="1">
      <alignment horizontal="left" vertical="top" wrapText="1"/>
    </xf>
    <xf numFmtId="39" fontId="264" fillId="0" borderId="71" xfId="3" applyNumberFormat="1" applyFont="1" applyBorder="1" applyAlignment="1">
      <alignment horizontal="center" wrapText="1"/>
    </xf>
    <xf numFmtId="39" fontId="264" fillId="0" borderId="72" xfId="3" applyNumberFormat="1" applyFont="1" applyBorder="1" applyAlignment="1">
      <alignment horizontal="center" wrapText="1"/>
    </xf>
    <xf numFmtId="4" fontId="264" fillId="0" borderId="71" xfId="195" applyNumberFormat="1" applyFont="1" applyBorder="1" applyAlignment="1">
      <alignment horizontal="center"/>
    </xf>
    <xf numFmtId="4" fontId="264" fillId="0" borderId="72" xfId="195" applyNumberFormat="1" applyFont="1" applyBorder="1" applyAlignment="1">
      <alignment horizontal="center"/>
    </xf>
    <xf numFmtId="4" fontId="264" fillId="0" borderId="78" xfId="195" applyNumberFormat="1" applyFont="1" applyBorder="1" applyAlignment="1">
      <alignment horizontal="center"/>
    </xf>
    <xf numFmtId="4" fontId="264" fillId="0" borderId="79" xfId="195" applyNumberFormat="1" applyFont="1" applyBorder="1" applyAlignment="1">
      <alignment horizontal="center"/>
    </xf>
    <xf numFmtId="37" fontId="64" fillId="0" borderId="39" xfId="154" applyNumberFormat="1" applyFont="1" applyBorder="1" applyAlignment="1">
      <alignment horizontal="center"/>
    </xf>
    <xf numFmtId="0" fontId="88" fillId="0" borderId="40" xfId="154" applyFont="1" applyBorder="1" applyAlignment="1">
      <alignment horizontal="center"/>
    </xf>
    <xf numFmtId="0" fontId="88" fillId="0" borderId="41" xfId="154" applyFont="1" applyBorder="1" applyAlignment="1">
      <alignment horizontal="center"/>
    </xf>
    <xf numFmtId="0" fontId="31" fillId="0" borderId="0" xfId="154" applyAlignment="1">
      <alignment vertical="center" wrapText="1"/>
    </xf>
    <xf numFmtId="0" fontId="15" fillId="0" borderId="0" xfId="25" applyAlignment="1" applyProtection="1">
      <alignment vertical="center" wrapText="1"/>
    </xf>
    <xf numFmtId="0" fontId="15" fillId="0" borderId="0" xfId="154" applyFont="1" applyAlignment="1">
      <alignment vertical="center" wrapText="1"/>
    </xf>
    <xf numFmtId="0" fontId="64" fillId="0" borderId="0" xfId="25" applyFont="1" applyAlignment="1" applyProtection="1">
      <alignment horizontal="left"/>
    </xf>
    <xf numFmtId="4" fontId="264" fillId="0" borderId="78" xfId="142" applyNumberFormat="1" applyFont="1" applyBorder="1" applyAlignment="1">
      <alignment horizontal="center"/>
    </xf>
    <xf numFmtId="4" fontId="264" fillId="0" borderId="79" xfId="142" applyNumberFormat="1" applyFont="1" applyBorder="1" applyAlignment="1">
      <alignment horizontal="center"/>
    </xf>
    <xf numFmtId="4" fontId="264" fillId="0" borderId="78" xfId="142" applyNumberFormat="1" applyFont="1" applyBorder="1" applyAlignment="1">
      <alignment horizontal="center" wrapText="1"/>
    </xf>
    <xf numFmtId="4" fontId="264" fillId="0" borderId="79" xfId="142" applyNumberFormat="1" applyFont="1" applyBorder="1" applyAlignment="1">
      <alignment horizontal="center" wrapText="1"/>
    </xf>
    <xf numFmtId="4" fontId="264" fillId="0" borderId="37" xfId="142" applyNumberFormat="1" applyFont="1" applyBorder="1" applyAlignment="1">
      <alignment horizontal="center"/>
    </xf>
    <xf numFmtId="4" fontId="264" fillId="0" borderId="38" xfId="142" applyNumberFormat="1" applyFont="1" applyBorder="1" applyAlignment="1">
      <alignment horizontal="center"/>
    </xf>
    <xf numFmtId="4" fontId="299" fillId="0" borderId="37" xfId="154" applyNumberFormat="1" applyFont="1" applyBorder="1" applyAlignment="1">
      <alignment horizontal="center"/>
    </xf>
    <xf numFmtId="4" fontId="299" fillId="0" borderId="38" xfId="154" applyNumberFormat="1" applyFont="1" applyBorder="1" applyAlignment="1">
      <alignment horizontal="center"/>
    </xf>
    <xf numFmtId="0" fontId="120" fillId="0" borderId="35" xfId="142" applyFont="1" applyBorder="1" applyAlignment="1">
      <alignment horizontal="left" vertical="top" wrapText="1"/>
    </xf>
    <xf numFmtId="0" fontId="120" fillId="0" borderId="0" xfId="142" applyFont="1" applyAlignment="1">
      <alignment horizontal="left" vertical="top" wrapText="1"/>
    </xf>
    <xf numFmtId="4" fontId="71" fillId="0" borderId="37" xfId="154" applyNumberFormat="1" applyFont="1" applyBorder="1" applyAlignment="1">
      <alignment horizontal="center" wrapText="1"/>
    </xf>
    <xf numFmtId="4" fontId="71" fillId="0" borderId="38" xfId="154" applyNumberFormat="1" applyFont="1" applyBorder="1" applyAlignment="1">
      <alignment horizontal="center" wrapText="1"/>
    </xf>
    <xf numFmtId="0" fontId="57" fillId="0" borderId="35" xfId="142" applyFont="1" applyBorder="1" applyAlignment="1">
      <alignment horizontal="left" wrapText="1"/>
    </xf>
    <xf numFmtId="0" fontId="57" fillId="0" borderId="0" xfId="142" applyFont="1" applyAlignment="1">
      <alignment horizontal="left" wrapText="1"/>
    </xf>
    <xf numFmtId="0" fontId="14" fillId="0" borderId="0" xfId="142" applyAlignment="1">
      <alignment horizontal="left" vertical="top" wrapText="1"/>
    </xf>
    <xf numFmtId="0" fontId="6" fillId="0" borderId="0" xfId="142" applyFont="1" applyAlignment="1">
      <alignment horizontal="left" vertical="center" wrapText="1"/>
    </xf>
    <xf numFmtId="0" fontId="31" fillId="0" borderId="0" xfId="89" applyAlignment="1">
      <alignment vertical="center" wrapText="1"/>
    </xf>
    <xf numFmtId="0" fontId="64" fillId="0" borderId="0" xfId="25" applyFont="1" applyAlignment="1" applyProtection="1">
      <alignment horizontal="left" wrapText="1"/>
    </xf>
    <xf numFmtId="0" fontId="32" fillId="0" borderId="0" xfId="24" applyAlignment="1" applyProtection="1">
      <alignment horizontal="left" wrapText="1"/>
    </xf>
    <xf numFmtId="37" fontId="64" fillId="0" borderId="39" xfId="89" applyNumberFormat="1" applyFont="1" applyBorder="1" applyAlignment="1">
      <alignment horizontal="center"/>
    </xf>
    <xf numFmtId="0" fontId="88" fillId="0" borderId="40" xfId="89" applyFont="1" applyBorder="1" applyAlignment="1">
      <alignment horizontal="center"/>
    </xf>
    <xf numFmtId="0" fontId="88" fillId="0" borderId="41" xfId="89" applyFont="1" applyBorder="1" applyAlignment="1">
      <alignment horizontal="center"/>
    </xf>
    <xf numFmtId="0" fontId="15" fillId="0" borderId="0" xfId="89" applyFont="1" applyAlignment="1">
      <alignment vertical="center" wrapText="1"/>
    </xf>
    <xf numFmtId="0" fontId="64" fillId="0" borderId="0" xfId="22" applyFont="1" applyAlignment="1">
      <alignment horizontal="left" wrapText="1"/>
    </xf>
    <xf numFmtId="0" fontId="31" fillId="0" borderId="0" xfId="154" applyAlignment="1">
      <alignment horizontal="left" wrapText="1"/>
    </xf>
    <xf numFmtId="37" fontId="64" fillId="0" borderId="40" xfId="154" applyNumberFormat="1" applyFont="1" applyBorder="1" applyAlignment="1">
      <alignment horizontal="center"/>
    </xf>
    <xf numFmtId="37" fontId="64" fillId="0" borderId="41" xfId="154" applyNumberFormat="1" applyFont="1" applyBorder="1" applyAlignment="1">
      <alignment horizontal="center"/>
    </xf>
    <xf numFmtId="0" fontId="31" fillId="0" borderId="0" xfId="154" applyAlignment="1">
      <alignment horizontal="left" vertical="top" wrapText="1"/>
    </xf>
    <xf numFmtId="0" fontId="296" fillId="0" borderId="0" xfId="154" applyFont="1" applyAlignment="1">
      <alignment horizontal="left" vertical="top" wrapText="1"/>
    </xf>
    <xf numFmtId="0" fontId="14" fillId="0" borderId="0" xfId="142" applyAlignment="1">
      <alignment horizontal="left" wrapText="1"/>
    </xf>
    <xf numFmtId="39" fontId="264" fillId="0" borderId="37" xfId="205" applyNumberFormat="1" applyFont="1" applyBorder="1" applyAlignment="1">
      <alignment horizontal="center"/>
    </xf>
    <xf numFmtId="39" fontId="264" fillId="0" borderId="38" xfId="205" applyNumberFormat="1" applyFont="1" applyBorder="1" applyAlignment="1">
      <alignment horizontal="center"/>
    </xf>
    <xf numFmtId="37" fontId="64" fillId="0" borderId="39" xfId="184" applyNumberFormat="1" applyFont="1" applyBorder="1" applyAlignment="1">
      <alignment horizontal="center"/>
    </xf>
    <xf numFmtId="37" fontId="64" fillId="0" borderId="40" xfId="184" applyNumberFormat="1" applyFont="1" applyBorder="1" applyAlignment="1">
      <alignment horizontal="center"/>
    </xf>
    <xf numFmtId="37" fontId="64" fillId="0" borderId="41" xfId="184" applyNumberFormat="1" applyFont="1" applyBorder="1" applyAlignment="1">
      <alignment horizontal="center"/>
    </xf>
    <xf numFmtId="0" fontId="3" fillId="0" borderId="0" xfId="211" applyAlignment="1">
      <alignment horizontal="left" wrapText="1"/>
    </xf>
    <xf numFmtId="0" fontId="3" fillId="0" borderId="0" xfId="218" applyAlignment="1">
      <alignment horizontal="left" wrapText="1"/>
    </xf>
    <xf numFmtId="0" fontId="3" fillId="0" borderId="0" xfId="219" applyAlignment="1">
      <alignment horizontal="left" wrapText="1"/>
    </xf>
    <xf numFmtId="0" fontId="31" fillId="0" borderId="64" xfId="224" applyFont="1" applyBorder="1" applyAlignment="1" applyProtection="1">
      <alignment horizontal="center" vertical="top" wrapText="1"/>
    </xf>
    <xf numFmtId="0" fontId="31" fillId="0" borderId="0" xfId="224" applyFont="1" applyAlignment="1" applyProtection="1">
      <alignment horizontal="center" vertical="top" wrapText="1"/>
    </xf>
    <xf numFmtId="37" fontId="64" fillId="0" borderId="39" xfId="218" applyNumberFormat="1" applyFont="1" applyBorder="1" applyAlignment="1">
      <alignment horizontal="center"/>
    </xf>
    <xf numFmtId="37" fontId="64" fillId="0" borderId="40" xfId="218" applyNumberFormat="1" applyFont="1" applyBorder="1" applyAlignment="1">
      <alignment horizontal="center"/>
    </xf>
    <xf numFmtId="37" fontId="64" fillId="0" borderId="41" xfId="218" applyNumberFormat="1" applyFont="1" applyBorder="1" applyAlignment="1">
      <alignment horizontal="center"/>
    </xf>
    <xf numFmtId="0" fontId="2" fillId="0" borderId="0" xfId="234" applyAlignment="1">
      <alignment horizontal="left" wrapText="1"/>
    </xf>
    <xf numFmtId="37" fontId="64" fillId="0" borderId="39" xfId="235" applyNumberFormat="1" applyFont="1" applyBorder="1" applyAlignment="1">
      <alignment horizontal="center"/>
    </xf>
    <xf numFmtId="37" fontId="64" fillId="0" borderId="40" xfId="235" applyNumberFormat="1" applyFont="1" applyBorder="1" applyAlignment="1">
      <alignment horizontal="center"/>
    </xf>
    <xf numFmtId="37" fontId="64" fillId="0" borderId="41" xfId="235" applyNumberFormat="1" applyFont="1" applyBorder="1" applyAlignment="1">
      <alignment horizontal="center"/>
    </xf>
    <xf numFmtId="37" fontId="64" fillId="0" borderId="39" xfId="3" applyNumberFormat="1" applyFont="1" applyBorder="1" applyAlignment="1">
      <alignment horizontal="center"/>
    </xf>
    <xf numFmtId="37" fontId="64" fillId="0" borderId="40" xfId="3" applyNumberFormat="1" applyFont="1" applyBorder="1" applyAlignment="1">
      <alignment horizontal="center"/>
    </xf>
    <xf numFmtId="37" fontId="64" fillId="0" borderId="41" xfId="3" applyNumberFormat="1" applyFont="1" applyBorder="1" applyAlignment="1">
      <alignment horizontal="center"/>
    </xf>
    <xf numFmtId="39" fontId="12" fillId="0" borderId="71" xfId="217" applyNumberFormat="1" applyFont="1" applyBorder="1" applyAlignment="1">
      <alignment horizontal="center" wrapText="1"/>
    </xf>
    <xf numFmtId="39" fontId="12" fillId="0" borderId="72" xfId="217" applyNumberFormat="1" applyFont="1" applyBorder="1" applyAlignment="1">
      <alignment horizontal="center" wrapText="1"/>
    </xf>
    <xf numFmtId="0" fontId="64" fillId="0" borderId="0" xfId="79" applyFont="1" applyAlignment="1" applyProtection="1">
      <alignment horizontal="left" wrapText="1"/>
    </xf>
    <xf numFmtId="0" fontId="3" fillId="0" borderId="0" xfId="215" applyAlignment="1">
      <alignment horizontal="left" wrapText="1"/>
    </xf>
    <xf numFmtId="0" fontId="5" fillId="0" borderId="0" xfId="184" applyAlignment="1">
      <alignment horizontal="left" wrapText="1"/>
    </xf>
    <xf numFmtId="0" fontId="0" fillId="0" borderId="0" xfId="0" applyAlignment="1" applyProtection="1">
      <alignment horizontal="left" wrapText="1"/>
    </xf>
    <xf numFmtId="39" fontId="264" fillId="0" borderId="37" xfId="0" applyNumberFormat="1" applyFont="1" applyBorder="1" applyAlignment="1" applyProtection="1">
      <alignment horizontal="center"/>
    </xf>
    <xf numFmtId="39" fontId="264" fillId="0" borderId="38" xfId="0" applyNumberFormat="1" applyFont="1" applyBorder="1" applyAlignment="1" applyProtection="1">
      <alignment horizontal="center"/>
    </xf>
    <xf numFmtId="37" fontId="64" fillId="0" borderId="39" xfId="0" applyNumberFormat="1" applyFont="1" applyBorder="1" applyAlignment="1" applyProtection="1">
      <alignment horizontal="center"/>
    </xf>
    <xf numFmtId="37" fontId="64" fillId="0" borderId="40" xfId="0" applyNumberFormat="1" applyFont="1" applyBorder="1" applyAlignment="1" applyProtection="1">
      <alignment horizontal="center"/>
    </xf>
    <xf numFmtId="37" fontId="64" fillId="0" borderId="41" xfId="0" applyNumberFormat="1" applyFont="1" applyBorder="1" applyAlignment="1" applyProtection="1">
      <alignment horizontal="center"/>
    </xf>
    <xf numFmtId="0" fontId="70" fillId="0" borderId="0" xfId="44" applyFont="1" applyAlignment="1" applyProtection="1">
      <alignment horizontal="left" vertical="top" wrapText="1"/>
    </xf>
    <xf numFmtId="0" fontId="195" fillId="0" borderId="0" xfId="184" applyFont="1" applyAlignment="1">
      <alignment horizontal="left" vertical="center" wrapText="1"/>
    </xf>
    <xf numFmtId="0" fontId="4" fillId="0" borderId="0" xfId="202" applyAlignment="1">
      <alignment horizontal="left" wrapText="1"/>
    </xf>
    <xf numFmtId="4" fontId="299" fillId="0" borderId="37" xfId="154" applyNumberFormat="1" applyFont="1" applyBorder="1" applyAlignment="1">
      <alignment horizontal="center" wrapText="1"/>
    </xf>
    <xf numFmtId="4" fontId="299" fillId="0" borderId="38" xfId="154" applyNumberFormat="1" applyFont="1" applyBorder="1" applyAlignment="1">
      <alignment horizontal="center" wrapText="1"/>
    </xf>
    <xf numFmtId="0" fontId="2" fillId="0" borderId="0" xfId="237" applyAlignment="1">
      <alignment horizontal="left" wrapText="1"/>
    </xf>
    <xf numFmtId="37" fontId="64" fillId="0" borderId="39" xfId="237" applyNumberFormat="1" applyFont="1" applyBorder="1" applyAlignment="1">
      <alignment horizontal="center"/>
    </xf>
    <xf numFmtId="37" fontId="64" fillId="0" borderId="40" xfId="237" applyNumberFormat="1" applyFont="1" applyBorder="1" applyAlignment="1">
      <alignment horizontal="center"/>
    </xf>
    <xf numFmtId="37" fontId="64" fillId="0" borderId="41" xfId="237" applyNumberFormat="1" applyFont="1" applyBorder="1" applyAlignment="1">
      <alignment horizontal="center"/>
    </xf>
    <xf numFmtId="39" fontId="12" fillId="0" borderId="71" xfId="3" applyNumberFormat="1" applyFont="1" applyBorder="1" applyAlignment="1">
      <alignment horizontal="center" wrapText="1"/>
    </xf>
    <xf numFmtId="39" fontId="12" fillId="0" borderId="72" xfId="3" applyNumberFormat="1" applyFont="1" applyBorder="1" applyAlignment="1">
      <alignment horizontal="center" wrapText="1"/>
    </xf>
    <xf numFmtId="37" fontId="64" fillId="0" borderId="39" xfId="234" applyNumberFormat="1" applyFont="1" applyBorder="1" applyAlignment="1">
      <alignment horizontal="center"/>
    </xf>
    <xf numFmtId="37" fontId="64" fillId="0" borderId="40" xfId="234" applyNumberFormat="1" applyFont="1" applyBorder="1" applyAlignment="1">
      <alignment horizontal="center"/>
    </xf>
    <xf numFmtId="37" fontId="64" fillId="0" borderId="41" xfId="234" applyNumberFormat="1" applyFont="1" applyBorder="1" applyAlignment="1">
      <alignment horizontal="center"/>
    </xf>
    <xf numFmtId="0" fontId="15" fillId="0" borderId="0" xfId="42" applyAlignment="1" applyProtection="1">
      <alignment vertical="center" wrapText="1"/>
    </xf>
    <xf numFmtId="0" fontId="165" fillId="0" borderId="64" xfId="237" applyFont="1" applyBorder="1" applyAlignment="1">
      <alignment horizontal="center" vertical="center"/>
    </xf>
    <xf numFmtId="0" fontId="165" fillId="0" borderId="0" xfId="237" applyFont="1" applyAlignment="1">
      <alignment horizontal="center" vertical="center"/>
    </xf>
    <xf numFmtId="37" fontId="64" fillId="0" borderId="39" xfId="42" applyNumberFormat="1" applyFont="1" applyBorder="1" applyAlignment="1" applyProtection="1">
      <alignment horizontal="center"/>
    </xf>
    <xf numFmtId="0" fontId="88" fillId="0" borderId="40" xfId="42" applyFont="1" applyBorder="1" applyAlignment="1" applyProtection="1">
      <alignment horizontal="center"/>
    </xf>
    <xf numFmtId="0" fontId="88" fillId="0" borderId="41" xfId="42" applyFont="1" applyBorder="1" applyAlignment="1" applyProtection="1">
      <alignment horizontal="center"/>
    </xf>
    <xf numFmtId="0" fontId="15" fillId="0" borderId="0" xfId="79" applyAlignment="1" applyProtection="1">
      <alignment vertical="center" wrapText="1"/>
    </xf>
    <xf numFmtId="0" fontId="13" fillId="0" borderId="0" xfId="16" applyFont="1" applyAlignment="1">
      <alignment vertical="center" wrapText="1"/>
    </xf>
    <xf numFmtId="0" fontId="2" fillId="0" borderId="0" xfId="246" applyAlignment="1">
      <alignment horizontal="left" wrapText="1"/>
    </xf>
    <xf numFmtId="0" fontId="79" fillId="0" borderId="0" xfId="214" applyFont="1" applyAlignment="1" applyProtection="1">
      <alignment horizontal="left"/>
    </xf>
    <xf numFmtId="37" fontId="64" fillId="0" borderId="39" xfId="245" applyNumberFormat="1" applyFont="1" applyBorder="1" applyAlignment="1">
      <alignment horizontal="center"/>
    </xf>
    <xf numFmtId="37" fontId="64" fillId="0" borderId="40" xfId="245" applyNumberFormat="1" applyFont="1" applyBorder="1" applyAlignment="1">
      <alignment horizontal="center"/>
    </xf>
    <xf numFmtId="37" fontId="64" fillId="0" borderId="41" xfId="245" applyNumberFormat="1" applyFont="1" applyBorder="1" applyAlignment="1">
      <alignment horizontal="center"/>
    </xf>
    <xf numFmtId="0" fontId="64" fillId="0" borderId="0" xfId="23" applyFont="1" applyAlignment="1" applyProtection="1">
      <alignment horizontal="left" wrapText="1"/>
    </xf>
    <xf numFmtId="0" fontId="3" fillId="0" borderId="0" xfId="230" applyAlignment="1">
      <alignment horizontal="left" wrapText="1"/>
    </xf>
    <xf numFmtId="0" fontId="3" fillId="0" borderId="0" xfId="231" applyAlignment="1">
      <alignment horizontal="left" wrapText="1"/>
    </xf>
    <xf numFmtId="4" fontId="71" fillId="0" borderId="71" xfId="232" applyNumberFormat="1" applyFont="1" applyBorder="1" applyAlignment="1">
      <alignment horizontal="center"/>
    </xf>
    <xf numFmtId="4" fontId="71" fillId="0" borderId="72" xfId="232" applyNumberFormat="1" applyFont="1" applyBorder="1" applyAlignment="1">
      <alignment horizontal="center"/>
    </xf>
    <xf numFmtId="37" fontId="64" fillId="0" borderId="39" xfId="229" applyNumberFormat="1" applyFont="1" applyBorder="1" applyAlignment="1">
      <alignment horizontal="center"/>
    </xf>
    <xf numFmtId="37" fontId="64" fillId="0" borderId="40" xfId="229" applyNumberFormat="1" applyFont="1" applyBorder="1" applyAlignment="1">
      <alignment horizontal="center"/>
    </xf>
    <xf numFmtId="37" fontId="64" fillId="0" borderId="41" xfId="229" applyNumberFormat="1" applyFont="1" applyBorder="1" applyAlignment="1">
      <alignment horizontal="center"/>
    </xf>
    <xf numFmtId="39" fontId="12" fillId="0" borderId="71" xfId="232" applyNumberFormat="1" applyFont="1" applyBorder="1" applyAlignment="1">
      <alignment horizontal="center"/>
    </xf>
    <xf numFmtId="39" fontId="12" fillId="0" borderId="72" xfId="232" applyNumberFormat="1" applyFont="1" applyBorder="1" applyAlignment="1">
      <alignment horizontal="center"/>
    </xf>
    <xf numFmtId="0" fontId="14" fillId="0" borderId="0" xfId="3" applyAlignment="1">
      <alignment horizontal="left" wrapText="1"/>
    </xf>
    <xf numFmtId="0" fontId="3" fillId="0" borderId="0" xfId="228" applyAlignment="1">
      <alignment horizontal="left" wrapText="1"/>
    </xf>
    <xf numFmtId="37" fontId="64" fillId="0" borderId="39" xfId="215" applyNumberFormat="1" applyFont="1" applyBorder="1" applyAlignment="1">
      <alignment horizontal="center"/>
    </xf>
    <xf numFmtId="37" fontId="64" fillId="0" borderId="40" xfId="215" applyNumberFormat="1" applyFont="1" applyBorder="1" applyAlignment="1">
      <alignment horizontal="center"/>
    </xf>
    <xf numFmtId="37" fontId="64" fillId="0" borderId="41" xfId="215" applyNumberFormat="1" applyFont="1" applyBorder="1" applyAlignment="1">
      <alignment horizontal="center"/>
    </xf>
    <xf numFmtId="37" fontId="64" fillId="0" borderId="39" xfId="228" applyNumberFormat="1" applyFont="1" applyBorder="1" applyAlignment="1">
      <alignment horizontal="center"/>
    </xf>
    <xf numFmtId="37" fontId="64" fillId="0" borderId="40" xfId="228" applyNumberFormat="1" applyFont="1" applyBorder="1" applyAlignment="1">
      <alignment horizontal="center"/>
    </xf>
    <xf numFmtId="37" fontId="64" fillId="0" borderId="41" xfId="228" applyNumberFormat="1" applyFont="1" applyBorder="1" applyAlignment="1">
      <alignment horizontal="center"/>
    </xf>
    <xf numFmtId="39" fontId="71" fillId="9" borderId="80" xfId="154" applyNumberFormat="1" applyFont="1" applyFill="1" applyBorder="1" applyAlignment="1" applyProtection="1">
      <alignment horizontal="right"/>
      <protection locked="0"/>
    </xf>
    <xf numFmtId="39" fontId="71" fillId="0" borderId="80" xfId="12" applyNumberFormat="1" applyFont="1" applyBorder="1" applyAlignment="1" applyProtection="1">
      <alignment horizontal="center"/>
    </xf>
    <xf numFmtId="0" fontId="12" fillId="0" borderId="80" xfId="25" applyFont="1" applyBorder="1" applyAlignment="1" applyProtection="1">
      <alignment horizontal="left" wrapText="1"/>
    </xf>
    <xf numFmtId="0" fontId="12" fillId="0" borderId="80" xfId="25" applyFont="1" applyBorder="1" applyAlignment="1" applyProtection="1">
      <alignment horizontal="left" shrinkToFit="1"/>
    </xf>
    <xf numFmtId="39" fontId="264" fillId="9" borderId="80" xfId="154" applyNumberFormat="1" applyFont="1" applyFill="1" applyBorder="1" applyAlignment="1" applyProtection="1">
      <alignment horizontal="right"/>
      <protection locked="0"/>
    </xf>
    <xf numFmtId="37" fontId="299" fillId="0" borderId="80" xfId="154" applyNumberFormat="1" applyFont="1" applyBorder="1" applyAlignment="1" applyProtection="1">
      <alignment horizontal="right"/>
    </xf>
    <xf numFmtId="49" fontId="12" fillId="0" borderId="80" xfId="154" applyNumberFormat="1" applyFont="1" applyBorder="1" applyAlignment="1" applyProtection="1">
      <alignment horizontal="left" wrapText="1"/>
    </xf>
    <xf numFmtId="0" fontId="12" fillId="0" borderId="80" xfId="154" applyFont="1" applyBorder="1" applyAlignment="1" applyProtection="1">
      <alignment horizontal="left" wrapText="1"/>
    </xf>
    <xf numFmtId="172" fontId="12" fillId="0" borderId="80" xfId="154" applyNumberFormat="1" applyFont="1" applyBorder="1" applyAlignment="1" applyProtection="1">
      <alignment horizontal="right"/>
    </xf>
    <xf numFmtId="4" fontId="12" fillId="0" borderId="80" xfId="142" applyNumberFormat="1" applyFont="1" applyBorder="1" applyAlignment="1" applyProtection="1">
      <alignment horizontal="right"/>
    </xf>
    <xf numFmtId="4" fontId="12" fillId="0" borderId="80" xfId="129" applyNumberFormat="1" applyFont="1" applyBorder="1" applyAlignment="1" applyProtection="1">
      <alignment horizontal="right"/>
    </xf>
    <xf numFmtId="39" fontId="12" fillId="0" borderId="80" xfId="25" applyNumberFormat="1" applyFont="1" applyBorder="1" applyAlignment="1" applyProtection="1">
      <alignment horizontal="center"/>
    </xf>
    <xf numFmtId="0" fontId="191" fillId="0" borderId="0" xfId="154" applyFont="1" applyAlignment="1" applyProtection="1">
      <alignment horizontal="left" vertical="center"/>
    </xf>
    <xf numFmtId="37" fontId="12" fillId="0" borderId="80" xfId="154" applyNumberFormat="1" applyFont="1" applyBorder="1" applyAlignment="1" applyProtection="1">
      <alignment horizontal="right"/>
    </xf>
    <xf numFmtId="0" fontId="57" fillId="0" borderId="80" xfId="154" applyFont="1" applyBorder="1" applyAlignment="1" applyProtection="1">
      <alignment horizontal="left" wrapText="1"/>
    </xf>
    <xf numFmtId="39" fontId="119" fillId="0" borderId="80" xfId="154" applyNumberFormat="1" applyFont="1" applyBorder="1" applyAlignment="1" applyProtection="1">
      <alignment horizontal="right"/>
    </xf>
    <xf numFmtId="39" fontId="12" fillId="0" borderId="80" xfId="154" applyNumberFormat="1" applyFont="1" applyBorder="1" applyAlignment="1" applyProtection="1">
      <alignment horizontal="right"/>
    </xf>
    <xf numFmtId="39" fontId="12" fillId="0" borderId="80" xfId="154" applyNumberFormat="1" applyFont="1" applyBorder="1" applyAlignment="1" applyProtection="1">
      <alignment horizontal="center"/>
    </xf>
    <xf numFmtId="0" fontId="31" fillId="0" borderId="0" xfId="154" applyAlignment="1" applyProtection="1">
      <alignment horizontal="left" vertical="top"/>
    </xf>
    <xf numFmtId="0" fontId="31" fillId="0" borderId="0" xfId="154" applyAlignment="1" applyProtection="1">
      <alignment horizontal="left" vertical="center"/>
    </xf>
    <xf numFmtId="0" fontId="31" fillId="0" borderId="0" xfId="154" applyAlignment="1" applyProtection="1">
      <alignment vertical="center"/>
    </xf>
    <xf numFmtId="0" fontId="83" fillId="0" borderId="0" xfId="154" applyFont="1" applyAlignment="1" applyProtection="1">
      <alignment horizontal="left" vertical="center" wrapText="1"/>
    </xf>
    <xf numFmtId="0" fontId="57" fillId="0" borderId="0" xfId="154" applyFont="1" applyAlignment="1" applyProtection="1">
      <alignment horizontal="left" vertical="center" wrapText="1"/>
    </xf>
    <xf numFmtId="2" fontId="57" fillId="0" borderId="0" xfId="154" applyNumberFormat="1" applyFont="1" applyAlignment="1" applyProtection="1">
      <alignment horizontal="left" vertical="center"/>
    </xf>
    <xf numFmtId="2" fontId="57" fillId="0" borderId="0" xfId="154" applyNumberFormat="1" applyFont="1" applyAlignment="1" applyProtection="1">
      <alignment horizontal="right" vertical="center"/>
    </xf>
    <xf numFmtId="39" fontId="12" fillId="0" borderId="0" xfId="154" applyNumberFormat="1" applyFont="1" applyAlignment="1" applyProtection="1">
      <alignment horizontal="right" vertical="center"/>
    </xf>
    <xf numFmtId="37" fontId="12" fillId="0" borderId="0" xfId="154" applyNumberFormat="1" applyFont="1" applyAlignment="1" applyProtection="1">
      <alignment horizontal="right"/>
    </xf>
    <xf numFmtId="0" fontId="12" fillId="0" borderId="0" xfId="154" applyFont="1" applyAlignment="1" applyProtection="1">
      <alignment horizontal="left" wrapText="1"/>
    </xf>
    <xf numFmtId="0" fontId="57" fillId="0" borderId="0" xfId="154" applyFont="1" applyAlignment="1" applyProtection="1">
      <alignment horizontal="left" wrapText="1"/>
    </xf>
    <xf numFmtId="2" fontId="12" fillId="0" borderId="0" xfId="154" applyNumberFormat="1" applyFont="1" applyAlignment="1" applyProtection="1">
      <alignment horizontal="right"/>
    </xf>
    <xf numFmtId="39" fontId="119" fillId="0" borderId="0" xfId="154" applyNumberFormat="1" applyFont="1" applyAlignment="1" applyProtection="1">
      <alignment horizontal="right"/>
    </xf>
    <xf numFmtId="39" fontId="12" fillId="0" borderId="0" xfId="154" applyNumberFormat="1" applyFont="1" applyAlignment="1" applyProtection="1">
      <alignment horizontal="right"/>
    </xf>
    <xf numFmtId="39" fontId="12" fillId="0" borderId="0" xfId="154" applyNumberFormat="1" applyFont="1" applyAlignment="1" applyProtection="1">
      <alignment horizontal="center"/>
    </xf>
    <xf numFmtId="0" fontId="107" fillId="0" borderId="0" xfId="154" applyFont="1" applyAlignment="1" applyProtection="1">
      <alignment horizontal="left" vertical="top"/>
    </xf>
    <xf numFmtId="0" fontId="264" fillId="0" borderId="80" xfId="154" applyFont="1" applyBorder="1" applyAlignment="1" applyProtection="1">
      <alignment horizontal="left" wrapText="1"/>
    </xf>
    <xf numFmtId="37" fontId="264" fillId="0" borderId="80" xfId="154" applyNumberFormat="1" applyFont="1" applyBorder="1" applyAlignment="1" applyProtection="1">
      <alignment horizontal="right"/>
    </xf>
    <xf numFmtId="0" fontId="83" fillId="0" borderId="80" xfId="154" applyFont="1" applyBorder="1" applyAlignment="1" applyProtection="1">
      <alignment horizontal="left" wrapText="1"/>
    </xf>
    <xf numFmtId="0" fontId="71" fillId="0" borderId="80" xfId="3" applyFont="1" applyBorder="1" applyAlignment="1" applyProtection="1">
      <alignment horizontal="left" wrapText="1"/>
    </xf>
    <xf numFmtId="2" fontId="57" fillId="0" borderId="80" xfId="154" applyNumberFormat="1" applyFont="1" applyBorder="1" applyAlignment="1" applyProtection="1">
      <alignment horizontal="left"/>
    </xf>
    <xf numFmtId="172" fontId="264" fillId="0" borderId="80" xfId="154" applyNumberFormat="1" applyFont="1" applyBorder="1" applyAlignment="1" applyProtection="1">
      <alignment horizontal="right"/>
    </xf>
    <xf numFmtId="4" fontId="57" fillId="0" borderId="80" xfId="184" applyNumberFormat="1" applyFont="1" applyBorder="1" applyAlignment="1" applyProtection="1">
      <alignment horizontal="right"/>
    </xf>
    <xf numFmtId="0" fontId="74" fillId="0" borderId="0" xfId="154" applyFont="1" applyAlignment="1" applyProtection="1">
      <alignment horizontal="left" vertical="center"/>
    </xf>
    <xf numFmtId="0" fontId="60" fillId="0" borderId="0" xfId="154" applyFont="1" applyAlignment="1" applyProtection="1">
      <alignment vertical="center"/>
    </xf>
    <xf numFmtId="37" fontId="83" fillId="0" borderId="0" xfId="154" applyNumberFormat="1" applyFont="1" applyAlignment="1" applyProtection="1">
      <alignment horizontal="right"/>
    </xf>
    <xf numFmtId="0" fontId="83" fillId="0" borderId="0" xfId="154" applyFont="1" applyAlignment="1" applyProtection="1">
      <alignment horizontal="left" wrapText="1"/>
    </xf>
    <xf numFmtId="2" fontId="57" fillId="0" borderId="0" xfId="154" applyNumberFormat="1" applyFont="1" applyAlignment="1" applyProtection="1">
      <alignment horizontal="right"/>
    </xf>
    <xf numFmtId="39" fontId="83" fillId="0" borderId="0" xfId="154" applyNumberFormat="1" applyFont="1" applyAlignment="1" applyProtection="1">
      <alignment horizontal="right"/>
    </xf>
    <xf numFmtId="0" fontId="192" fillId="0" borderId="0" xfId="154" applyFont="1" applyAlignment="1" applyProtection="1">
      <alignment horizontal="left" vertical="center"/>
    </xf>
    <xf numFmtId="39" fontId="57" fillId="0" borderId="0" xfId="154" applyNumberFormat="1" applyFont="1" applyAlignment="1" applyProtection="1">
      <alignment horizontal="right"/>
    </xf>
    <xf numFmtId="2" fontId="57" fillId="0" borderId="0" xfId="154" applyNumberFormat="1" applyFont="1" applyAlignment="1" applyProtection="1">
      <alignment horizontal="left"/>
    </xf>
    <xf numFmtId="37" fontId="71" fillId="0" borderId="80" xfId="154" applyNumberFormat="1" applyFont="1" applyBorder="1" applyAlignment="1" applyProtection="1">
      <alignment horizontal="right"/>
    </xf>
    <xf numFmtId="172" fontId="57" fillId="0" borderId="80" xfId="154" applyNumberFormat="1" applyFont="1" applyBorder="1" applyAlignment="1" applyProtection="1">
      <alignment horizontal="right"/>
    </xf>
    <xf numFmtId="4" fontId="264" fillId="0" borderId="78" xfId="195" applyNumberFormat="1" applyFont="1" applyBorder="1" applyAlignment="1" applyProtection="1">
      <alignment horizontal="center"/>
    </xf>
    <xf numFmtId="4" fontId="264" fillId="0" borderId="79" xfId="195" applyNumberFormat="1" applyFont="1" applyBorder="1" applyAlignment="1" applyProtection="1">
      <alignment horizontal="center"/>
    </xf>
    <xf numFmtId="0" fontId="264" fillId="0" borderId="80" xfId="3" applyFont="1" applyBorder="1" applyAlignment="1" applyProtection="1">
      <alignment horizontal="left" wrapText="1"/>
    </xf>
    <xf numFmtId="2" fontId="264" fillId="0" borderId="80" xfId="154" applyNumberFormat="1" applyFont="1" applyBorder="1" applyAlignment="1" applyProtection="1">
      <alignment horizontal="left"/>
    </xf>
    <xf numFmtId="4" fontId="264" fillId="0" borderId="80" xfId="184" applyNumberFormat="1" applyFont="1" applyBorder="1" applyAlignment="1" applyProtection="1">
      <alignment horizontal="right"/>
    </xf>
    <xf numFmtId="37" fontId="83" fillId="0" borderId="0" xfId="154" applyNumberFormat="1" applyFont="1" applyAlignment="1" applyProtection="1">
      <alignment horizontal="right" vertical="center"/>
    </xf>
    <xf numFmtId="39" fontId="57" fillId="0" borderId="0" xfId="154" applyNumberFormat="1" applyFont="1" applyAlignment="1" applyProtection="1">
      <alignment horizontal="right" vertical="center"/>
    </xf>
    <xf numFmtId="49" fontId="12" fillId="0" borderId="80" xfId="154" applyNumberFormat="1" applyFont="1" applyBorder="1" applyAlignment="1" applyProtection="1">
      <alignment horizontal="right" wrapText="1"/>
    </xf>
    <xf numFmtId="0" fontId="91" fillId="0" borderId="80" xfId="154" applyFont="1" applyBorder="1" applyAlignment="1" applyProtection="1">
      <alignment vertical="top" wrapText="1"/>
    </xf>
    <xf numFmtId="0" fontId="31" fillId="0" borderId="0" xfId="154" applyAlignment="1" applyProtection="1">
      <alignment horizontal="right" vertical="center"/>
    </xf>
  </cellXfs>
  <cellStyles count="247">
    <cellStyle name="1D čísla" xfId="49" xr:uid="{00000000-0005-0000-0000-000000000000}"/>
    <cellStyle name="2D čísla" xfId="50" xr:uid="{00000000-0005-0000-0000-000001000000}"/>
    <cellStyle name="3D čísla" xfId="51" xr:uid="{00000000-0005-0000-0000-000002000000}"/>
    <cellStyle name="Celá čísla" xfId="52" xr:uid="{00000000-0005-0000-0000-000003000000}"/>
    <cellStyle name="Čárka 2" xfId="165" xr:uid="{61278A7B-0693-43DC-BD06-462982CA07C6}"/>
    <cellStyle name="čárky 2" xfId="53" xr:uid="{00000000-0005-0000-0000-000004000000}"/>
    <cellStyle name="čárky 2 2" xfId="54" xr:uid="{00000000-0005-0000-0000-000005000000}"/>
    <cellStyle name="čárky 2 2 2" xfId="55" xr:uid="{00000000-0005-0000-0000-000006000000}"/>
    <cellStyle name="čárky 2 3" xfId="56" xr:uid="{00000000-0005-0000-0000-000007000000}"/>
    <cellStyle name="čárky 2 3 2" xfId="57" xr:uid="{00000000-0005-0000-0000-000008000000}"/>
    <cellStyle name="čárky 3" xfId="58" xr:uid="{00000000-0005-0000-0000-000009000000}"/>
    <cellStyle name="čárky 3 2" xfId="59" xr:uid="{00000000-0005-0000-0000-00000A000000}"/>
    <cellStyle name="čárky 3 2 2" xfId="60" xr:uid="{00000000-0005-0000-0000-00000B000000}"/>
    <cellStyle name="čárky 4" xfId="61" xr:uid="{00000000-0005-0000-0000-00000C000000}"/>
    <cellStyle name="Excel Built-in Normal" xfId="62" xr:uid="{00000000-0005-0000-0000-00000D000000}"/>
    <cellStyle name="Hlavička" xfId="63" xr:uid="{00000000-0005-0000-0000-00000E000000}"/>
    <cellStyle name="Hypertextový odkaz" xfId="210" builtinId="8"/>
    <cellStyle name="Hypertextový odkaz 2" xfId="27" xr:uid="{00000000-0005-0000-0000-000010000000}"/>
    <cellStyle name="Hypertextový odkaz 2 2" xfId="28" xr:uid="{00000000-0005-0000-0000-000011000000}"/>
    <cellStyle name="Hypertextový odkaz 2 2 2" xfId="48" xr:uid="{00000000-0005-0000-0000-000012000000}"/>
    <cellStyle name="Hypertextový odkaz 2 2 4" xfId="201" xr:uid="{CC81BF42-4C5D-4DDA-94BA-8BE733828C6F}"/>
    <cellStyle name="Hypertextový odkaz 2 3" xfId="207" xr:uid="{C2391589-F549-4320-87ED-9AB175B890A1}"/>
    <cellStyle name="Hypertextový odkaz 3" xfId="64" xr:uid="{00000000-0005-0000-0000-000013000000}"/>
    <cellStyle name="Hypertextový odkaz 3 2" xfId="127" xr:uid="{00000000-0005-0000-0000-000014000000}"/>
    <cellStyle name="Hypertextový odkaz 4" xfId="29" xr:uid="{00000000-0005-0000-0000-000015000000}"/>
    <cellStyle name="Hypertextový odkaz 4 2" xfId="139" xr:uid="{EE11A8FF-4417-4316-B5A4-C4652DFA6572}"/>
    <cellStyle name="Hypertextový odkaz 4 2 2" xfId="145" xr:uid="{CB6EB0F4-83A5-4CEE-B600-FD178C3FF190}"/>
    <cellStyle name="Hypertextový odkaz 4 2 3" xfId="200" xr:uid="{B801773B-DFAC-4CE5-9EEA-73904829749F}"/>
    <cellStyle name="Hypertextový odkaz 4 3" xfId="146" xr:uid="{548B2906-715B-4934-96F5-FF963AD4D640}"/>
    <cellStyle name="Hypertextový odkaz 4 4" xfId="222" xr:uid="{38FDB174-0506-48B6-97F6-95192BBBE0E7}"/>
    <cellStyle name="Hypertextový odkaz 5" xfId="122" xr:uid="{00000000-0005-0000-0000-000016000000}"/>
    <cellStyle name="Hypertextový odkaz 5 2" xfId="143" xr:uid="{CEC72D07-9ADC-4917-A1C0-C105A415B6C6}"/>
    <cellStyle name="Hypertextový odkaz 5 3" xfId="242" xr:uid="{B195742D-E71F-4CDB-99D4-3F2FE8A481E1}"/>
    <cellStyle name="Hypertextový odkaz 6" xfId="126" xr:uid="{00000000-0005-0000-0000-000017000000}"/>
    <cellStyle name="Měna 2" xfId="163" xr:uid="{69E4C439-3072-4BCF-A435-05E40576BF36}"/>
    <cellStyle name="Nadpis listu" xfId="65"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6" xr:uid="{00000000-0005-0000-0000-00001D000000}"/>
    <cellStyle name="Normální 11" xfId="4" xr:uid="{00000000-0005-0000-0000-00001E000000}"/>
    <cellStyle name="normální 11 2" xfId="67" xr:uid="{00000000-0005-0000-0000-00001F000000}"/>
    <cellStyle name="normální 11 2 2" xfId="190" xr:uid="{13000DC5-BBA3-4048-B470-2EBF4308B4D2}"/>
    <cellStyle name="Normální 11 2 3" xfId="155" xr:uid="{4BD5F0D7-AAA5-4326-A596-4E0E208775E5}"/>
    <cellStyle name="Normální 11 3" xfId="124" xr:uid="{00000000-0005-0000-0000-000020000000}"/>
    <cellStyle name="normální 11 3 2" xfId="131" xr:uid="{00000000-0005-0000-0000-000021000000}"/>
    <cellStyle name="Normální 11 3 2 2" xfId="192" xr:uid="{1EAF3F1D-4DC3-4C01-BBD1-7E234F44DD22}"/>
    <cellStyle name="normální 11 3 2 2 2" xfId="225" xr:uid="{B821900E-C444-423A-8080-ABC4FB97DAC6}"/>
    <cellStyle name="Normální 11 5" xfId="159" xr:uid="{CA206A9D-666D-48F3-B48F-50E3386B8022}"/>
    <cellStyle name="Normální 11 5 2" xfId="184" xr:uid="{BB415DBF-3FDA-4878-9D6C-58A1E499D349}"/>
    <cellStyle name="Normální 11 5 2 2" xfId="205" xr:uid="{0563762E-5E9B-447F-9C55-E134FCB46BEB}"/>
    <cellStyle name="Normální 11 5 2 3" xfId="233" xr:uid="{92E6BC9F-D729-42C7-A625-0F4F68835BB1}"/>
    <cellStyle name="normální 11 6 2" xfId="169" xr:uid="{E3F49F12-E5D9-4112-B570-542CD892731D}"/>
    <cellStyle name="normální 12" xfId="21" xr:uid="{00000000-0005-0000-0000-000022000000}"/>
    <cellStyle name="Normální 12 2" xfId="40" xr:uid="{00000000-0005-0000-0000-000023000000}"/>
    <cellStyle name="Normální 12 2 2" xfId="68" xr:uid="{00000000-0005-0000-0000-000024000000}"/>
    <cellStyle name="Normální 12 2 2 2" xfId="69" xr:uid="{00000000-0005-0000-0000-000025000000}"/>
    <cellStyle name="Normální 12 2 2 3" xfId="142" xr:uid="{FECE4142-C79D-4576-970F-DC402CE57C77}"/>
    <cellStyle name="Normální 12 2 3" xfId="70" xr:uid="{00000000-0005-0000-0000-000026000000}"/>
    <cellStyle name="Normální 12 2 3 2" xfId="177" xr:uid="{A78DADD3-8068-4E33-B87B-32E7FFDA5B39}"/>
    <cellStyle name="Normální 12 2 4" xfId="133" xr:uid="{E86A96AE-E1D1-4FB5-8A3E-C73FE1C5628D}"/>
    <cellStyle name="Normální 12 2 4 2" xfId="203" xr:uid="{22660E4B-796A-4DB3-BF84-C52CDC8A586C}"/>
    <cellStyle name="Normální 12 2 4 2 2" xfId="237" xr:uid="{B99884A3-94AB-47FF-AA7D-D26CDA138774}"/>
    <cellStyle name="Normální 12 2 4 2 2 4" xfId="215" xr:uid="{EB8CECE3-788C-40C4-8D5E-DE4F8B8D8148}"/>
    <cellStyle name="Normální 12 2 4 2 2 4 2" xfId="220" xr:uid="{36574C8A-D1A4-4A81-9E40-224474BEB569}"/>
    <cellStyle name="Normální 12 2 4 3" xfId="195" xr:uid="{E55DCD6D-A569-4879-B966-08DC77C52BEC}"/>
    <cellStyle name="Normální 12 2 4 4" xfId="211" xr:uid="{21085B23-799A-4BF4-BB88-71B2BA6FD423}"/>
    <cellStyle name="Normální 12 2 5" xfId="141" xr:uid="{BB4CD348-C6C4-4E88-8D11-43E9EB01666C}"/>
    <cellStyle name="Normální 12 2 6" xfId="152" xr:uid="{758A4E02-6369-41CB-8954-CF863A9100A0}"/>
    <cellStyle name="Normální 12 3" xfId="71" xr:uid="{00000000-0005-0000-0000-000027000000}"/>
    <cellStyle name="normální 12 3 2" xfId="136" xr:uid="{D2217B3A-9280-4FDD-A009-1E0D92300195}"/>
    <cellStyle name="normální 12 3 3" xfId="147" xr:uid="{7A675CDE-F80B-440D-863F-C04724BBCCBA}"/>
    <cellStyle name="normální 12 3 4" xfId="151" xr:uid="{F998A5E6-4824-4B93-B1B4-BBBB9B3EE1DC}"/>
    <cellStyle name="normální 12 3 5" xfId="180" xr:uid="{543D9523-0A68-4FA8-BC42-D3D1035AB115}"/>
    <cellStyle name="normální 12 3 6" xfId="196" xr:uid="{27633868-86B8-450D-996D-D909357C1ECD}"/>
    <cellStyle name="Normální 12 4" xfId="43" xr:uid="{00000000-0005-0000-0000-000028000000}"/>
    <cellStyle name="Normální 12 4 2" xfId="119" xr:uid="{00000000-0005-0000-0000-000029000000}"/>
    <cellStyle name="Normální 12 4 2 2" xfId="240" xr:uid="{83AAD5F8-4BD3-4C6C-B0FD-995A9399E9C4}"/>
    <cellStyle name="Normální 12 4 3" xfId="116" xr:uid="{00000000-0005-0000-0000-00002A000000}"/>
    <cellStyle name="Normální 12 4 3 2" xfId="216" xr:uid="{3240C261-7863-4699-85AD-DF88D94A2440}"/>
    <cellStyle name="Normální 12 4 4" xfId="135" xr:uid="{506CDFA8-6F11-4C7B-BF7D-0D0727FEFF89}"/>
    <cellStyle name="Normální 12 4 5" xfId="144" xr:uid="{4D73AD53-BD91-4F69-A99E-C18AB3517C58}"/>
    <cellStyle name="Normální 12 4 6" xfId="150" xr:uid="{7E1D8BED-50AA-44B7-B659-DDFFEE0F211E}"/>
    <cellStyle name="Normální 12 4 6 2" xfId="223" xr:uid="{D63E81D6-3108-45C0-8746-A0054DF31024}"/>
    <cellStyle name="Normální 12 4 7" xfId="179" xr:uid="{0D9F37C0-C918-4290-9DCC-5D448D075177}"/>
    <cellStyle name="Normální 12 4 8" xfId="212" xr:uid="{54FD974D-FF0D-4AFA-8442-2018AF166E90}"/>
    <cellStyle name="Normální 12 4 9" xfId="239" xr:uid="{EEE0E3C6-565F-4555-94E3-E5A71CC11D62}"/>
    <cellStyle name="Normální 12 5" xfId="148" xr:uid="{A424A407-C587-4E30-B20D-67B31543D9FB}"/>
    <cellStyle name="Normální 12 5 2" xfId="227" xr:uid="{DD38D9C8-2591-4185-90A2-A871851258C2}"/>
    <cellStyle name="Normální 12 6" xfId="194" xr:uid="{23FF7476-A709-448A-BF7C-27BDE9B9EC02}"/>
    <cellStyle name="Normální 12 6 2" xfId="213" xr:uid="{9ED513FC-D4CB-4891-BE10-F5D6BF291549}"/>
    <cellStyle name="Normální 12 7" xfId="219" xr:uid="{CF4528FF-C7A4-479A-98D4-A309BFE1DE3B}"/>
    <cellStyle name="Normální 12 8" xfId="234" xr:uid="{62D2D6D5-9231-45B2-8EBA-CEC6B73DB65D}"/>
    <cellStyle name="normální 13" xfId="24" xr:uid="{00000000-0005-0000-0000-00002B000000}"/>
    <cellStyle name="Normální 13 2" xfId="33" xr:uid="{00000000-0005-0000-0000-00002C000000}"/>
    <cellStyle name="normální 13 2 2" xfId="46" xr:uid="{00000000-0005-0000-0000-00002D000000}"/>
    <cellStyle name="Normální 13 2 2 2" xfId="241" xr:uid="{F477D5E0-BDB3-4891-96D4-B04B80BDFE26}"/>
    <cellStyle name="normální 14" xfId="39" xr:uid="{00000000-0005-0000-0000-00002E000000}"/>
    <cellStyle name="normální 14 2" xfId="45" xr:uid="{00000000-0005-0000-0000-00002F000000}"/>
    <cellStyle name="Normální 14 3" xfId="120" xr:uid="{00000000-0005-0000-0000-000030000000}"/>
    <cellStyle name="Normální 14 3 2" xfId="170" xr:uid="{FE89A3AE-C460-4953-A895-995C706FCA7E}"/>
    <cellStyle name="Normální 14 3 2 2" xfId="187" xr:uid="{A52C66D0-F189-49DD-8D82-D105EDA46256}"/>
    <cellStyle name="Normální 14 3 2 2 2" xfId="209" xr:uid="{5779D39F-3BA4-40FF-A5DB-B38903C7E988}"/>
    <cellStyle name="Normální 14 3 2 2 3" xfId="231" xr:uid="{C37422B1-A651-4926-A8A0-B1F47C6F2F8E}"/>
    <cellStyle name="Normální 14 3 2 3" xfId="228" xr:uid="{A0961791-425A-4725-9113-79D4FA0A865A}"/>
    <cellStyle name="Normální 14 3 2 4" xfId="246" xr:uid="{0286256A-7D63-45F8-A553-8DF822A00B8B}"/>
    <cellStyle name="Normální 14 4" xfId="158" xr:uid="{E49C7AA0-99CC-4E17-8CE8-141504482D16}"/>
    <cellStyle name="Normální 14 4 2" xfId="218" xr:uid="{994FB378-9523-4CAF-A9BD-6F063AE623F4}"/>
    <cellStyle name="Normální 14 5" xfId="182" xr:uid="{BC040075-AA66-4085-8EF8-A4099626D0BD}"/>
    <cellStyle name="normální 14 6" xfId="232" xr:uid="{299261CF-C956-4919-8E16-89C5DC1CC394}"/>
    <cellStyle name="normální 15" xfId="72" xr:uid="{00000000-0005-0000-0000-000031000000}"/>
    <cellStyle name="Normální 15 2" xfId="73" xr:uid="{00000000-0005-0000-0000-000032000000}"/>
    <cellStyle name="Normální 15 2 2" xfId="118" xr:uid="{00000000-0005-0000-0000-000033000000}"/>
    <cellStyle name="Normální 15 3" xfId="138" xr:uid="{B9B9000B-86BA-447B-8263-FE626BFDCA09}"/>
    <cellStyle name="Normální 16" xfId="74" xr:uid="{00000000-0005-0000-0000-000034000000}"/>
    <cellStyle name="Normální 16 2" xfId="75" xr:uid="{00000000-0005-0000-0000-000035000000}"/>
    <cellStyle name="Normální 16 3" xfId="154" xr:uid="{AA6CD071-7F1C-4EAD-A7EA-9FE8D3CB00D8}"/>
    <cellStyle name="Normální 16 4" xfId="217" xr:uid="{183C3E16-FC58-44A3-9A8B-6963E02BF68A}"/>
    <cellStyle name="Normální 16 5" xfId="235" xr:uid="{27510B67-4E34-4167-9E42-2F213C7C8889}"/>
    <cellStyle name="Normální 17" xfId="35" xr:uid="{00000000-0005-0000-0000-000036000000}"/>
    <cellStyle name="Normální 18" xfId="76" xr:uid="{00000000-0005-0000-0000-000037000000}"/>
    <cellStyle name="normální 19" xfId="160" xr:uid="{C861ED7D-0EA2-4B46-BCE0-551664A3E04A}"/>
    <cellStyle name="Normální 2" xfId="5" xr:uid="{00000000-0005-0000-0000-000038000000}"/>
    <cellStyle name="Normální 2 10" xfId="166" xr:uid="{A37E0852-FA85-4AD5-9383-DDC2BD2AD2B7}"/>
    <cellStyle name="normální 2 2" xfId="6" xr:uid="{00000000-0005-0000-0000-000039000000}"/>
    <cellStyle name="normální 2 2 2" xfId="22" xr:uid="{00000000-0005-0000-0000-00003A000000}"/>
    <cellStyle name="normální 2 2 2 2" xfId="140" xr:uid="{263D2C46-8A30-466A-A7A8-7DB244BF0E2F}"/>
    <cellStyle name="normální 2 2 2 2 2" xfId="238" xr:uid="{54410768-81C0-4E82-B2D8-FF8ED1A5201C}"/>
    <cellStyle name="Normální 2 2 3" xfId="25" xr:uid="{00000000-0005-0000-0000-00003B000000}"/>
    <cellStyle name="normální 2 2 3 2" xfId="149" xr:uid="{5F0B1EC9-88ED-4F86-BAE6-5E0F043C1EE1}"/>
    <cellStyle name="normální 2 2 4" xfId="77" xr:uid="{00000000-0005-0000-0000-00003C000000}"/>
    <cellStyle name="normální 2 2 5" xfId="132" xr:uid="{71F75F7B-8794-43E5-8347-F24644690D0B}"/>
    <cellStyle name="Normální 2 3" xfId="23" xr:uid="{00000000-0005-0000-0000-00003D000000}"/>
    <cellStyle name="Normální 2 3 2" xfId="78" xr:uid="{00000000-0005-0000-0000-00003E000000}"/>
    <cellStyle name="Normální 2 3 3" xfId="79" xr:uid="{00000000-0005-0000-0000-00003F000000}"/>
    <cellStyle name="Normální 2 3 4" xfId="125" xr:uid="{00000000-0005-0000-0000-000040000000}"/>
    <cellStyle name="Normální 2 4" xfId="80" xr:uid="{00000000-0005-0000-0000-000041000000}"/>
    <cellStyle name="Normální 2 4 2" xfId="81" xr:uid="{00000000-0005-0000-0000-000042000000}"/>
    <cellStyle name="normální 2 5" xfId="82" xr:uid="{00000000-0005-0000-0000-000043000000}"/>
    <cellStyle name="normální 2 6" xfId="83" xr:uid="{00000000-0005-0000-0000-000044000000}"/>
    <cellStyle name="Normální 2 7" xfId="84" xr:uid="{00000000-0005-0000-0000-000045000000}"/>
    <cellStyle name="normální 2 8" xfId="85" xr:uid="{00000000-0005-0000-0000-000046000000}"/>
    <cellStyle name="normální 2 8 2" xfId="86" xr:uid="{00000000-0005-0000-0000-000047000000}"/>
    <cellStyle name="Normální 2 9" xfId="30" xr:uid="{00000000-0005-0000-0000-000048000000}"/>
    <cellStyle name="Normální 2 9 2" xfId="137" xr:uid="{8DE67B93-60F8-4817-B65A-366658011D49}"/>
    <cellStyle name="Normální 20" xfId="162" xr:uid="{E45CF766-FE1A-412A-A969-8C5EA8DE075C}"/>
    <cellStyle name="Normální 20 2" xfId="226" xr:uid="{86C20568-B825-4A02-8BC1-28D9DE222141}"/>
    <cellStyle name="Normální 21" xfId="164" xr:uid="{4E83BE05-4FC2-4C70-A709-AE53071B3920}"/>
    <cellStyle name="Normální 22" xfId="174" xr:uid="{391A2D82-9FBC-43AD-90B9-D7CAA0961924}"/>
    <cellStyle name="Normální 23" xfId="181" xr:uid="{E9CE7E04-9377-48F6-82D6-009806602F05}"/>
    <cellStyle name="Normální 3" xfId="7" xr:uid="{00000000-0005-0000-0000-000049000000}"/>
    <cellStyle name="Normální 3 2" xfId="8" xr:uid="{00000000-0005-0000-0000-00004A000000}"/>
    <cellStyle name="Normální 3 2 2" xfId="87" xr:uid="{00000000-0005-0000-0000-00004B000000}"/>
    <cellStyle name="Normální 3 3" xfId="88" xr:uid="{00000000-0005-0000-0000-00004C000000}"/>
    <cellStyle name="Normální 3 3 2" xfId="89" xr:uid="{00000000-0005-0000-0000-00004D000000}"/>
    <cellStyle name="Normální 3 3 2 2" xfId="156" xr:uid="{B147709C-209C-466D-8858-03591A291C96}"/>
    <cellStyle name="Normální 3 3 2 3" xfId="214" xr:uid="{B3FDEC0E-8DBF-42CB-A59E-6C70A6ADF1F2}"/>
    <cellStyle name="Normální 3 3 3" xfId="129" xr:uid="{00000000-0005-0000-0000-00004E000000}"/>
    <cellStyle name="Normální 3 3 3 2" xfId="130" xr:uid="{00000000-0005-0000-0000-00004F000000}"/>
    <cellStyle name="Normální 3 3 4" xfId="183" xr:uid="{2EDBD440-A60D-4F9E-AE74-20726257CD20}"/>
    <cellStyle name="Normální 3 3 4 2" xfId="204" xr:uid="{1F0A1C45-F72E-4936-A4FE-BBDF5ADAED8A}"/>
    <cellStyle name="Normální 3 4" xfId="171" xr:uid="{56569CF3-3351-4080-B15F-AC8C9A2B9261}"/>
    <cellStyle name="Normální 3 5" xfId="208" xr:uid="{1BB054C6-2104-492D-92BB-3F9D0E79C30B}"/>
    <cellStyle name="normální 30" xfId="90" xr:uid="{00000000-0005-0000-0000-000050000000}"/>
    <cellStyle name="Normální 4" xfId="9" xr:uid="{00000000-0005-0000-0000-000051000000}"/>
    <cellStyle name="Normální 4 10" xfId="91" xr:uid="{00000000-0005-0000-0000-000052000000}"/>
    <cellStyle name="Normální 4 11" xfId="123" xr:uid="{00000000-0005-0000-0000-000053000000}"/>
    <cellStyle name="Normální 4 12" xfId="172" xr:uid="{620691F0-16AF-4CC7-9CCE-3155503947B2}"/>
    <cellStyle name="Normální 4 13" xfId="191" xr:uid="{E04A89EB-B07B-4AAA-A389-B918A2AF2B59}"/>
    <cellStyle name="normální 4 2" xfId="92" xr:uid="{00000000-0005-0000-0000-000054000000}"/>
    <cellStyle name="Normální 4 2 2" xfId="244" xr:uid="{722DE2BC-E5F6-4172-B9E9-1C452CE9565D}"/>
    <cellStyle name="Normální 4 3" xfId="93" xr:uid="{00000000-0005-0000-0000-000055000000}"/>
    <cellStyle name="Normální 4 4" xfId="94" xr:uid="{00000000-0005-0000-0000-000056000000}"/>
    <cellStyle name="Normální 4 5" xfId="95" xr:uid="{00000000-0005-0000-0000-000057000000}"/>
    <cellStyle name="Normální 4 6" xfId="96" xr:uid="{00000000-0005-0000-0000-000058000000}"/>
    <cellStyle name="Normální 4 7" xfId="97" xr:uid="{00000000-0005-0000-0000-000059000000}"/>
    <cellStyle name="Normální 4 8" xfId="98" xr:uid="{00000000-0005-0000-0000-00005A000000}"/>
    <cellStyle name="Normální 4 9" xfId="99" xr:uid="{00000000-0005-0000-0000-00005B000000}"/>
    <cellStyle name="Normální 5" xfId="10" xr:uid="{00000000-0005-0000-0000-00005C000000}"/>
    <cellStyle name="normální 5 10" xfId="100" xr:uid="{00000000-0005-0000-0000-00005D000000}"/>
    <cellStyle name="normální 5 2" xfId="101" xr:uid="{00000000-0005-0000-0000-00005E000000}"/>
    <cellStyle name="normální 5 3" xfId="102" xr:uid="{00000000-0005-0000-0000-00005F000000}"/>
    <cellStyle name="Normální 5 4" xfId="161" xr:uid="{2D08069A-5AF0-4097-A6BC-4426C302A270}"/>
    <cellStyle name="Normální 5 5" xfId="188" xr:uid="{48A26975-33CE-45EE-87A2-1C4379C29DF5}"/>
    <cellStyle name="Normální 5 5 2" xfId="198" xr:uid="{81DB77CB-8D20-401D-80E1-B0687B7D6467}"/>
    <cellStyle name="Normální 5 6" xfId="206" xr:uid="{575D7CD5-8B30-4940-A890-41D495D08FC0}"/>
    <cellStyle name="Normální 57" xfId="103" xr:uid="{00000000-0005-0000-0000-000060000000}"/>
    <cellStyle name="Normální 6" xfId="11" xr:uid="{00000000-0005-0000-0000-000061000000}"/>
    <cellStyle name="normální 6 2" xfId="104" xr:uid="{00000000-0005-0000-0000-000062000000}"/>
    <cellStyle name="normální 6 3" xfId="105" xr:uid="{00000000-0005-0000-0000-000063000000}"/>
    <cellStyle name="normální 6 4" xfId="106" xr:uid="{00000000-0005-0000-0000-000064000000}"/>
    <cellStyle name="Normální 7" xfId="12" xr:uid="{00000000-0005-0000-0000-000065000000}"/>
    <cellStyle name="normální 7 2" xfId="107" xr:uid="{00000000-0005-0000-0000-000066000000}"/>
    <cellStyle name="normální 7 3" xfId="108"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1" xr:uid="{00000000-0005-0000-0000-00006B000000}"/>
    <cellStyle name="normální 8 3 2" xfId="134" xr:uid="{04BAF990-2AF7-4EA4-A6D7-DFA5C9F48F4F}"/>
    <cellStyle name="Normální 8 4" xfId="47" xr:uid="{00000000-0005-0000-0000-00006C000000}"/>
    <cellStyle name="Normální 9" xfId="15" xr:uid="{00000000-0005-0000-0000-00006D000000}"/>
    <cellStyle name="normální 9 2" xfId="34" xr:uid="{00000000-0005-0000-0000-00006E000000}"/>
    <cellStyle name="Normální 9 2 2" xfId="36" xr:uid="{00000000-0005-0000-0000-00006F000000}"/>
    <cellStyle name="normální 9 2 2 2" xfId="128" xr:uid="{00000000-0005-0000-0000-000070000000}"/>
    <cellStyle name="Normální 9 2 2 2 2" xfId="243" xr:uid="{B65F1FEC-92C2-4F83-88A0-D9FE2DDB0FA4}"/>
    <cellStyle name="normální 9 2 3" xfId="109" xr:uid="{00000000-0005-0000-0000-000071000000}"/>
    <cellStyle name="normální 9 2 3 2" xfId="157" xr:uid="{AA177530-69D3-4E34-9979-37870DFADA4F}"/>
    <cellStyle name="normální 9 2 3 2 2" xfId="199" xr:uid="{F39D4BB3-9DD4-4F70-89B4-79A43B048762}"/>
    <cellStyle name="Normální 9 2 4" xfId="110" xr:uid="{00000000-0005-0000-0000-000072000000}"/>
    <cellStyle name="Normální 9 2 4 2" xfId="189" xr:uid="{06961738-35B6-40CB-8055-69E29970D491}"/>
    <cellStyle name="Normální 9 2 4 2 2" xfId="202" xr:uid="{4963C993-BBD2-4FD4-A2AC-9F0489EE523C}"/>
    <cellStyle name="normální 9 2 5" xfId="44" xr:uid="{00000000-0005-0000-0000-000073000000}"/>
    <cellStyle name="Normální 9 3" xfId="37" xr:uid="{00000000-0005-0000-0000-000074000000}"/>
    <cellStyle name="Normální 9 3 2" xfId="42" xr:uid="{00000000-0005-0000-0000-000075000000}"/>
    <cellStyle name="Normální 9 3 2 2" xfId="221" xr:uid="{08EF968A-83A9-4C34-83EC-98CB9E472F08}"/>
    <cellStyle name="Normální 9 3 2 2 2" xfId="224" xr:uid="{2AB58129-D030-4BC5-B6B8-002602A8B8CB}"/>
    <cellStyle name="Normální 9 3 3" xfId="121" xr:uid="{00000000-0005-0000-0000-000076000000}"/>
    <cellStyle name="Normální 9 3 3 2" xfId="197" xr:uid="{76DABE0C-B891-4808-8AA5-4A8766C930A4}"/>
    <cellStyle name="Normální 9 3 4" xfId="117" xr:uid="{00000000-0005-0000-0000-000077000000}"/>
    <cellStyle name="normální 9 4" xfId="31" xr:uid="{00000000-0005-0000-0000-000078000000}"/>
    <cellStyle name="normální 9 4 2" xfId="38" xr:uid="{00000000-0005-0000-0000-000079000000}"/>
    <cellStyle name="normální 9 5" xfId="26" xr:uid="{00000000-0005-0000-0000-00007A000000}"/>
    <cellStyle name="Normální 9 6" xfId="32" xr:uid="{00000000-0005-0000-0000-00007B000000}"/>
    <cellStyle name="Normální 9 6 2" xfId="185" xr:uid="{D1CCA9AF-717B-4C61-9E83-2FCE4988940C}"/>
    <cellStyle name="Normální 9 6 2 2" xfId="229" xr:uid="{CBEC5E8B-AD2B-4CC7-A60C-326E1D58F580}"/>
    <cellStyle name="Normální 9 6 2 2 2" xfId="245" xr:uid="{64F92E29-D66D-4E0A-8D1B-0FBFCF164AD2}"/>
    <cellStyle name="Normální 9 7" xfId="168" xr:uid="{660F83E1-2BE8-4588-866C-696BFBF5A33C}"/>
    <cellStyle name="Normální 9 7 2" xfId="186" xr:uid="{D468FAE0-C807-47D6-80DB-9775DC71901E}"/>
    <cellStyle name="Normální 9 7 2 2" xfId="230" xr:uid="{49FAAAEC-A580-4A4E-991A-6FD23BB90AD1}"/>
    <cellStyle name="Normální 9 8" xfId="153" xr:uid="{269FCE19-ED8B-4433-9548-B39C3DD4C787}"/>
    <cellStyle name="Normální 9 9" xfId="236" xr:uid="{7D682DB4-2B31-4DE8-B09A-ADA4E4C9C971}"/>
    <cellStyle name="normální_2014-02-21 D.1.1. ASR - BP a NS" xfId="178" xr:uid="{4363131D-9C0E-4CF8-85B7-3DCE190DCD17}"/>
    <cellStyle name="normální_POL.XLS 2" xfId="176" xr:uid="{F4968185-220A-4112-98B2-101148FDAC22}"/>
    <cellStyle name="normální_POL.XLS 3" xfId="16" xr:uid="{00000000-0005-0000-0000-00007F000000}"/>
    <cellStyle name="normální_POL.XLS 3 2" xfId="175" xr:uid="{54FD5EFC-2A43-4847-9F12-C353379161AB}"/>
    <cellStyle name="normální_POL.XLS_D.2.1. KANALIZACE (AREALOVA+PRIPOJKA) 2" xfId="193" xr:uid="{63087609-9CE5-41FA-B80A-576D5D41B252}"/>
    <cellStyle name="Podhlavička" xfId="111" xr:uid="{00000000-0005-0000-0000-000081000000}"/>
    <cellStyle name="pozice" xfId="112" xr:uid="{00000000-0005-0000-0000-000082000000}"/>
    <cellStyle name="pozice 2" xfId="113" xr:uid="{00000000-0005-0000-0000-000083000000}"/>
    <cellStyle name="Poznámka 2" xfId="114" xr:uid="{00000000-0005-0000-0000-000084000000}"/>
    <cellStyle name="procent 2" xfId="115" xr:uid="{00000000-0005-0000-0000-000085000000}"/>
    <cellStyle name="Procenta 2" xfId="173" xr:uid="{CB55AADC-DC03-4538-A8DF-C840930DA407}"/>
    <cellStyle name="Styl 1" xfId="17" xr:uid="{00000000-0005-0000-0000-000086000000}"/>
    <cellStyle name="TableStyleLight1" xfId="167" xr:uid="{292E1023-A833-4C8B-A06B-F02D2B4D24B4}"/>
    <cellStyle name="Währung" xfId="18" xr:uid="{00000000-0005-0000-0000-000087000000}"/>
    <cellStyle name="標準_IPS alpha BOQ ME forms detail_Mechanical_El." xfId="19" xr:uid="{00000000-0005-0000-0000-000088000000}"/>
  </cellStyles>
  <dxfs count="15">
    <dxf>
      <font>
        <b val="0"/>
        <i val="0"/>
        <strike val="0"/>
        <condense val="0"/>
        <extend val="0"/>
        <outline val="0"/>
        <shadow val="0"/>
        <u val="none"/>
        <vertAlign val="baseline"/>
        <sz val="11"/>
        <color theme="1"/>
        <name val="Aptos"/>
        <family val="2"/>
        <charset val="238"/>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1"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numFmt numFmtId="30" formatCode="@"/>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s>
  <tableStyles count="0" defaultTableStyle="TableStyleMedium2" defaultPivotStyle="PivotStyleLight16"/>
  <colors>
    <mruColors>
      <color rgb="FF66FF33"/>
      <color rgb="FF00FFCC"/>
      <color rgb="FFFF00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A75BAC93-2C98-45D4-842B-B14F6FDA0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5335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304800</xdr:colOff>
      <xdr:row>37</xdr:row>
      <xdr:rowOff>0</xdr:rowOff>
    </xdr:to>
    <xdr:pic>
      <xdr:nvPicPr>
        <xdr:cNvPr id="3" name="Obrázek 2">
          <a:extLst>
            <a:ext uri="{FF2B5EF4-FFF2-40B4-BE49-F238E27FC236}">
              <a16:creationId xmlns:a16="http://schemas.microsoft.com/office/drawing/2014/main" id="{FDC5DAFE-28BB-3196-DAF4-89F4C6372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685800"/>
          <a:ext cx="7772400" cy="5829300"/>
        </a:xfrm>
        <a:prstGeom prst="rect">
          <a:avLst/>
        </a:prstGeom>
      </xdr:spPr>
    </xdr:pic>
    <xdr:clientData/>
  </xdr:twoCellAnchor>
  <xdr:twoCellAnchor editAs="oneCell">
    <xdr:from>
      <xdr:col>1</xdr:col>
      <xdr:colOff>0</xdr:colOff>
      <xdr:row>40</xdr:row>
      <xdr:rowOff>0</xdr:rowOff>
    </xdr:from>
    <xdr:to>
      <xdr:col>15</xdr:col>
      <xdr:colOff>304800</xdr:colOff>
      <xdr:row>73</xdr:row>
      <xdr:rowOff>133350</xdr:rowOff>
    </xdr:to>
    <xdr:pic>
      <xdr:nvPicPr>
        <xdr:cNvPr id="2" name="Obrázek 1">
          <a:extLst>
            <a:ext uri="{FF2B5EF4-FFF2-40B4-BE49-F238E27FC236}">
              <a16:creationId xmlns:a16="http://schemas.microsoft.com/office/drawing/2014/main" id="{68EDA8B0-ECB0-4622-881F-F0C3464904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6858000"/>
          <a:ext cx="7772400" cy="579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98%20Vrbenskeho%20kasarna/4%20-%20PD/5a%20-%20DUR+DSP%20archiv/ROZPOCET/2022-05-06%20ROZPOCET%20DLE%20DSP/Podklady/ROZPOCTY/HORKOVOD/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449%20Mesto%20Bilovec\01%20Nastavba%20domu%20c.488\4%20-%20PD\7%20-%20DPS\ROZPOCET\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367;j%20disk\Projekty%20elektro\2024-1\Siemens\J&#237;delna\D.1.4.6.e.KABELOV&#193;%20LIST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belová listina"/>
      <sheetName val="D.1.4.6.e.KABELOVÁ LISTINA"/>
    </sheetNames>
    <sheetDataSet>
      <sheetData sheetId="0">
        <row r="160">
          <cell r="C160">
            <v>146</v>
          </cell>
        </row>
        <row r="161">
          <cell r="C161">
            <v>62</v>
          </cell>
        </row>
        <row r="162">
          <cell r="C162">
            <v>13</v>
          </cell>
        </row>
        <row r="163">
          <cell r="C163">
            <v>60</v>
          </cell>
        </row>
        <row r="164">
          <cell r="C164">
            <v>374</v>
          </cell>
        </row>
        <row r="165">
          <cell r="C165">
            <v>686</v>
          </cell>
        </row>
        <row r="166">
          <cell r="C166">
            <v>66</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17E37-F716-48CA-BF5E-7BAA950BEB6B}" name="Tabulka13" displayName="Tabulka13" ref="A7:F133" totalsRowShown="0" headerRowDxfId="14" dataDxfId="13" totalsRowDxfId="12">
  <autoFilter ref="A7:F133" xr:uid="{A6E5F44B-3BD8-4953-A165-045993545A04}"/>
  <sortState xmlns:xlrd2="http://schemas.microsoft.com/office/spreadsheetml/2017/richdata2" ref="A8:E133">
    <sortCondition ref="A7:A133"/>
  </sortState>
  <tableColumns count="6">
    <tableColumn id="1" xr3:uid="{2CF252B4-BF90-49A5-8E07-98F1A0B7BFD8}" name="Položka" dataDxfId="11" totalsRowDxfId="10"/>
    <tableColumn id="3" xr3:uid="{24C0A3F1-E2ED-41A7-8073-484B3ECDA63B}" name="Popis" dataDxfId="9" totalsRowDxfId="8"/>
    <tableColumn id="4" xr3:uid="{7D5F1F94-4ED5-4BE1-BEDD-964EF345EFCE}" name="Množství" dataDxfId="7" totalsRowDxfId="6"/>
    <tableColumn id="5" xr3:uid="{EF9E31E8-2E4D-4B57-BDB0-3E69C3E437AC}" name="Jednotka" dataDxfId="5" totalsRowDxfId="4"/>
    <tableColumn id="8" xr3:uid="{AB5DF402-F9D5-4BE3-8E34-640982C9564A}" name="Jednotková cena v Kč(bez DPH)" dataDxfId="3" totalsRowDxfId="2"/>
    <tableColumn id="2" xr3:uid="{7958034E-813E-4E5B-82B2-A40DA4EB415F}" name="Cena celkem v Kč (bez DPH)" dataDxfId="1" totalsRowDxfId="0">
      <calculatedColumnFormula>Tabulka13[[#This Row],[Jednotková cena v Kč(bez DPH)]]*Tabulka13[[#This Row],[Množství]]</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7"/>
  <sheetViews>
    <sheetView showGridLines="0" tabSelected="1" topLeftCell="B1" zoomScaleNormal="100" zoomScaleSheetLayoutView="75" workbookViewId="0">
      <selection activeCell="B1" sqref="B1"/>
    </sheetView>
  </sheetViews>
  <sheetFormatPr defaultRowHeight="12.75"/>
  <cols>
    <col min="1" max="1" width="0.6640625" style="4382" hidden="1" customWidth="1"/>
    <col min="2" max="2" width="8.33203125" style="4382" customWidth="1"/>
    <col min="3" max="3" width="21.83203125" style="4382" customWidth="1"/>
    <col min="4" max="4" width="23" style="4382" customWidth="1"/>
    <col min="5" max="5" width="19.6640625" style="4382" customWidth="1"/>
    <col min="6" max="6" width="15.33203125" style="4382" customWidth="1"/>
    <col min="7" max="7" width="19.1640625" style="4382" customWidth="1"/>
    <col min="8" max="8" width="19.5" style="4382" customWidth="1"/>
    <col min="9" max="9" width="19.83203125" style="4382" customWidth="1"/>
    <col min="10" max="10" width="43" style="4382" customWidth="1"/>
    <col min="11" max="11" width="20.83203125" style="4382" customWidth="1"/>
    <col min="12" max="14" width="12.5" style="4382" customWidth="1"/>
    <col min="15" max="16384" width="9.33203125" style="4382"/>
  </cols>
  <sheetData>
    <row r="1" spans="2:14" ht="12" customHeight="1"/>
    <row r="2" spans="2:14" ht="17.25" customHeight="1">
      <c r="B2" s="5120" t="s">
        <v>6547</v>
      </c>
      <c r="C2" s="5121"/>
      <c r="D2" s="5121"/>
      <c r="E2" s="5121"/>
      <c r="F2" s="5121"/>
      <c r="G2" s="5121"/>
      <c r="H2" s="5121"/>
      <c r="I2" s="5121"/>
      <c r="J2" s="4384"/>
    </row>
    <row r="3" spans="2:14" ht="12.75" customHeight="1">
      <c r="B3" s="5122" t="s">
        <v>37</v>
      </c>
      <c r="C3" s="5121"/>
      <c r="D3" s="5121"/>
      <c r="E3" s="5121"/>
      <c r="F3" s="5121"/>
      <c r="G3" s="5121"/>
      <c r="H3" s="5121"/>
      <c r="I3" s="5121"/>
    </row>
    <row r="4" spans="2:14" ht="12.75" customHeight="1"/>
    <row r="5" spans="2:14" s="4386" customFormat="1" ht="39" customHeight="1">
      <c r="C5" s="4387" t="s">
        <v>3</v>
      </c>
      <c r="D5" s="5123" t="s">
        <v>39</v>
      </c>
      <c r="E5" s="5124"/>
      <c r="F5" s="5124"/>
      <c r="G5" s="5124"/>
      <c r="H5" s="5125"/>
      <c r="I5" s="4388"/>
      <c r="N5" s="4389"/>
    </row>
    <row r="6" spans="2:14" ht="13.5" customHeight="1">
      <c r="C6" s="4390"/>
      <c r="D6" s="4391"/>
      <c r="E6" s="4392"/>
      <c r="F6" s="4392"/>
      <c r="G6" s="4392"/>
      <c r="H6" s="4393"/>
      <c r="I6" s="4393"/>
      <c r="N6" s="4394"/>
    </row>
    <row r="7" spans="2:14" ht="12.75" customHeight="1">
      <c r="C7" s="4395" t="s">
        <v>4</v>
      </c>
      <c r="D7" s="5128" t="s">
        <v>38</v>
      </c>
      <c r="E7" s="5128"/>
      <c r="F7" s="5128"/>
      <c r="G7" s="5128"/>
      <c r="H7" s="4396"/>
      <c r="J7" s="4397"/>
    </row>
    <row r="8" spans="2:14">
      <c r="C8" s="4397"/>
      <c r="D8" s="4397"/>
      <c r="H8" s="4396"/>
      <c r="J8" s="4397"/>
    </row>
    <row r="9" spans="2:14">
      <c r="C9" s="4395" t="s">
        <v>19</v>
      </c>
      <c r="D9" s="4397" t="s">
        <v>5</v>
      </c>
      <c r="H9" s="4396"/>
      <c r="J9" s="4397"/>
    </row>
    <row r="10" spans="2:14">
      <c r="C10" s="4393"/>
      <c r="D10" s="4397"/>
      <c r="H10" s="4396"/>
    </row>
    <row r="11" spans="2:14">
      <c r="C11" s="4395" t="s">
        <v>20</v>
      </c>
      <c r="D11" s="4397"/>
      <c r="H11" s="4396"/>
    </row>
    <row r="12" spans="2:14">
      <c r="C12" s="4395"/>
      <c r="D12" s="4397"/>
      <c r="H12" s="4396"/>
    </row>
    <row r="13" spans="2:14">
      <c r="C13" s="4395"/>
      <c r="D13" s="4397"/>
      <c r="H13" s="4396"/>
    </row>
    <row r="14" spans="2:14">
      <c r="C14" s="4395"/>
      <c r="D14" s="4397"/>
      <c r="H14" s="4396"/>
    </row>
    <row r="15" spans="2:14">
      <c r="C15" s="4395"/>
      <c r="D15" s="4397"/>
      <c r="H15" s="4396"/>
    </row>
    <row r="16" spans="2:14">
      <c r="C16" s="4395"/>
      <c r="D16" s="4397"/>
      <c r="H16" s="4396"/>
    </row>
    <row r="17" spans="2:11">
      <c r="C17" s="4395"/>
      <c r="D17" s="4397"/>
      <c r="H17" s="4396"/>
    </row>
    <row r="18" spans="2:11" ht="24.75" customHeight="1">
      <c r="C18" s="4395" t="s">
        <v>21</v>
      </c>
      <c r="D18" s="5129"/>
      <c r="E18" s="5129"/>
      <c r="F18" s="5129"/>
      <c r="G18" s="5129"/>
      <c r="H18" s="5129"/>
      <c r="I18" s="5129"/>
    </row>
    <row r="19" spans="2:11">
      <c r="C19" s="4395"/>
      <c r="D19" s="4397"/>
      <c r="H19" s="4396"/>
    </row>
    <row r="20" spans="2:11" ht="24.75" customHeight="1">
      <c r="C20" s="4396" t="s">
        <v>27</v>
      </c>
      <c r="D20" s="4385" t="s">
        <v>22</v>
      </c>
      <c r="H20" s="4385" t="s">
        <v>6</v>
      </c>
    </row>
    <row r="21" spans="2:11" ht="33.75" customHeight="1"/>
    <row r="22" spans="2:11" ht="28.5" customHeight="1">
      <c r="C22" s="4385" t="s">
        <v>7</v>
      </c>
      <c r="D22" s="4385" t="s">
        <v>23</v>
      </c>
      <c r="H22" s="4385" t="s">
        <v>24</v>
      </c>
    </row>
    <row r="23" spans="2:11" ht="25.5" customHeight="1"/>
    <row r="24" spans="2:11" ht="13.5" customHeight="1">
      <c r="B24" s="4398"/>
      <c r="C24" s="4399"/>
      <c r="D24" s="4399"/>
      <c r="E24" s="4400"/>
      <c r="F24" s="4401"/>
      <c r="G24" s="4402"/>
      <c r="H24" s="4403"/>
      <c r="I24" s="4404" t="s">
        <v>8</v>
      </c>
      <c r="J24" s="4405"/>
    </row>
    <row r="25" spans="2:11" ht="15" customHeight="1">
      <c r="B25" s="4406" t="s">
        <v>9</v>
      </c>
      <c r="C25" s="4386"/>
      <c r="D25" s="4407">
        <v>12</v>
      </c>
      <c r="E25" s="4408" t="s">
        <v>10</v>
      </c>
      <c r="F25" s="4409"/>
      <c r="G25" s="4410"/>
      <c r="H25" s="4410"/>
      <c r="I25" s="4411"/>
      <c r="J25" s="4412"/>
    </row>
    <row r="26" spans="2:11">
      <c r="B26" s="4406" t="s">
        <v>11</v>
      </c>
      <c r="C26" s="4386"/>
      <c r="D26" s="4407">
        <v>12</v>
      </c>
      <c r="E26" s="4408" t="s">
        <v>10</v>
      </c>
      <c r="F26" s="4413"/>
      <c r="G26" s="4414"/>
      <c r="H26" s="4414"/>
      <c r="I26" s="4415"/>
      <c r="J26" s="4412"/>
    </row>
    <row r="27" spans="2:11">
      <c r="B27" s="4406" t="s">
        <v>9</v>
      </c>
      <c r="C27" s="4386"/>
      <c r="D27" s="4407">
        <v>21</v>
      </c>
      <c r="E27" s="4408" t="s">
        <v>10</v>
      </c>
      <c r="F27" s="4413"/>
      <c r="G27" s="4414"/>
      <c r="H27" s="4414"/>
      <c r="I27" s="4416">
        <f>StavbaCelkem</f>
        <v>0</v>
      </c>
      <c r="J27" s="4412"/>
    </row>
    <row r="28" spans="2:11" ht="13.5" thickBot="1">
      <c r="B28" s="4406" t="s">
        <v>11</v>
      </c>
      <c r="C28" s="4386"/>
      <c r="D28" s="4407">
        <v>21</v>
      </c>
      <c r="E28" s="4408" t="s">
        <v>10</v>
      </c>
      <c r="F28" s="4417"/>
      <c r="G28" s="4418"/>
      <c r="H28" s="4418"/>
      <c r="I28" s="4419">
        <f>I64</f>
        <v>0</v>
      </c>
      <c r="J28" s="4412"/>
    </row>
    <row r="29" spans="2:11" ht="16.5" thickBot="1">
      <c r="B29" s="4420" t="s">
        <v>12</v>
      </c>
      <c r="C29" s="4421"/>
      <c r="D29" s="4421"/>
      <c r="E29" s="4422"/>
      <c r="F29" s="4423"/>
      <c r="G29" s="4424"/>
      <c r="H29" s="4424"/>
      <c r="I29" s="4425">
        <f>SUM(I25:I28)</f>
        <v>0</v>
      </c>
      <c r="J29" s="4426"/>
      <c r="K29" s="4427"/>
    </row>
    <row r="31" spans="2:11">
      <c r="K31" s="4428"/>
    </row>
    <row r="32" spans="2:11" ht="1.5" customHeight="1"/>
    <row r="33" spans="2:12" ht="15.75" customHeight="1">
      <c r="B33" s="4429" t="s">
        <v>13</v>
      </c>
      <c r="C33" s="4383"/>
      <c r="D33" s="4383"/>
      <c r="E33" s="4383"/>
      <c r="F33" s="4383"/>
      <c r="G33" s="4383"/>
      <c r="H33" s="4383"/>
      <c r="I33" s="4383"/>
      <c r="J33" s="4383"/>
      <c r="K33" s="4430"/>
    </row>
    <row r="34" spans="2:12" ht="5.25" customHeight="1">
      <c r="K34" s="4430"/>
    </row>
    <row r="35" spans="2:12" ht="24" customHeight="1">
      <c r="B35" s="4431" t="s">
        <v>14</v>
      </c>
      <c r="C35" s="4432"/>
      <c r="D35" s="4432"/>
      <c r="E35" s="4433"/>
      <c r="F35" s="4434" t="s">
        <v>2</v>
      </c>
      <c r="G35" s="4435" t="str">
        <f>CONCATENATE("Základ DPH ",SazbaDPH1," %")</f>
        <v>Základ DPH 12 %</v>
      </c>
      <c r="H35" s="4434" t="str">
        <f>CONCATENATE("Základ DPH ",SazbaDPH2," %")</f>
        <v>Základ DPH 21 %</v>
      </c>
      <c r="I35" s="4434" t="s">
        <v>15</v>
      </c>
      <c r="J35" s="4436"/>
    </row>
    <row r="36" spans="2:12">
      <c r="B36" s="4437" t="s">
        <v>0</v>
      </c>
      <c r="C36" s="4438"/>
      <c r="D36" s="4439"/>
      <c r="E36" s="4440"/>
      <c r="F36" s="4441"/>
      <c r="G36" s="4442"/>
      <c r="H36" s="4442"/>
      <c r="I36" s="4443"/>
      <c r="K36" s="4444"/>
    </row>
    <row r="37" spans="2:12">
      <c r="B37" s="4445"/>
      <c r="C37" s="5126" t="s">
        <v>16</v>
      </c>
      <c r="D37" s="5127"/>
      <c r="E37" s="5127"/>
      <c r="F37" s="4446">
        <f>H37+I37</f>
        <v>0</v>
      </c>
      <c r="G37" s="4446"/>
      <c r="H37" s="4446">
        <f>VRN!G49</f>
        <v>0</v>
      </c>
      <c r="I37" s="4447">
        <f t="shared" ref="I37" si="0">(G37*SazbaDPH1)/100+(H37*SazbaDPH2)/100</f>
        <v>0</v>
      </c>
      <c r="J37" s="4448"/>
      <c r="K37" s="4449"/>
      <c r="L37" s="4430"/>
    </row>
    <row r="38" spans="2:12" ht="12.75" customHeight="1">
      <c r="B38" s="4450"/>
      <c r="C38" s="5112" t="s">
        <v>1402</v>
      </c>
      <c r="D38" s="5113"/>
      <c r="E38" s="5113"/>
      <c r="F38" s="4446">
        <f>SUM(F39:F46)</f>
        <v>0</v>
      </c>
      <c r="G38" s="4446"/>
      <c r="H38" s="4447">
        <f>SUM(H39:H46)</f>
        <v>0</v>
      </c>
      <c r="I38" s="4447">
        <f>SUM(I39:I46)</f>
        <v>0</v>
      </c>
      <c r="J38" s="4448"/>
    </row>
    <row r="39" spans="2:12" ht="12.75" customHeight="1">
      <c r="B39" s="4450"/>
      <c r="C39" s="5114" t="s">
        <v>32</v>
      </c>
      <c r="D39" s="5115"/>
      <c r="E39" s="5115"/>
      <c r="F39" s="4451">
        <f t="shared" ref="F39:F47" si="1">H39+I39</f>
        <v>0</v>
      </c>
      <c r="G39" s="4451"/>
      <c r="H39" s="4451">
        <f>'D.1.1. ASŘ - BOURACÍ PRÁCE'!H727</f>
        <v>0</v>
      </c>
      <c r="I39" s="4452">
        <f t="shared" ref="I39" si="2">(G39*SazbaDPH1)/100+(H39*SazbaDPH2)/100</f>
        <v>0</v>
      </c>
      <c r="J39" s="4453"/>
    </row>
    <row r="40" spans="2:12" ht="12.75" customHeight="1">
      <c r="B40" s="4450"/>
      <c r="C40" s="5114" t="s">
        <v>31</v>
      </c>
      <c r="D40" s="5115"/>
      <c r="E40" s="5115"/>
      <c r="F40" s="4451">
        <f t="shared" si="1"/>
        <v>0</v>
      </c>
      <c r="G40" s="4451"/>
      <c r="H40" s="4451">
        <f>'REKAPITULACE - NS'!C32</f>
        <v>0</v>
      </c>
      <c r="I40" s="4452">
        <f t="shared" ref="I40" si="3">(G40*SazbaDPH1)/100+(H40*SazbaDPH2)/100</f>
        <v>0</v>
      </c>
      <c r="J40" s="4453"/>
    </row>
    <row r="41" spans="2:12" ht="12.75" customHeight="1">
      <c r="B41" s="4450"/>
      <c r="C41" s="5114" t="s">
        <v>30</v>
      </c>
      <c r="D41" s="5115"/>
      <c r="E41" s="5115"/>
      <c r="F41" s="4451">
        <f t="shared" si="1"/>
        <v>0</v>
      </c>
      <c r="G41" s="4451"/>
      <c r="H41" s="4451">
        <f>'D.1.1. VÝPIS DVEŘÍ'!H206</f>
        <v>0</v>
      </c>
      <c r="I41" s="4452">
        <f t="shared" ref="I41" si="4">(G41*SazbaDPH1)/100+(H41*SazbaDPH2)/100</f>
        <v>0</v>
      </c>
      <c r="J41" s="4453"/>
    </row>
    <row r="42" spans="2:12" ht="12.75" customHeight="1">
      <c r="B42" s="4450"/>
      <c r="C42" s="5114" t="s">
        <v>40</v>
      </c>
      <c r="D42" s="5115"/>
      <c r="E42" s="5115"/>
      <c r="F42" s="4451">
        <f t="shared" si="1"/>
        <v>0</v>
      </c>
      <c r="G42" s="4451"/>
      <c r="H42" s="4451">
        <f>'D.1.1.c.02 - VÝPIS OKEN'!H158</f>
        <v>0</v>
      </c>
      <c r="I42" s="4452">
        <f t="shared" ref="I42" si="5">(G42*SazbaDPH1)/100+(H42*SazbaDPH2)/100</f>
        <v>0</v>
      </c>
      <c r="J42" s="4453"/>
    </row>
    <row r="43" spans="2:12" ht="12.75" customHeight="1">
      <c r="B43" s="4450"/>
      <c r="C43" s="5114" t="s">
        <v>33</v>
      </c>
      <c r="D43" s="5115"/>
      <c r="E43" s="5115"/>
      <c r="F43" s="4451">
        <f t="shared" si="1"/>
        <v>0</v>
      </c>
      <c r="G43" s="4451"/>
      <c r="H43" s="4451">
        <f>'D.1.1.c.04. VÝPIS TRUHLÁŘ.'!H97</f>
        <v>0</v>
      </c>
      <c r="I43" s="4452">
        <f t="shared" ref="I43" si="6">(G43*SazbaDPH1)/100+(H43*SazbaDPH2)/100</f>
        <v>0</v>
      </c>
      <c r="J43" s="4453"/>
    </row>
    <row r="44" spans="2:12" ht="12.75" customHeight="1">
      <c r="B44" s="4450"/>
      <c r="C44" s="5114" t="s">
        <v>34</v>
      </c>
      <c r="D44" s="5115"/>
      <c r="E44" s="5115"/>
      <c r="F44" s="4451">
        <f t="shared" si="1"/>
        <v>0</v>
      </c>
      <c r="G44" s="4451"/>
      <c r="H44" s="4451">
        <f>'D.1.1.c.05. VÝPIS ZÁMEČN. VÝR.'!H106</f>
        <v>0</v>
      </c>
      <c r="I44" s="4452">
        <f t="shared" ref="I44" si="7">(G44*SazbaDPH1)/100+(H44*SazbaDPH2)/100</f>
        <v>0</v>
      </c>
      <c r="J44" s="4453"/>
    </row>
    <row r="45" spans="2:12" ht="12.75" customHeight="1">
      <c r="B45" s="4450"/>
      <c r="C45" s="5114" t="s">
        <v>35</v>
      </c>
      <c r="D45" s="5115"/>
      <c r="E45" s="5115"/>
      <c r="F45" s="4451">
        <f t="shared" si="1"/>
        <v>0</v>
      </c>
      <c r="G45" s="4451"/>
      <c r="H45" s="4451">
        <f>'D.1.1.c.06. VÝPIS KLEMP.'!H78</f>
        <v>0</v>
      </c>
      <c r="I45" s="4452">
        <f t="shared" ref="I45" si="8">(G45*SazbaDPH1)/100+(H45*SazbaDPH2)/100</f>
        <v>0</v>
      </c>
      <c r="J45" s="4453"/>
    </row>
    <row r="46" spans="2:12" ht="12.75" customHeight="1">
      <c r="B46" s="4450"/>
      <c r="C46" s="5114" t="s">
        <v>36</v>
      </c>
      <c r="D46" s="5115"/>
      <c r="E46" s="5115"/>
      <c r="F46" s="4451">
        <f t="shared" si="1"/>
        <v>0</v>
      </c>
      <c r="G46" s="4451"/>
      <c r="H46" s="4451">
        <f>'D.1.1.c.07 VÝPIS OSTAT.'!H231</f>
        <v>0</v>
      </c>
      <c r="I46" s="4452">
        <f t="shared" ref="I46" si="9">(G46*SazbaDPH1)/100+(H46*SazbaDPH2)/100</f>
        <v>0</v>
      </c>
      <c r="J46" s="4453"/>
    </row>
    <row r="47" spans="2:12" ht="12.75" customHeight="1">
      <c r="B47" s="4450"/>
      <c r="C47" s="5119" t="s">
        <v>1637</v>
      </c>
      <c r="D47" s="5113"/>
      <c r="E47" s="5113"/>
      <c r="F47" s="4446">
        <f t="shared" si="1"/>
        <v>0</v>
      </c>
      <c r="G47" s="4451"/>
      <c r="H47" s="4446">
        <f>'D.1.4.1. ZTI'!H571</f>
        <v>0</v>
      </c>
      <c r="I47" s="4447">
        <f t="shared" ref="I47" si="10">(G47*SazbaDPH1)/100+(H47*SazbaDPH2)/100</f>
        <v>0</v>
      </c>
      <c r="J47" s="4453"/>
    </row>
    <row r="48" spans="2:12" ht="12.75" customHeight="1">
      <c r="B48" s="4450"/>
      <c r="C48" s="5116" t="s">
        <v>5211</v>
      </c>
      <c r="D48" s="5117"/>
      <c r="E48" s="5118"/>
      <c r="F48" s="4446">
        <f t="shared" ref="F48" si="11">H48+I48</f>
        <v>0</v>
      </c>
      <c r="G48" s="4451"/>
      <c r="H48" s="4446">
        <f>'D.1.4.1.b.08. - REKAPITULACE'!C12</f>
        <v>0</v>
      </c>
      <c r="I48" s="4447">
        <f t="shared" ref="I48" si="12">(G48*SazbaDPH1)/100+(H48*SazbaDPH2)/100</f>
        <v>0</v>
      </c>
      <c r="J48" s="4453"/>
    </row>
    <row r="49" spans="2:10" ht="12.75" customHeight="1">
      <c r="B49" s="4450"/>
      <c r="C49" s="5116" t="s">
        <v>5730</v>
      </c>
      <c r="D49" s="5117"/>
      <c r="E49" s="5118"/>
      <c r="F49" s="4446">
        <f>H49+I49</f>
        <v>0</v>
      </c>
      <c r="G49" s="4451"/>
      <c r="H49" s="4446">
        <f>'D.1.4.1.b.08. AREÁLOVÝ VODOVOD'!H128</f>
        <v>0</v>
      </c>
      <c r="I49" s="4447">
        <f>(G49*SazbaDPH1)/100+(H49*SazbaDPH2)/100</f>
        <v>0</v>
      </c>
      <c r="J49" s="4453"/>
    </row>
    <row r="50" spans="2:10" ht="12.75" customHeight="1">
      <c r="B50" s="4450"/>
      <c r="C50" s="5116" t="s">
        <v>5289</v>
      </c>
      <c r="D50" s="5117"/>
      <c r="E50" s="5118"/>
      <c r="F50" s="4446">
        <f t="shared" ref="F50" si="13">H50+I50</f>
        <v>0</v>
      </c>
      <c r="G50" s="4451"/>
      <c r="H50" s="4446">
        <f>'D.1.4.1.b.09. AKUMULAČNÍ NÁDRŽ'!H130</f>
        <v>0</v>
      </c>
      <c r="I50" s="4447">
        <f t="shared" ref="I50" si="14">(G50*SazbaDPH1)/100+(H50*SazbaDPH2)/100</f>
        <v>0</v>
      </c>
      <c r="J50" s="4453"/>
    </row>
    <row r="51" spans="2:10" ht="12.75" customHeight="1">
      <c r="B51" s="4450"/>
      <c r="C51" s="5116" t="s">
        <v>1979</v>
      </c>
      <c r="D51" s="5117"/>
      <c r="E51" s="5118"/>
      <c r="F51" s="4446">
        <f t="shared" ref="F51" si="15">H51+I51</f>
        <v>0</v>
      </c>
      <c r="G51" s="4451"/>
      <c r="H51" s="4446">
        <f>'D.1.4.1.b.10. ODLUČOVAČ TUKU'!H139</f>
        <v>0</v>
      </c>
      <c r="I51" s="4447">
        <f t="shared" ref="I51" si="16">(G51*SazbaDPH1)/100+(H51*SazbaDPH2)/100</f>
        <v>0</v>
      </c>
      <c r="J51" s="4453"/>
    </row>
    <row r="52" spans="2:10" ht="12.75" customHeight="1">
      <c r="B52" s="4450"/>
      <c r="C52" s="5119" t="s">
        <v>1638</v>
      </c>
      <c r="D52" s="5113"/>
      <c r="E52" s="5113"/>
      <c r="F52" s="4446">
        <f t="shared" ref="F52" si="17">H52+I52</f>
        <v>0</v>
      </c>
      <c r="G52" s="4451"/>
      <c r="H52" s="4446">
        <f>'D.1.4.2. ODBĚR. PLYN. ZAŘÍZ.'!H87</f>
        <v>0</v>
      </c>
      <c r="I52" s="4447">
        <f t="shared" ref="I52" si="18">(G52*SazbaDPH1)/100+(H52*SazbaDPH2)/100</f>
        <v>0</v>
      </c>
      <c r="J52" s="4453"/>
    </row>
    <row r="53" spans="2:10" ht="12.75" customHeight="1">
      <c r="B53" s="4450"/>
      <c r="C53" s="5119" t="s">
        <v>1636</v>
      </c>
      <c r="D53" s="5113"/>
      <c r="E53" s="5113"/>
      <c r="F53" s="4446">
        <f t="shared" ref="F53:F63" si="19">H53+I53</f>
        <v>0</v>
      </c>
      <c r="G53" s="4451"/>
      <c r="H53" s="4446">
        <f>'D.1.4.3. VZDUCHOTECHNIKA'!H816</f>
        <v>0</v>
      </c>
      <c r="I53" s="4447">
        <f t="shared" ref="I53" si="20">(G53*SazbaDPH1)/100+(H53*SazbaDPH2)/100</f>
        <v>0</v>
      </c>
      <c r="J53" s="4453"/>
    </row>
    <row r="54" spans="2:10" ht="12.75" customHeight="1">
      <c r="B54" s="4450"/>
      <c r="C54" s="5119" t="s">
        <v>1635</v>
      </c>
      <c r="D54" s="5113"/>
      <c r="E54" s="5113"/>
      <c r="F54" s="4446">
        <f t="shared" ref="F54" si="21">H54+I54</f>
        <v>0</v>
      </c>
      <c r="G54" s="4451"/>
      <c r="H54" s="4446">
        <f>'D.1.4.4. VYTÁPENÍ'!H390</f>
        <v>0</v>
      </c>
      <c r="I54" s="4447">
        <f t="shared" ref="I54" si="22">(G54*SazbaDPH1)/100+(H54*SazbaDPH2)/100</f>
        <v>0</v>
      </c>
      <c r="J54" s="4453"/>
    </row>
    <row r="55" spans="2:10" ht="12.75" customHeight="1">
      <c r="B55" s="4450"/>
      <c r="C55" s="5119" t="s">
        <v>1407</v>
      </c>
      <c r="D55" s="5113"/>
      <c r="E55" s="5113"/>
      <c r="F55" s="4446">
        <f t="shared" ref="F55:F58" si="23">H55+I55</f>
        <v>0</v>
      </c>
      <c r="G55" s="4451"/>
      <c r="H55" s="4446">
        <f>'D.1.4.6. MĚŘENÍ A REGULACE'!J1</f>
        <v>0</v>
      </c>
      <c r="I55" s="4447">
        <f t="shared" ref="I55:I58" si="24">(G55*SazbaDPH1)/100+(H55*SazbaDPH2)/100</f>
        <v>0</v>
      </c>
      <c r="J55" s="4453"/>
    </row>
    <row r="56" spans="2:10" ht="12.75" customHeight="1">
      <c r="B56" s="4450"/>
      <c r="C56" s="5119" t="s">
        <v>1405</v>
      </c>
      <c r="D56" s="5113"/>
      <c r="E56" s="5113"/>
      <c r="F56" s="4446">
        <f t="shared" si="23"/>
        <v>0</v>
      </c>
      <c r="G56" s="4451"/>
      <c r="H56" s="4446">
        <f>'D.1.4.7. SILNOPROUD'!H343</f>
        <v>0</v>
      </c>
      <c r="I56" s="4447">
        <f t="shared" si="24"/>
        <v>0</v>
      </c>
      <c r="J56" s="4453"/>
    </row>
    <row r="57" spans="2:10" ht="12.75" customHeight="1">
      <c r="B57" s="4454"/>
      <c r="C57" s="5116" t="s">
        <v>5732</v>
      </c>
      <c r="D57" s="5117"/>
      <c r="E57" s="5118"/>
      <c r="F57" s="4446">
        <f t="shared" si="23"/>
        <v>0</v>
      </c>
      <c r="G57" s="4451"/>
      <c r="H57" s="4446">
        <f>'D.1.4.7.b.08. - REKAPITULACE'!C13</f>
        <v>0</v>
      </c>
      <c r="I57" s="4447">
        <f t="shared" si="24"/>
        <v>0</v>
      </c>
      <c r="J57" s="4453"/>
    </row>
    <row r="58" spans="2:10" ht="12.75" customHeight="1">
      <c r="B58" s="4450"/>
      <c r="C58" s="5119" t="s">
        <v>1406</v>
      </c>
      <c r="D58" s="5113"/>
      <c r="E58" s="5113"/>
      <c r="F58" s="4446">
        <f t="shared" si="23"/>
        <v>0</v>
      </c>
      <c r="G58" s="4451"/>
      <c r="H58" s="4446">
        <f>'D.1.4.8. EL. KOMUNIKACE'!H290</f>
        <v>0</v>
      </c>
      <c r="I58" s="4447">
        <f t="shared" si="24"/>
        <v>0</v>
      </c>
      <c r="J58" s="4453"/>
    </row>
    <row r="59" spans="2:10" ht="12.75" customHeight="1">
      <c r="B59" s="4454"/>
      <c r="C59" s="5116" t="s">
        <v>5733</v>
      </c>
      <c r="D59" s="5117"/>
      <c r="E59" s="5118"/>
      <c r="F59" s="4446">
        <f t="shared" ref="F59" si="25">H59+I59</f>
        <v>0</v>
      </c>
      <c r="G59" s="4451"/>
      <c r="H59" s="4446">
        <f>'D.1.4.8.b.04 - REKAPITULACE'!C13</f>
        <v>0</v>
      </c>
      <c r="I59" s="4447">
        <f t="shared" ref="I59" si="26">(G59*SazbaDPH1)/100+(H59*SazbaDPH2)/100</f>
        <v>0</v>
      </c>
      <c r="J59" s="4453"/>
    </row>
    <row r="60" spans="2:10" ht="12.75" customHeight="1">
      <c r="B60" s="4450"/>
      <c r="C60" s="5112" t="s">
        <v>5731</v>
      </c>
      <c r="D60" s="5113"/>
      <c r="E60" s="5113"/>
      <c r="F60" s="4446">
        <f t="shared" ref="F60" si="27">H60+I60</f>
        <v>0</v>
      </c>
      <c r="G60" s="4451"/>
      <c r="H60" s="4446">
        <f>'D.1.4.10.1. REKAPITULACE'!C10</f>
        <v>0</v>
      </c>
      <c r="I60" s="4447">
        <f t="shared" ref="I60" si="28">(G60*SazbaDPH1)/100+(H60*SazbaDPH2)/100</f>
        <v>0</v>
      </c>
      <c r="J60" s="4453"/>
    </row>
    <row r="61" spans="2:10" ht="12.75" customHeight="1">
      <c r="B61" s="4450"/>
      <c r="C61" s="5112" t="s">
        <v>1644</v>
      </c>
      <c r="D61" s="5113"/>
      <c r="E61" s="5113"/>
      <c r="F61" s="4446">
        <f t="shared" ref="F61" si="29">H61+I61</f>
        <v>0</v>
      </c>
      <c r="G61" s="4451"/>
      <c r="H61" s="4446">
        <f>'D.1.4.10.2. POZEMNÍ KOMUNIKACE'!H205</f>
        <v>0</v>
      </c>
      <c r="I61" s="4447">
        <f t="shared" ref="I61" si="30">(G61*SazbaDPH1)/100+(H61*SazbaDPH2)/100</f>
        <v>0</v>
      </c>
      <c r="J61" s="4453"/>
    </row>
    <row r="62" spans="2:10" ht="12.75" customHeight="1">
      <c r="B62" s="4450"/>
      <c r="C62" s="5112" t="s">
        <v>1404</v>
      </c>
      <c r="D62" s="5113"/>
      <c r="E62" s="5113"/>
      <c r="F62" s="5137" t="s">
        <v>4234</v>
      </c>
      <c r="G62" s="5138"/>
      <c r="H62" s="5138"/>
      <c r="I62" s="5139"/>
      <c r="J62" s="4453"/>
    </row>
    <row r="63" spans="2:10" ht="12.75" customHeight="1">
      <c r="B63" s="4450"/>
      <c r="C63" s="5112" t="s">
        <v>1403</v>
      </c>
      <c r="D63" s="5113"/>
      <c r="E63" s="5113"/>
      <c r="F63" s="4446">
        <f t="shared" si="19"/>
        <v>0</v>
      </c>
      <c r="G63" s="4446"/>
      <c r="H63" s="4446">
        <f>'D.2.2. REKAPITULACE'!C10</f>
        <v>0</v>
      </c>
      <c r="I63" s="4447">
        <f t="shared" ref="I63" si="31">(G63*SazbaDPH1)/100+(H63*SazbaDPH2)/100</f>
        <v>0</v>
      </c>
      <c r="J63" s="4453"/>
    </row>
    <row r="64" spans="2:10" ht="17.25" customHeight="1">
      <c r="B64" s="4455" t="s">
        <v>17</v>
      </c>
      <c r="C64" s="4456"/>
      <c r="D64" s="4457"/>
      <c r="E64" s="4458"/>
      <c r="F64" s="4459">
        <f>SUM(F37:F38,F47:F63)</f>
        <v>0</v>
      </c>
      <c r="G64" s="4459"/>
      <c r="H64" s="4459">
        <f>SUM(H37:H38,H47:H63)</f>
        <v>0</v>
      </c>
      <c r="I64" s="4459">
        <f>SUM(I37:I38,I47:I63)</f>
        <v>0</v>
      </c>
      <c r="J64" s="4428"/>
    </row>
    <row r="65" spans="1:15">
      <c r="B65" s="4460"/>
      <c r="C65" s="4460"/>
      <c r="D65" s="4460"/>
      <c r="E65" s="4460"/>
      <c r="F65" s="4460"/>
      <c r="G65" s="4460"/>
      <c r="H65" s="4460"/>
      <c r="I65" s="4460"/>
      <c r="J65" s="4460"/>
    </row>
    <row r="66" spans="1:15" ht="2.25" customHeight="1"/>
    <row r="67" spans="1:15" ht="1.5" customHeight="1"/>
    <row r="68" spans="1:15" ht="0.75" customHeight="1"/>
    <row r="69" spans="1:15" ht="0.75" customHeight="1"/>
    <row r="70" spans="1:15" ht="0.75" customHeight="1"/>
    <row r="71" spans="1:15" ht="18">
      <c r="B71" s="4429" t="s">
        <v>1</v>
      </c>
      <c r="C71" s="4383"/>
      <c r="D71" s="4383"/>
      <c r="E71" s="4383"/>
      <c r="F71" s="4383"/>
      <c r="G71" s="4383"/>
      <c r="H71" s="4383"/>
      <c r="I71" s="4383"/>
    </row>
    <row r="72" spans="1:15" s="4461" customFormat="1" ht="27" customHeight="1">
      <c r="A72" s="5134" t="s">
        <v>18</v>
      </c>
      <c r="B72" s="5135"/>
      <c r="C72" s="5135"/>
      <c r="D72" s="5135"/>
      <c r="E72" s="5135"/>
      <c r="F72" s="5135"/>
      <c r="G72" s="5135"/>
      <c r="H72" s="5135"/>
      <c r="I72" s="5135"/>
    </row>
    <row r="73" spans="1:15" s="4463" customFormat="1" ht="24.6" customHeight="1">
      <c r="A73" s="5134" t="s">
        <v>25</v>
      </c>
      <c r="B73" s="5132"/>
      <c r="C73" s="5132"/>
      <c r="D73" s="5132"/>
      <c r="E73" s="5132"/>
      <c r="F73" s="5132"/>
      <c r="G73" s="5132"/>
      <c r="H73" s="5133"/>
      <c r="I73" s="5133"/>
      <c r="J73" s="4462"/>
      <c r="L73" s="4464"/>
    </row>
    <row r="74" spans="1:15" s="4461" customFormat="1" ht="24.6" customHeight="1">
      <c r="B74" s="5136" t="s">
        <v>28</v>
      </c>
      <c r="C74" s="5136"/>
      <c r="D74" s="5136"/>
      <c r="E74" s="5136"/>
      <c r="F74" s="5136"/>
      <c r="G74" s="5136"/>
      <c r="H74" s="5136"/>
      <c r="I74" s="5136"/>
      <c r="J74" s="4388"/>
    </row>
    <row r="75" spans="1:15" s="4463" customFormat="1" ht="24.6" customHeight="1">
      <c r="A75" s="5131" t="s">
        <v>26</v>
      </c>
      <c r="B75" s="5132"/>
      <c r="C75" s="5132"/>
      <c r="D75" s="5132"/>
      <c r="E75" s="5132"/>
      <c r="F75" s="5132"/>
      <c r="G75" s="5132"/>
      <c r="H75" s="5133"/>
      <c r="I75" s="5133"/>
      <c r="K75" s="4462"/>
      <c r="M75" s="4465"/>
      <c r="O75" s="4466"/>
    </row>
    <row r="76" spans="1:15" s="4463" customFormat="1" ht="24.6" customHeight="1">
      <c r="A76" s="5131" t="s">
        <v>29</v>
      </c>
      <c r="B76" s="5132"/>
      <c r="C76" s="5132"/>
      <c r="D76" s="5132"/>
      <c r="E76" s="5132"/>
      <c r="F76" s="5132"/>
      <c r="G76" s="5132"/>
      <c r="H76" s="5133"/>
      <c r="I76" s="5133"/>
      <c r="J76" s="4462"/>
      <c r="L76" s="4464"/>
    </row>
    <row r="77" spans="1:15" ht="27" customHeight="1">
      <c r="B77" s="5130" t="s">
        <v>6286</v>
      </c>
      <c r="C77" s="5130"/>
      <c r="D77" s="5130"/>
      <c r="E77" s="5130"/>
      <c r="F77" s="5130"/>
      <c r="G77" s="5130"/>
      <c r="H77" s="5130"/>
      <c r="I77" s="5130"/>
    </row>
  </sheetData>
  <sheetProtection algorithmName="SHA-512" hashValue="hp9dvAq7uYZBxDnm7e0ulkG2iE+sCPKYzWbSsbx1J85ZIlbK+QFil72oQfiLQYtAG2qWLAP5HCnUXhElsl/oLA==" saltValue="qWmwQCy7FtGTa153zjcPfg==" spinCount="100000" sheet="1" objects="1" scenarios="1"/>
  <mergeCells count="39">
    <mergeCell ref="C58:E58"/>
    <mergeCell ref="C60:E60"/>
    <mergeCell ref="C57:E57"/>
    <mergeCell ref="C59:E59"/>
    <mergeCell ref="B77:I77"/>
    <mergeCell ref="C62:E62"/>
    <mergeCell ref="A76:I76"/>
    <mergeCell ref="A75:I75"/>
    <mergeCell ref="A72:I72"/>
    <mergeCell ref="A73:I73"/>
    <mergeCell ref="B74:I74"/>
    <mergeCell ref="F62:I62"/>
    <mergeCell ref="B2:I2"/>
    <mergeCell ref="B3:I3"/>
    <mergeCell ref="D5:H5"/>
    <mergeCell ref="C37:E37"/>
    <mergeCell ref="D7:G7"/>
    <mergeCell ref="D18:I18"/>
    <mergeCell ref="C43:E43"/>
    <mergeCell ref="C44:E44"/>
    <mergeCell ref="C45:E45"/>
    <mergeCell ref="C46:E46"/>
    <mergeCell ref="C63:E63"/>
    <mergeCell ref="C50:E50"/>
    <mergeCell ref="C49:E49"/>
    <mergeCell ref="C47:E47"/>
    <mergeCell ref="C54:E54"/>
    <mergeCell ref="C51:E51"/>
    <mergeCell ref="C48:E48"/>
    <mergeCell ref="C52:E52"/>
    <mergeCell ref="C53:E53"/>
    <mergeCell ref="C55:E55"/>
    <mergeCell ref="C56:E56"/>
    <mergeCell ref="C61:E61"/>
    <mergeCell ref="C38:E38"/>
    <mergeCell ref="C39:E39"/>
    <mergeCell ref="C40:E40"/>
    <mergeCell ref="C41:E41"/>
    <mergeCell ref="C42:E42"/>
  </mergeCells>
  <printOptions horizontalCentered="1"/>
  <pageMargins left="0.39370078740157483" right="0.39370078740157483" top="0.78740157480314965" bottom="0.39370078740157483" header="0" footer="0"/>
  <pageSetup paperSize="9" scale="8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C255-5DB9-4C4F-925D-2352526BB928}">
  <sheetPr>
    <pageSetUpPr fitToPage="1"/>
  </sheetPr>
  <dimension ref="A1:IE66"/>
  <sheetViews>
    <sheetView workbookViewId="0"/>
  </sheetViews>
  <sheetFormatPr defaultColWidth="17" defaultRowHeight="12.75"/>
  <cols>
    <col min="1" max="1" width="4.33203125" style="4472" customWidth="1"/>
    <col min="2" max="2" width="17" style="4472" customWidth="1"/>
    <col min="3" max="3" width="48.1640625" style="4472" customWidth="1"/>
    <col min="4" max="4" width="13" style="4472" customWidth="1"/>
    <col min="5" max="5" width="13.1640625" style="4472" customWidth="1"/>
    <col min="6" max="7" width="16" style="4472" customWidth="1"/>
    <col min="8" max="8" width="19.83203125" style="4472" customWidth="1"/>
    <col min="9" max="9" width="19.6640625" style="4472" customWidth="1"/>
    <col min="10" max="10" width="11.6640625" style="4472" customWidth="1"/>
    <col min="11" max="11" width="24.1640625" style="4472" customWidth="1"/>
    <col min="12" max="237" width="10.6640625" style="4472" customWidth="1"/>
    <col min="238" max="238" width="4.33203125" style="4472" customWidth="1"/>
    <col min="239" max="16384" width="17" style="4472"/>
  </cols>
  <sheetData>
    <row r="1" spans="1:239" ht="13.5" thickBot="1">
      <c r="A1" s="4467"/>
      <c r="B1" s="4468"/>
      <c r="C1" s="4469"/>
      <c r="D1" s="4469"/>
      <c r="E1" s="4470"/>
      <c r="F1" s="4469"/>
      <c r="G1" s="4471"/>
      <c r="H1" s="4471"/>
      <c r="I1" s="4471"/>
      <c r="J1" s="4471"/>
      <c r="K1" s="4471"/>
      <c r="L1" s="4471"/>
      <c r="M1" s="4471"/>
      <c r="N1" s="4471"/>
      <c r="O1" s="4471"/>
      <c r="P1" s="4471"/>
      <c r="Q1" s="4471"/>
      <c r="R1" s="4471"/>
      <c r="S1" s="4471"/>
      <c r="T1" s="4471"/>
      <c r="U1" s="4471"/>
      <c r="V1" s="4471"/>
      <c r="W1" s="4471"/>
      <c r="X1" s="4471"/>
      <c r="Y1" s="4471"/>
      <c r="Z1" s="4471"/>
      <c r="AA1" s="4471"/>
      <c r="AB1" s="4471"/>
      <c r="AC1" s="4471"/>
      <c r="AD1" s="4471"/>
      <c r="AE1" s="4471"/>
      <c r="AF1" s="4471"/>
      <c r="AG1" s="4471"/>
      <c r="AH1" s="4471"/>
      <c r="AI1" s="4471"/>
      <c r="AJ1" s="4471"/>
      <c r="AK1" s="4471"/>
      <c r="AL1" s="4471"/>
      <c r="AM1" s="4471"/>
      <c r="AN1" s="4471"/>
      <c r="AO1" s="4471"/>
      <c r="AP1" s="4471"/>
      <c r="AQ1" s="4471"/>
      <c r="AR1" s="4471"/>
      <c r="AS1" s="4471"/>
      <c r="AT1" s="4471"/>
      <c r="AU1" s="4471"/>
      <c r="AV1" s="4471"/>
      <c r="AW1" s="4471"/>
      <c r="AX1" s="4471"/>
      <c r="AY1" s="4471"/>
      <c r="AZ1" s="4471"/>
      <c r="BA1" s="4471"/>
      <c r="BB1" s="4471"/>
      <c r="BC1" s="4471"/>
      <c r="BD1" s="4471"/>
      <c r="BE1" s="4471"/>
      <c r="BF1" s="4471"/>
      <c r="BG1" s="4471"/>
      <c r="BH1" s="4471"/>
      <c r="BI1" s="4471"/>
      <c r="BJ1" s="4471"/>
      <c r="BK1" s="4471"/>
      <c r="BL1" s="4471"/>
      <c r="BM1" s="4471"/>
      <c r="BN1" s="4471"/>
      <c r="BO1" s="4471"/>
      <c r="BP1" s="4471"/>
      <c r="BQ1" s="4471"/>
      <c r="BR1" s="4471"/>
      <c r="BS1" s="4471"/>
      <c r="BT1" s="4471"/>
      <c r="BU1" s="4471"/>
      <c r="BV1" s="4471"/>
      <c r="BW1" s="4471"/>
      <c r="BX1" s="4471"/>
      <c r="BY1" s="4471"/>
      <c r="BZ1" s="4471"/>
      <c r="CA1" s="4471"/>
      <c r="CB1" s="4471"/>
      <c r="CC1" s="4471"/>
      <c r="CD1" s="4471"/>
      <c r="CE1" s="4471"/>
      <c r="CF1" s="4471"/>
      <c r="CG1" s="4471"/>
      <c r="CH1" s="4471"/>
      <c r="CI1" s="4471"/>
      <c r="CJ1" s="4471"/>
      <c r="CK1" s="4471"/>
      <c r="CL1" s="4471"/>
      <c r="CM1" s="4471"/>
      <c r="CN1" s="4471"/>
      <c r="CO1" s="4471"/>
      <c r="CP1" s="4471"/>
      <c r="CQ1" s="4471"/>
      <c r="CR1" s="4471"/>
      <c r="CS1" s="4471"/>
      <c r="CT1" s="4471"/>
      <c r="CU1" s="4471"/>
      <c r="CV1" s="4471"/>
      <c r="CW1" s="4471"/>
      <c r="CX1" s="4471"/>
      <c r="CY1" s="4471"/>
      <c r="CZ1" s="4471"/>
      <c r="DA1" s="4471"/>
      <c r="DB1" s="4471"/>
      <c r="DC1" s="4471"/>
      <c r="DD1" s="4471"/>
      <c r="DE1" s="4471"/>
      <c r="DF1" s="4471"/>
      <c r="DG1" s="4471"/>
      <c r="DH1" s="4471"/>
      <c r="DI1" s="4471"/>
      <c r="DJ1" s="4471"/>
      <c r="DK1" s="4471"/>
      <c r="DL1" s="4471"/>
      <c r="DM1" s="4471"/>
      <c r="DN1" s="4471"/>
      <c r="DO1" s="4471"/>
      <c r="DP1" s="4471"/>
      <c r="DQ1" s="4471"/>
      <c r="DR1" s="4471"/>
      <c r="DS1" s="4471"/>
      <c r="DT1" s="4471"/>
      <c r="DU1" s="4471"/>
      <c r="DV1" s="4471"/>
      <c r="DW1" s="4471"/>
      <c r="DX1" s="4471"/>
      <c r="DY1" s="4471"/>
      <c r="DZ1" s="4471"/>
      <c r="EA1" s="4471"/>
      <c r="EB1" s="4471"/>
      <c r="EC1" s="4471"/>
      <c r="ED1" s="4471"/>
      <c r="EE1" s="4471"/>
      <c r="EF1" s="4471"/>
      <c r="EG1" s="4471"/>
      <c r="EH1" s="4471"/>
      <c r="EI1" s="4471"/>
      <c r="EJ1" s="4471"/>
      <c r="EK1" s="4471"/>
      <c r="EL1" s="4471"/>
      <c r="EM1" s="4471"/>
      <c r="EN1" s="4471"/>
      <c r="EO1" s="4471"/>
      <c r="EP1" s="4471"/>
      <c r="EQ1" s="4471"/>
      <c r="ER1" s="4471"/>
      <c r="ES1" s="4471"/>
      <c r="ET1" s="4471"/>
      <c r="EU1" s="4471"/>
      <c r="EV1" s="4471"/>
      <c r="EW1" s="4471"/>
      <c r="EX1" s="4471"/>
      <c r="EY1" s="4471"/>
      <c r="EZ1" s="4471"/>
      <c r="FA1" s="4471"/>
      <c r="FB1" s="4471"/>
      <c r="FC1" s="4471"/>
      <c r="FD1" s="4471"/>
      <c r="FE1" s="4471"/>
      <c r="FF1" s="4471"/>
      <c r="FG1" s="4471"/>
      <c r="FH1" s="4471"/>
      <c r="FI1" s="4471"/>
      <c r="FJ1" s="4471"/>
      <c r="FK1" s="4471"/>
      <c r="FL1" s="4471"/>
      <c r="FM1" s="4471"/>
      <c r="FN1" s="4471"/>
      <c r="FO1" s="4471"/>
      <c r="FP1" s="4471"/>
      <c r="FQ1" s="4471"/>
      <c r="FR1" s="4471"/>
      <c r="FS1" s="4471"/>
      <c r="FT1" s="4471"/>
      <c r="FU1" s="4471"/>
      <c r="FV1" s="4471"/>
      <c r="FW1" s="4471"/>
      <c r="FX1" s="4471"/>
      <c r="FY1" s="4471"/>
      <c r="FZ1" s="4471"/>
      <c r="GA1" s="4471"/>
      <c r="GB1" s="4471"/>
      <c r="GC1" s="4471"/>
      <c r="GD1" s="4471"/>
      <c r="GE1" s="4471"/>
      <c r="GF1" s="4471"/>
      <c r="GG1" s="4471"/>
      <c r="GH1" s="4471"/>
      <c r="GI1" s="4471"/>
      <c r="GJ1" s="4471"/>
      <c r="GK1" s="4471"/>
      <c r="GL1" s="4471"/>
      <c r="GM1" s="4471"/>
      <c r="GN1" s="4471"/>
      <c r="GO1" s="4471"/>
      <c r="GP1" s="4471"/>
      <c r="GQ1" s="4471"/>
      <c r="GR1" s="4471"/>
      <c r="GS1" s="4471"/>
      <c r="GT1" s="4471"/>
      <c r="GU1" s="4471"/>
      <c r="GV1" s="4471"/>
      <c r="GW1" s="4471"/>
      <c r="GX1" s="4471"/>
      <c r="GY1" s="4471"/>
      <c r="GZ1" s="4471"/>
      <c r="HA1" s="4471"/>
      <c r="HB1" s="4471"/>
      <c r="HC1" s="4471"/>
      <c r="HD1" s="4471"/>
      <c r="HE1" s="4471"/>
      <c r="HF1" s="4471"/>
      <c r="HG1" s="4471"/>
      <c r="HH1" s="4471"/>
      <c r="HI1" s="4471"/>
      <c r="HJ1" s="4471"/>
      <c r="HK1" s="4471"/>
      <c r="HL1" s="4471"/>
      <c r="HM1" s="4471"/>
      <c r="HN1" s="4471"/>
      <c r="HO1" s="4471"/>
      <c r="HP1" s="4471"/>
      <c r="HQ1" s="4471"/>
      <c r="HR1" s="4471"/>
      <c r="HS1" s="4471"/>
      <c r="HT1" s="4471"/>
      <c r="HU1" s="4471"/>
      <c r="HV1" s="4471"/>
      <c r="HW1" s="4471"/>
      <c r="HX1" s="4471"/>
      <c r="HY1" s="4471"/>
      <c r="HZ1" s="4471"/>
      <c r="IA1" s="4471"/>
      <c r="IB1" s="4471"/>
      <c r="IC1" s="4471"/>
      <c r="ID1" s="4471"/>
      <c r="IE1" s="4471"/>
    </row>
    <row r="2" spans="1:239" ht="13.5" customHeight="1" thickTop="1">
      <c r="A2" s="5140" t="s">
        <v>3</v>
      </c>
      <c r="B2" s="5141"/>
      <c r="C2" s="5144" t="s">
        <v>39</v>
      </c>
      <c r="D2" s="5145"/>
      <c r="E2" s="5145"/>
      <c r="F2" s="5145"/>
      <c r="G2" s="5146"/>
      <c r="H2" s="4471"/>
      <c r="I2" s="4471"/>
      <c r="J2" s="4471"/>
      <c r="K2" s="4473"/>
      <c r="L2" s="4471"/>
      <c r="M2" s="4471"/>
      <c r="N2" s="4471"/>
      <c r="O2" s="4471"/>
      <c r="P2" s="4471"/>
      <c r="Q2" s="4471"/>
      <c r="R2" s="4471"/>
      <c r="S2" s="4471"/>
      <c r="T2" s="4471"/>
      <c r="U2" s="4471"/>
      <c r="V2" s="4471"/>
      <c r="W2" s="4471"/>
      <c r="X2" s="4471"/>
      <c r="Y2" s="4471"/>
      <c r="Z2" s="4471"/>
      <c r="AA2" s="4471"/>
      <c r="AB2" s="4471"/>
      <c r="AC2" s="4471"/>
      <c r="AD2" s="4471"/>
      <c r="AE2" s="4471"/>
      <c r="AF2" s="4471"/>
      <c r="AG2" s="4471"/>
      <c r="AH2" s="4471"/>
      <c r="AI2" s="4471"/>
      <c r="AJ2" s="4471"/>
      <c r="AK2" s="4471"/>
      <c r="AL2" s="4471"/>
      <c r="AM2" s="4471"/>
      <c r="AN2" s="4471"/>
      <c r="AO2" s="4471"/>
      <c r="AP2" s="4471"/>
      <c r="AQ2" s="4471"/>
      <c r="AR2" s="4471"/>
      <c r="AS2" s="4471"/>
      <c r="AT2" s="4471"/>
      <c r="AU2" s="4471"/>
      <c r="AV2" s="4471"/>
      <c r="AW2" s="4471"/>
      <c r="AX2" s="4471"/>
      <c r="AY2" s="4471"/>
      <c r="AZ2" s="4471"/>
      <c r="BA2" s="4471"/>
      <c r="BB2" s="4471"/>
      <c r="BC2" s="4471"/>
      <c r="BD2" s="4471"/>
      <c r="BE2" s="4471"/>
      <c r="BF2" s="4471"/>
      <c r="BG2" s="4471"/>
      <c r="BH2" s="4471"/>
      <c r="BI2" s="4471"/>
      <c r="BJ2" s="4471"/>
      <c r="BK2" s="4471"/>
      <c r="BL2" s="4471"/>
      <c r="BM2" s="4471"/>
      <c r="BN2" s="4471"/>
      <c r="BO2" s="4471"/>
      <c r="BP2" s="4471"/>
      <c r="BQ2" s="4471"/>
      <c r="BR2" s="4471"/>
      <c r="BS2" s="4471"/>
      <c r="BT2" s="4471"/>
      <c r="BU2" s="4471"/>
      <c r="BV2" s="4471"/>
      <c r="BW2" s="4471"/>
      <c r="BX2" s="4471"/>
      <c r="BY2" s="4471"/>
      <c r="BZ2" s="4471"/>
      <c r="CA2" s="4471"/>
      <c r="CB2" s="4471"/>
      <c r="CC2" s="4471"/>
      <c r="CD2" s="4471"/>
      <c r="CE2" s="4471"/>
      <c r="CF2" s="4471"/>
      <c r="CG2" s="4471"/>
      <c r="CH2" s="4471"/>
      <c r="CI2" s="4471"/>
      <c r="CJ2" s="4471"/>
      <c r="CK2" s="4471"/>
      <c r="CL2" s="4471"/>
      <c r="CM2" s="4471"/>
      <c r="CN2" s="4471"/>
      <c r="CO2" s="4471"/>
      <c r="CP2" s="4471"/>
      <c r="CQ2" s="4471"/>
      <c r="CR2" s="4471"/>
      <c r="CS2" s="4471"/>
      <c r="CT2" s="4471"/>
      <c r="CU2" s="4471"/>
      <c r="CV2" s="4471"/>
      <c r="CW2" s="4471"/>
      <c r="CX2" s="4471"/>
      <c r="CY2" s="4471"/>
      <c r="CZ2" s="4471"/>
      <c r="DA2" s="4471"/>
      <c r="DB2" s="4471"/>
      <c r="DC2" s="4471"/>
      <c r="DD2" s="4471"/>
      <c r="DE2" s="4471"/>
      <c r="DF2" s="4471"/>
      <c r="DG2" s="4471"/>
      <c r="DH2" s="4471"/>
      <c r="DI2" s="4471"/>
      <c r="DJ2" s="4471"/>
      <c r="DK2" s="4471"/>
      <c r="DL2" s="4471"/>
      <c r="DM2" s="4471"/>
      <c r="DN2" s="4471"/>
      <c r="DO2" s="4471"/>
      <c r="DP2" s="4471"/>
      <c r="DQ2" s="4471"/>
      <c r="DR2" s="4471"/>
      <c r="DS2" s="4471"/>
      <c r="DT2" s="4471"/>
      <c r="DU2" s="4471"/>
      <c r="DV2" s="4471"/>
      <c r="DW2" s="4471"/>
      <c r="DX2" s="4471"/>
      <c r="DY2" s="4471"/>
      <c r="DZ2" s="4471"/>
      <c r="EA2" s="4471"/>
      <c r="EB2" s="4471"/>
      <c r="EC2" s="4471"/>
      <c r="ED2" s="4471"/>
      <c r="EE2" s="4471"/>
      <c r="EF2" s="4471"/>
      <c r="EG2" s="4471"/>
      <c r="EH2" s="4471"/>
      <c r="EI2" s="4471"/>
      <c r="EJ2" s="4471"/>
      <c r="EK2" s="4471"/>
      <c r="EL2" s="4471"/>
      <c r="EM2" s="4471"/>
      <c r="EN2" s="4471"/>
      <c r="EO2" s="4471"/>
      <c r="EP2" s="4471"/>
      <c r="EQ2" s="4471"/>
      <c r="ER2" s="4471"/>
      <c r="ES2" s="4471"/>
      <c r="ET2" s="4471"/>
      <c r="EU2" s="4471"/>
      <c r="EV2" s="4471"/>
      <c r="EW2" s="4471"/>
      <c r="EX2" s="4471"/>
      <c r="EY2" s="4471"/>
      <c r="EZ2" s="4471"/>
      <c r="FA2" s="4471"/>
      <c r="FB2" s="4471"/>
      <c r="FC2" s="4471"/>
      <c r="FD2" s="4471"/>
      <c r="FE2" s="4471"/>
      <c r="FF2" s="4471"/>
      <c r="FG2" s="4471"/>
      <c r="FH2" s="4471"/>
      <c r="FI2" s="4471"/>
      <c r="FJ2" s="4471"/>
      <c r="FK2" s="4471"/>
      <c r="FL2" s="4471"/>
      <c r="FM2" s="4471"/>
      <c r="FN2" s="4471"/>
      <c r="FO2" s="4471"/>
      <c r="FP2" s="4471"/>
      <c r="FQ2" s="4471"/>
      <c r="FR2" s="4471"/>
      <c r="FS2" s="4471"/>
      <c r="FT2" s="4471"/>
      <c r="FU2" s="4471"/>
      <c r="FV2" s="4471"/>
      <c r="FW2" s="4471"/>
      <c r="FX2" s="4471"/>
      <c r="FY2" s="4471"/>
      <c r="FZ2" s="4471"/>
      <c r="GA2" s="4471"/>
      <c r="GB2" s="4471"/>
      <c r="GC2" s="4471"/>
      <c r="GD2" s="4471"/>
      <c r="GE2" s="4471"/>
      <c r="GF2" s="4471"/>
      <c r="GG2" s="4471"/>
      <c r="GH2" s="4471"/>
      <c r="GI2" s="4471"/>
      <c r="GJ2" s="4471"/>
      <c r="GK2" s="4471"/>
      <c r="GL2" s="4471"/>
      <c r="GM2" s="4471"/>
      <c r="GN2" s="4471"/>
      <c r="GO2" s="4471"/>
      <c r="GP2" s="4471"/>
      <c r="GQ2" s="4471"/>
      <c r="GR2" s="4471"/>
      <c r="GS2" s="4471"/>
      <c r="GT2" s="4471"/>
      <c r="GU2" s="4471"/>
      <c r="GV2" s="4471"/>
      <c r="GW2" s="4471"/>
      <c r="GX2" s="4471"/>
      <c r="GY2" s="4471"/>
      <c r="GZ2" s="4471"/>
      <c r="HA2" s="4471"/>
      <c r="HB2" s="4471"/>
      <c r="HC2" s="4471"/>
      <c r="HD2" s="4471"/>
      <c r="HE2" s="4471"/>
      <c r="HF2" s="4471"/>
      <c r="HG2" s="4471"/>
      <c r="HH2" s="4471"/>
      <c r="HI2" s="4471"/>
      <c r="HJ2" s="4471"/>
      <c r="HK2" s="4471"/>
      <c r="HL2" s="4471"/>
      <c r="HM2" s="4471"/>
      <c r="HN2" s="4471"/>
      <c r="HO2" s="4471"/>
      <c r="HP2" s="4471"/>
      <c r="HQ2" s="4471"/>
      <c r="HR2" s="4471"/>
      <c r="HS2" s="4471"/>
      <c r="HT2" s="4471"/>
      <c r="HU2" s="4471"/>
      <c r="HV2" s="4471"/>
      <c r="HW2" s="4471"/>
      <c r="HX2" s="4471"/>
      <c r="HY2" s="4471"/>
      <c r="HZ2" s="4471"/>
      <c r="IA2" s="4471"/>
      <c r="IB2" s="4471"/>
      <c r="IC2" s="4471"/>
      <c r="ID2" s="4471"/>
      <c r="IE2" s="4471"/>
    </row>
    <row r="3" spans="1:239">
      <c r="A3" s="5142"/>
      <c r="B3" s="5143"/>
      <c r="C3" s="5147"/>
      <c r="D3" s="5147"/>
      <c r="E3" s="5147"/>
      <c r="F3" s="5147"/>
      <c r="G3" s="5148"/>
      <c r="H3" s="4471"/>
      <c r="I3" s="4471"/>
      <c r="J3" s="4471"/>
      <c r="K3" s="4471"/>
      <c r="L3" s="4471"/>
      <c r="M3" s="4471"/>
      <c r="N3" s="4471"/>
      <c r="O3" s="4471"/>
      <c r="P3" s="4471"/>
      <c r="Q3" s="4471"/>
      <c r="R3" s="4471"/>
      <c r="S3" s="4471"/>
      <c r="T3" s="4471"/>
      <c r="U3" s="4471"/>
      <c r="V3" s="4471"/>
      <c r="W3" s="4471"/>
      <c r="X3" s="4471"/>
      <c r="Y3" s="4471"/>
      <c r="Z3" s="4471"/>
      <c r="AA3" s="4471"/>
      <c r="AB3" s="4471"/>
      <c r="AC3" s="4471"/>
      <c r="AD3" s="4471"/>
      <c r="AE3" s="4471"/>
      <c r="AF3" s="4471"/>
      <c r="AG3" s="4471"/>
      <c r="AH3" s="4471"/>
      <c r="AI3" s="4471"/>
      <c r="AJ3" s="4471"/>
      <c r="AK3" s="4471"/>
      <c r="AL3" s="4471"/>
      <c r="AM3" s="4471"/>
      <c r="AN3" s="4471"/>
      <c r="AO3" s="4471"/>
      <c r="AP3" s="4471"/>
      <c r="AQ3" s="4471"/>
      <c r="AR3" s="4471"/>
      <c r="AS3" s="4471"/>
      <c r="AT3" s="4471"/>
      <c r="AU3" s="4471"/>
      <c r="AV3" s="4471"/>
      <c r="AW3" s="4471"/>
      <c r="AX3" s="4471"/>
      <c r="AY3" s="4471"/>
      <c r="AZ3" s="4471"/>
      <c r="BA3" s="4471"/>
      <c r="BB3" s="4471"/>
      <c r="BC3" s="4471"/>
      <c r="BD3" s="4471"/>
      <c r="BE3" s="4471"/>
      <c r="BF3" s="4471"/>
      <c r="BG3" s="4471"/>
      <c r="BH3" s="4471"/>
      <c r="BI3" s="4471"/>
      <c r="BJ3" s="4471"/>
      <c r="BK3" s="4471"/>
      <c r="BL3" s="4471"/>
      <c r="BM3" s="4471"/>
      <c r="BN3" s="4471"/>
      <c r="BO3" s="4471"/>
      <c r="BP3" s="4471"/>
      <c r="BQ3" s="4471"/>
      <c r="BR3" s="4471"/>
      <c r="BS3" s="4471"/>
      <c r="BT3" s="4471"/>
      <c r="BU3" s="4471"/>
      <c r="BV3" s="4471"/>
      <c r="BW3" s="4471"/>
      <c r="BX3" s="4471"/>
      <c r="BY3" s="4471"/>
      <c r="BZ3" s="4471"/>
      <c r="CA3" s="4471"/>
      <c r="CB3" s="4471"/>
      <c r="CC3" s="4471"/>
      <c r="CD3" s="4471"/>
      <c r="CE3" s="4471"/>
      <c r="CF3" s="4471"/>
      <c r="CG3" s="4471"/>
      <c r="CH3" s="4471"/>
      <c r="CI3" s="4471"/>
      <c r="CJ3" s="4471"/>
      <c r="CK3" s="4471"/>
      <c r="CL3" s="4471"/>
      <c r="CM3" s="4471"/>
      <c r="CN3" s="4471"/>
      <c r="CO3" s="4471"/>
      <c r="CP3" s="4471"/>
      <c r="CQ3" s="4471"/>
      <c r="CR3" s="4471"/>
      <c r="CS3" s="4471"/>
      <c r="CT3" s="4471"/>
      <c r="CU3" s="4471"/>
      <c r="CV3" s="4471"/>
      <c r="CW3" s="4471"/>
      <c r="CX3" s="4471"/>
      <c r="CY3" s="4471"/>
      <c r="CZ3" s="4471"/>
      <c r="DA3" s="4471"/>
      <c r="DB3" s="4471"/>
      <c r="DC3" s="4471"/>
      <c r="DD3" s="4471"/>
      <c r="DE3" s="4471"/>
      <c r="DF3" s="4471"/>
      <c r="DG3" s="4471"/>
      <c r="DH3" s="4471"/>
      <c r="DI3" s="4471"/>
      <c r="DJ3" s="4471"/>
      <c r="DK3" s="4471"/>
      <c r="DL3" s="4471"/>
      <c r="DM3" s="4471"/>
      <c r="DN3" s="4471"/>
      <c r="DO3" s="4471"/>
      <c r="DP3" s="4471"/>
      <c r="DQ3" s="4471"/>
      <c r="DR3" s="4471"/>
      <c r="DS3" s="4471"/>
      <c r="DT3" s="4471"/>
      <c r="DU3" s="4471"/>
      <c r="DV3" s="4471"/>
      <c r="DW3" s="4471"/>
      <c r="DX3" s="4471"/>
      <c r="DY3" s="4471"/>
      <c r="DZ3" s="4471"/>
      <c r="EA3" s="4471"/>
      <c r="EB3" s="4471"/>
      <c r="EC3" s="4471"/>
      <c r="ED3" s="4471"/>
      <c r="EE3" s="4471"/>
      <c r="EF3" s="4471"/>
      <c r="EG3" s="4471"/>
      <c r="EH3" s="4471"/>
      <c r="EI3" s="4471"/>
      <c r="EJ3" s="4471"/>
      <c r="EK3" s="4471"/>
      <c r="EL3" s="4471"/>
      <c r="EM3" s="4471"/>
      <c r="EN3" s="4471"/>
      <c r="EO3" s="4471"/>
      <c r="EP3" s="4471"/>
      <c r="EQ3" s="4471"/>
      <c r="ER3" s="4471"/>
      <c r="ES3" s="4471"/>
      <c r="ET3" s="4471"/>
      <c r="EU3" s="4471"/>
      <c r="EV3" s="4471"/>
      <c r="EW3" s="4471"/>
      <c r="EX3" s="4471"/>
      <c r="EY3" s="4471"/>
      <c r="EZ3" s="4471"/>
      <c r="FA3" s="4471"/>
      <c r="FB3" s="4471"/>
      <c r="FC3" s="4471"/>
      <c r="FD3" s="4471"/>
      <c r="FE3" s="4471"/>
      <c r="FF3" s="4471"/>
      <c r="FG3" s="4471"/>
      <c r="FH3" s="4471"/>
      <c r="FI3" s="4471"/>
      <c r="FJ3" s="4471"/>
      <c r="FK3" s="4471"/>
      <c r="FL3" s="4471"/>
      <c r="FM3" s="4471"/>
      <c r="FN3" s="4471"/>
      <c r="FO3" s="4471"/>
      <c r="FP3" s="4471"/>
      <c r="FQ3" s="4471"/>
      <c r="FR3" s="4471"/>
      <c r="FS3" s="4471"/>
      <c r="FT3" s="4471"/>
      <c r="FU3" s="4471"/>
      <c r="FV3" s="4471"/>
      <c r="FW3" s="4471"/>
      <c r="FX3" s="4471"/>
      <c r="FY3" s="4471"/>
      <c r="FZ3" s="4471"/>
      <c r="GA3" s="4471"/>
      <c r="GB3" s="4471"/>
      <c r="GC3" s="4471"/>
      <c r="GD3" s="4471"/>
      <c r="GE3" s="4471"/>
      <c r="GF3" s="4471"/>
      <c r="GG3" s="4471"/>
      <c r="GH3" s="4471"/>
      <c r="GI3" s="4471"/>
      <c r="GJ3" s="4471"/>
      <c r="GK3" s="4471"/>
      <c r="GL3" s="4471"/>
      <c r="GM3" s="4471"/>
      <c r="GN3" s="4471"/>
      <c r="GO3" s="4471"/>
      <c r="GP3" s="4471"/>
      <c r="GQ3" s="4471"/>
      <c r="GR3" s="4471"/>
      <c r="GS3" s="4471"/>
      <c r="GT3" s="4471"/>
      <c r="GU3" s="4471"/>
      <c r="GV3" s="4471"/>
      <c r="GW3" s="4471"/>
      <c r="GX3" s="4471"/>
      <c r="GY3" s="4471"/>
      <c r="GZ3" s="4471"/>
      <c r="HA3" s="4471"/>
      <c r="HB3" s="4471"/>
      <c r="HC3" s="4471"/>
      <c r="HD3" s="4471"/>
      <c r="HE3" s="4471"/>
      <c r="HF3" s="4471"/>
      <c r="HG3" s="4471"/>
      <c r="HH3" s="4471"/>
      <c r="HI3" s="4471"/>
      <c r="HJ3" s="4471"/>
      <c r="HK3" s="4471"/>
      <c r="HL3" s="4471"/>
      <c r="HM3" s="4471"/>
      <c r="HN3" s="4471"/>
      <c r="HO3" s="4471"/>
      <c r="HP3" s="4471"/>
      <c r="HQ3" s="4471"/>
      <c r="HR3" s="4471"/>
      <c r="HS3" s="4471"/>
      <c r="HT3" s="4471"/>
      <c r="HU3" s="4471"/>
      <c r="HV3" s="4471"/>
      <c r="HW3" s="4471"/>
      <c r="HX3" s="4471"/>
      <c r="HY3" s="4471"/>
      <c r="HZ3" s="4471"/>
      <c r="IA3" s="4471"/>
      <c r="IB3" s="4471"/>
      <c r="IC3" s="4471"/>
      <c r="ID3" s="4471"/>
      <c r="IE3" s="4471"/>
    </row>
    <row r="4" spans="1:239" ht="15" thickBot="1">
      <c r="A4" s="5149" t="s">
        <v>41</v>
      </c>
      <c r="B4" s="5150"/>
      <c r="C4" s="5151" t="s">
        <v>42</v>
      </c>
      <c r="D4" s="5152"/>
      <c r="E4" s="5152"/>
      <c r="F4" s="5152"/>
      <c r="G4" s="5153"/>
      <c r="H4" s="4471"/>
      <c r="I4" s="4471"/>
      <c r="J4" s="4471"/>
      <c r="K4" s="4471"/>
      <c r="L4" s="4471"/>
      <c r="M4" s="4471"/>
      <c r="N4" s="4471"/>
      <c r="O4" s="4471"/>
      <c r="P4" s="4471"/>
      <c r="Q4" s="4471"/>
      <c r="R4" s="4471"/>
      <c r="S4" s="4471"/>
      <c r="T4" s="4471"/>
      <c r="U4" s="4471"/>
      <c r="V4" s="4471"/>
      <c r="W4" s="4471"/>
      <c r="X4" s="4471"/>
      <c r="Y4" s="4471"/>
      <c r="Z4" s="4471"/>
      <c r="AA4" s="4471"/>
      <c r="AB4" s="4471"/>
      <c r="AC4" s="4471"/>
      <c r="AD4" s="4471"/>
      <c r="AE4" s="4471"/>
      <c r="AF4" s="4471"/>
      <c r="AG4" s="4471"/>
      <c r="AH4" s="4471"/>
      <c r="AI4" s="4471"/>
      <c r="AJ4" s="4471"/>
      <c r="AK4" s="4471"/>
      <c r="AL4" s="4471"/>
      <c r="AM4" s="4471"/>
      <c r="AN4" s="4471"/>
      <c r="AO4" s="4471"/>
      <c r="AP4" s="4471"/>
      <c r="AQ4" s="4471"/>
      <c r="AR4" s="4471"/>
      <c r="AS4" s="4471"/>
      <c r="AT4" s="4471"/>
      <c r="AU4" s="4471"/>
      <c r="AV4" s="4471"/>
      <c r="AW4" s="4471"/>
      <c r="AX4" s="4471"/>
      <c r="AY4" s="4471"/>
      <c r="AZ4" s="4471"/>
      <c r="BA4" s="4471"/>
      <c r="BB4" s="4471"/>
      <c r="BC4" s="4471"/>
      <c r="BD4" s="4471"/>
      <c r="BE4" s="4471"/>
      <c r="BF4" s="4471"/>
      <c r="BG4" s="4471"/>
      <c r="BH4" s="4471"/>
      <c r="BI4" s="4471"/>
      <c r="BJ4" s="4471"/>
      <c r="BK4" s="4471"/>
      <c r="BL4" s="4471"/>
      <c r="BM4" s="4471"/>
      <c r="BN4" s="4471"/>
      <c r="BO4" s="4471"/>
      <c r="BP4" s="4471"/>
      <c r="BQ4" s="4471"/>
      <c r="BR4" s="4471"/>
      <c r="BS4" s="4471"/>
      <c r="BT4" s="4471"/>
      <c r="BU4" s="4471"/>
      <c r="BV4" s="4471"/>
      <c r="BW4" s="4471"/>
      <c r="BX4" s="4471"/>
      <c r="BY4" s="4471"/>
      <c r="BZ4" s="4471"/>
      <c r="CA4" s="4471"/>
      <c r="CB4" s="4471"/>
      <c r="CC4" s="4471"/>
      <c r="CD4" s="4471"/>
      <c r="CE4" s="4471"/>
      <c r="CF4" s="4471"/>
      <c r="CG4" s="4471"/>
      <c r="CH4" s="4471"/>
      <c r="CI4" s="4471"/>
      <c r="CJ4" s="4471"/>
      <c r="CK4" s="4471"/>
      <c r="CL4" s="4471"/>
      <c r="CM4" s="4471"/>
      <c r="CN4" s="4471"/>
      <c r="CO4" s="4471"/>
      <c r="CP4" s="4471"/>
      <c r="CQ4" s="4471"/>
      <c r="CR4" s="4471"/>
      <c r="CS4" s="4471"/>
      <c r="CT4" s="4471"/>
      <c r="CU4" s="4471"/>
      <c r="CV4" s="4471"/>
      <c r="CW4" s="4471"/>
      <c r="CX4" s="4471"/>
      <c r="CY4" s="4471"/>
      <c r="CZ4" s="4471"/>
      <c r="DA4" s="4471"/>
      <c r="DB4" s="4471"/>
      <c r="DC4" s="4471"/>
      <c r="DD4" s="4471"/>
      <c r="DE4" s="4471"/>
      <c r="DF4" s="4471"/>
      <c r="DG4" s="4471"/>
      <c r="DH4" s="4471"/>
      <c r="DI4" s="4471"/>
      <c r="DJ4" s="4471"/>
      <c r="DK4" s="4471"/>
      <c r="DL4" s="4471"/>
      <c r="DM4" s="4471"/>
      <c r="DN4" s="4471"/>
      <c r="DO4" s="4471"/>
      <c r="DP4" s="4471"/>
      <c r="DQ4" s="4471"/>
      <c r="DR4" s="4471"/>
      <c r="DS4" s="4471"/>
      <c r="DT4" s="4471"/>
      <c r="DU4" s="4471"/>
      <c r="DV4" s="4471"/>
      <c r="DW4" s="4471"/>
      <c r="DX4" s="4471"/>
      <c r="DY4" s="4471"/>
      <c r="DZ4" s="4471"/>
      <c r="EA4" s="4471"/>
      <c r="EB4" s="4471"/>
      <c r="EC4" s="4471"/>
      <c r="ED4" s="4471"/>
      <c r="EE4" s="4471"/>
      <c r="EF4" s="4471"/>
      <c r="EG4" s="4471"/>
      <c r="EH4" s="4471"/>
      <c r="EI4" s="4471"/>
      <c r="EJ4" s="4471"/>
      <c r="EK4" s="4471"/>
      <c r="EL4" s="4471"/>
      <c r="EM4" s="4471"/>
      <c r="EN4" s="4471"/>
      <c r="EO4" s="4471"/>
      <c r="EP4" s="4471"/>
      <c r="EQ4" s="4471"/>
      <c r="ER4" s="4471"/>
      <c r="ES4" s="4471"/>
      <c r="ET4" s="4471"/>
      <c r="EU4" s="4471"/>
      <c r="EV4" s="4471"/>
      <c r="EW4" s="4471"/>
      <c r="EX4" s="4471"/>
      <c r="EY4" s="4471"/>
      <c r="EZ4" s="4471"/>
      <c r="FA4" s="4471"/>
      <c r="FB4" s="4471"/>
      <c r="FC4" s="4471"/>
      <c r="FD4" s="4471"/>
      <c r="FE4" s="4471"/>
      <c r="FF4" s="4471"/>
      <c r="FG4" s="4471"/>
      <c r="FH4" s="4471"/>
      <c r="FI4" s="4471"/>
      <c r="FJ4" s="4471"/>
      <c r="FK4" s="4471"/>
      <c r="FL4" s="4471"/>
      <c r="FM4" s="4471"/>
      <c r="FN4" s="4471"/>
      <c r="FO4" s="4471"/>
      <c r="FP4" s="4471"/>
      <c r="FQ4" s="4471"/>
      <c r="FR4" s="4471"/>
      <c r="FS4" s="4471"/>
      <c r="FT4" s="4471"/>
      <c r="FU4" s="4471"/>
      <c r="FV4" s="4471"/>
      <c r="FW4" s="4471"/>
      <c r="FX4" s="4471"/>
      <c r="FY4" s="4471"/>
      <c r="FZ4" s="4471"/>
      <c r="GA4" s="4471"/>
      <c r="GB4" s="4471"/>
      <c r="GC4" s="4471"/>
      <c r="GD4" s="4471"/>
      <c r="GE4" s="4471"/>
      <c r="GF4" s="4471"/>
      <c r="GG4" s="4471"/>
      <c r="GH4" s="4471"/>
      <c r="GI4" s="4471"/>
      <c r="GJ4" s="4471"/>
      <c r="GK4" s="4471"/>
      <c r="GL4" s="4471"/>
      <c r="GM4" s="4471"/>
      <c r="GN4" s="4471"/>
      <c r="GO4" s="4471"/>
      <c r="GP4" s="4471"/>
      <c r="GQ4" s="4471"/>
      <c r="GR4" s="4471"/>
      <c r="GS4" s="4471"/>
      <c r="GT4" s="4471"/>
      <c r="GU4" s="4471"/>
      <c r="GV4" s="4471"/>
      <c r="GW4" s="4471"/>
      <c r="GX4" s="4471"/>
      <c r="GY4" s="4471"/>
      <c r="GZ4" s="4471"/>
      <c r="HA4" s="4471"/>
      <c r="HB4" s="4471"/>
      <c r="HC4" s="4471"/>
      <c r="HD4" s="4471"/>
      <c r="HE4" s="4471"/>
      <c r="HF4" s="4471"/>
      <c r="HG4" s="4471"/>
      <c r="HH4" s="4471"/>
      <c r="HI4" s="4471"/>
      <c r="HJ4" s="4471"/>
      <c r="HK4" s="4471"/>
      <c r="HL4" s="4471"/>
      <c r="HM4" s="4471"/>
      <c r="HN4" s="4471"/>
      <c r="HO4" s="4471"/>
      <c r="HP4" s="4471"/>
      <c r="HQ4" s="4471"/>
      <c r="HR4" s="4471"/>
      <c r="HS4" s="4471"/>
      <c r="HT4" s="4471"/>
      <c r="HU4" s="4471"/>
      <c r="HV4" s="4471"/>
      <c r="HW4" s="4471"/>
      <c r="HX4" s="4471"/>
      <c r="HY4" s="4471"/>
      <c r="HZ4" s="4471"/>
      <c r="IA4" s="4471"/>
      <c r="IB4" s="4471"/>
      <c r="IC4" s="4471"/>
      <c r="ID4" s="4471"/>
      <c r="IE4" s="4471"/>
    </row>
    <row r="5" spans="1:239" ht="13.5" thickTop="1"/>
    <row r="6" spans="1:239">
      <c r="F6" s="4474"/>
      <c r="G6" s="4474"/>
      <c r="H6" s="4475"/>
      <c r="K6" s="4476"/>
    </row>
    <row r="7" spans="1:239" ht="26.25">
      <c r="A7" s="4477" t="s">
        <v>43</v>
      </c>
      <c r="B7" s="4478" t="s">
        <v>44</v>
      </c>
      <c r="C7" s="4479" t="s">
        <v>16</v>
      </c>
      <c r="D7" s="5154" t="s">
        <v>45</v>
      </c>
      <c r="E7" s="5155"/>
      <c r="F7" s="5155"/>
      <c r="G7" s="5155"/>
      <c r="H7" s="4481" t="s">
        <v>46</v>
      </c>
      <c r="I7" s="4482"/>
    </row>
    <row r="8" spans="1:239" ht="33.75">
      <c r="A8" s="4483">
        <v>1</v>
      </c>
      <c r="B8" s="4484" t="s">
        <v>47</v>
      </c>
      <c r="C8" s="4485" t="s">
        <v>48</v>
      </c>
      <c r="D8" s="4486" t="s">
        <v>49</v>
      </c>
      <c r="E8" s="4487">
        <v>1</v>
      </c>
      <c r="F8" s="4530"/>
      <c r="G8" s="4487">
        <f t="shared" ref="G8:G15" si="0">(E8*F8)</f>
        <v>0</v>
      </c>
      <c r="H8" s="4489" t="s">
        <v>111</v>
      </c>
      <c r="K8" s="4475"/>
    </row>
    <row r="9" spans="1:239" ht="22.5">
      <c r="A9" s="4490" t="s">
        <v>1118</v>
      </c>
      <c r="B9" s="4491" t="s">
        <v>6546</v>
      </c>
      <c r="C9" s="4492" t="s">
        <v>6545</v>
      </c>
      <c r="D9" s="4493" t="s">
        <v>49</v>
      </c>
      <c r="E9" s="4494">
        <v>1</v>
      </c>
      <c r="F9" s="4531"/>
      <c r="G9" s="4495">
        <f t="shared" ref="G9" si="1">ROUND(E9*F9,2)</f>
        <v>0</v>
      </c>
      <c r="H9" s="4496" t="s">
        <v>111</v>
      </c>
      <c r="J9" s="4497"/>
      <c r="K9" s="4498"/>
      <c r="L9" s="4499"/>
      <c r="M9" s="4498"/>
    </row>
    <row r="10" spans="1:239" ht="33.75">
      <c r="A10" s="4483">
        <v>2</v>
      </c>
      <c r="B10" s="4484" t="s">
        <v>50</v>
      </c>
      <c r="C10" s="4485" t="s">
        <v>51</v>
      </c>
      <c r="D10" s="4486" t="s">
        <v>49</v>
      </c>
      <c r="E10" s="4487">
        <v>1</v>
      </c>
      <c r="F10" s="4530"/>
      <c r="G10" s="4487">
        <f t="shared" si="0"/>
        <v>0</v>
      </c>
      <c r="H10" s="4489" t="s">
        <v>111</v>
      </c>
    </row>
    <row r="11" spans="1:239" ht="45">
      <c r="A11" s="4483">
        <v>3</v>
      </c>
      <c r="B11" s="4484" t="s">
        <v>52</v>
      </c>
      <c r="C11" s="4485" t="s">
        <v>53</v>
      </c>
      <c r="D11" s="4486" t="s">
        <v>49</v>
      </c>
      <c r="E11" s="4487">
        <v>1</v>
      </c>
      <c r="F11" s="4530"/>
      <c r="G11" s="4487">
        <f t="shared" si="0"/>
        <v>0</v>
      </c>
      <c r="H11" s="4489" t="s">
        <v>112</v>
      </c>
      <c r="K11" s="4475"/>
    </row>
    <row r="12" spans="1:239" ht="22.5">
      <c r="A12" s="4483">
        <v>4</v>
      </c>
      <c r="B12" s="4484" t="s">
        <v>54</v>
      </c>
      <c r="C12" s="4485" t="s">
        <v>55</v>
      </c>
      <c r="D12" s="4486" t="s">
        <v>49</v>
      </c>
      <c r="E12" s="4487">
        <v>1</v>
      </c>
      <c r="F12" s="4530"/>
      <c r="G12" s="4487">
        <f t="shared" si="0"/>
        <v>0</v>
      </c>
      <c r="H12" s="4489" t="s">
        <v>112</v>
      </c>
      <c r="K12" s="4475"/>
    </row>
    <row r="13" spans="1:239" ht="22.5">
      <c r="A13" s="4483">
        <v>5</v>
      </c>
      <c r="B13" s="4484" t="s">
        <v>56</v>
      </c>
      <c r="C13" s="4485" t="s">
        <v>57</v>
      </c>
      <c r="D13" s="4486" t="s">
        <v>49</v>
      </c>
      <c r="E13" s="4487">
        <v>1</v>
      </c>
      <c r="F13" s="4530"/>
      <c r="G13" s="4487">
        <f t="shared" si="0"/>
        <v>0</v>
      </c>
      <c r="H13" s="4489" t="s">
        <v>112</v>
      </c>
    </row>
    <row r="14" spans="1:239" ht="22.5">
      <c r="A14" s="4483">
        <v>6</v>
      </c>
      <c r="B14" s="4484" t="s">
        <v>58</v>
      </c>
      <c r="C14" s="4485" t="s">
        <v>59</v>
      </c>
      <c r="D14" s="4486" t="s">
        <v>49</v>
      </c>
      <c r="E14" s="4487">
        <v>1</v>
      </c>
      <c r="F14" s="4530"/>
      <c r="G14" s="4487">
        <f t="shared" si="0"/>
        <v>0</v>
      </c>
      <c r="H14" s="4489" t="s">
        <v>112</v>
      </c>
    </row>
    <row r="15" spans="1:239" ht="22.5">
      <c r="A15" s="4483">
        <v>7</v>
      </c>
      <c r="B15" s="4484" t="s">
        <v>60</v>
      </c>
      <c r="C15" s="4485" t="s">
        <v>61</v>
      </c>
      <c r="D15" s="4486" t="s">
        <v>49</v>
      </c>
      <c r="E15" s="4487">
        <v>1</v>
      </c>
      <c r="F15" s="4530"/>
      <c r="G15" s="4487">
        <f t="shared" si="0"/>
        <v>0</v>
      </c>
      <c r="H15" s="4489" t="s">
        <v>112</v>
      </c>
    </row>
    <row r="16" spans="1:239">
      <c r="A16" s="4480">
        <v>8</v>
      </c>
      <c r="B16" s="4500" t="s">
        <v>62</v>
      </c>
      <c r="C16" s="4501" t="s">
        <v>63</v>
      </c>
      <c r="D16" s="4502" t="s">
        <v>49</v>
      </c>
      <c r="E16" s="4488">
        <v>1</v>
      </c>
      <c r="F16" s="5157" t="s">
        <v>3512</v>
      </c>
      <c r="G16" s="5158"/>
      <c r="H16" s="4503" t="s">
        <v>112</v>
      </c>
      <c r="K16" s="4475"/>
    </row>
    <row r="17" spans="1:14" ht="101.25">
      <c r="A17" s="4480"/>
      <c r="B17" s="4500"/>
      <c r="C17" s="4504" t="s">
        <v>64</v>
      </c>
      <c r="D17" s="4502"/>
      <c r="E17" s="4488"/>
      <c r="F17" s="4530"/>
      <c r="G17" s="4488"/>
      <c r="H17" s="4505"/>
    </row>
    <row r="18" spans="1:14">
      <c r="A18" s="4490" t="s">
        <v>6292</v>
      </c>
      <c r="B18" s="4506" t="s">
        <v>6295</v>
      </c>
      <c r="C18" s="4507" t="s">
        <v>6291</v>
      </c>
      <c r="D18" s="4493" t="s">
        <v>49</v>
      </c>
      <c r="E18" s="4495">
        <v>1</v>
      </c>
      <c r="F18" s="4531"/>
      <c r="G18" s="4495">
        <f t="shared" ref="G18" si="2">(E18*F18)</f>
        <v>0</v>
      </c>
      <c r="H18" s="4508" t="s">
        <v>112</v>
      </c>
      <c r="K18" s="4475"/>
    </row>
    <row r="19" spans="1:14" ht="191.25">
      <c r="A19" s="4490"/>
      <c r="B19" s="4506"/>
      <c r="C19" s="4492" t="s">
        <v>6302</v>
      </c>
      <c r="D19" s="4493"/>
      <c r="E19" s="4495"/>
      <c r="F19" s="4531"/>
      <c r="G19" s="4495"/>
      <c r="H19" s="4509"/>
    </row>
    <row r="20" spans="1:14">
      <c r="A20" s="4490" t="s">
        <v>6294</v>
      </c>
      <c r="B20" s="4506" t="s">
        <v>6296</v>
      </c>
      <c r="C20" s="4507" t="s">
        <v>6293</v>
      </c>
      <c r="D20" s="4493" t="s">
        <v>49</v>
      </c>
      <c r="E20" s="4495">
        <v>1</v>
      </c>
      <c r="F20" s="4531"/>
      <c r="G20" s="4495">
        <f t="shared" ref="G20" si="3">(E20*F20)</f>
        <v>0</v>
      </c>
      <c r="H20" s="4508" t="s">
        <v>112</v>
      </c>
      <c r="K20" s="4475"/>
    </row>
    <row r="21" spans="1:14" ht="22.5">
      <c r="A21" s="4490"/>
      <c r="B21" s="4506"/>
      <c r="C21" s="4492" t="s">
        <v>6300</v>
      </c>
      <c r="D21" s="4493"/>
      <c r="E21" s="4495"/>
      <c r="F21" s="4531"/>
      <c r="G21" s="4495"/>
      <c r="H21" s="4509"/>
    </row>
    <row r="22" spans="1:14">
      <c r="A22" s="4490" t="s">
        <v>6297</v>
      </c>
      <c r="B22" s="4506" t="s">
        <v>6298</v>
      </c>
      <c r="C22" s="4507" t="s">
        <v>6299</v>
      </c>
      <c r="D22" s="4493" t="s">
        <v>49</v>
      </c>
      <c r="E22" s="4495">
        <v>1</v>
      </c>
      <c r="F22" s="4531"/>
      <c r="G22" s="4495">
        <f t="shared" ref="G22" si="4">(E22*F22)</f>
        <v>0</v>
      </c>
      <c r="H22" s="4508" t="s">
        <v>112</v>
      </c>
      <c r="K22" s="4475"/>
    </row>
    <row r="23" spans="1:14" ht="45">
      <c r="A23" s="4490"/>
      <c r="B23" s="4506"/>
      <c r="C23" s="4492" t="s">
        <v>6301</v>
      </c>
      <c r="D23" s="4493"/>
      <c r="E23" s="4495"/>
      <c r="F23" s="4531"/>
      <c r="G23" s="4495"/>
      <c r="H23" s="4509"/>
    </row>
    <row r="24" spans="1:14" ht="22.5">
      <c r="A24" s="4483">
        <v>9</v>
      </c>
      <c r="B24" s="4484" t="s">
        <v>65</v>
      </c>
      <c r="C24" s="4485" t="s">
        <v>66</v>
      </c>
      <c r="D24" s="4486" t="s">
        <v>49</v>
      </c>
      <c r="E24" s="4487">
        <v>1</v>
      </c>
      <c r="F24" s="4530"/>
      <c r="G24" s="4487">
        <f t="shared" ref="G24:G34" si="5">(E24*F24)</f>
        <v>0</v>
      </c>
      <c r="H24" s="4489" t="s">
        <v>112</v>
      </c>
      <c r="I24" s="4510"/>
      <c r="K24" s="4475"/>
      <c r="N24" s="4511"/>
    </row>
    <row r="25" spans="1:14" ht="22.5">
      <c r="A25" s="4480">
        <v>10</v>
      </c>
      <c r="B25" s="4500" t="s">
        <v>67</v>
      </c>
      <c r="C25" s="4512" t="s">
        <v>68</v>
      </c>
      <c r="D25" s="4502" t="s">
        <v>69</v>
      </c>
      <c r="E25" s="4488">
        <v>75</v>
      </c>
      <c r="F25" s="4530"/>
      <c r="G25" s="4488">
        <f t="shared" si="5"/>
        <v>0</v>
      </c>
      <c r="H25" s="4503" t="s">
        <v>112</v>
      </c>
      <c r="I25" s="4513"/>
      <c r="J25" s="4514"/>
      <c r="K25" s="4475"/>
      <c r="L25" s="4514"/>
      <c r="M25" s="4513"/>
    </row>
    <row r="26" spans="1:14" ht="33.75">
      <c r="A26" s="4480">
        <v>11</v>
      </c>
      <c r="B26" s="4500" t="s">
        <v>70</v>
      </c>
      <c r="C26" s="4512" t="s">
        <v>71</v>
      </c>
      <c r="D26" s="4502" t="s">
        <v>69</v>
      </c>
      <c r="E26" s="4488">
        <v>80</v>
      </c>
      <c r="F26" s="4530"/>
      <c r="G26" s="4488">
        <f t="shared" si="5"/>
        <v>0</v>
      </c>
      <c r="H26" s="4503" t="s">
        <v>112</v>
      </c>
      <c r="I26" s="4513"/>
      <c r="J26" s="4514"/>
      <c r="K26" s="4475"/>
      <c r="L26" s="4475"/>
      <c r="M26" s="4513"/>
    </row>
    <row r="27" spans="1:14" ht="45">
      <c r="A27" s="4483">
        <v>12</v>
      </c>
      <c r="B27" s="4484" t="s">
        <v>72</v>
      </c>
      <c r="C27" s="4485" t="s">
        <v>73</v>
      </c>
      <c r="D27" s="4486" t="s">
        <v>49</v>
      </c>
      <c r="E27" s="4487">
        <v>1</v>
      </c>
      <c r="F27" s="4530"/>
      <c r="G27" s="4487">
        <f t="shared" si="5"/>
        <v>0</v>
      </c>
      <c r="H27" s="4489" t="s">
        <v>112</v>
      </c>
      <c r="K27" s="4475"/>
    </row>
    <row r="28" spans="1:14" ht="33.75">
      <c r="A28" s="4483">
        <v>13</v>
      </c>
      <c r="B28" s="4484" t="s">
        <v>74</v>
      </c>
      <c r="C28" s="4485" t="s">
        <v>75</v>
      </c>
      <c r="D28" s="4486" t="s">
        <v>49</v>
      </c>
      <c r="E28" s="4487">
        <v>1</v>
      </c>
      <c r="F28" s="4530"/>
      <c r="G28" s="4487">
        <f t="shared" si="5"/>
        <v>0</v>
      </c>
      <c r="H28" s="4489" t="s">
        <v>112</v>
      </c>
      <c r="K28" s="4475"/>
    </row>
    <row r="29" spans="1:14" ht="22.5">
      <c r="A29" s="4483">
        <v>14</v>
      </c>
      <c r="B29" s="4484" t="s">
        <v>76</v>
      </c>
      <c r="C29" s="4485" t="s">
        <v>77</v>
      </c>
      <c r="D29" s="4486" t="s">
        <v>49</v>
      </c>
      <c r="E29" s="4487">
        <v>1</v>
      </c>
      <c r="F29" s="4530"/>
      <c r="G29" s="4487">
        <f t="shared" si="5"/>
        <v>0</v>
      </c>
      <c r="H29" s="4489" t="s">
        <v>112</v>
      </c>
    </row>
    <row r="30" spans="1:14" ht="22.5">
      <c r="A30" s="4483">
        <v>15</v>
      </c>
      <c r="B30" s="4484" t="s">
        <v>78</v>
      </c>
      <c r="C30" s="4485" t="s">
        <v>79</v>
      </c>
      <c r="D30" s="4486" t="s">
        <v>49</v>
      </c>
      <c r="E30" s="4487">
        <v>1</v>
      </c>
      <c r="F30" s="4530"/>
      <c r="G30" s="4487">
        <f t="shared" si="5"/>
        <v>0</v>
      </c>
      <c r="H30" s="4489" t="s">
        <v>112</v>
      </c>
    </row>
    <row r="31" spans="1:14" ht="33.75">
      <c r="A31" s="4483">
        <v>16</v>
      </c>
      <c r="B31" s="4484" t="s">
        <v>80</v>
      </c>
      <c r="C31" s="4485" t="s">
        <v>81</v>
      </c>
      <c r="D31" s="4486" t="s">
        <v>49</v>
      </c>
      <c r="E31" s="4487">
        <v>1</v>
      </c>
      <c r="F31" s="4530"/>
      <c r="G31" s="4487">
        <f t="shared" si="5"/>
        <v>0</v>
      </c>
      <c r="H31" s="4489" t="s">
        <v>112</v>
      </c>
      <c r="K31" s="4475"/>
    </row>
    <row r="32" spans="1:14" ht="22.5">
      <c r="A32" s="4483">
        <v>17</v>
      </c>
      <c r="B32" s="4484" t="s">
        <v>82</v>
      </c>
      <c r="C32" s="4485" t="s">
        <v>83</v>
      </c>
      <c r="D32" s="4486" t="s">
        <v>49</v>
      </c>
      <c r="E32" s="4487">
        <v>1</v>
      </c>
      <c r="F32" s="4530"/>
      <c r="G32" s="4487">
        <f t="shared" si="5"/>
        <v>0</v>
      </c>
      <c r="H32" s="4489" t="s">
        <v>112</v>
      </c>
      <c r="K32" s="4475"/>
    </row>
    <row r="33" spans="1:11" ht="45">
      <c r="A33" s="4483">
        <v>18</v>
      </c>
      <c r="B33" s="4484" t="s">
        <v>84</v>
      </c>
      <c r="C33" s="4485" t="s">
        <v>85</v>
      </c>
      <c r="D33" s="4486" t="s">
        <v>49</v>
      </c>
      <c r="E33" s="4487">
        <v>1</v>
      </c>
      <c r="F33" s="4530"/>
      <c r="G33" s="4487">
        <f t="shared" si="5"/>
        <v>0</v>
      </c>
      <c r="H33" s="4489" t="s">
        <v>112</v>
      </c>
      <c r="K33" s="4475"/>
    </row>
    <row r="34" spans="1:11">
      <c r="A34" s="4483">
        <v>19</v>
      </c>
      <c r="B34" s="4484" t="s">
        <v>86</v>
      </c>
      <c r="C34" s="4515" t="s">
        <v>87</v>
      </c>
      <c r="D34" s="4486" t="s">
        <v>49</v>
      </c>
      <c r="E34" s="4487">
        <v>1</v>
      </c>
      <c r="F34" s="4530"/>
      <c r="G34" s="4487">
        <f t="shared" si="5"/>
        <v>0</v>
      </c>
      <c r="H34" s="4489" t="s">
        <v>112</v>
      </c>
      <c r="K34" s="4475"/>
    </row>
    <row r="35" spans="1:11" ht="112.5">
      <c r="A35" s="4483"/>
      <c r="B35" s="4484"/>
      <c r="C35" s="4516" t="s">
        <v>88</v>
      </c>
      <c r="D35" s="4486"/>
      <c r="E35" s="4487"/>
      <c r="F35" s="4530"/>
      <c r="G35" s="4487"/>
      <c r="H35" s="4517"/>
    </row>
    <row r="36" spans="1:11">
      <c r="A36" s="4480">
        <v>20</v>
      </c>
      <c r="B36" s="4484" t="s">
        <v>89</v>
      </c>
      <c r="C36" s="4501" t="s">
        <v>90</v>
      </c>
      <c r="D36" s="4502" t="s">
        <v>49</v>
      </c>
      <c r="E36" s="4488">
        <v>1</v>
      </c>
      <c r="F36" s="4530"/>
      <c r="G36" s="4488">
        <f>(E36*F36)</f>
        <v>0</v>
      </c>
      <c r="H36" s="4489" t="s">
        <v>112</v>
      </c>
      <c r="J36" s="4518"/>
      <c r="K36" s="4475"/>
    </row>
    <row r="37" spans="1:11" ht="56.25">
      <c r="A37" s="4480"/>
      <c r="B37" s="4500"/>
      <c r="C37" s="4504" t="s">
        <v>91</v>
      </c>
      <c r="D37" s="4502"/>
      <c r="E37" s="4488"/>
      <c r="F37" s="4530"/>
      <c r="G37" s="4488"/>
      <c r="H37" s="4519"/>
    </row>
    <row r="38" spans="1:11" ht="22.5">
      <c r="A38" s="4483">
        <v>21</v>
      </c>
      <c r="B38" s="4484" t="s">
        <v>92</v>
      </c>
      <c r="C38" s="4485" t="s">
        <v>93</v>
      </c>
      <c r="D38" s="4486" t="s">
        <v>49</v>
      </c>
      <c r="E38" s="4487">
        <v>1</v>
      </c>
      <c r="F38" s="4530"/>
      <c r="G38" s="4487">
        <f t="shared" ref="G38:G41" si="6">(E38*F38)</f>
        <v>0</v>
      </c>
      <c r="H38" s="4489" t="s">
        <v>112</v>
      </c>
      <c r="K38" s="4475"/>
    </row>
    <row r="39" spans="1:11" ht="22.5">
      <c r="A39" s="4483">
        <v>22</v>
      </c>
      <c r="B39" s="4484" t="s">
        <v>94</v>
      </c>
      <c r="C39" s="4485" t="s">
        <v>95</v>
      </c>
      <c r="D39" s="4486" t="s">
        <v>49</v>
      </c>
      <c r="E39" s="4487">
        <v>1</v>
      </c>
      <c r="F39" s="4530"/>
      <c r="G39" s="4487">
        <f t="shared" si="6"/>
        <v>0</v>
      </c>
      <c r="H39" s="4489" t="s">
        <v>112</v>
      </c>
      <c r="K39" s="4475"/>
    </row>
    <row r="40" spans="1:11" ht="56.25">
      <c r="A40" s="4480">
        <v>23</v>
      </c>
      <c r="B40" s="4484" t="s">
        <v>96</v>
      </c>
      <c r="C40" s="4512" t="s">
        <v>97</v>
      </c>
      <c r="D40" s="4502" t="s">
        <v>49</v>
      </c>
      <c r="E40" s="4488">
        <v>1</v>
      </c>
      <c r="F40" s="4530"/>
      <c r="G40" s="4488">
        <f t="shared" si="6"/>
        <v>0</v>
      </c>
      <c r="H40" s="4489" t="s">
        <v>112</v>
      </c>
    </row>
    <row r="41" spans="1:11" ht="56.25">
      <c r="A41" s="4520">
        <v>24</v>
      </c>
      <c r="B41" s="4484" t="s">
        <v>98</v>
      </c>
      <c r="C41" s="4485" t="s">
        <v>99</v>
      </c>
      <c r="D41" s="4502" t="s">
        <v>49</v>
      </c>
      <c r="E41" s="4521">
        <v>1</v>
      </c>
      <c r="F41" s="4532"/>
      <c r="G41" s="4488">
        <f t="shared" si="6"/>
        <v>0</v>
      </c>
      <c r="H41" s="4489" t="s">
        <v>112</v>
      </c>
    </row>
    <row r="42" spans="1:11">
      <c r="A42" s="4480">
        <v>25</v>
      </c>
      <c r="B42" s="4484" t="s">
        <v>100</v>
      </c>
      <c r="C42" s="4512" t="s">
        <v>101</v>
      </c>
      <c r="D42" s="4502" t="s">
        <v>49</v>
      </c>
      <c r="E42" s="4488">
        <v>1</v>
      </c>
      <c r="F42" s="4530"/>
      <c r="G42" s="4488">
        <f>(E42*F42)</f>
        <v>0</v>
      </c>
      <c r="H42" s="4489" t="s">
        <v>111</v>
      </c>
      <c r="K42" s="4475"/>
    </row>
    <row r="43" spans="1:11" ht="45">
      <c r="A43" s="4520">
        <v>26</v>
      </c>
      <c r="B43" s="4484" t="s">
        <v>107</v>
      </c>
      <c r="C43" s="4485" t="s">
        <v>108</v>
      </c>
      <c r="D43" s="4502" t="s">
        <v>49</v>
      </c>
      <c r="E43" s="4521">
        <v>1</v>
      </c>
      <c r="F43" s="4532"/>
      <c r="G43" s="4488">
        <f t="shared" ref="G43" si="7">(E43*F43)</f>
        <v>0</v>
      </c>
      <c r="H43" s="4489" t="s">
        <v>112</v>
      </c>
    </row>
    <row r="44" spans="1:11" ht="38.25" customHeight="1">
      <c r="A44" s="4522">
        <v>27</v>
      </c>
      <c r="B44" s="4484" t="s">
        <v>109</v>
      </c>
      <c r="C44" s="4485" t="s">
        <v>110</v>
      </c>
      <c r="D44" s="4502" t="s">
        <v>49</v>
      </c>
      <c r="E44" s="4521">
        <v>1</v>
      </c>
      <c r="F44" s="4532"/>
      <c r="G44" s="4488">
        <f t="shared" ref="G44" si="8">(E44*F44)</f>
        <v>0</v>
      </c>
      <c r="H44" s="4489" t="s">
        <v>112</v>
      </c>
    </row>
    <row r="45" spans="1:11" ht="38.25" customHeight="1">
      <c r="A45" s="4520"/>
      <c r="B45" s="4484"/>
      <c r="C45" s="4492" t="s">
        <v>6303</v>
      </c>
      <c r="D45" s="4502"/>
      <c r="E45" s="4521"/>
      <c r="F45" s="4532"/>
      <c r="G45" s="4488"/>
      <c r="H45" s="4489"/>
    </row>
    <row r="46" spans="1:11" ht="51.75" customHeight="1">
      <c r="A46" s="4522">
        <v>28</v>
      </c>
      <c r="B46" s="4484" t="s">
        <v>113</v>
      </c>
      <c r="C46" s="4485" t="s">
        <v>6484</v>
      </c>
      <c r="D46" s="4502" t="s">
        <v>49</v>
      </c>
      <c r="E46" s="4521">
        <v>1</v>
      </c>
      <c r="F46" s="4532"/>
      <c r="G46" s="4488">
        <f t="shared" ref="G46" si="9">(E46*F46)</f>
        <v>0</v>
      </c>
      <c r="H46" s="4489" t="s">
        <v>112</v>
      </c>
    </row>
    <row r="47" spans="1:11" ht="90">
      <c r="A47" s="4520"/>
      <c r="B47" s="4484"/>
      <c r="C47" s="4492" t="s">
        <v>6304</v>
      </c>
      <c r="D47" s="4502"/>
      <c r="E47" s="4521"/>
      <c r="F47" s="4532"/>
      <c r="G47" s="4488"/>
      <c r="H47" s="4489"/>
    </row>
    <row r="48" spans="1:11" ht="38.25" customHeight="1">
      <c r="A48" s="4520"/>
      <c r="B48" s="4484"/>
      <c r="C48" s="4492" t="s">
        <v>6352</v>
      </c>
      <c r="D48" s="4502"/>
      <c r="E48" s="4521"/>
      <c r="F48" s="4532"/>
      <c r="G48" s="4488"/>
      <c r="H48" s="4489"/>
    </row>
    <row r="49" spans="1:9" ht="25.5">
      <c r="A49" s="4523"/>
      <c r="B49" s="4524" t="s">
        <v>102</v>
      </c>
      <c r="C49" s="4525" t="s">
        <v>114</v>
      </c>
      <c r="D49" s="4526"/>
      <c r="E49" s="4527"/>
      <c r="F49" s="4528"/>
      <c r="G49" s="4529">
        <f>SUM(G8:G46)</f>
        <v>0</v>
      </c>
      <c r="H49" s="4475"/>
      <c r="I49" s="4475"/>
    </row>
    <row r="50" spans="1:9">
      <c r="F50" s="4474"/>
      <c r="G50" s="4474"/>
      <c r="H50" s="4475"/>
    </row>
    <row r="51" spans="1:9">
      <c r="A51" s="689" t="s">
        <v>1</v>
      </c>
      <c r="B51" s="1977"/>
      <c r="C51" s="689"/>
      <c r="D51" s="689"/>
      <c r="E51" s="689"/>
      <c r="F51" s="689"/>
      <c r="G51" s="689"/>
      <c r="H51" s="4475"/>
    </row>
    <row r="52" spans="1:9" ht="23.25" customHeight="1">
      <c r="A52" s="5159" t="s">
        <v>103</v>
      </c>
      <c r="B52" s="5161"/>
      <c r="C52" s="5161"/>
      <c r="D52" s="5161"/>
      <c r="E52" s="5161"/>
      <c r="F52" s="5161"/>
      <c r="G52" s="5161"/>
      <c r="H52" s="4475"/>
    </row>
    <row r="53" spans="1:9" ht="100.5" customHeight="1">
      <c r="A53" s="5159" t="s">
        <v>104</v>
      </c>
      <c r="B53" s="5159"/>
      <c r="C53" s="5159"/>
      <c r="D53" s="5159"/>
      <c r="E53" s="5159"/>
      <c r="F53" s="5159"/>
      <c r="G53" s="5159"/>
      <c r="H53" s="4475"/>
    </row>
    <row r="54" spans="1:9" ht="13.5" customHeight="1">
      <c r="A54" s="5159" t="s">
        <v>105</v>
      </c>
      <c r="B54" s="5160"/>
      <c r="C54" s="5160"/>
      <c r="D54" s="5160"/>
      <c r="E54" s="5160"/>
      <c r="F54" s="5160"/>
      <c r="G54" s="5160"/>
      <c r="H54" s="4475"/>
    </row>
    <row r="55" spans="1:9" ht="13.5" customHeight="1">
      <c r="A55" s="5159" t="s">
        <v>106</v>
      </c>
      <c r="B55" s="5160"/>
      <c r="C55" s="5160"/>
      <c r="D55" s="5160"/>
      <c r="E55" s="5160"/>
      <c r="F55" s="5160"/>
      <c r="G55" s="5160"/>
      <c r="H55" s="4475"/>
    </row>
    <row r="56" spans="1:9" s="3208" customFormat="1" ht="40.5" customHeight="1">
      <c r="A56" s="5156" t="s">
        <v>865</v>
      </c>
      <c r="B56" s="5156"/>
      <c r="C56" s="5156"/>
      <c r="D56" s="5156"/>
      <c r="E56" s="5156"/>
      <c r="F56" s="5156"/>
      <c r="G56" s="5156"/>
      <c r="I56" s="3120"/>
    </row>
    <row r="57" spans="1:9" s="695" customFormat="1" ht="108" customHeight="1">
      <c r="A57" s="5156" t="s">
        <v>1013</v>
      </c>
      <c r="B57" s="5156"/>
      <c r="C57" s="5156"/>
      <c r="D57" s="5156"/>
      <c r="E57" s="5156"/>
      <c r="F57" s="5156"/>
      <c r="G57" s="5156"/>
      <c r="H57" s="693"/>
      <c r="I57" s="694"/>
    </row>
    <row r="58" spans="1:9">
      <c r="F58" s="4474"/>
      <c r="G58" s="4474"/>
      <c r="H58" s="4475"/>
    </row>
    <row r="59" spans="1:9">
      <c r="F59" s="4474"/>
      <c r="G59" s="4474"/>
      <c r="H59" s="4475"/>
    </row>
    <row r="60" spans="1:9">
      <c r="F60" s="4474"/>
      <c r="G60" s="4474"/>
      <c r="H60" s="4475"/>
    </row>
    <row r="61" spans="1:9">
      <c r="F61" s="4474"/>
      <c r="G61" s="4474"/>
      <c r="H61" s="4475"/>
    </row>
    <row r="62" spans="1:9">
      <c r="F62" s="4474"/>
      <c r="G62" s="4474"/>
      <c r="H62" s="4475"/>
    </row>
    <row r="63" spans="1:9">
      <c r="F63" s="4474"/>
      <c r="G63" s="4474"/>
      <c r="H63" s="4475"/>
    </row>
    <row r="64" spans="1:9">
      <c r="F64" s="4474"/>
      <c r="G64" s="4474"/>
      <c r="H64" s="4475"/>
    </row>
    <row r="65" spans="6:8">
      <c r="F65" s="4474"/>
      <c r="G65" s="4474"/>
      <c r="H65" s="4475"/>
    </row>
    <row r="66" spans="6:8">
      <c r="F66" s="4474"/>
      <c r="G66" s="4474"/>
      <c r="H66" s="4475"/>
    </row>
  </sheetData>
  <sheetProtection algorithmName="SHA-512" hashValue="02ay3BlUk9I6CT2HJ0gco/yEdNUiEI8XCB+4nolfqOGA9vYvU6bVoRcVHGHHGoGg+z4buXvw3KCo9yIYy6LX6A==" saltValue="ijR0qp4qSem7uJ10SKc6Qg==" spinCount="100000" sheet="1" objects="1" scenarios="1"/>
  <mergeCells count="12">
    <mergeCell ref="A56:G56"/>
    <mergeCell ref="A57:G57"/>
    <mergeCell ref="F16:G16"/>
    <mergeCell ref="A53:G53"/>
    <mergeCell ref="A54:G54"/>
    <mergeCell ref="A55:G55"/>
    <mergeCell ref="A52:G52"/>
    <mergeCell ref="A2:B3"/>
    <mergeCell ref="C2:G3"/>
    <mergeCell ref="A4:B4"/>
    <mergeCell ref="C4:G4"/>
    <mergeCell ref="D7:G7"/>
  </mergeCells>
  <printOptions horizontalCentered="1"/>
  <pageMargins left="0.39370078740157483" right="0.39370078740157483" top="0.78740157480314965" bottom="0.39370078740157483" header="0.31496062992125984" footer="0.31496062992125984"/>
  <pageSetup paperSize="9" scale="82"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D0C7-21BC-40AF-A56D-74BB007C4DE6}">
  <sheetPr>
    <tabColor rgb="FFFF00FF"/>
    <pageSetUpPr fitToPage="1"/>
  </sheetPr>
  <dimension ref="A1:IV735"/>
  <sheetViews>
    <sheetView zoomScaleNormal="100" workbookViewId="0"/>
  </sheetViews>
  <sheetFormatPr defaultRowHeight="15"/>
  <cols>
    <col min="1" max="2" width="5.5" style="889" customWidth="1"/>
    <col min="3" max="3" width="15.33203125" style="889" customWidth="1"/>
    <col min="4" max="4" width="75.5" style="889" customWidth="1"/>
    <col min="5" max="5" width="7.6640625" style="889" customWidth="1"/>
    <col min="6" max="6" width="12.6640625" style="889" customWidth="1"/>
    <col min="7" max="7" width="12.83203125" style="889" customWidth="1"/>
    <col min="8" max="8" width="18.83203125" style="889" customWidth="1"/>
    <col min="9" max="9" width="19.33203125" style="889" customWidth="1"/>
    <col min="10" max="10" width="22" style="889" customWidth="1"/>
    <col min="11" max="16384" width="9.33203125" style="889"/>
  </cols>
  <sheetData>
    <row r="1" spans="1:17" s="888" customFormat="1" ht="20.25" customHeight="1">
      <c r="A1" s="1" t="s">
        <v>2760</v>
      </c>
      <c r="B1" s="4533"/>
      <c r="C1" s="4533"/>
      <c r="D1" s="4533"/>
      <c r="E1" s="4533"/>
      <c r="F1" s="4533"/>
      <c r="G1" s="4533"/>
      <c r="H1" s="4533"/>
      <c r="I1" s="2657"/>
    </row>
    <row r="2" spans="1:17" ht="13.5" customHeight="1">
      <c r="A2" s="2" t="s">
        <v>115</v>
      </c>
      <c r="B2" s="3619"/>
      <c r="C2" s="3619"/>
      <c r="D2" s="3619"/>
      <c r="E2" s="3619"/>
      <c r="F2" s="3619"/>
      <c r="G2" s="3619"/>
      <c r="H2" s="3619"/>
      <c r="I2" s="888"/>
      <c r="J2" s="3582"/>
    </row>
    <row r="3" spans="1:17" ht="13.5" customHeight="1">
      <c r="A3" s="885" t="s">
        <v>116</v>
      </c>
      <c r="B3" s="886"/>
      <c r="C3" s="886"/>
      <c r="D3" s="886"/>
      <c r="E3" s="886"/>
      <c r="F3" s="887"/>
      <c r="G3" s="887"/>
      <c r="H3" s="888"/>
      <c r="I3" s="888"/>
      <c r="J3" s="3582"/>
      <c r="K3" s="3582"/>
      <c r="L3" s="3582"/>
      <c r="M3" s="3582"/>
      <c r="N3" s="3582"/>
      <c r="O3" s="3582"/>
      <c r="P3" s="3582"/>
      <c r="Q3" s="3582"/>
    </row>
    <row r="4" spans="1:17" ht="13.5" customHeight="1">
      <c r="A4" s="885" t="s">
        <v>2761</v>
      </c>
      <c r="B4" s="886"/>
      <c r="C4" s="886"/>
      <c r="D4" s="886"/>
      <c r="E4" s="886"/>
      <c r="F4" s="887"/>
      <c r="G4" s="887"/>
      <c r="H4" s="888"/>
      <c r="I4" s="888"/>
      <c r="J4" s="532"/>
    </row>
    <row r="5" spans="1:17" s="888" customFormat="1" ht="12.75" customHeight="1">
      <c r="A5" s="4534"/>
      <c r="B5" s="4534"/>
      <c r="C5" s="4534"/>
      <c r="D5" s="4535"/>
      <c r="E5" s="4534"/>
      <c r="F5" s="4534"/>
      <c r="G5" s="4533"/>
      <c r="H5" s="4533"/>
      <c r="I5" s="2657"/>
      <c r="J5" s="532"/>
    </row>
    <row r="6" spans="1:17" s="888" customFormat="1" ht="24.75" customHeight="1">
      <c r="A6" s="3491" t="s">
        <v>118</v>
      </c>
      <c r="B6" s="3491" t="s">
        <v>119</v>
      </c>
      <c r="C6" s="3491" t="s">
        <v>120</v>
      </c>
      <c r="D6" s="3491" t="s">
        <v>121</v>
      </c>
      <c r="E6" s="3491" t="s">
        <v>122</v>
      </c>
      <c r="F6" s="3491" t="s">
        <v>123</v>
      </c>
      <c r="G6" s="3491" t="s">
        <v>124</v>
      </c>
      <c r="H6" s="3491" t="s">
        <v>2</v>
      </c>
      <c r="I6" s="3491" t="s">
        <v>46</v>
      </c>
      <c r="J6" s="532"/>
    </row>
    <row r="7" spans="1:17" s="888" customFormat="1" ht="12.75" customHeight="1">
      <c r="A7" s="3491" t="s">
        <v>125</v>
      </c>
      <c r="B7" s="3491" t="s">
        <v>126</v>
      </c>
      <c r="C7" s="3491" t="s">
        <v>127</v>
      </c>
      <c r="D7" s="3491" t="s">
        <v>128</v>
      </c>
      <c r="E7" s="3491" t="s">
        <v>129</v>
      </c>
      <c r="F7" s="3491" t="s">
        <v>130</v>
      </c>
      <c r="G7" s="3491" t="s">
        <v>131</v>
      </c>
      <c r="H7" s="3491">
        <v>8</v>
      </c>
      <c r="I7" s="3491">
        <v>9</v>
      </c>
    </row>
    <row r="8" spans="1:17" s="1587" customFormat="1" ht="21" customHeight="1">
      <c r="A8" s="4536"/>
      <c r="B8" s="4537"/>
      <c r="C8" s="4537" t="s">
        <v>132</v>
      </c>
      <c r="D8" s="4537" t="s">
        <v>133</v>
      </c>
      <c r="E8" s="4537"/>
      <c r="F8" s="4538"/>
      <c r="G8" s="4539"/>
      <c r="H8" s="4540">
        <f>SUM(H9,H55,H104,H121,H432)</f>
        <v>0</v>
      </c>
      <c r="I8" s="4541"/>
      <c r="J8" s="4542"/>
      <c r="K8" s="4543"/>
    </row>
    <row r="9" spans="1:17" s="888" customFormat="1" ht="13.5" customHeight="1">
      <c r="A9" s="3501"/>
      <c r="B9" s="3502"/>
      <c r="C9" s="3502">
        <v>1</v>
      </c>
      <c r="D9" s="3502" t="s">
        <v>134</v>
      </c>
      <c r="E9" s="3502"/>
      <c r="F9" s="3743"/>
      <c r="G9" s="3634"/>
      <c r="H9" s="3634">
        <f>SUM(H10:H39)</f>
        <v>0</v>
      </c>
      <c r="I9" s="3943"/>
    </row>
    <row r="10" spans="1:17" s="213" customFormat="1" ht="27" customHeight="1">
      <c r="A10" s="3926">
        <v>1</v>
      </c>
      <c r="B10" s="3927" t="s">
        <v>135</v>
      </c>
      <c r="C10" s="3927">
        <v>115101201</v>
      </c>
      <c r="D10" s="3927" t="s">
        <v>136</v>
      </c>
      <c r="E10" s="3927" t="s">
        <v>69</v>
      </c>
      <c r="F10" s="3238">
        <v>160</v>
      </c>
      <c r="G10" s="5163" t="s">
        <v>6401</v>
      </c>
      <c r="H10" s="5164"/>
      <c r="I10" s="2228" t="s">
        <v>137</v>
      </c>
      <c r="J10" s="533"/>
      <c r="K10" s="534"/>
    </row>
    <row r="11" spans="1:17" s="213" customFormat="1" ht="27" customHeight="1">
      <c r="A11" s="3926">
        <v>2</v>
      </c>
      <c r="B11" s="3927" t="s">
        <v>135</v>
      </c>
      <c r="C11" s="3927">
        <v>115101301</v>
      </c>
      <c r="D11" s="3927" t="s">
        <v>138</v>
      </c>
      <c r="E11" s="3927" t="s">
        <v>139</v>
      </c>
      <c r="F11" s="3238">
        <v>20</v>
      </c>
      <c r="G11" s="5163" t="s">
        <v>6401</v>
      </c>
      <c r="H11" s="5164"/>
      <c r="I11" s="2228" t="s">
        <v>137</v>
      </c>
      <c r="K11" s="534"/>
    </row>
    <row r="12" spans="1:17" s="593" customFormat="1" ht="27" customHeight="1">
      <c r="A12" s="3926">
        <v>3</v>
      </c>
      <c r="B12" s="3927" t="s">
        <v>135</v>
      </c>
      <c r="C12" s="3927">
        <v>119001402</v>
      </c>
      <c r="D12" s="3927" t="s">
        <v>140</v>
      </c>
      <c r="E12" s="3927" t="s">
        <v>141</v>
      </c>
      <c r="F12" s="3238">
        <v>10</v>
      </c>
      <c r="G12" s="5163" t="s">
        <v>6401</v>
      </c>
      <c r="H12" s="5164"/>
      <c r="I12" s="2228" t="s">
        <v>137</v>
      </c>
      <c r="K12" s="534"/>
    </row>
    <row r="13" spans="1:17" s="593" customFormat="1" ht="27" customHeight="1">
      <c r="A13" s="3926">
        <v>4</v>
      </c>
      <c r="B13" s="3927" t="s">
        <v>135</v>
      </c>
      <c r="C13" s="3927">
        <v>119001406</v>
      </c>
      <c r="D13" s="3927" t="s">
        <v>142</v>
      </c>
      <c r="E13" s="3927" t="s">
        <v>141</v>
      </c>
      <c r="F13" s="3238">
        <v>10</v>
      </c>
      <c r="G13" s="5163" t="s">
        <v>6401</v>
      </c>
      <c r="H13" s="5164"/>
      <c r="I13" s="2228" t="s">
        <v>137</v>
      </c>
      <c r="K13" s="534"/>
    </row>
    <row r="14" spans="1:17" s="593" customFormat="1" ht="27" customHeight="1">
      <c r="A14" s="3926">
        <v>5</v>
      </c>
      <c r="B14" s="3927" t="s">
        <v>135</v>
      </c>
      <c r="C14" s="3927">
        <v>119001412</v>
      </c>
      <c r="D14" s="3927" t="s">
        <v>143</v>
      </c>
      <c r="E14" s="3927" t="s">
        <v>141</v>
      </c>
      <c r="F14" s="3238">
        <v>10</v>
      </c>
      <c r="G14" s="5163" t="s">
        <v>6401</v>
      </c>
      <c r="H14" s="5164"/>
      <c r="I14" s="2228" t="s">
        <v>137</v>
      </c>
      <c r="K14" s="534"/>
    </row>
    <row r="15" spans="1:17" s="593" customFormat="1" ht="27" customHeight="1">
      <c r="A15" s="3926">
        <v>6</v>
      </c>
      <c r="B15" s="3927" t="s">
        <v>135</v>
      </c>
      <c r="C15" s="3927">
        <v>119001422</v>
      </c>
      <c r="D15" s="3927" t="s">
        <v>144</v>
      </c>
      <c r="E15" s="3927" t="s">
        <v>141</v>
      </c>
      <c r="F15" s="3238">
        <v>70</v>
      </c>
      <c r="G15" s="5163" t="s">
        <v>6401</v>
      </c>
      <c r="H15" s="5164"/>
      <c r="I15" s="2228" t="s">
        <v>137</v>
      </c>
      <c r="K15" s="534"/>
    </row>
    <row r="16" spans="1:17" s="1271" customFormat="1" ht="13.5" customHeight="1">
      <c r="A16" s="4544">
        <v>7</v>
      </c>
      <c r="B16" s="4545" t="s">
        <v>135</v>
      </c>
      <c r="C16" s="4545">
        <v>131213702</v>
      </c>
      <c r="D16" s="4545" t="s">
        <v>145</v>
      </c>
      <c r="E16" s="4545" t="s">
        <v>146</v>
      </c>
      <c r="F16" s="4546">
        <f>SUM(F19)</f>
        <v>216.32144</v>
      </c>
      <c r="G16" s="214"/>
      <c r="H16" s="4547">
        <f t="shared" ref="H16" si="0">F16*G16</f>
        <v>0</v>
      </c>
      <c r="I16" s="2228" t="s">
        <v>137</v>
      </c>
      <c r="J16" s="4548"/>
      <c r="K16" s="4549"/>
      <c r="L16" s="4549"/>
    </row>
    <row r="17" spans="1:23" s="604" customFormat="1" ht="13.5" customHeight="1">
      <c r="A17" s="2576"/>
      <c r="B17" s="2577"/>
      <c r="C17" s="2582"/>
      <c r="D17" s="4550" t="s">
        <v>2762</v>
      </c>
      <c r="E17" s="2582"/>
      <c r="F17" s="4551"/>
      <c r="G17" s="3"/>
      <c r="H17" s="2580"/>
      <c r="I17" s="2581"/>
      <c r="J17" s="3940"/>
      <c r="T17" s="605"/>
      <c r="V17" s="605"/>
    </row>
    <row r="18" spans="1:23" s="604" customFormat="1" ht="13.5" customHeight="1">
      <c r="A18" s="2576"/>
      <c r="B18" s="2577"/>
      <c r="C18" s="2582"/>
      <c r="D18" s="4550" t="s">
        <v>2763</v>
      </c>
      <c r="E18" s="2582"/>
      <c r="F18" s="4551"/>
      <c r="G18" s="3"/>
      <c r="H18" s="2580"/>
      <c r="I18" s="2581"/>
      <c r="J18" s="3940"/>
      <c r="T18" s="605"/>
      <c r="V18" s="605"/>
    </row>
    <row r="19" spans="1:23" s="604" customFormat="1" ht="13.5" customHeight="1">
      <c r="A19" s="2576"/>
      <c r="B19" s="2577"/>
      <c r="C19" s="2582"/>
      <c r="D19" s="4550" t="s">
        <v>2764</v>
      </c>
      <c r="E19" s="2582"/>
      <c r="F19" s="4551">
        <f>((46.56*1.53)+(18.92*1.99)+(719.86*0.6))*0.4</f>
        <v>216.32144</v>
      </c>
      <c r="G19" s="3"/>
      <c r="H19" s="2580"/>
      <c r="I19" s="2581"/>
      <c r="J19" s="3940"/>
      <c r="T19" s="605"/>
      <c r="V19" s="605"/>
    </row>
    <row r="20" spans="1:23" s="604" customFormat="1" ht="27" customHeight="1">
      <c r="A20" s="2576"/>
      <c r="B20" s="2577"/>
      <c r="C20" s="2582"/>
      <c r="D20" s="2582" t="s">
        <v>150</v>
      </c>
      <c r="E20" s="2582"/>
      <c r="F20" s="4551"/>
      <c r="G20" s="3"/>
      <c r="H20" s="2580"/>
      <c r="I20" s="2581"/>
      <c r="J20" s="4552"/>
      <c r="K20" s="4553"/>
      <c r="L20" s="4554"/>
      <c r="M20" s="4553"/>
      <c r="U20" s="605"/>
      <c r="W20" s="605"/>
    </row>
    <row r="21" spans="1:23" s="1271" customFormat="1" ht="13.5" customHeight="1">
      <c r="A21" s="4544">
        <v>8</v>
      </c>
      <c r="B21" s="4545">
        <v>131</v>
      </c>
      <c r="C21" s="4545">
        <v>131313702</v>
      </c>
      <c r="D21" s="4545" t="s">
        <v>2765</v>
      </c>
      <c r="E21" s="4545" t="s">
        <v>146</v>
      </c>
      <c r="F21" s="4546">
        <f>SUM(F24)</f>
        <v>243.36161999999999</v>
      </c>
      <c r="G21" s="214"/>
      <c r="H21" s="4547">
        <f>F21*G21</f>
        <v>0</v>
      </c>
      <c r="I21" s="2228" t="s">
        <v>137</v>
      </c>
      <c r="J21" s="4555"/>
    </row>
    <row r="22" spans="1:23" s="604" customFormat="1" ht="13.5" customHeight="1">
      <c r="A22" s="2576"/>
      <c r="B22" s="2577"/>
      <c r="C22" s="2582"/>
      <c r="D22" s="4550" t="s">
        <v>2766</v>
      </c>
      <c r="E22" s="2582"/>
      <c r="F22" s="4551"/>
      <c r="G22" s="3"/>
      <c r="H22" s="2580"/>
      <c r="I22" s="2581"/>
      <c r="J22" s="3940"/>
      <c r="T22" s="605"/>
      <c r="V22" s="605"/>
    </row>
    <row r="23" spans="1:23" s="604" customFormat="1" ht="13.5" customHeight="1">
      <c r="A23" s="2576"/>
      <c r="B23" s="2577"/>
      <c r="C23" s="2582"/>
      <c r="D23" s="4550" t="s">
        <v>2763</v>
      </c>
      <c r="E23" s="2582"/>
      <c r="F23" s="4551"/>
      <c r="G23" s="3"/>
      <c r="H23" s="2580"/>
      <c r="I23" s="2581"/>
      <c r="J23" s="3940"/>
      <c r="T23" s="605"/>
      <c r="V23" s="605"/>
    </row>
    <row r="24" spans="1:23" s="604" customFormat="1" ht="13.5" customHeight="1">
      <c r="A24" s="2576"/>
      <c r="B24" s="2577"/>
      <c r="C24" s="2582"/>
      <c r="D24" s="4550" t="s">
        <v>2767</v>
      </c>
      <c r="E24" s="2582"/>
      <c r="F24" s="4551">
        <f>((46.56*1.53)+(18.92*1.99)+(719.86*0.6))*0.45</f>
        <v>243.36161999999999</v>
      </c>
      <c r="G24" s="3"/>
      <c r="H24" s="2580"/>
      <c r="I24" s="2581"/>
      <c r="J24" s="3940"/>
      <c r="T24" s="605"/>
      <c r="V24" s="605"/>
    </row>
    <row r="25" spans="1:23" s="604" customFormat="1" ht="27" customHeight="1">
      <c r="A25" s="2576"/>
      <c r="B25" s="2577"/>
      <c r="C25" s="2582"/>
      <c r="D25" s="2582" t="s">
        <v>150</v>
      </c>
      <c r="E25" s="2582"/>
      <c r="F25" s="4551"/>
      <c r="G25" s="3"/>
      <c r="H25" s="2580"/>
      <c r="I25" s="2581"/>
      <c r="J25" s="4552"/>
      <c r="K25" s="4553"/>
      <c r="L25" s="4554"/>
      <c r="M25" s="4553"/>
      <c r="U25" s="605"/>
      <c r="W25" s="605"/>
    </row>
    <row r="26" spans="1:23" s="1271" customFormat="1" ht="13.5" customHeight="1">
      <c r="A26" s="4544">
        <v>9</v>
      </c>
      <c r="B26" s="4545">
        <v>131</v>
      </c>
      <c r="C26" s="4545">
        <v>131413702</v>
      </c>
      <c r="D26" s="4545" t="s">
        <v>2768</v>
      </c>
      <c r="E26" s="4545" t="s">
        <v>146</v>
      </c>
      <c r="F26" s="4546">
        <f>SUM(F29)</f>
        <v>81.120539999999991</v>
      </c>
      <c r="G26" s="214"/>
      <c r="H26" s="4547">
        <f>F26*G26</f>
        <v>0</v>
      </c>
      <c r="I26" s="2228" t="s">
        <v>137</v>
      </c>
      <c r="J26" s="4555"/>
    </row>
    <row r="27" spans="1:23" s="604" customFormat="1" ht="13.5" customHeight="1">
      <c r="A27" s="2576"/>
      <c r="B27" s="2577"/>
      <c r="C27" s="2582"/>
      <c r="D27" s="4550" t="s">
        <v>2769</v>
      </c>
      <c r="E27" s="2582"/>
      <c r="F27" s="4551"/>
      <c r="G27" s="3"/>
      <c r="H27" s="2580"/>
      <c r="I27" s="2581"/>
      <c r="J27" s="3940"/>
      <c r="T27" s="605"/>
      <c r="V27" s="605"/>
    </row>
    <row r="28" spans="1:23" s="604" customFormat="1" ht="13.5" customHeight="1">
      <c r="A28" s="2576"/>
      <c r="B28" s="2577"/>
      <c r="C28" s="2582"/>
      <c r="D28" s="4550" t="s">
        <v>2763</v>
      </c>
      <c r="E28" s="2582"/>
      <c r="F28" s="4551"/>
      <c r="G28" s="3"/>
      <c r="H28" s="2580"/>
      <c r="I28" s="2581"/>
      <c r="J28" s="3940"/>
      <c r="T28" s="605"/>
      <c r="V28" s="605"/>
    </row>
    <row r="29" spans="1:23" s="604" customFormat="1" ht="13.5" customHeight="1">
      <c r="A29" s="2576"/>
      <c r="B29" s="2577"/>
      <c r="C29" s="2582"/>
      <c r="D29" s="4550" t="s">
        <v>2770</v>
      </c>
      <c r="E29" s="2582"/>
      <c r="F29" s="4551">
        <f>((46.56*1.53)+(18.92*1.99)+(719.86*0.6))*0.15</f>
        <v>81.120539999999991</v>
      </c>
      <c r="G29" s="3"/>
      <c r="H29" s="2580"/>
      <c r="I29" s="2581"/>
      <c r="J29" s="3940"/>
      <c r="T29" s="605"/>
      <c r="V29" s="605"/>
    </row>
    <row r="30" spans="1:23" s="604" customFormat="1" ht="27" customHeight="1">
      <c r="A30" s="2576"/>
      <c r="B30" s="2577"/>
      <c r="C30" s="2582"/>
      <c r="D30" s="2582" t="s">
        <v>159</v>
      </c>
      <c r="E30" s="2582"/>
      <c r="F30" s="4551"/>
      <c r="G30" s="3"/>
      <c r="H30" s="2580"/>
      <c r="I30" s="2581"/>
      <c r="J30" s="4552"/>
      <c r="K30" s="4553"/>
      <c r="L30" s="4554"/>
      <c r="M30" s="4553"/>
      <c r="U30" s="605"/>
      <c r="W30" s="605"/>
    </row>
    <row r="31" spans="1:23" s="1271" customFormat="1" ht="13.5" customHeight="1">
      <c r="A31" s="4544">
        <v>10</v>
      </c>
      <c r="B31" s="4545">
        <v>162</v>
      </c>
      <c r="C31" s="4545">
        <v>162211201</v>
      </c>
      <c r="D31" s="4545" t="s">
        <v>2771</v>
      </c>
      <c r="E31" s="4545" t="s">
        <v>146</v>
      </c>
      <c r="F31" s="4546">
        <f>SUM(F32:F32)</f>
        <v>216.32</v>
      </c>
      <c r="G31" s="214"/>
      <c r="H31" s="4547">
        <f>F31*G31</f>
        <v>0</v>
      </c>
      <c r="I31" s="2228" t="s">
        <v>137</v>
      </c>
      <c r="J31" s="4555"/>
    </row>
    <row r="32" spans="1:23" s="1271" customFormat="1" ht="13.5" customHeight="1">
      <c r="A32" s="4556"/>
      <c r="B32" s="4545"/>
      <c r="C32" s="4545"/>
      <c r="D32" s="4550" t="s">
        <v>2772</v>
      </c>
      <c r="E32" s="4545"/>
      <c r="F32" s="4557">
        <v>216.32</v>
      </c>
      <c r="G32" s="215"/>
      <c r="H32" s="4558"/>
      <c r="I32" s="4559"/>
    </row>
    <row r="33" spans="1:256" s="1271" customFormat="1" ht="13.5" customHeight="1">
      <c r="A33" s="4544">
        <v>11</v>
      </c>
      <c r="B33" s="4545">
        <v>162</v>
      </c>
      <c r="C33" s="4545">
        <v>162211211</v>
      </c>
      <c r="D33" s="4545" t="s">
        <v>2384</v>
      </c>
      <c r="E33" s="4545" t="s">
        <v>146</v>
      </c>
      <c r="F33" s="4546">
        <f>SUM(F34:F34)</f>
        <v>324.48</v>
      </c>
      <c r="G33" s="214"/>
      <c r="H33" s="4547">
        <f>F33*G33</f>
        <v>0</v>
      </c>
      <c r="I33" s="2228" t="s">
        <v>137</v>
      </c>
      <c r="J33" s="4555"/>
    </row>
    <row r="34" spans="1:256" s="1271" customFormat="1" ht="13.5" customHeight="1">
      <c r="A34" s="4556"/>
      <c r="B34" s="4545"/>
      <c r="C34" s="4545"/>
      <c r="D34" s="4550" t="s">
        <v>2773</v>
      </c>
      <c r="E34" s="4545"/>
      <c r="F34" s="4557">
        <f>(243.36+81.12)</f>
        <v>324.48</v>
      </c>
      <c r="G34" s="215"/>
      <c r="H34" s="4558"/>
      <c r="I34" s="4559"/>
    </row>
    <row r="35" spans="1:256" s="3385" customFormat="1" ht="27" customHeight="1">
      <c r="A35" s="4560">
        <v>12</v>
      </c>
      <c r="B35" s="4561" t="s">
        <v>2774</v>
      </c>
      <c r="C35" s="4562">
        <v>162211209</v>
      </c>
      <c r="D35" s="4562" t="s">
        <v>2775</v>
      </c>
      <c r="E35" s="4562" t="s">
        <v>146</v>
      </c>
      <c r="F35" s="4563">
        <f>F36</f>
        <v>1946.8799999999999</v>
      </c>
      <c r="G35" s="216"/>
      <c r="H35" s="4564">
        <f>F35*G35</f>
        <v>0</v>
      </c>
      <c r="I35" s="2228" t="s">
        <v>137</v>
      </c>
      <c r="J35" s="4565"/>
      <c r="L35" s="4566"/>
      <c r="M35" s="4566"/>
      <c r="N35" s="4566"/>
      <c r="O35" s="4566"/>
      <c r="P35" s="4566"/>
      <c r="Q35" s="4566"/>
      <c r="R35" s="4566"/>
      <c r="S35" s="4566"/>
      <c r="V35" s="4566"/>
      <c r="W35" s="4566"/>
      <c r="X35" s="4566"/>
      <c r="Y35" s="4566"/>
      <c r="Z35" s="4566"/>
      <c r="AA35" s="4566"/>
      <c r="AB35" s="4566"/>
      <c r="AC35" s="4566"/>
      <c r="AD35" s="4566"/>
      <c r="AE35" s="4566"/>
      <c r="AF35" s="4566"/>
      <c r="AG35" s="4566"/>
      <c r="AH35" s="4566"/>
      <c r="AI35" s="4566"/>
      <c r="AJ35" s="4566"/>
      <c r="AK35" s="4566"/>
      <c r="AL35" s="4566"/>
      <c r="AM35" s="4566"/>
      <c r="AN35" s="4566"/>
      <c r="AO35" s="4566"/>
      <c r="AP35" s="4566"/>
      <c r="AQ35" s="4566"/>
      <c r="AR35" s="4566"/>
      <c r="AS35" s="4566"/>
      <c r="AT35" s="4566"/>
      <c r="AU35" s="4566"/>
      <c r="AV35" s="4566"/>
      <c r="AW35" s="4566"/>
      <c r="AX35" s="4566"/>
      <c r="AY35" s="4566"/>
      <c r="AZ35" s="4566"/>
      <c r="BA35" s="4566"/>
      <c r="BB35" s="4566"/>
      <c r="BC35" s="4566"/>
      <c r="BD35" s="4566"/>
      <c r="BE35" s="4566"/>
      <c r="BF35" s="4566"/>
      <c r="BG35" s="4566"/>
      <c r="BH35" s="4566"/>
      <c r="BI35" s="4566"/>
      <c r="BJ35" s="4566"/>
      <c r="BK35" s="4566"/>
      <c r="BL35" s="4566"/>
      <c r="BM35" s="4566"/>
      <c r="BN35" s="4566"/>
      <c r="BO35" s="4566"/>
      <c r="BP35" s="4566"/>
      <c r="BQ35" s="4566"/>
      <c r="BR35" s="4566"/>
      <c r="BS35" s="4566"/>
      <c r="BT35" s="4566"/>
      <c r="BU35" s="4566"/>
      <c r="BV35" s="4566"/>
      <c r="BW35" s="4566"/>
      <c r="BX35" s="4566"/>
      <c r="BY35" s="4566"/>
      <c r="BZ35" s="4566"/>
      <c r="CA35" s="4566"/>
      <c r="CB35" s="4566"/>
      <c r="CC35" s="4566"/>
      <c r="CD35" s="4566"/>
      <c r="CE35" s="4566"/>
      <c r="CF35" s="4566"/>
      <c r="CG35" s="4566"/>
      <c r="CH35" s="4566"/>
      <c r="CI35" s="4566"/>
      <c r="CJ35" s="4566"/>
      <c r="CK35" s="4566"/>
      <c r="CL35" s="4566"/>
      <c r="CM35" s="4566"/>
      <c r="CN35" s="4566"/>
      <c r="CO35" s="4566"/>
      <c r="CP35" s="4566"/>
      <c r="CQ35" s="4566"/>
      <c r="CR35" s="4566"/>
      <c r="CS35" s="4566"/>
      <c r="CT35" s="4566"/>
      <c r="CU35" s="4566"/>
      <c r="CV35" s="4566"/>
      <c r="CW35" s="4566"/>
      <c r="CX35" s="4566"/>
      <c r="CY35" s="4566"/>
      <c r="CZ35" s="4566"/>
      <c r="DA35" s="4566"/>
      <c r="DB35" s="4566"/>
      <c r="DC35" s="4566"/>
      <c r="DD35" s="4566"/>
      <c r="DE35" s="4566"/>
      <c r="DF35" s="4566"/>
      <c r="DG35" s="4566"/>
      <c r="DH35" s="4566"/>
      <c r="DI35" s="4566"/>
      <c r="DJ35" s="4566"/>
      <c r="DK35" s="4566"/>
      <c r="DL35" s="4566"/>
      <c r="DM35" s="4566"/>
      <c r="DN35" s="4566"/>
      <c r="DO35" s="4566"/>
      <c r="DP35" s="4566"/>
      <c r="DQ35" s="4566"/>
      <c r="DR35" s="4566"/>
      <c r="DS35" s="4566"/>
      <c r="DT35" s="4566"/>
      <c r="DU35" s="4566"/>
      <c r="DV35" s="4566"/>
      <c r="DW35" s="4566"/>
      <c r="DX35" s="4566"/>
      <c r="DY35" s="4566"/>
      <c r="DZ35" s="4566"/>
      <c r="EA35" s="4566"/>
      <c r="EB35" s="4566"/>
      <c r="EC35" s="4566"/>
      <c r="ED35" s="4566"/>
      <c r="EE35" s="4566"/>
      <c r="EF35" s="4566"/>
      <c r="EG35" s="4566"/>
      <c r="EH35" s="4566"/>
      <c r="EI35" s="4566"/>
      <c r="EJ35" s="4566"/>
      <c r="EK35" s="4566"/>
      <c r="EL35" s="4566"/>
      <c r="EM35" s="4566"/>
      <c r="EN35" s="4566"/>
      <c r="EO35" s="4566"/>
      <c r="EP35" s="4566"/>
      <c r="EQ35" s="4566"/>
      <c r="ER35" s="4566"/>
      <c r="ES35" s="4566"/>
      <c r="ET35" s="4566"/>
      <c r="EU35" s="4566"/>
      <c r="EV35" s="4566"/>
      <c r="EW35" s="4566"/>
      <c r="EX35" s="4566"/>
      <c r="EY35" s="4566"/>
      <c r="EZ35" s="4566"/>
      <c r="FA35" s="4566"/>
      <c r="FB35" s="4566"/>
      <c r="FC35" s="4566"/>
      <c r="FD35" s="4566"/>
      <c r="FE35" s="4566"/>
      <c r="FF35" s="4566"/>
      <c r="FG35" s="4566"/>
      <c r="FH35" s="4566"/>
      <c r="FI35" s="4566"/>
      <c r="FJ35" s="4566"/>
      <c r="FK35" s="4566"/>
      <c r="FL35" s="4566"/>
      <c r="FM35" s="4566"/>
      <c r="FN35" s="4566"/>
      <c r="FO35" s="4566"/>
      <c r="FP35" s="4566"/>
      <c r="FQ35" s="4566"/>
      <c r="FR35" s="4566"/>
      <c r="FS35" s="4566"/>
      <c r="FT35" s="4566"/>
      <c r="FU35" s="4566"/>
      <c r="FV35" s="4566"/>
      <c r="FW35" s="4566"/>
      <c r="FX35" s="4566"/>
      <c r="FY35" s="4566"/>
      <c r="FZ35" s="4566"/>
      <c r="GA35" s="4566"/>
      <c r="GB35" s="4566"/>
      <c r="GC35" s="4566"/>
      <c r="GD35" s="4566"/>
      <c r="GE35" s="4566"/>
      <c r="GF35" s="4566"/>
      <c r="GG35" s="4566"/>
      <c r="GH35" s="4566"/>
      <c r="GI35" s="4566"/>
      <c r="GJ35" s="4566"/>
      <c r="GK35" s="4566"/>
      <c r="GL35" s="4566"/>
      <c r="GM35" s="4566"/>
      <c r="GN35" s="4566"/>
      <c r="GO35" s="4566"/>
      <c r="GP35" s="4566"/>
      <c r="GQ35" s="4566"/>
      <c r="GR35" s="4566"/>
      <c r="GS35" s="4566"/>
      <c r="GT35" s="4566"/>
      <c r="GU35" s="4566"/>
      <c r="GV35" s="4566"/>
      <c r="GW35" s="4566"/>
      <c r="GX35" s="4566"/>
      <c r="GY35" s="4566"/>
      <c r="GZ35" s="4566"/>
      <c r="HA35" s="4566"/>
      <c r="HB35" s="4566"/>
      <c r="HC35" s="4566"/>
      <c r="HD35" s="4566"/>
      <c r="HE35" s="4566"/>
      <c r="HF35" s="4566"/>
      <c r="HG35" s="4566"/>
      <c r="HH35" s="4566"/>
      <c r="HI35" s="4566"/>
      <c r="HJ35" s="4566"/>
      <c r="HK35" s="4566"/>
      <c r="HL35" s="4566"/>
      <c r="HM35" s="4566"/>
      <c r="HN35" s="4566"/>
      <c r="HO35" s="4566"/>
      <c r="HP35" s="4566"/>
      <c r="HQ35" s="4566"/>
      <c r="HR35" s="4566"/>
      <c r="HS35" s="4566"/>
      <c r="HT35" s="4566"/>
      <c r="HU35" s="4566"/>
      <c r="HV35" s="4566"/>
      <c r="HW35" s="4566"/>
      <c r="HX35" s="4566"/>
      <c r="HY35" s="4566"/>
      <c r="HZ35" s="4566"/>
      <c r="IA35" s="4566"/>
      <c r="IB35" s="4566"/>
      <c r="IC35" s="4566"/>
      <c r="ID35" s="4566"/>
      <c r="IE35" s="4566"/>
      <c r="IF35" s="4566"/>
      <c r="IG35" s="4566"/>
      <c r="IH35" s="4566"/>
      <c r="II35" s="4566"/>
      <c r="IJ35" s="4566"/>
      <c r="IK35" s="4566"/>
      <c r="IL35" s="4566"/>
      <c r="IM35" s="4566"/>
      <c r="IN35" s="4566"/>
      <c r="IO35" s="4566"/>
      <c r="IP35" s="4566"/>
      <c r="IQ35" s="4566"/>
      <c r="IR35" s="4566"/>
      <c r="IS35" s="4566"/>
      <c r="IT35" s="4566"/>
      <c r="IU35" s="4566"/>
      <c r="IV35" s="4566"/>
    </row>
    <row r="36" spans="1:256" s="1271" customFormat="1" ht="13.5" customHeight="1">
      <c r="A36" s="4556"/>
      <c r="B36" s="4545"/>
      <c r="C36" s="4545"/>
      <c r="D36" s="4550" t="s">
        <v>2776</v>
      </c>
      <c r="E36" s="4545"/>
      <c r="F36" s="4557">
        <f>(216.32)*9</f>
        <v>1946.8799999999999</v>
      </c>
      <c r="G36" s="215"/>
      <c r="H36" s="4558"/>
      <c r="I36" s="4559"/>
    </row>
    <row r="37" spans="1:256" s="3385" customFormat="1" ht="27" customHeight="1">
      <c r="A37" s="4560">
        <v>13</v>
      </c>
      <c r="B37" s="4561" t="s">
        <v>2774</v>
      </c>
      <c r="C37" s="4562">
        <v>162211219</v>
      </c>
      <c r="D37" s="4562" t="s">
        <v>2389</v>
      </c>
      <c r="E37" s="4562" t="s">
        <v>146</v>
      </c>
      <c r="F37" s="4563">
        <f>F38</f>
        <v>2920.32</v>
      </c>
      <c r="G37" s="216"/>
      <c r="H37" s="4564">
        <f>F37*G37</f>
        <v>0</v>
      </c>
      <c r="I37" s="2228" t="s">
        <v>137</v>
      </c>
      <c r="J37" s="4565"/>
      <c r="L37" s="4566"/>
      <c r="M37" s="4566"/>
      <c r="N37" s="4566"/>
      <c r="O37" s="4566"/>
      <c r="P37" s="4566"/>
      <c r="Q37" s="4566"/>
      <c r="R37" s="4566"/>
      <c r="S37" s="4566"/>
      <c r="V37" s="4566"/>
      <c r="W37" s="4566"/>
      <c r="X37" s="4566"/>
      <c r="Y37" s="4566"/>
      <c r="Z37" s="4566"/>
      <c r="AA37" s="4566"/>
      <c r="AB37" s="4566"/>
      <c r="AC37" s="4566"/>
      <c r="AD37" s="4566"/>
      <c r="AE37" s="4566"/>
      <c r="AF37" s="4566"/>
      <c r="AG37" s="4566"/>
      <c r="AH37" s="4566"/>
      <c r="AI37" s="4566"/>
      <c r="AJ37" s="4566"/>
      <c r="AK37" s="4566"/>
      <c r="AL37" s="4566"/>
      <c r="AM37" s="4566"/>
      <c r="AN37" s="4566"/>
      <c r="AO37" s="4566"/>
      <c r="AP37" s="4566"/>
      <c r="AQ37" s="4566"/>
      <c r="AR37" s="4566"/>
      <c r="AS37" s="4566"/>
      <c r="AT37" s="4566"/>
      <c r="AU37" s="4566"/>
      <c r="AV37" s="4566"/>
      <c r="AW37" s="4566"/>
      <c r="AX37" s="4566"/>
      <c r="AY37" s="4566"/>
      <c r="AZ37" s="4566"/>
      <c r="BA37" s="4566"/>
      <c r="BB37" s="4566"/>
      <c r="BC37" s="4566"/>
      <c r="BD37" s="4566"/>
      <c r="BE37" s="4566"/>
      <c r="BF37" s="4566"/>
      <c r="BG37" s="4566"/>
      <c r="BH37" s="4566"/>
      <c r="BI37" s="4566"/>
      <c r="BJ37" s="4566"/>
      <c r="BK37" s="4566"/>
      <c r="BL37" s="4566"/>
      <c r="BM37" s="4566"/>
      <c r="BN37" s="4566"/>
      <c r="BO37" s="4566"/>
      <c r="BP37" s="4566"/>
      <c r="BQ37" s="4566"/>
      <c r="BR37" s="4566"/>
      <c r="BS37" s="4566"/>
      <c r="BT37" s="4566"/>
      <c r="BU37" s="4566"/>
      <c r="BV37" s="4566"/>
      <c r="BW37" s="4566"/>
      <c r="BX37" s="4566"/>
      <c r="BY37" s="4566"/>
      <c r="BZ37" s="4566"/>
      <c r="CA37" s="4566"/>
      <c r="CB37" s="4566"/>
      <c r="CC37" s="4566"/>
      <c r="CD37" s="4566"/>
      <c r="CE37" s="4566"/>
      <c r="CF37" s="4566"/>
      <c r="CG37" s="4566"/>
      <c r="CH37" s="4566"/>
      <c r="CI37" s="4566"/>
      <c r="CJ37" s="4566"/>
      <c r="CK37" s="4566"/>
      <c r="CL37" s="4566"/>
      <c r="CM37" s="4566"/>
      <c r="CN37" s="4566"/>
      <c r="CO37" s="4566"/>
      <c r="CP37" s="4566"/>
      <c r="CQ37" s="4566"/>
      <c r="CR37" s="4566"/>
      <c r="CS37" s="4566"/>
      <c r="CT37" s="4566"/>
      <c r="CU37" s="4566"/>
      <c r="CV37" s="4566"/>
      <c r="CW37" s="4566"/>
      <c r="CX37" s="4566"/>
      <c r="CY37" s="4566"/>
      <c r="CZ37" s="4566"/>
      <c r="DA37" s="4566"/>
      <c r="DB37" s="4566"/>
      <c r="DC37" s="4566"/>
      <c r="DD37" s="4566"/>
      <c r="DE37" s="4566"/>
      <c r="DF37" s="4566"/>
      <c r="DG37" s="4566"/>
      <c r="DH37" s="4566"/>
      <c r="DI37" s="4566"/>
      <c r="DJ37" s="4566"/>
      <c r="DK37" s="4566"/>
      <c r="DL37" s="4566"/>
      <c r="DM37" s="4566"/>
      <c r="DN37" s="4566"/>
      <c r="DO37" s="4566"/>
      <c r="DP37" s="4566"/>
      <c r="DQ37" s="4566"/>
      <c r="DR37" s="4566"/>
      <c r="DS37" s="4566"/>
      <c r="DT37" s="4566"/>
      <c r="DU37" s="4566"/>
      <c r="DV37" s="4566"/>
      <c r="DW37" s="4566"/>
      <c r="DX37" s="4566"/>
      <c r="DY37" s="4566"/>
      <c r="DZ37" s="4566"/>
      <c r="EA37" s="4566"/>
      <c r="EB37" s="4566"/>
      <c r="EC37" s="4566"/>
      <c r="ED37" s="4566"/>
      <c r="EE37" s="4566"/>
      <c r="EF37" s="4566"/>
      <c r="EG37" s="4566"/>
      <c r="EH37" s="4566"/>
      <c r="EI37" s="4566"/>
      <c r="EJ37" s="4566"/>
      <c r="EK37" s="4566"/>
      <c r="EL37" s="4566"/>
      <c r="EM37" s="4566"/>
      <c r="EN37" s="4566"/>
      <c r="EO37" s="4566"/>
      <c r="EP37" s="4566"/>
      <c r="EQ37" s="4566"/>
      <c r="ER37" s="4566"/>
      <c r="ES37" s="4566"/>
      <c r="ET37" s="4566"/>
      <c r="EU37" s="4566"/>
      <c r="EV37" s="4566"/>
      <c r="EW37" s="4566"/>
      <c r="EX37" s="4566"/>
      <c r="EY37" s="4566"/>
      <c r="EZ37" s="4566"/>
      <c r="FA37" s="4566"/>
      <c r="FB37" s="4566"/>
      <c r="FC37" s="4566"/>
      <c r="FD37" s="4566"/>
      <c r="FE37" s="4566"/>
      <c r="FF37" s="4566"/>
      <c r="FG37" s="4566"/>
      <c r="FH37" s="4566"/>
      <c r="FI37" s="4566"/>
      <c r="FJ37" s="4566"/>
      <c r="FK37" s="4566"/>
      <c r="FL37" s="4566"/>
      <c r="FM37" s="4566"/>
      <c r="FN37" s="4566"/>
      <c r="FO37" s="4566"/>
      <c r="FP37" s="4566"/>
      <c r="FQ37" s="4566"/>
      <c r="FR37" s="4566"/>
      <c r="FS37" s="4566"/>
      <c r="FT37" s="4566"/>
      <c r="FU37" s="4566"/>
      <c r="FV37" s="4566"/>
      <c r="FW37" s="4566"/>
      <c r="FX37" s="4566"/>
      <c r="FY37" s="4566"/>
      <c r="FZ37" s="4566"/>
      <c r="GA37" s="4566"/>
      <c r="GB37" s="4566"/>
      <c r="GC37" s="4566"/>
      <c r="GD37" s="4566"/>
      <c r="GE37" s="4566"/>
      <c r="GF37" s="4566"/>
      <c r="GG37" s="4566"/>
      <c r="GH37" s="4566"/>
      <c r="GI37" s="4566"/>
      <c r="GJ37" s="4566"/>
      <c r="GK37" s="4566"/>
      <c r="GL37" s="4566"/>
      <c r="GM37" s="4566"/>
      <c r="GN37" s="4566"/>
      <c r="GO37" s="4566"/>
      <c r="GP37" s="4566"/>
      <c r="GQ37" s="4566"/>
      <c r="GR37" s="4566"/>
      <c r="GS37" s="4566"/>
      <c r="GT37" s="4566"/>
      <c r="GU37" s="4566"/>
      <c r="GV37" s="4566"/>
      <c r="GW37" s="4566"/>
      <c r="GX37" s="4566"/>
      <c r="GY37" s="4566"/>
      <c r="GZ37" s="4566"/>
      <c r="HA37" s="4566"/>
      <c r="HB37" s="4566"/>
      <c r="HC37" s="4566"/>
      <c r="HD37" s="4566"/>
      <c r="HE37" s="4566"/>
      <c r="HF37" s="4566"/>
      <c r="HG37" s="4566"/>
      <c r="HH37" s="4566"/>
      <c r="HI37" s="4566"/>
      <c r="HJ37" s="4566"/>
      <c r="HK37" s="4566"/>
      <c r="HL37" s="4566"/>
      <c r="HM37" s="4566"/>
      <c r="HN37" s="4566"/>
      <c r="HO37" s="4566"/>
      <c r="HP37" s="4566"/>
      <c r="HQ37" s="4566"/>
      <c r="HR37" s="4566"/>
      <c r="HS37" s="4566"/>
      <c r="HT37" s="4566"/>
      <c r="HU37" s="4566"/>
      <c r="HV37" s="4566"/>
      <c r="HW37" s="4566"/>
      <c r="HX37" s="4566"/>
      <c r="HY37" s="4566"/>
      <c r="HZ37" s="4566"/>
      <c r="IA37" s="4566"/>
      <c r="IB37" s="4566"/>
      <c r="IC37" s="4566"/>
      <c r="ID37" s="4566"/>
      <c r="IE37" s="4566"/>
      <c r="IF37" s="4566"/>
      <c r="IG37" s="4566"/>
      <c r="IH37" s="4566"/>
      <c r="II37" s="4566"/>
      <c r="IJ37" s="4566"/>
      <c r="IK37" s="4566"/>
      <c r="IL37" s="4566"/>
      <c r="IM37" s="4566"/>
      <c r="IN37" s="4566"/>
      <c r="IO37" s="4566"/>
      <c r="IP37" s="4566"/>
      <c r="IQ37" s="4566"/>
      <c r="IR37" s="4566"/>
      <c r="IS37" s="4566"/>
      <c r="IT37" s="4566"/>
      <c r="IU37" s="4566"/>
      <c r="IV37" s="4566"/>
    </row>
    <row r="38" spans="1:256" s="1271" customFormat="1" ht="13.5" customHeight="1">
      <c r="A38" s="4556"/>
      <c r="B38" s="4545"/>
      <c r="C38" s="4545"/>
      <c r="D38" s="4550" t="s">
        <v>2777</v>
      </c>
      <c r="E38" s="4545"/>
      <c r="F38" s="4557">
        <f>(243.36+81.12)*9</f>
        <v>2920.32</v>
      </c>
      <c r="G38" s="215"/>
      <c r="H38" s="4558"/>
      <c r="I38" s="4559"/>
    </row>
    <row r="39" spans="1:256" s="1271" customFormat="1" ht="27" customHeight="1">
      <c r="A39" s="3985">
        <v>14</v>
      </c>
      <c r="B39" s="4567" t="s">
        <v>2778</v>
      </c>
      <c r="C39" s="4545" t="s">
        <v>1846</v>
      </c>
      <c r="D39" s="4562" t="s">
        <v>6331</v>
      </c>
      <c r="E39" s="4545" t="s">
        <v>146</v>
      </c>
      <c r="F39" s="4568">
        <f>F41+F43</f>
        <v>540.79999999999995</v>
      </c>
      <c r="G39" s="4547">
        <f>SUM(H45:H52)/F39</f>
        <v>0</v>
      </c>
      <c r="H39" s="4547">
        <f>F39*G39</f>
        <v>0</v>
      </c>
      <c r="I39" s="4559" t="s">
        <v>112</v>
      </c>
      <c r="J39" s="4555"/>
    </row>
    <row r="40" spans="1:256" s="1271" customFormat="1" ht="13.5" customHeight="1">
      <c r="A40" s="4544"/>
      <c r="B40" s="4569"/>
      <c r="C40" s="4570"/>
      <c r="D40" s="4550" t="s">
        <v>2779</v>
      </c>
      <c r="E40" s="4550"/>
      <c r="F40" s="4557"/>
      <c r="G40" s="214"/>
      <c r="H40" s="4547"/>
      <c r="I40" s="4571"/>
      <c r="J40" s="4555"/>
    </row>
    <row r="41" spans="1:256" s="796" customFormat="1" ht="13.5" customHeight="1">
      <c r="A41" s="3267"/>
      <c r="B41" s="3268"/>
      <c r="C41" s="4545"/>
      <c r="D41" s="3269" t="s">
        <v>182</v>
      </c>
      <c r="E41" s="3270"/>
      <c r="F41" s="3271">
        <f>SUM(F42:F42)</f>
        <v>216.32</v>
      </c>
      <c r="G41" s="200"/>
      <c r="H41" s="3272"/>
      <c r="I41" s="3273"/>
      <c r="J41" s="1020"/>
      <c r="L41" s="797"/>
      <c r="M41" s="797"/>
      <c r="N41" s="797"/>
      <c r="O41" s="797"/>
      <c r="P41" s="797"/>
      <c r="Q41" s="797"/>
      <c r="R41" s="797"/>
      <c r="S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7"/>
      <c r="CA41" s="797"/>
      <c r="CB41" s="797"/>
      <c r="CC41" s="797"/>
      <c r="CD41" s="797"/>
      <c r="CE41" s="797"/>
      <c r="CF41" s="797"/>
      <c r="CG41" s="797"/>
      <c r="CH41" s="797"/>
      <c r="CI41" s="797"/>
      <c r="CJ41" s="797"/>
      <c r="CK41" s="797"/>
      <c r="CL41" s="797"/>
      <c r="CM41" s="797"/>
      <c r="CN41" s="797"/>
      <c r="CO41" s="797"/>
      <c r="CP41" s="797"/>
      <c r="CQ41" s="797"/>
      <c r="CR41" s="797"/>
      <c r="CS41" s="797"/>
      <c r="CT41" s="797"/>
      <c r="CU41" s="797"/>
      <c r="CV41" s="797"/>
      <c r="CW41" s="797"/>
      <c r="CX41" s="797"/>
      <c r="CY41" s="797"/>
      <c r="CZ41" s="797"/>
      <c r="DA41" s="797"/>
      <c r="DB41" s="797"/>
      <c r="DC41" s="797"/>
      <c r="DD41" s="797"/>
      <c r="DE41" s="797"/>
      <c r="DF41" s="797"/>
      <c r="DG41" s="797"/>
      <c r="DH41" s="797"/>
      <c r="DI41" s="797"/>
      <c r="DJ41" s="797"/>
      <c r="DK41" s="797"/>
      <c r="DL41" s="797"/>
      <c r="DM41" s="797"/>
      <c r="DN41" s="797"/>
      <c r="DO41" s="797"/>
      <c r="DP41" s="797"/>
      <c r="DQ41" s="797"/>
      <c r="DR41" s="797"/>
      <c r="DS41" s="797"/>
      <c r="DT41" s="797"/>
      <c r="DU41" s="797"/>
      <c r="DV41" s="797"/>
      <c r="DW41" s="797"/>
      <c r="DX41" s="797"/>
      <c r="DY41" s="797"/>
      <c r="DZ41" s="797"/>
      <c r="EA41" s="797"/>
      <c r="EB41" s="797"/>
      <c r="EC41" s="797"/>
      <c r="ED41" s="797"/>
      <c r="EE41" s="797"/>
      <c r="EF41" s="797"/>
      <c r="EG41" s="797"/>
      <c r="EH41" s="797"/>
      <c r="EI41" s="797"/>
      <c r="EJ41" s="797"/>
      <c r="EK41" s="797"/>
      <c r="EL41" s="797"/>
      <c r="EM41" s="797"/>
      <c r="EN41" s="797"/>
      <c r="EO41" s="797"/>
      <c r="EP41" s="797"/>
      <c r="EQ41" s="797"/>
      <c r="ER41" s="797"/>
      <c r="ES41" s="797"/>
      <c r="ET41" s="797"/>
      <c r="EU41" s="797"/>
      <c r="EV41" s="797"/>
      <c r="EW41" s="797"/>
      <c r="EX41" s="797"/>
      <c r="EY41" s="797"/>
      <c r="EZ41" s="797"/>
      <c r="FA41" s="797"/>
      <c r="FB41" s="797"/>
      <c r="FC41" s="797"/>
      <c r="FD41" s="797"/>
      <c r="FE41" s="797"/>
      <c r="FF41" s="797"/>
      <c r="FG41" s="797"/>
      <c r="FH41" s="797"/>
      <c r="FI41" s="797"/>
      <c r="FJ41" s="797"/>
      <c r="FK41" s="797"/>
      <c r="FL41" s="797"/>
      <c r="FM41" s="797"/>
      <c r="FN41" s="797"/>
      <c r="FO41" s="797"/>
      <c r="FP41" s="797"/>
      <c r="FQ41" s="797"/>
      <c r="FR41" s="797"/>
      <c r="FS41" s="797"/>
      <c r="FT41" s="797"/>
      <c r="FU41" s="797"/>
      <c r="FV41" s="797"/>
      <c r="FW41" s="797"/>
      <c r="FX41" s="797"/>
      <c r="FY41" s="797"/>
      <c r="FZ41" s="797"/>
      <c r="GA41" s="797"/>
      <c r="GB41" s="797"/>
      <c r="GC41" s="797"/>
      <c r="GD41" s="797"/>
      <c r="GE41" s="797"/>
      <c r="GF41" s="797"/>
      <c r="GG41" s="797"/>
      <c r="GH41" s="797"/>
      <c r="GI41" s="797"/>
      <c r="GJ41" s="797"/>
      <c r="GK41" s="797"/>
      <c r="GL41" s="797"/>
      <c r="GM41" s="797"/>
      <c r="GN41" s="797"/>
      <c r="GO41" s="797"/>
      <c r="GP41" s="797"/>
      <c r="GQ41" s="797"/>
      <c r="GR41" s="797"/>
      <c r="GS41" s="797"/>
      <c r="GT41" s="797"/>
      <c r="GU41" s="797"/>
      <c r="GV41" s="797"/>
      <c r="GW41" s="797"/>
      <c r="GX41" s="797"/>
      <c r="GY41" s="797"/>
      <c r="GZ41" s="797"/>
      <c r="HA41" s="797"/>
      <c r="HB41" s="797"/>
      <c r="HC41" s="797"/>
      <c r="HD41" s="797"/>
      <c r="HE41" s="797"/>
      <c r="HF41" s="797"/>
      <c r="HG41" s="797"/>
      <c r="HH41" s="797"/>
      <c r="HI41" s="797"/>
      <c r="HJ41" s="797"/>
      <c r="HK41" s="797"/>
      <c r="HL41" s="797"/>
      <c r="HM41" s="797"/>
      <c r="HN41" s="797"/>
      <c r="HO41" s="797"/>
      <c r="HP41" s="797"/>
      <c r="HQ41" s="797"/>
      <c r="HR41" s="797"/>
      <c r="HS41" s="797"/>
      <c r="HT41" s="797"/>
      <c r="HU41" s="797"/>
      <c r="HV41" s="797"/>
      <c r="HW41" s="797"/>
      <c r="HX41" s="797"/>
      <c r="HY41" s="797"/>
      <c r="HZ41" s="797"/>
      <c r="IA41" s="797"/>
      <c r="IB41" s="797"/>
      <c r="IC41" s="797"/>
      <c r="ID41" s="797"/>
      <c r="IE41" s="797"/>
      <c r="IF41" s="797"/>
      <c r="IG41" s="797"/>
      <c r="IH41" s="797"/>
      <c r="II41" s="797"/>
      <c r="IJ41" s="797"/>
      <c r="IK41" s="797"/>
      <c r="IL41" s="797"/>
      <c r="IM41" s="797"/>
      <c r="IN41" s="797"/>
      <c r="IO41" s="797"/>
      <c r="IP41" s="797"/>
      <c r="IQ41" s="797"/>
      <c r="IR41" s="797"/>
      <c r="IS41" s="797"/>
      <c r="IT41" s="797"/>
      <c r="IU41" s="797"/>
      <c r="IV41" s="797"/>
    </row>
    <row r="42" spans="1:256" s="3385" customFormat="1" ht="13.5" customHeight="1">
      <c r="A42" s="4572"/>
      <c r="B42" s="4573"/>
      <c r="C42" s="4574"/>
      <c r="D42" s="4575" t="s">
        <v>2780</v>
      </c>
      <c r="E42" s="4575"/>
      <c r="F42" s="4576">
        <v>216.32</v>
      </c>
      <c r="G42" s="216"/>
      <c r="H42" s="4564"/>
      <c r="I42" s="4577"/>
      <c r="J42" s="4578"/>
      <c r="K42" s="4579"/>
      <c r="L42" s="4580"/>
      <c r="M42" s="4580"/>
      <c r="N42" s="4580"/>
      <c r="O42" s="4580"/>
      <c r="P42" s="4566"/>
      <c r="Q42" s="4566"/>
      <c r="R42" s="4566"/>
      <c r="S42" s="4566"/>
      <c r="V42" s="4566"/>
      <c r="W42" s="4566"/>
      <c r="X42" s="4566"/>
      <c r="Y42" s="4566"/>
      <c r="Z42" s="4566"/>
      <c r="AA42" s="4566"/>
      <c r="AB42" s="4566"/>
      <c r="AC42" s="4566"/>
      <c r="AD42" s="4566"/>
      <c r="AE42" s="4566"/>
      <c r="AF42" s="4566"/>
      <c r="AG42" s="4566"/>
      <c r="AH42" s="4566"/>
      <c r="AI42" s="4566"/>
      <c r="AJ42" s="4566"/>
      <c r="AK42" s="4566"/>
      <c r="AL42" s="4566"/>
      <c r="AM42" s="4566"/>
      <c r="AN42" s="4566"/>
      <c r="AO42" s="4566"/>
      <c r="AP42" s="4566"/>
      <c r="AQ42" s="4566"/>
      <c r="AR42" s="4566"/>
      <c r="AS42" s="4566"/>
      <c r="AT42" s="4566"/>
      <c r="AU42" s="4566"/>
      <c r="AV42" s="4566"/>
      <c r="AW42" s="4566"/>
      <c r="AX42" s="4566"/>
      <c r="AY42" s="4566"/>
      <c r="AZ42" s="4566"/>
      <c r="BA42" s="4566"/>
      <c r="BB42" s="4566"/>
      <c r="BC42" s="4566"/>
      <c r="BD42" s="4566"/>
      <c r="BE42" s="4566"/>
      <c r="BF42" s="4566"/>
      <c r="BG42" s="4566"/>
      <c r="BH42" s="4566"/>
      <c r="BI42" s="4566"/>
      <c r="BJ42" s="4566"/>
      <c r="BK42" s="4566"/>
      <c r="BL42" s="4566"/>
      <c r="BM42" s="4566"/>
      <c r="BN42" s="4566"/>
      <c r="BO42" s="4566"/>
      <c r="BP42" s="4566"/>
      <c r="BQ42" s="4566"/>
      <c r="BR42" s="4566"/>
      <c r="BS42" s="4566"/>
      <c r="BT42" s="4566"/>
      <c r="BU42" s="4566"/>
      <c r="BV42" s="4566"/>
      <c r="BW42" s="4566"/>
      <c r="BX42" s="4566"/>
      <c r="BY42" s="4566"/>
      <c r="BZ42" s="4566"/>
      <c r="CA42" s="4566"/>
      <c r="CB42" s="4566"/>
      <c r="CC42" s="4566"/>
      <c r="CD42" s="4566"/>
      <c r="CE42" s="4566"/>
      <c r="CF42" s="4566"/>
      <c r="CG42" s="4566"/>
      <c r="CH42" s="4566"/>
      <c r="CI42" s="4566"/>
      <c r="CJ42" s="4566"/>
      <c r="CK42" s="4566"/>
      <c r="CL42" s="4566"/>
      <c r="CM42" s="4566"/>
      <c r="CN42" s="4566"/>
      <c r="CO42" s="4566"/>
      <c r="CP42" s="4566"/>
      <c r="CQ42" s="4566"/>
      <c r="CR42" s="4566"/>
      <c r="CS42" s="4566"/>
      <c r="CT42" s="4566"/>
      <c r="CU42" s="4566"/>
      <c r="CV42" s="4566"/>
      <c r="CW42" s="4566"/>
      <c r="CX42" s="4566"/>
      <c r="CY42" s="4566"/>
      <c r="CZ42" s="4566"/>
      <c r="DA42" s="4566"/>
      <c r="DB42" s="4566"/>
      <c r="DC42" s="4566"/>
      <c r="DD42" s="4566"/>
      <c r="DE42" s="4566"/>
      <c r="DF42" s="4566"/>
      <c r="DG42" s="4566"/>
      <c r="DH42" s="4566"/>
      <c r="DI42" s="4566"/>
      <c r="DJ42" s="4566"/>
      <c r="DK42" s="4566"/>
      <c r="DL42" s="4566"/>
      <c r="DM42" s="4566"/>
      <c r="DN42" s="4566"/>
      <c r="DO42" s="4566"/>
      <c r="DP42" s="4566"/>
      <c r="DQ42" s="4566"/>
      <c r="DR42" s="4566"/>
      <c r="DS42" s="4566"/>
      <c r="DT42" s="4566"/>
      <c r="DU42" s="4566"/>
      <c r="DV42" s="4566"/>
      <c r="DW42" s="4566"/>
      <c r="DX42" s="4566"/>
      <c r="DY42" s="4566"/>
      <c r="DZ42" s="4566"/>
      <c r="EA42" s="4566"/>
      <c r="EB42" s="4566"/>
      <c r="EC42" s="4566"/>
      <c r="ED42" s="4566"/>
      <c r="EE42" s="4566"/>
      <c r="EF42" s="4566"/>
      <c r="EG42" s="4566"/>
      <c r="EH42" s="4566"/>
      <c r="EI42" s="4566"/>
      <c r="EJ42" s="4566"/>
      <c r="EK42" s="4566"/>
      <c r="EL42" s="4566"/>
      <c r="EM42" s="4566"/>
      <c r="EN42" s="4566"/>
      <c r="EO42" s="4566"/>
      <c r="EP42" s="4566"/>
      <c r="EQ42" s="4566"/>
      <c r="ER42" s="4566"/>
      <c r="ES42" s="4566"/>
      <c r="ET42" s="4566"/>
      <c r="EU42" s="4566"/>
      <c r="EV42" s="4566"/>
      <c r="EW42" s="4566"/>
      <c r="EX42" s="4566"/>
      <c r="EY42" s="4566"/>
      <c r="EZ42" s="4566"/>
      <c r="FA42" s="4566"/>
      <c r="FB42" s="4566"/>
      <c r="FC42" s="4566"/>
      <c r="FD42" s="4566"/>
      <c r="FE42" s="4566"/>
      <c r="FF42" s="4566"/>
      <c r="FG42" s="4566"/>
      <c r="FH42" s="4566"/>
      <c r="FI42" s="4566"/>
      <c r="FJ42" s="4566"/>
      <c r="FK42" s="4566"/>
      <c r="FL42" s="4566"/>
      <c r="FM42" s="4566"/>
      <c r="FN42" s="4566"/>
      <c r="FO42" s="4566"/>
      <c r="FP42" s="4566"/>
      <c r="FQ42" s="4566"/>
      <c r="FR42" s="4566"/>
      <c r="FS42" s="4566"/>
      <c r="FT42" s="4566"/>
      <c r="FU42" s="4566"/>
      <c r="FV42" s="4566"/>
      <c r="FW42" s="4566"/>
      <c r="FX42" s="4566"/>
      <c r="FY42" s="4566"/>
      <c r="FZ42" s="4566"/>
      <c r="GA42" s="4566"/>
      <c r="GB42" s="4566"/>
      <c r="GC42" s="4566"/>
      <c r="GD42" s="4566"/>
      <c r="GE42" s="4566"/>
      <c r="GF42" s="4566"/>
      <c r="GG42" s="4566"/>
      <c r="GH42" s="4566"/>
      <c r="GI42" s="4566"/>
      <c r="GJ42" s="4566"/>
      <c r="GK42" s="4566"/>
      <c r="GL42" s="4566"/>
      <c r="GM42" s="4566"/>
      <c r="GN42" s="4566"/>
      <c r="GO42" s="4566"/>
      <c r="GP42" s="4566"/>
      <c r="GQ42" s="4566"/>
      <c r="GR42" s="4566"/>
      <c r="GS42" s="4566"/>
      <c r="GT42" s="4566"/>
      <c r="GU42" s="4566"/>
      <c r="GV42" s="4566"/>
      <c r="GW42" s="4566"/>
      <c r="GX42" s="4566"/>
      <c r="GY42" s="4566"/>
      <c r="GZ42" s="4566"/>
      <c r="HA42" s="4566"/>
      <c r="HB42" s="4566"/>
      <c r="HC42" s="4566"/>
      <c r="HD42" s="4566"/>
      <c r="HE42" s="4566"/>
      <c r="HF42" s="4566"/>
      <c r="HG42" s="4566"/>
      <c r="HH42" s="4566"/>
      <c r="HI42" s="4566"/>
      <c r="HJ42" s="4566"/>
      <c r="HK42" s="4566"/>
      <c r="HL42" s="4566"/>
      <c r="HM42" s="4566"/>
      <c r="HN42" s="4566"/>
      <c r="HO42" s="4566"/>
      <c r="HP42" s="4566"/>
      <c r="HQ42" s="4566"/>
      <c r="HR42" s="4566"/>
      <c r="HS42" s="4566"/>
      <c r="HT42" s="4566"/>
      <c r="HU42" s="4566"/>
      <c r="HV42" s="4566"/>
      <c r="HW42" s="4566"/>
      <c r="HX42" s="4566"/>
      <c r="HY42" s="4566"/>
      <c r="HZ42" s="4566"/>
      <c r="IA42" s="4566"/>
      <c r="IB42" s="4566"/>
      <c r="IC42" s="4566"/>
      <c r="ID42" s="4566"/>
      <c r="IE42" s="4566"/>
      <c r="IF42" s="4566"/>
      <c r="IG42" s="4566"/>
      <c r="IH42" s="4566"/>
      <c r="II42" s="4566"/>
      <c r="IJ42" s="4566"/>
      <c r="IK42" s="4566"/>
      <c r="IL42" s="4566"/>
      <c r="IM42" s="4566"/>
      <c r="IN42" s="4566"/>
      <c r="IO42" s="4566"/>
      <c r="IP42" s="4566"/>
      <c r="IQ42" s="4566"/>
      <c r="IR42" s="4566"/>
      <c r="IS42" s="4566"/>
      <c r="IT42" s="4566"/>
      <c r="IU42" s="4566"/>
      <c r="IV42" s="4566"/>
    </row>
    <row r="43" spans="1:256" s="796" customFormat="1" ht="13.5" customHeight="1">
      <c r="A43" s="3267"/>
      <c r="B43" s="3268"/>
      <c r="C43" s="4545"/>
      <c r="D43" s="3269" t="s">
        <v>185</v>
      </c>
      <c r="E43" s="3270"/>
      <c r="F43" s="3271">
        <f>SUM(F44:F44)</f>
        <v>324.48</v>
      </c>
      <c r="G43" s="200"/>
      <c r="H43" s="3272"/>
      <c r="I43" s="3273"/>
      <c r="J43" s="1020"/>
      <c r="K43" s="1021"/>
      <c r="L43" s="797"/>
      <c r="M43" s="797"/>
      <c r="N43" s="797"/>
      <c r="O43" s="797"/>
      <c r="P43" s="797"/>
      <c r="Q43" s="797"/>
      <c r="R43" s="797"/>
      <c r="S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797"/>
      <c r="CB43" s="797"/>
      <c r="CC43" s="797"/>
      <c r="CD43" s="797"/>
      <c r="CE43" s="797"/>
      <c r="CF43" s="797"/>
      <c r="CG43" s="797"/>
      <c r="CH43" s="797"/>
      <c r="CI43" s="797"/>
      <c r="CJ43" s="797"/>
      <c r="CK43" s="797"/>
      <c r="CL43" s="797"/>
      <c r="CM43" s="797"/>
      <c r="CN43" s="797"/>
      <c r="CO43" s="797"/>
      <c r="CP43" s="797"/>
      <c r="CQ43" s="797"/>
      <c r="CR43" s="797"/>
      <c r="CS43" s="797"/>
      <c r="CT43" s="797"/>
      <c r="CU43" s="797"/>
      <c r="CV43" s="797"/>
      <c r="CW43" s="797"/>
      <c r="CX43" s="797"/>
      <c r="CY43" s="797"/>
      <c r="CZ43" s="797"/>
      <c r="DA43" s="797"/>
      <c r="DB43" s="797"/>
      <c r="DC43" s="797"/>
      <c r="DD43" s="797"/>
      <c r="DE43" s="797"/>
      <c r="DF43" s="797"/>
      <c r="DG43" s="797"/>
      <c r="DH43" s="797"/>
      <c r="DI43" s="797"/>
      <c r="DJ43" s="797"/>
      <c r="DK43" s="797"/>
      <c r="DL43" s="797"/>
      <c r="DM43" s="797"/>
      <c r="DN43" s="797"/>
      <c r="DO43" s="797"/>
      <c r="DP43" s="797"/>
      <c r="DQ43" s="797"/>
      <c r="DR43" s="797"/>
      <c r="DS43" s="797"/>
      <c r="DT43" s="797"/>
      <c r="DU43" s="797"/>
      <c r="DV43" s="797"/>
      <c r="DW43" s="797"/>
      <c r="DX43" s="797"/>
      <c r="DY43" s="797"/>
      <c r="DZ43" s="797"/>
      <c r="EA43" s="797"/>
      <c r="EB43" s="797"/>
      <c r="EC43" s="797"/>
      <c r="ED43" s="797"/>
      <c r="EE43" s="797"/>
      <c r="EF43" s="797"/>
      <c r="EG43" s="797"/>
      <c r="EH43" s="797"/>
      <c r="EI43" s="797"/>
      <c r="EJ43" s="797"/>
      <c r="EK43" s="797"/>
      <c r="EL43" s="797"/>
      <c r="EM43" s="797"/>
      <c r="EN43" s="797"/>
      <c r="EO43" s="797"/>
      <c r="EP43" s="797"/>
      <c r="EQ43" s="797"/>
      <c r="ER43" s="797"/>
      <c r="ES43" s="797"/>
      <c r="ET43" s="797"/>
      <c r="EU43" s="797"/>
      <c r="EV43" s="797"/>
      <c r="EW43" s="797"/>
      <c r="EX43" s="797"/>
      <c r="EY43" s="797"/>
      <c r="EZ43" s="797"/>
      <c r="FA43" s="797"/>
      <c r="FB43" s="797"/>
      <c r="FC43" s="797"/>
      <c r="FD43" s="797"/>
      <c r="FE43" s="797"/>
      <c r="FF43" s="797"/>
      <c r="FG43" s="797"/>
      <c r="FH43" s="797"/>
      <c r="FI43" s="797"/>
      <c r="FJ43" s="797"/>
      <c r="FK43" s="797"/>
      <c r="FL43" s="797"/>
      <c r="FM43" s="797"/>
      <c r="FN43" s="797"/>
      <c r="FO43" s="797"/>
      <c r="FP43" s="797"/>
      <c r="FQ43" s="797"/>
      <c r="FR43" s="797"/>
      <c r="FS43" s="797"/>
      <c r="FT43" s="797"/>
      <c r="FU43" s="797"/>
      <c r="FV43" s="797"/>
      <c r="FW43" s="797"/>
      <c r="FX43" s="797"/>
      <c r="FY43" s="797"/>
      <c r="FZ43" s="797"/>
      <c r="GA43" s="797"/>
      <c r="GB43" s="797"/>
      <c r="GC43" s="797"/>
      <c r="GD43" s="797"/>
      <c r="GE43" s="797"/>
      <c r="GF43" s="797"/>
      <c r="GG43" s="797"/>
      <c r="GH43" s="797"/>
      <c r="GI43" s="797"/>
      <c r="GJ43" s="797"/>
      <c r="GK43" s="797"/>
      <c r="GL43" s="797"/>
      <c r="GM43" s="797"/>
      <c r="GN43" s="797"/>
      <c r="GO43" s="797"/>
      <c r="GP43" s="797"/>
      <c r="GQ43" s="797"/>
      <c r="GR43" s="797"/>
      <c r="GS43" s="797"/>
      <c r="GT43" s="797"/>
      <c r="GU43" s="797"/>
      <c r="GV43" s="797"/>
      <c r="GW43" s="797"/>
      <c r="GX43" s="797"/>
      <c r="GY43" s="797"/>
      <c r="GZ43" s="797"/>
      <c r="HA43" s="797"/>
      <c r="HB43" s="797"/>
      <c r="HC43" s="797"/>
      <c r="HD43" s="797"/>
      <c r="HE43" s="797"/>
      <c r="HF43" s="797"/>
      <c r="HG43" s="797"/>
      <c r="HH43" s="797"/>
      <c r="HI43" s="797"/>
      <c r="HJ43" s="797"/>
      <c r="HK43" s="797"/>
      <c r="HL43" s="797"/>
      <c r="HM43" s="797"/>
      <c r="HN43" s="797"/>
      <c r="HO43" s="797"/>
      <c r="HP43" s="797"/>
      <c r="HQ43" s="797"/>
      <c r="HR43" s="797"/>
      <c r="HS43" s="797"/>
      <c r="HT43" s="797"/>
      <c r="HU43" s="797"/>
      <c r="HV43" s="797"/>
      <c r="HW43" s="797"/>
      <c r="HX43" s="797"/>
      <c r="HY43" s="797"/>
      <c r="HZ43" s="797"/>
      <c r="IA43" s="797"/>
      <c r="IB43" s="797"/>
      <c r="IC43" s="797"/>
      <c r="ID43" s="797"/>
      <c r="IE43" s="797"/>
      <c r="IF43" s="797"/>
      <c r="IG43" s="797"/>
      <c r="IH43" s="797"/>
      <c r="II43" s="797"/>
      <c r="IJ43" s="797"/>
      <c r="IK43" s="797"/>
      <c r="IL43" s="797"/>
      <c r="IM43" s="797"/>
      <c r="IN43" s="797"/>
      <c r="IO43" s="797"/>
      <c r="IP43" s="797"/>
      <c r="IQ43" s="797"/>
      <c r="IR43" s="797"/>
      <c r="IS43" s="797"/>
      <c r="IT43" s="797"/>
      <c r="IU43" s="797"/>
      <c r="IV43" s="797"/>
    </row>
    <row r="44" spans="1:256" s="3385" customFormat="1" ht="13.5" customHeight="1">
      <c r="A44" s="4572"/>
      <c r="B44" s="4573"/>
      <c r="C44" s="4574"/>
      <c r="D44" s="4575" t="s">
        <v>2781</v>
      </c>
      <c r="E44" s="4575"/>
      <c r="F44" s="4576">
        <f>(243.36)+(81.12)</f>
        <v>324.48</v>
      </c>
      <c r="G44" s="216"/>
      <c r="H44" s="4564"/>
      <c r="I44" s="4577"/>
      <c r="J44" s="4578"/>
      <c r="K44" s="4579"/>
      <c r="L44" s="4580"/>
      <c r="M44" s="4580"/>
      <c r="N44" s="4580"/>
      <c r="O44" s="4580"/>
      <c r="P44" s="4566"/>
      <c r="Q44" s="4566"/>
      <c r="R44" s="4566"/>
      <c r="S44" s="4566"/>
      <c r="V44" s="4566"/>
      <c r="W44" s="4566"/>
      <c r="X44" s="4566"/>
      <c r="Y44" s="4566"/>
      <c r="Z44" s="4566"/>
      <c r="AA44" s="4566"/>
      <c r="AB44" s="4566"/>
      <c r="AC44" s="4566"/>
      <c r="AD44" s="4566"/>
      <c r="AE44" s="4566"/>
      <c r="AF44" s="4566"/>
      <c r="AG44" s="4566"/>
      <c r="AH44" s="4566"/>
      <c r="AI44" s="4566"/>
      <c r="AJ44" s="4566"/>
      <c r="AK44" s="4566"/>
      <c r="AL44" s="4566"/>
      <c r="AM44" s="4566"/>
      <c r="AN44" s="4566"/>
      <c r="AO44" s="4566"/>
      <c r="AP44" s="4566"/>
      <c r="AQ44" s="4566"/>
      <c r="AR44" s="4566"/>
      <c r="AS44" s="4566"/>
      <c r="AT44" s="4566"/>
      <c r="AU44" s="4566"/>
      <c r="AV44" s="4566"/>
      <c r="AW44" s="4566"/>
      <c r="AX44" s="4566"/>
      <c r="AY44" s="4566"/>
      <c r="AZ44" s="4566"/>
      <c r="BA44" s="4566"/>
      <c r="BB44" s="4566"/>
      <c r="BC44" s="4566"/>
      <c r="BD44" s="4566"/>
      <c r="BE44" s="4566"/>
      <c r="BF44" s="4566"/>
      <c r="BG44" s="4566"/>
      <c r="BH44" s="4566"/>
      <c r="BI44" s="4566"/>
      <c r="BJ44" s="4566"/>
      <c r="BK44" s="4566"/>
      <c r="BL44" s="4566"/>
      <c r="BM44" s="4566"/>
      <c r="BN44" s="4566"/>
      <c r="BO44" s="4566"/>
      <c r="BP44" s="4566"/>
      <c r="BQ44" s="4566"/>
      <c r="BR44" s="4566"/>
      <c r="BS44" s="4566"/>
      <c r="BT44" s="4566"/>
      <c r="BU44" s="4566"/>
      <c r="BV44" s="4566"/>
      <c r="BW44" s="4566"/>
      <c r="BX44" s="4566"/>
      <c r="BY44" s="4566"/>
      <c r="BZ44" s="4566"/>
      <c r="CA44" s="4566"/>
      <c r="CB44" s="4566"/>
      <c r="CC44" s="4566"/>
      <c r="CD44" s="4566"/>
      <c r="CE44" s="4566"/>
      <c r="CF44" s="4566"/>
      <c r="CG44" s="4566"/>
      <c r="CH44" s="4566"/>
      <c r="CI44" s="4566"/>
      <c r="CJ44" s="4566"/>
      <c r="CK44" s="4566"/>
      <c r="CL44" s="4566"/>
      <c r="CM44" s="4566"/>
      <c r="CN44" s="4566"/>
      <c r="CO44" s="4566"/>
      <c r="CP44" s="4566"/>
      <c r="CQ44" s="4566"/>
      <c r="CR44" s="4566"/>
      <c r="CS44" s="4566"/>
      <c r="CT44" s="4566"/>
      <c r="CU44" s="4566"/>
      <c r="CV44" s="4566"/>
      <c r="CW44" s="4566"/>
      <c r="CX44" s="4566"/>
      <c r="CY44" s="4566"/>
      <c r="CZ44" s="4566"/>
      <c r="DA44" s="4566"/>
      <c r="DB44" s="4566"/>
      <c r="DC44" s="4566"/>
      <c r="DD44" s="4566"/>
      <c r="DE44" s="4566"/>
      <c r="DF44" s="4566"/>
      <c r="DG44" s="4566"/>
      <c r="DH44" s="4566"/>
      <c r="DI44" s="4566"/>
      <c r="DJ44" s="4566"/>
      <c r="DK44" s="4566"/>
      <c r="DL44" s="4566"/>
      <c r="DM44" s="4566"/>
      <c r="DN44" s="4566"/>
      <c r="DO44" s="4566"/>
      <c r="DP44" s="4566"/>
      <c r="DQ44" s="4566"/>
      <c r="DR44" s="4566"/>
      <c r="DS44" s="4566"/>
      <c r="DT44" s="4566"/>
      <c r="DU44" s="4566"/>
      <c r="DV44" s="4566"/>
      <c r="DW44" s="4566"/>
      <c r="DX44" s="4566"/>
      <c r="DY44" s="4566"/>
      <c r="DZ44" s="4566"/>
      <c r="EA44" s="4566"/>
      <c r="EB44" s="4566"/>
      <c r="EC44" s="4566"/>
      <c r="ED44" s="4566"/>
      <c r="EE44" s="4566"/>
      <c r="EF44" s="4566"/>
      <c r="EG44" s="4566"/>
      <c r="EH44" s="4566"/>
      <c r="EI44" s="4566"/>
      <c r="EJ44" s="4566"/>
      <c r="EK44" s="4566"/>
      <c r="EL44" s="4566"/>
      <c r="EM44" s="4566"/>
      <c r="EN44" s="4566"/>
      <c r="EO44" s="4566"/>
      <c r="EP44" s="4566"/>
      <c r="EQ44" s="4566"/>
      <c r="ER44" s="4566"/>
      <c r="ES44" s="4566"/>
      <c r="ET44" s="4566"/>
      <c r="EU44" s="4566"/>
      <c r="EV44" s="4566"/>
      <c r="EW44" s="4566"/>
      <c r="EX44" s="4566"/>
      <c r="EY44" s="4566"/>
      <c r="EZ44" s="4566"/>
      <c r="FA44" s="4566"/>
      <c r="FB44" s="4566"/>
      <c r="FC44" s="4566"/>
      <c r="FD44" s="4566"/>
      <c r="FE44" s="4566"/>
      <c r="FF44" s="4566"/>
      <c r="FG44" s="4566"/>
      <c r="FH44" s="4566"/>
      <c r="FI44" s="4566"/>
      <c r="FJ44" s="4566"/>
      <c r="FK44" s="4566"/>
      <c r="FL44" s="4566"/>
      <c r="FM44" s="4566"/>
      <c r="FN44" s="4566"/>
      <c r="FO44" s="4566"/>
      <c r="FP44" s="4566"/>
      <c r="FQ44" s="4566"/>
      <c r="FR44" s="4566"/>
      <c r="FS44" s="4566"/>
      <c r="FT44" s="4566"/>
      <c r="FU44" s="4566"/>
      <c r="FV44" s="4566"/>
      <c r="FW44" s="4566"/>
      <c r="FX44" s="4566"/>
      <c r="FY44" s="4566"/>
      <c r="FZ44" s="4566"/>
      <c r="GA44" s="4566"/>
      <c r="GB44" s="4566"/>
      <c r="GC44" s="4566"/>
      <c r="GD44" s="4566"/>
      <c r="GE44" s="4566"/>
      <c r="GF44" s="4566"/>
      <c r="GG44" s="4566"/>
      <c r="GH44" s="4566"/>
      <c r="GI44" s="4566"/>
      <c r="GJ44" s="4566"/>
      <c r="GK44" s="4566"/>
      <c r="GL44" s="4566"/>
      <c r="GM44" s="4566"/>
      <c r="GN44" s="4566"/>
      <c r="GO44" s="4566"/>
      <c r="GP44" s="4566"/>
      <c r="GQ44" s="4566"/>
      <c r="GR44" s="4566"/>
      <c r="GS44" s="4566"/>
      <c r="GT44" s="4566"/>
      <c r="GU44" s="4566"/>
      <c r="GV44" s="4566"/>
      <c r="GW44" s="4566"/>
      <c r="GX44" s="4566"/>
      <c r="GY44" s="4566"/>
      <c r="GZ44" s="4566"/>
      <c r="HA44" s="4566"/>
      <c r="HB44" s="4566"/>
      <c r="HC44" s="4566"/>
      <c r="HD44" s="4566"/>
      <c r="HE44" s="4566"/>
      <c r="HF44" s="4566"/>
      <c r="HG44" s="4566"/>
      <c r="HH44" s="4566"/>
      <c r="HI44" s="4566"/>
      <c r="HJ44" s="4566"/>
      <c r="HK44" s="4566"/>
      <c r="HL44" s="4566"/>
      <c r="HM44" s="4566"/>
      <c r="HN44" s="4566"/>
      <c r="HO44" s="4566"/>
      <c r="HP44" s="4566"/>
      <c r="HQ44" s="4566"/>
      <c r="HR44" s="4566"/>
      <c r="HS44" s="4566"/>
      <c r="HT44" s="4566"/>
      <c r="HU44" s="4566"/>
      <c r="HV44" s="4566"/>
      <c r="HW44" s="4566"/>
      <c r="HX44" s="4566"/>
      <c r="HY44" s="4566"/>
      <c r="HZ44" s="4566"/>
      <c r="IA44" s="4566"/>
      <c r="IB44" s="4566"/>
      <c r="IC44" s="4566"/>
      <c r="ID44" s="4566"/>
      <c r="IE44" s="4566"/>
      <c r="IF44" s="4566"/>
      <c r="IG44" s="4566"/>
      <c r="IH44" s="4566"/>
      <c r="II44" s="4566"/>
      <c r="IJ44" s="4566"/>
      <c r="IK44" s="4566"/>
      <c r="IL44" s="4566"/>
      <c r="IM44" s="4566"/>
      <c r="IN44" s="4566"/>
      <c r="IO44" s="4566"/>
      <c r="IP44" s="4566"/>
      <c r="IQ44" s="4566"/>
      <c r="IR44" s="4566"/>
      <c r="IS44" s="4566"/>
      <c r="IT44" s="4566"/>
      <c r="IU44" s="4566"/>
      <c r="IV44" s="4566"/>
    </row>
    <row r="45" spans="1:256" s="1271" customFormat="1" ht="13.5" customHeight="1">
      <c r="A45" s="4581" t="s">
        <v>2782</v>
      </c>
      <c r="B45" s="4545"/>
      <c r="C45" s="4582">
        <v>167151101</v>
      </c>
      <c r="D45" s="4550" t="s">
        <v>2783</v>
      </c>
      <c r="E45" s="4582" t="s">
        <v>146</v>
      </c>
      <c r="F45" s="4557">
        <f>F41</f>
        <v>216.32</v>
      </c>
      <c r="G45" s="217"/>
      <c r="H45" s="4583">
        <f t="shared" ref="H45:H52" si="1">F45*G45</f>
        <v>0</v>
      </c>
      <c r="I45" s="2532" t="s">
        <v>137</v>
      </c>
      <c r="J45" s="1270"/>
      <c r="K45" s="647"/>
    </row>
    <row r="46" spans="1:256" s="1271" customFormat="1" ht="13.5" customHeight="1">
      <c r="A46" s="4581" t="s">
        <v>2784</v>
      </c>
      <c r="B46" s="4545"/>
      <c r="C46" s="4582">
        <v>167151102</v>
      </c>
      <c r="D46" s="4550" t="s">
        <v>2785</v>
      </c>
      <c r="E46" s="4582" t="s">
        <v>146</v>
      </c>
      <c r="F46" s="4557">
        <f>F43</f>
        <v>324.48</v>
      </c>
      <c r="G46" s="217"/>
      <c r="H46" s="4583">
        <f t="shared" si="1"/>
        <v>0</v>
      </c>
      <c r="I46" s="2532" t="s">
        <v>137</v>
      </c>
      <c r="J46" s="1270"/>
      <c r="K46" s="647"/>
    </row>
    <row r="47" spans="1:256" s="1271" customFormat="1" ht="26.25" customHeight="1">
      <c r="A47" s="3985" t="s">
        <v>2786</v>
      </c>
      <c r="B47" s="4545"/>
      <c r="C47" s="4582">
        <v>162751117</v>
      </c>
      <c r="D47" s="4550" t="s">
        <v>2787</v>
      </c>
      <c r="E47" s="4582" t="s">
        <v>146</v>
      </c>
      <c r="F47" s="4557">
        <f>F41</f>
        <v>216.32</v>
      </c>
      <c r="G47" s="5165" t="s">
        <v>3512</v>
      </c>
      <c r="H47" s="5166"/>
      <c r="I47" s="2532" t="s">
        <v>137</v>
      </c>
      <c r="J47" s="1270"/>
      <c r="K47" s="647"/>
    </row>
    <row r="48" spans="1:256" s="1271" customFormat="1" ht="26.25" customHeight="1">
      <c r="A48" s="3985" t="s">
        <v>2788</v>
      </c>
      <c r="B48" s="4545"/>
      <c r="C48" s="4582">
        <v>162751137</v>
      </c>
      <c r="D48" s="4550" t="s">
        <v>6319</v>
      </c>
      <c r="E48" s="4582" t="s">
        <v>146</v>
      </c>
      <c r="F48" s="4557">
        <f>F43</f>
        <v>324.48</v>
      </c>
      <c r="G48" s="5165" t="s">
        <v>3512</v>
      </c>
      <c r="H48" s="5166"/>
      <c r="I48" s="2532" t="s">
        <v>137</v>
      </c>
      <c r="J48" s="1270"/>
      <c r="K48" s="647"/>
    </row>
    <row r="49" spans="1:256" s="1271" customFormat="1" ht="26.25" customHeight="1">
      <c r="A49" s="3985" t="s">
        <v>6315</v>
      </c>
      <c r="B49" s="3986"/>
      <c r="C49" s="3290" t="s">
        <v>6324</v>
      </c>
      <c r="D49" s="3986" t="s">
        <v>6317</v>
      </c>
      <c r="E49" s="3986" t="s">
        <v>146</v>
      </c>
      <c r="F49" s="3987">
        <f>F41</f>
        <v>216.32</v>
      </c>
      <c r="G49" s="468"/>
      <c r="H49" s="3988">
        <f t="shared" ref="H49:H50" si="2">F49*G49</f>
        <v>0</v>
      </c>
      <c r="I49" s="3759" t="s">
        <v>112</v>
      </c>
      <c r="J49" s="1270"/>
      <c r="K49" s="647"/>
    </row>
    <row r="50" spans="1:256" s="1271" customFormat="1" ht="26.25" customHeight="1">
      <c r="A50" s="3985" t="s">
        <v>6316</v>
      </c>
      <c r="B50" s="3986"/>
      <c r="C50" s="3290" t="s">
        <v>6325</v>
      </c>
      <c r="D50" s="3986" t="s">
        <v>6318</v>
      </c>
      <c r="E50" s="3986" t="s">
        <v>146</v>
      </c>
      <c r="F50" s="3987">
        <f>F43</f>
        <v>324.48</v>
      </c>
      <c r="G50" s="468"/>
      <c r="H50" s="3988">
        <f t="shared" si="2"/>
        <v>0</v>
      </c>
      <c r="I50" s="3759" t="s">
        <v>112</v>
      </c>
      <c r="J50" s="1270"/>
      <c r="K50" s="647"/>
    </row>
    <row r="51" spans="1:256" s="1271" customFormat="1" ht="27" customHeight="1">
      <c r="A51" s="4581" t="s">
        <v>2789</v>
      </c>
      <c r="B51" s="4545"/>
      <c r="C51" s="3285">
        <v>171251101</v>
      </c>
      <c r="D51" s="4584" t="s">
        <v>192</v>
      </c>
      <c r="E51" s="4582" t="s">
        <v>146</v>
      </c>
      <c r="F51" s="4557">
        <f>F39</f>
        <v>540.79999999999995</v>
      </c>
      <c r="G51" s="217"/>
      <c r="H51" s="4583">
        <f t="shared" si="1"/>
        <v>0</v>
      </c>
      <c r="I51" s="2532" t="s">
        <v>137</v>
      </c>
      <c r="J51" s="1270"/>
      <c r="K51" s="647"/>
    </row>
    <row r="52" spans="1:256" s="1271" customFormat="1" ht="27" customHeight="1">
      <c r="A52" s="4585" t="s">
        <v>2790</v>
      </c>
      <c r="B52" s="4586"/>
      <c r="C52" s="4587" t="s">
        <v>6313</v>
      </c>
      <c r="D52" s="3298" t="s">
        <v>6314</v>
      </c>
      <c r="E52" s="4588" t="s">
        <v>175</v>
      </c>
      <c r="F52" s="4557">
        <f>F39*2</f>
        <v>1081.5999999999999</v>
      </c>
      <c r="G52" s="218"/>
      <c r="H52" s="3459">
        <f t="shared" si="1"/>
        <v>0</v>
      </c>
      <c r="I52" s="2532" t="s">
        <v>6312</v>
      </c>
      <c r="J52" s="1274"/>
      <c r="K52" s="647"/>
    </row>
    <row r="53" spans="1:256" s="647" customFormat="1" ht="13.5" customHeight="1">
      <c r="A53" s="3295"/>
      <c r="B53" s="3296"/>
      <c r="C53" s="3297"/>
      <c r="D53" s="3298" t="s">
        <v>193</v>
      </c>
      <c r="E53" s="3299"/>
      <c r="F53" s="3300"/>
      <c r="G53" s="3216"/>
      <c r="H53" s="3301"/>
      <c r="I53" s="3302"/>
      <c r="J53" s="815"/>
      <c r="L53" s="612"/>
      <c r="M53" s="612"/>
      <c r="N53" s="612"/>
      <c r="O53" s="612"/>
      <c r="P53" s="612"/>
      <c r="Q53" s="612"/>
      <c r="R53" s="612"/>
      <c r="S53" s="788"/>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6"/>
      <c r="CD53" s="816"/>
      <c r="CE53" s="816"/>
      <c r="CF53" s="816"/>
      <c r="CG53" s="816"/>
      <c r="CH53" s="816"/>
      <c r="CI53" s="816"/>
      <c r="CJ53" s="816"/>
      <c r="CK53" s="816"/>
      <c r="CL53" s="816"/>
      <c r="CM53" s="816"/>
      <c r="CN53" s="816"/>
      <c r="CO53" s="816"/>
      <c r="CP53" s="816"/>
      <c r="CQ53" s="816"/>
      <c r="CR53" s="816"/>
      <c r="CS53" s="816"/>
      <c r="CT53" s="816"/>
      <c r="CU53" s="816"/>
      <c r="CV53" s="816"/>
      <c r="CW53" s="816"/>
      <c r="CX53" s="816"/>
      <c r="CY53" s="816"/>
      <c r="CZ53" s="816"/>
      <c r="DA53" s="816"/>
      <c r="DB53" s="816"/>
      <c r="DC53" s="816"/>
      <c r="DD53" s="816"/>
      <c r="DE53" s="816"/>
      <c r="DF53" s="816"/>
      <c r="DG53" s="816"/>
      <c r="DH53" s="816"/>
      <c r="DI53" s="816"/>
      <c r="DJ53" s="816"/>
      <c r="DK53" s="816"/>
      <c r="DL53" s="816"/>
      <c r="DM53" s="816"/>
      <c r="DN53" s="816"/>
      <c r="DO53" s="816"/>
      <c r="DP53" s="816"/>
      <c r="DQ53" s="816"/>
      <c r="DR53" s="816"/>
      <c r="DS53" s="816"/>
      <c r="DT53" s="816"/>
      <c r="DU53" s="816"/>
      <c r="DV53" s="816"/>
      <c r="DW53" s="816"/>
      <c r="DX53" s="816"/>
      <c r="DY53" s="816"/>
      <c r="DZ53" s="816"/>
      <c r="EA53" s="816"/>
      <c r="EB53" s="816"/>
      <c r="EC53" s="816"/>
      <c r="ED53" s="816"/>
      <c r="EE53" s="816"/>
      <c r="EF53" s="816"/>
      <c r="EG53" s="816"/>
      <c r="EH53" s="816"/>
      <c r="EI53" s="816"/>
      <c r="EJ53" s="816"/>
      <c r="EK53" s="816"/>
      <c r="EL53" s="816"/>
      <c r="EM53" s="816"/>
      <c r="EN53" s="816"/>
      <c r="EO53" s="816"/>
      <c r="EP53" s="816"/>
      <c r="EQ53" s="816"/>
      <c r="ER53" s="816"/>
      <c r="ES53" s="816"/>
      <c r="ET53" s="816"/>
      <c r="EU53" s="816"/>
      <c r="EV53" s="816"/>
      <c r="EW53" s="816"/>
      <c r="EX53" s="816"/>
      <c r="EY53" s="816"/>
      <c r="EZ53" s="816"/>
      <c r="FA53" s="816"/>
      <c r="FB53" s="816"/>
      <c r="FC53" s="816"/>
      <c r="FD53" s="816"/>
      <c r="FE53" s="816"/>
      <c r="FF53" s="816"/>
      <c r="FG53" s="816"/>
      <c r="FH53" s="816"/>
      <c r="FI53" s="816"/>
      <c r="FJ53" s="816"/>
      <c r="FK53" s="816"/>
      <c r="FL53" s="816"/>
      <c r="FM53" s="816"/>
      <c r="FN53" s="816"/>
      <c r="FO53" s="816"/>
      <c r="FP53" s="816"/>
      <c r="FQ53" s="816"/>
      <c r="FR53" s="816"/>
      <c r="FS53" s="816"/>
      <c r="FT53" s="816"/>
      <c r="FU53" s="816"/>
      <c r="FV53" s="816"/>
      <c r="FW53" s="816"/>
      <c r="FX53" s="816"/>
      <c r="FY53" s="816"/>
      <c r="FZ53" s="816"/>
      <c r="GA53" s="816"/>
      <c r="GB53" s="816"/>
      <c r="GC53" s="816"/>
      <c r="GD53" s="816"/>
      <c r="GE53" s="816"/>
      <c r="GF53" s="816"/>
      <c r="GG53" s="816"/>
      <c r="GH53" s="816"/>
      <c r="GI53" s="816"/>
      <c r="GJ53" s="816"/>
      <c r="GK53" s="816"/>
      <c r="GL53" s="816"/>
      <c r="GM53" s="816"/>
      <c r="GN53" s="816"/>
      <c r="GO53" s="816"/>
      <c r="GP53" s="816"/>
      <c r="GQ53" s="816"/>
      <c r="GR53" s="816"/>
      <c r="GS53" s="816"/>
      <c r="GT53" s="816"/>
      <c r="GU53" s="816"/>
      <c r="GV53" s="816"/>
      <c r="GW53" s="816"/>
      <c r="GX53" s="816"/>
      <c r="GY53" s="816"/>
      <c r="GZ53" s="816"/>
      <c r="HA53" s="816"/>
      <c r="HB53" s="816"/>
      <c r="HC53" s="816"/>
      <c r="HD53" s="816"/>
      <c r="HE53" s="816"/>
      <c r="HF53" s="816"/>
      <c r="HG53" s="816"/>
      <c r="HH53" s="816"/>
      <c r="HI53" s="816"/>
      <c r="HJ53" s="816"/>
      <c r="HK53" s="816"/>
      <c r="HL53" s="816"/>
      <c r="HM53" s="816"/>
      <c r="HN53" s="816"/>
      <c r="HO53" s="816"/>
      <c r="HP53" s="816"/>
      <c r="HQ53" s="816"/>
      <c r="HR53" s="816"/>
      <c r="HS53" s="816"/>
      <c r="HT53" s="816"/>
      <c r="HU53" s="816"/>
      <c r="HV53" s="816"/>
      <c r="HW53" s="816"/>
      <c r="HX53" s="816"/>
      <c r="HY53" s="816"/>
      <c r="HZ53" s="816"/>
      <c r="IA53" s="816"/>
      <c r="IB53" s="816"/>
      <c r="IC53" s="816"/>
      <c r="ID53" s="816"/>
      <c r="IE53" s="816"/>
      <c r="IF53" s="816"/>
      <c r="IG53" s="816"/>
      <c r="IH53" s="816"/>
      <c r="II53" s="816"/>
      <c r="IJ53" s="816"/>
      <c r="IK53" s="816"/>
      <c r="IL53" s="816"/>
      <c r="IM53" s="816"/>
      <c r="IN53" s="816"/>
      <c r="IO53" s="816"/>
      <c r="IP53" s="816"/>
      <c r="IQ53" s="816"/>
      <c r="IR53" s="816"/>
      <c r="IS53" s="816"/>
      <c r="IT53" s="816"/>
      <c r="IU53" s="816"/>
      <c r="IV53" s="816"/>
    </row>
    <row r="54" spans="1:256" s="1271" customFormat="1" ht="81" customHeight="1">
      <c r="A54" s="4544"/>
      <c r="B54" s="4569"/>
      <c r="C54" s="4570"/>
      <c r="D54" s="2314" t="s">
        <v>2404</v>
      </c>
      <c r="E54" s="4589"/>
      <c r="F54" s="4557"/>
      <c r="G54" s="214"/>
      <c r="H54" s="4547"/>
      <c r="I54" s="4571"/>
      <c r="J54" s="1270"/>
      <c r="K54" s="647"/>
    </row>
    <row r="55" spans="1:256" s="888" customFormat="1" ht="13.5" customHeight="1">
      <c r="A55" s="3501"/>
      <c r="B55" s="3502"/>
      <c r="C55" s="3502">
        <v>3</v>
      </c>
      <c r="D55" s="3502" t="s">
        <v>249</v>
      </c>
      <c r="E55" s="3502"/>
      <c r="F55" s="3743"/>
      <c r="G55" s="2560"/>
      <c r="H55" s="3634">
        <f>SUM(H56:H103)</f>
        <v>0</v>
      </c>
      <c r="I55" s="3943"/>
      <c r="J55" s="3919"/>
    </row>
    <row r="56" spans="1:256" s="888" customFormat="1" ht="22.5">
      <c r="A56" s="4142">
        <v>15</v>
      </c>
      <c r="B56" s="3539" t="s">
        <v>2791</v>
      </c>
      <c r="C56" s="3507" t="s">
        <v>2792</v>
      </c>
      <c r="D56" s="3507" t="s">
        <v>2793</v>
      </c>
      <c r="E56" s="3507" t="s">
        <v>205</v>
      </c>
      <c r="F56" s="4590">
        <f>SUM(F58:F58)</f>
        <v>1</v>
      </c>
      <c r="G56" s="2558"/>
      <c r="H56" s="3509">
        <f>F56*G56</f>
        <v>0</v>
      </c>
      <c r="I56" s="3510" t="s">
        <v>111</v>
      </c>
      <c r="J56" s="2636"/>
      <c r="K56" s="3789"/>
    </row>
    <row r="57" spans="1:256" s="888" customFormat="1" ht="28.5" customHeight="1">
      <c r="A57" s="3657"/>
      <c r="B57" s="3594"/>
      <c r="C57" s="3594"/>
      <c r="D57" s="3514" t="s">
        <v>2794</v>
      </c>
      <c r="E57" s="3594"/>
      <c r="F57" s="3641"/>
      <c r="G57" s="2558"/>
      <c r="H57" s="3509"/>
      <c r="I57" s="3506"/>
    </row>
    <row r="58" spans="1:256" s="3209" customFormat="1" ht="13.5" customHeight="1">
      <c r="A58" s="3657"/>
      <c r="B58" s="3514"/>
      <c r="C58" s="3514"/>
      <c r="D58" s="3514" t="s">
        <v>2795</v>
      </c>
      <c r="E58" s="3514"/>
      <c r="F58" s="3641">
        <v>1</v>
      </c>
      <c r="G58" s="2558"/>
      <c r="H58" s="3509"/>
      <c r="I58" s="3567"/>
    </row>
    <row r="59" spans="1:256" s="883" customFormat="1" ht="40.5" customHeight="1">
      <c r="A59" s="2823"/>
      <c r="B59" s="2825"/>
      <c r="C59" s="2825"/>
      <c r="D59" s="4591" t="s">
        <v>6307</v>
      </c>
      <c r="E59" s="2825"/>
      <c r="F59" s="2826"/>
      <c r="G59" s="294"/>
      <c r="H59" s="2827"/>
      <c r="I59" s="4592"/>
      <c r="J59" s="4051"/>
      <c r="K59" s="4052"/>
      <c r="L59" s="5162"/>
      <c r="M59" s="5162"/>
      <c r="N59" s="5162"/>
      <c r="O59" s="5162"/>
    </row>
    <row r="60" spans="1:256" s="883" customFormat="1" ht="27" customHeight="1">
      <c r="A60" s="2823"/>
      <c r="B60" s="2824"/>
      <c r="C60" s="2825"/>
      <c r="D60" s="4591" t="s">
        <v>6308</v>
      </c>
      <c r="E60" s="2825"/>
      <c r="F60" s="2826"/>
      <c r="G60" s="294"/>
      <c r="H60" s="2822"/>
      <c r="I60" s="2827"/>
      <c r="J60" s="4593"/>
      <c r="K60" s="4594"/>
      <c r="L60" s="4595"/>
    </row>
    <row r="61" spans="1:256" s="888" customFormat="1" ht="13.5" customHeight="1">
      <c r="A61" s="3657"/>
      <c r="B61" s="3594"/>
      <c r="C61" s="3594"/>
      <c r="D61" s="3761" t="s">
        <v>6309</v>
      </c>
      <c r="E61" s="3594"/>
      <c r="F61" s="3641"/>
      <c r="G61" s="2558"/>
      <c r="H61" s="3509"/>
      <c r="I61" s="3506"/>
    </row>
    <row r="62" spans="1:256" s="888" customFormat="1" ht="22.5">
      <c r="A62" s="4142">
        <v>16</v>
      </c>
      <c r="B62" s="3539" t="s">
        <v>2791</v>
      </c>
      <c r="C62" s="3507" t="s">
        <v>2796</v>
      </c>
      <c r="D62" s="3507" t="s">
        <v>2797</v>
      </c>
      <c r="E62" s="3507" t="s">
        <v>205</v>
      </c>
      <c r="F62" s="4590">
        <f>SUM(F64:F64)</f>
        <v>1</v>
      </c>
      <c r="G62" s="2558"/>
      <c r="H62" s="3509">
        <f>F62*G62</f>
        <v>0</v>
      </c>
      <c r="I62" s="3510" t="s">
        <v>111</v>
      </c>
      <c r="K62" s="3789"/>
    </row>
    <row r="63" spans="1:256" s="888" customFormat="1" ht="28.5" customHeight="1">
      <c r="A63" s="3657"/>
      <c r="B63" s="3594"/>
      <c r="C63" s="3594"/>
      <c r="D63" s="3514" t="s">
        <v>2794</v>
      </c>
      <c r="E63" s="3594"/>
      <c r="F63" s="3641"/>
      <c r="G63" s="2558"/>
      <c r="H63" s="3509"/>
      <c r="I63" s="3506"/>
    </row>
    <row r="64" spans="1:256" s="3209" customFormat="1" ht="13.5" customHeight="1">
      <c r="A64" s="3657"/>
      <c r="B64" s="3514"/>
      <c r="C64" s="3514"/>
      <c r="D64" s="3514" t="s">
        <v>2795</v>
      </c>
      <c r="E64" s="3514"/>
      <c r="F64" s="3641">
        <v>1</v>
      </c>
      <c r="G64" s="2558"/>
      <c r="H64" s="3509"/>
      <c r="I64" s="3567"/>
    </row>
    <row r="65" spans="1:15" s="883" customFormat="1" ht="40.5" customHeight="1">
      <c r="A65" s="2823"/>
      <c r="B65" s="2825"/>
      <c r="C65" s="2825"/>
      <c r="D65" s="4591" t="s">
        <v>6307</v>
      </c>
      <c r="E65" s="2825"/>
      <c r="F65" s="2826"/>
      <c r="G65" s="294"/>
      <c r="H65" s="2827"/>
      <c r="I65" s="4592"/>
      <c r="J65" s="4051"/>
      <c r="K65" s="4052"/>
      <c r="L65" s="5162"/>
      <c r="M65" s="5162"/>
      <c r="N65" s="5162"/>
      <c r="O65" s="5162"/>
    </row>
    <row r="66" spans="1:15" s="883" customFormat="1" ht="27" customHeight="1">
      <c r="A66" s="2823"/>
      <c r="B66" s="2824"/>
      <c r="C66" s="2825"/>
      <c r="D66" s="4591" t="s">
        <v>6308</v>
      </c>
      <c r="E66" s="2825"/>
      <c r="F66" s="2826"/>
      <c r="G66" s="294"/>
      <c r="H66" s="2822"/>
      <c r="I66" s="2827"/>
      <c r="J66" s="4593"/>
      <c r="K66" s="4594"/>
      <c r="L66" s="4595"/>
    </row>
    <row r="67" spans="1:15" s="888" customFormat="1" ht="13.5" customHeight="1">
      <c r="A67" s="3657"/>
      <c r="B67" s="3594"/>
      <c r="C67" s="3594"/>
      <c r="D67" s="3761" t="s">
        <v>6309</v>
      </c>
      <c r="E67" s="3594"/>
      <c r="F67" s="3641"/>
      <c r="G67" s="2558"/>
      <c r="H67" s="3509"/>
      <c r="I67" s="3506"/>
    </row>
    <row r="68" spans="1:15" s="888" customFormat="1" ht="22.5">
      <c r="A68" s="4142">
        <v>17</v>
      </c>
      <c r="B68" s="3539" t="s">
        <v>2791</v>
      </c>
      <c r="C68" s="3507" t="s">
        <v>2798</v>
      </c>
      <c r="D68" s="3507" t="s">
        <v>2799</v>
      </c>
      <c r="E68" s="3507" t="s">
        <v>205</v>
      </c>
      <c r="F68" s="4590">
        <f>SUM(F70:F73)</f>
        <v>1</v>
      </c>
      <c r="G68" s="2558"/>
      <c r="H68" s="3509">
        <f>F68*G68</f>
        <v>0</v>
      </c>
      <c r="I68" s="3510" t="s">
        <v>111</v>
      </c>
      <c r="K68" s="3789"/>
    </row>
    <row r="69" spans="1:15" s="888" customFormat="1" ht="28.5" customHeight="1">
      <c r="A69" s="3657"/>
      <c r="B69" s="3594"/>
      <c r="C69" s="3594"/>
      <c r="D69" s="3514" t="s">
        <v>2794</v>
      </c>
      <c r="E69" s="3594"/>
      <c r="F69" s="3641"/>
      <c r="G69" s="2558"/>
      <c r="H69" s="3509"/>
      <c r="I69" s="3506"/>
    </row>
    <row r="70" spans="1:15" s="3209" customFormat="1" ht="13.5" customHeight="1">
      <c r="A70" s="3657"/>
      <c r="B70" s="3514"/>
      <c r="C70" s="3514"/>
      <c r="D70" s="3514" t="s">
        <v>2795</v>
      </c>
      <c r="E70" s="3514"/>
      <c r="F70" s="3641">
        <v>1</v>
      </c>
      <c r="G70" s="2558"/>
      <c r="H70" s="3509"/>
      <c r="I70" s="3567"/>
    </row>
    <row r="71" spans="1:15" s="883" customFormat="1" ht="40.5" customHeight="1">
      <c r="A71" s="2823"/>
      <c r="B71" s="2825"/>
      <c r="C71" s="2825"/>
      <c r="D71" s="4591" t="s">
        <v>6307</v>
      </c>
      <c r="E71" s="2825"/>
      <c r="F71" s="2826"/>
      <c r="G71" s="294"/>
      <c r="H71" s="2827"/>
      <c r="I71" s="4592"/>
      <c r="J71" s="4051"/>
      <c r="K71" s="4052"/>
      <c r="L71" s="5162"/>
      <c r="M71" s="5162"/>
      <c r="N71" s="5162"/>
      <c r="O71" s="5162"/>
    </row>
    <row r="72" spans="1:15" s="883" customFormat="1" ht="27" customHeight="1">
      <c r="A72" s="2823"/>
      <c r="B72" s="2824"/>
      <c r="C72" s="2825"/>
      <c r="D72" s="4591" t="s">
        <v>6308</v>
      </c>
      <c r="E72" s="2825"/>
      <c r="F72" s="2826"/>
      <c r="G72" s="294"/>
      <c r="H72" s="2822"/>
      <c r="I72" s="2827"/>
      <c r="J72" s="4593"/>
      <c r="K72" s="4594"/>
      <c r="L72" s="4595"/>
    </row>
    <row r="73" spans="1:15" s="888" customFormat="1" ht="13.5" customHeight="1">
      <c r="A73" s="3657"/>
      <c r="B73" s="3594"/>
      <c r="C73" s="3594"/>
      <c r="D73" s="3761" t="s">
        <v>6309</v>
      </c>
      <c r="E73" s="3594"/>
      <c r="F73" s="3641"/>
      <c r="G73" s="2558"/>
      <c r="H73" s="3509"/>
      <c r="I73" s="3506"/>
    </row>
    <row r="74" spans="1:15" s="888" customFormat="1" ht="22.5">
      <c r="A74" s="4142">
        <v>18</v>
      </c>
      <c r="B74" s="3539" t="s">
        <v>2791</v>
      </c>
      <c r="C74" s="3507" t="s">
        <v>2800</v>
      </c>
      <c r="D74" s="3507" t="s">
        <v>2801</v>
      </c>
      <c r="E74" s="3507" t="s">
        <v>205</v>
      </c>
      <c r="F74" s="4590">
        <f>SUM(F76)</f>
        <v>1</v>
      </c>
      <c r="G74" s="2558"/>
      <c r="H74" s="3509">
        <f>F74*G74</f>
        <v>0</v>
      </c>
      <c r="I74" s="3510" t="s">
        <v>111</v>
      </c>
    </row>
    <row r="75" spans="1:15" s="888" customFormat="1" ht="28.5" customHeight="1">
      <c r="A75" s="3657"/>
      <c r="B75" s="3594"/>
      <c r="C75" s="3594"/>
      <c r="D75" s="3514" t="s">
        <v>2794</v>
      </c>
      <c r="E75" s="3594"/>
      <c r="F75" s="3641"/>
      <c r="G75" s="2558"/>
      <c r="H75" s="3509"/>
      <c r="I75" s="4596"/>
    </row>
    <row r="76" spans="1:15" s="3209" customFormat="1" ht="13.5" customHeight="1">
      <c r="A76" s="3657"/>
      <c r="B76" s="3514"/>
      <c r="C76" s="3514"/>
      <c r="D76" s="3514" t="s">
        <v>2802</v>
      </c>
      <c r="E76" s="3514"/>
      <c r="F76" s="3641">
        <v>1</v>
      </c>
      <c r="G76" s="2558"/>
      <c r="H76" s="3509"/>
      <c r="I76" s="4596"/>
    </row>
    <row r="77" spans="1:15" s="883" customFormat="1" ht="40.5" customHeight="1">
      <c r="A77" s="2823"/>
      <c r="B77" s="2825"/>
      <c r="C77" s="2825"/>
      <c r="D77" s="4591" t="s">
        <v>6307</v>
      </c>
      <c r="E77" s="2825"/>
      <c r="F77" s="2826"/>
      <c r="G77" s="294"/>
      <c r="H77" s="2827"/>
      <c r="I77" s="4592"/>
      <c r="J77" s="4051"/>
      <c r="K77" s="4052"/>
      <c r="L77" s="5162"/>
      <c r="M77" s="5162"/>
      <c r="N77" s="5162"/>
      <c r="O77" s="5162"/>
    </row>
    <row r="78" spans="1:15" s="883" customFormat="1" ht="27" customHeight="1">
      <c r="A78" s="2823"/>
      <c r="B78" s="2824"/>
      <c r="C78" s="2825"/>
      <c r="D78" s="4591" t="s">
        <v>6308</v>
      </c>
      <c r="E78" s="2825"/>
      <c r="F78" s="2826"/>
      <c r="G78" s="294"/>
      <c r="H78" s="2822"/>
      <c r="I78" s="2827"/>
      <c r="J78" s="4593"/>
      <c r="K78" s="4594"/>
      <c r="L78" s="4595"/>
    </row>
    <row r="79" spans="1:15" s="888" customFormat="1" ht="13.5" customHeight="1">
      <c r="A79" s="3657"/>
      <c r="B79" s="3594"/>
      <c r="C79" s="3594"/>
      <c r="D79" s="3761" t="s">
        <v>6309</v>
      </c>
      <c r="E79" s="3594"/>
      <c r="F79" s="3641"/>
      <c r="G79" s="2558"/>
      <c r="H79" s="3509"/>
      <c r="I79" s="3506"/>
    </row>
    <row r="80" spans="1:15" s="888" customFormat="1" ht="22.5">
      <c r="A80" s="4142">
        <v>19</v>
      </c>
      <c r="B80" s="3539" t="s">
        <v>2791</v>
      </c>
      <c r="C80" s="3507" t="s">
        <v>2803</v>
      </c>
      <c r="D80" s="3507" t="s">
        <v>2804</v>
      </c>
      <c r="E80" s="3507" t="s">
        <v>205</v>
      </c>
      <c r="F80" s="4590">
        <f>SUM(F82)</f>
        <v>1</v>
      </c>
      <c r="G80" s="2558"/>
      <c r="H80" s="3509">
        <f>F80*G80</f>
        <v>0</v>
      </c>
      <c r="I80" s="3510" t="s">
        <v>111</v>
      </c>
    </row>
    <row r="81" spans="1:15" s="888" customFormat="1" ht="28.5" customHeight="1">
      <c r="A81" s="3657"/>
      <c r="B81" s="3594"/>
      <c r="C81" s="3594"/>
      <c r="D81" s="3514" t="s">
        <v>2794</v>
      </c>
      <c r="E81" s="3594"/>
      <c r="F81" s="3641"/>
      <c r="G81" s="2558"/>
      <c r="H81" s="3509"/>
      <c r="I81" s="4596"/>
    </row>
    <row r="82" spans="1:15" s="3209" customFormat="1" ht="13.5" customHeight="1">
      <c r="A82" s="3657"/>
      <c r="B82" s="3514"/>
      <c r="C82" s="3514"/>
      <c r="D82" s="3514" t="s">
        <v>2802</v>
      </c>
      <c r="E82" s="3514"/>
      <c r="F82" s="3641">
        <v>1</v>
      </c>
      <c r="G82" s="2558"/>
      <c r="H82" s="3509"/>
      <c r="I82" s="4596"/>
    </row>
    <row r="83" spans="1:15" s="883" customFormat="1" ht="40.5" customHeight="1">
      <c r="A83" s="2823"/>
      <c r="B83" s="2825"/>
      <c r="C83" s="2825"/>
      <c r="D83" s="4591" t="s">
        <v>6307</v>
      </c>
      <c r="E83" s="2825"/>
      <c r="F83" s="2826"/>
      <c r="G83" s="294"/>
      <c r="H83" s="2827"/>
      <c r="I83" s="4592"/>
      <c r="J83" s="4051"/>
      <c r="K83" s="4052"/>
      <c r="L83" s="5162"/>
      <c r="M83" s="5162"/>
      <c r="N83" s="5162"/>
      <c r="O83" s="5162"/>
    </row>
    <row r="84" spans="1:15" s="883" customFormat="1" ht="27" customHeight="1">
      <c r="A84" s="2823"/>
      <c r="B84" s="2824"/>
      <c r="C84" s="2825"/>
      <c r="D84" s="4591" t="s">
        <v>6308</v>
      </c>
      <c r="E84" s="2825"/>
      <c r="F84" s="2826"/>
      <c r="G84" s="294"/>
      <c r="H84" s="2822"/>
      <c r="I84" s="2827"/>
      <c r="J84" s="4593"/>
      <c r="K84" s="4594"/>
      <c r="L84" s="4595"/>
    </row>
    <row r="85" spans="1:15" s="888" customFormat="1" ht="13.5" customHeight="1">
      <c r="A85" s="3657"/>
      <c r="B85" s="3594"/>
      <c r="C85" s="3594"/>
      <c r="D85" s="3761" t="s">
        <v>6309</v>
      </c>
      <c r="E85" s="3594"/>
      <c r="F85" s="3641"/>
      <c r="G85" s="2558"/>
      <c r="H85" s="3509"/>
      <c r="I85" s="3506"/>
    </row>
    <row r="86" spans="1:15" s="888" customFormat="1" ht="22.5">
      <c r="A86" s="4142">
        <v>20</v>
      </c>
      <c r="B86" s="3539" t="s">
        <v>2791</v>
      </c>
      <c r="C86" s="3507" t="s">
        <v>2805</v>
      </c>
      <c r="D86" s="3507" t="s">
        <v>2806</v>
      </c>
      <c r="E86" s="3507" t="s">
        <v>205</v>
      </c>
      <c r="F86" s="4590">
        <f>SUM(F88)</f>
        <v>1</v>
      </c>
      <c r="G86" s="2558"/>
      <c r="H86" s="3509">
        <f>F86*G86</f>
        <v>0</v>
      </c>
      <c r="I86" s="3510" t="s">
        <v>111</v>
      </c>
    </row>
    <row r="87" spans="1:15" s="888" customFormat="1" ht="28.5" customHeight="1">
      <c r="A87" s="3657"/>
      <c r="B87" s="3594"/>
      <c r="C87" s="3594"/>
      <c r="D87" s="3514" t="s">
        <v>2794</v>
      </c>
      <c r="E87" s="3594"/>
      <c r="F87" s="3641"/>
      <c r="G87" s="2558"/>
      <c r="H87" s="3509"/>
      <c r="I87" s="3506"/>
    </row>
    <row r="88" spans="1:15" s="3209" customFormat="1" ht="13.5" customHeight="1">
      <c r="A88" s="3657"/>
      <c r="B88" s="3514"/>
      <c r="C88" s="3514"/>
      <c r="D88" s="3514" t="s">
        <v>2802</v>
      </c>
      <c r="E88" s="3514"/>
      <c r="F88" s="3641">
        <v>1</v>
      </c>
      <c r="G88" s="2558"/>
      <c r="H88" s="3509"/>
      <c r="I88" s="3567"/>
    </row>
    <row r="89" spans="1:15" s="883" customFormat="1" ht="40.5" customHeight="1">
      <c r="A89" s="2823"/>
      <c r="B89" s="2825"/>
      <c r="C89" s="2825"/>
      <c r="D89" s="4591" t="s">
        <v>6307</v>
      </c>
      <c r="E89" s="2825"/>
      <c r="F89" s="2826"/>
      <c r="G89" s="294"/>
      <c r="H89" s="2827"/>
      <c r="I89" s="4592"/>
      <c r="J89" s="4051"/>
      <c r="K89" s="4052"/>
      <c r="L89" s="5162"/>
      <c r="M89" s="5162"/>
      <c r="N89" s="5162"/>
      <c r="O89" s="5162"/>
    </row>
    <row r="90" spans="1:15" s="883" customFormat="1" ht="27" customHeight="1">
      <c r="A90" s="2823"/>
      <c r="B90" s="2824"/>
      <c r="C90" s="2825"/>
      <c r="D90" s="4591" t="s">
        <v>6308</v>
      </c>
      <c r="E90" s="2825"/>
      <c r="F90" s="2826"/>
      <c r="G90" s="294"/>
      <c r="H90" s="2822"/>
      <c r="I90" s="2827"/>
      <c r="J90" s="4593"/>
      <c r="K90" s="4594"/>
      <c r="L90" s="4595"/>
    </row>
    <row r="91" spans="1:15" s="888" customFormat="1" ht="13.5" customHeight="1">
      <c r="A91" s="3657"/>
      <c r="B91" s="3594"/>
      <c r="C91" s="3594"/>
      <c r="D91" s="3761" t="s">
        <v>6309</v>
      </c>
      <c r="E91" s="3594"/>
      <c r="F91" s="3641"/>
      <c r="G91" s="2558"/>
      <c r="H91" s="3509"/>
      <c r="I91" s="3506"/>
    </row>
    <row r="92" spans="1:15" s="888" customFormat="1" ht="27" customHeight="1">
      <c r="A92" s="4142">
        <v>21</v>
      </c>
      <c r="B92" s="3539" t="s">
        <v>2791</v>
      </c>
      <c r="C92" s="3507" t="s">
        <v>2807</v>
      </c>
      <c r="D92" s="3507" t="s">
        <v>2808</v>
      </c>
      <c r="E92" s="3507" t="s">
        <v>205</v>
      </c>
      <c r="F92" s="4590">
        <f>SUM(F94)</f>
        <v>1</v>
      </c>
      <c r="G92" s="2558"/>
      <c r="H92" s="3509">
        <f>F92*G92</f>
        <v>0</v>
      </c>
      <c r="I92" s="3510" t="s">
        <v>111</v>
      </c>
    </row>
    <row r="93" spans="1:15" s="888" customFormat="1" ht="28.5" customHeight="1">
      <c r="A93" s="3657"/>
      <c r="B93" s="3594"/>
      <c r="C93" s="3594"/>
      <c r="D93" s="3514" t="s">
        <v>2794</v>
      </c>
      <c r="E93" s="3594"/>
      <c r="F93" s="3641"/>
      <c r="G93" s="2558"/>
      <c r="H93" s="3509"/>
      <c r="I93" s="3506"/>
    </row>
    <row r="94" spans="1:15" s="3209" customFormat="1" ht="13.5" customHeight="1">
      <c r="A94" s="3657"/>
      <c r="B94" s="3514"/>
      <c r="C94" s="3514"/>
      <c r="D94" s="3514" t="s">
        <v>2802</v>
      </c>
      <c r="E94" s="3514"/>
      <c r="F94" s="3641">
        <v>1</v>
      </c>
      <c r="G94" s="2558"/>
      <c r="H94" s="3509"/>
      <c r="I94" s="3567"/>
    </row>
    <row r="95" spans="1:15" s="883" customFormat="1" ht="40.5" customHeight="1">
      <c r="A95" s="2823"/>
      <c r="B95" s="2825"/>
      <c r="C95" s="2825"/>
      <c r="D95" s="4591" t="s">
        <v>6307</v>
      </c>
      <c r="E95" s="2825"/>
      <c r="F95" s="2826"/>
      <c r="G95" s="294"/>
      <c r="H95" s="2827"/>
      <c r="I95" s="4592"/>
      <c r="J95" s="4051"/>
      <c r="K95" s="4052"/>
      <c r="L95" s="5162"/>
      <c r="M95" s="5162"/>
      <c r="N95" s="5162"/>
      <c r="O95" s="5162"/>
    </row>
    <row r="96" spans="1:15" s="883" customFormat="1" ht="27" customHeight="1">
      <c r="A96" s="2823"/>
      <c r="B96" s="2824"/>
      <c r="C96" s="2825"/>
      <c r="D96" s="4591" t="s">
        <v>6308</v>
      </c>
      <c r="E96" s="2825"/>
      <c r="F96" s="2826"/>
      <c r="G96" s="294"/>
      <c r="H96" s="2822"/>
      <c r="I96" s="2827"/>
      <c r="J96" s="4593"/>
      <c r="K96" s="4594"/>
      <c r="L96" s="4595"/>
    </row>
    <row r="97" spans="1:15" s="888" customFormat="1" ht="13.5" customHeight="1">
      <c r="A97" s="3657"/>
      <c r="B97" s="3594"/>
      <c r="C97" s="3594"/>
      <c r="D97" s="3761" t="s">
        <v>6309</v>
      </c>
      <c r="E97" s="3594"/>
      <c r="F97" s="3641"/>
      <c r="G97" s="2558"/>
      <c r="H97" s="3509"/>
      <c r="I97" s="3506"/>
    </row>
    <row r="98" spans="1:15" s="888" customFormat="1" ht="22.5">
      <c r="A98" s="4142">
        <v>22</v>
      </c>
      <c r="B98" s="3539" t="s">
        <v>2791</v>
      </c>
      <c r="C98" s="3507" t="s">
        <v>2809</v>
      </c>
      <c r="D98" s="3507" t="s">
        <v>2810</v>
      </c>
      <c r="E98" s="3507" t="s">
        <v>205</v>
      </c>
      <c r="F98" s="4590">
        <f>SUM(F100)</f>
        <v>2</v>
      </c>
      <c r="G98" s="2558"/>
      <c r="H98" s="3509">
        <f>F98*G98</f>
        <v>0</v>
      </c>
      <c r="I98" s="3510" t="s">
        <v>111</v>
      </c>
    </row>
    <row r="99" spans="1:15" s="888" customFormat="1" ht="28.5" customHeight="1">
      <c r="A99" s="3657"/>
      <c r="B99" s="3594"/>
      <c r="C99" s="3594"/>
      <c r="D99" s="3514" t="s">
        <v>2794</v>
      </c>
      <c r="E99" s="3594"/>
      <c r="F99" s="3641"/>
      <c r="G99" s="2558"/>
      <c r="H99" s="3509"/>
      <c r="I99" s="3506"/>
    </row>
    <row r="100" spans="1:15" s="3209" customFormat="1" ht="13.5" customHeight="1">
      <c r="A100" s="3657"/>
      <c r="B100" s="3514"/>
      <c r="C100" s="3514"/>
      <c r="D100" s="3514" t="s">
        <v>2811</v>
      </c>
      <c r="E100" s="3514"/>
      <c r="F100" s="3641">
        <v>2</v>
      </c>
      <c r="G100" s="2558"/>
      <c r="H100" s="3509"/>
      <c r="I100" s="3567"/>
    </row>
    <row r="101" spans="1:15" s="883" customFormat="1" ht="40.5" customHeight="1">
      <c r="A101" s="2823"/>
      <c r="B101" s="2825"/>
      <c r="C101" s="2825"/>
      <c r="D101" s="4591" t="s">
        <v>6307</v>
      </c>
      <c r="E101" s="2825"/>
      <c r="F101" s="2826"/>
      <c r="G101" s="294"/>
      <c r="H101" s="2827"/>
      <c r="I101" s="4592"/>
      <c r="J101" s="4051"/>
      <c r="K101" s="4052"/>
      <c r="L101" s="5162"/>
      <c r="M101" s="5162"/>
      <c r="N101" s="5162"/>
      <c r="O101" s="5162"/>
    </row>
    <row r="102" spans="1:15" s="883" customFormat="1" ht="27" customHeight="1">
      <c r="A102" s="2823"/>
      <c r="B102" s="2824"/>
      <c r="C102" s="2825"/>
      <c r="D102" s="4591" t="s">
        <v>6308</v>
      </c>
      <c r="E102" s="2825"/>
      <c r="F102" s="2826"/>
      <c r="G102" s="294"/>
      <c r="H102" s="2822"/>
      <c r="I102" s="2827"/>
      <c r="J102" s="4593"/>
      <c r="K102" s="4594"/>
      <c r="L102" s="4595"/>
    </row>
    <row r="103" spans="1:15" s="888" customFormat="1" ht="13.5" customHeight="1">
      <c r="A103" s="3657"/>
      <c r="B103" s="3594"/>
      <c r="C103" s="3594"/>
      <c r="D103" s="3761" t="s">
        <v>6309</v>
      </c>
      <c r="E103" s="3594"/>
      <c r="F103" s="3641"/>
      <c r="G103" s="2558"/>
      <c r="H103" s="3509"/>
      <c r="I103" s="3506"/>
    </row>
    <row r="104" spans="1:15" s="888" customFormat="1" ht="13.5" customHeight="1">
      <c r="A104" s="3501"/>
      <c r="B104" s="3502"/>
      <c r="C104" s="3799" t="s">
        <v>130</v>
      </c>
      <c r="D104" s="3799" t="s">
        <v>294</v>
      </c>
      <c r="E104" s="3799"/>
      <c r="F104" s="4597"/>
      <c r="G104" s="3814"/>
      <c r="H104" s="3715">
        <f>SUM(H105:H120)</f>
        <v>0</v>
      </c>
      <c r="I104" s="3506"/>
    </row>
    <row r="105" spans="1:15" s="888" customFormat="1" ht="13.5" customHeight="1">
      <c r="A105" s="3657">
        <v>23</v>
      </c>
      <c r="B105" s="3539" t="s">
        <v>2812</v>
      </c>
      <c r="C105" s="3507">
        <v>619991011</v>
      </c>
      <c r="D105" s="3507" t="s">
        <v>2813</v>
      </c>
      <c r="E105" s="3507" t="s">
        <v>163</v>
      </c>
      <c r="F105" s="4598">
        <f>SUM(F107)</f>
        <v>50</v>
      </c>
      <c r="G105" s="2558"/>
      <c r="H105" s="3509">
        <f>F105*G105</f>
        <v>0</v>
      </c>
      <c r="I105" s="2581" t="s">
        <v>137</v>
      </c>
      <c r="J105" s="2636"/>
    </row>
    <row r="106" spans="1:15" s="888" customFormat="1" ht="13.5" customHeight="1">
      <c r="A106" s="3632"/>
      <c r="B106" s="3502"/>
      <c r="C106" s="3502"/>
      <c r="D106" s="3514" t="s">
        <v>2814</v>
      </c>
      <c r="E106" s="3502"/>
      <c r="F106" s="3502"/>
      <c r="G106" s="4821"/>
      <c r="H106" s="3634"/>
      <c r="I106" s="3943"/>
      <c r="J106" s="3146"/>
    </row>
    <row r="107" spans="1:15" s="888" customFormat="1" ht="13.5" customHeight="1">
      <c r="A107" s="3632"/>
      <c r="B107" s="3502"/>
      <c r="C107" s="3502"/>
      <c r="D107" s="3514" t="s">
        <v>2815</v>
      </c>
      <c r="E107" s="3502"/>
      <c r="F107" s="3641">
        <v>50</v>
      </c>
      <c r="G107" s="4821"/>
      <c r="H107" s="3634"/>
      <c r="I107" s="3943"/>
      <c r="J107" s="3146"/>
    </row>
    <row r="108" spans="1:15" s="888" customFormat="1" ht="13.5" customHeight="1">
      <c r="A108" s="3632"/>
      <c r="B108" s="3502"/>
      <c r="C108" s="3502"/>
      <c r="D108" s="3514" t="s">
        <v>2816</v>
      </c>
      <c r="E108" s="3502"/>
      <c r="F108" s="3641"/>
      <c r="G108" s="4821"/>
      <c r="H108" s="3634"/>
      <c r="I108" s="3943"/>
      <c r="J108" s="4599"/>
    </row>
    <row r="109" spans="1:15" s="888" customFormat="1" ht="13.5" customHeight="1">
      <c r="A109" s="3657">
        <v>24</v>
      </c>
      <c r="B109" s="3539" t="s">
        <v>2812</v>
      </c>
      <c r="C109" s="3507">
        <v>619996145</v>
      </c>
      <c r="D109" s="3507" t="s">
        <v>2817</v>
      </c>
      <c r="E109" s="3507" t="s">
        <v>163</v>
      </c>
      <c r="F109" s="4598">
        <f>SUM(F111)</f>
        <v>50</v>
      </c>
      <c r="G109" s="2558"/>
      <c r="H109" s="3509">
        <f>F109*G109</f>
        <v>0</v>
      </c>
      <c r="I109" s="2581" t="s">
        <v>137</v>
      </c>
      <c r="J109" s="2636"/>
    </row>
    <row r="110" spans="1:15" s="888" customFormat="1" ht="13.5" customHeight="1">
      <c r="A110" s="3632"/>
      <c r="B110" s="3502"/>
      <c r="C110" s="3502"/>
      <c r="D110" s="3514" t="s">
        <v>2814</v>
      </c>
      <c r="E110" s="3502"/>
      <c r="F110" s="3502"/>
      <c r="G110" s="4821"/>
      <c r="H110" s="3634"/>
      <c r="I110" s="3943"/>
      <c r="J110" s="3146"/>
    </row>
    <row r="111" spans="1:15" s="888" customFormat="1" ht="13.5" customHeight="1">
      <c r="A111" s="3632"/>
      <c r="B111" s="3502"/>
      <c r="C111" s="3502"/>
      <c r="D111" s="3514" t="s">
        <v>2815</v>
      </c>
      <c r="E111" s="3502"/>
      <c r="F111" s="3641">
        <v>50</v>
      </c>
      <c r="G111" s="4821"/>
      <c r="H111" s="3634"/>
      <c r="I111" s="3943"/>
      <c r="J111" s="3146"/>
    </row>
    <row r="112" spans="1:15" s="888" customFormat="1" ht="13.5" customHeight="1">
      <c r="A112" s="3632"/>
      <c r="B112" s="3502"/>
      <c r="C112" s="3502"/>
      <c r="D112" s="3514" t="s">
        <v>2816</v>
      </c>
      <c r="E112" s="3502"/>
      <c r="F112" s="3641"/>
      <c r="G112" s="4821"/>
      <c r="H112" s="3634"/>
      <c r="I112" s="3943"/>
      <c r="J112" s="4599"/>
    </row>
    <row r="113" spans="1:15" s="1271" customFormat="1" ht="27" customHeight="1">
      <c r="A113" s="3985">
        <v>25</v>
      </c>
      <c r="B113" s="4567" t="s">
        <v>2812</v>
      </c>
      <c r="C113" s="4545" t="s">
        <v>306</v>
      </c>
      <c r="D113" s="4545" t="s">
        <v>2818</v>
      </c>
      <c r="E113" s="3986" t="s">
        <v>205</v>
      </c>
      <c r="F113" s="4568">
        <f>F114</f>
        <v>10</v>
      </c>
      <c r="G113" s="214"/>
      <c r="H113" s="4547">
        <f>F113*G113</f>
        <v>0</v>
      </c>
      <c r="I113" s="4559" t="s">
        <v>111</v>
      </c>
      <c r="J113" s="4600"/>
    </row>
    <row r="114" spans="1:15" s="1271" customFormat="1" ht="27" customHeight="1">
      <c r="A114" s="4544"/>
      <c r="B114" s="4567"/>
      <c r="C114" s="4545"/>
      <c r="D114" s="4550" t="s">
        <v>2819</v>
      </c>
      <c r="E114" s="4545"/>
      <c r="F114" s="4557">
        <v>10</v>
      </c>
      <c r="G114" s="214"/>
      <c r="H114" s="4547"/>
      <c r="I114" s="4559"/>
      <c r="J114" s="4600"/>
    </row>
    <row r="115" spans="1:15" s="1271" customFormat="1" ht="40.5" customHeight="1">
      <c r="A115" s="4544"/>
      <c r="B115" s="4567"/>
      <c r="C115" s="4545"/>
      <c r="D115" s="4550" t="s">
        <v>309</v>
      </c>
      <c r="E115" s="4545"/>
      <c r="F115" s="4568"/>
      <c r="G115" s="214"/>
      <c r="H115" s="4547"/>
      <c r="I115" s="4559"/>
      <c r="J115" s="4600"/>
    </row>
    <row r="116" spans="1:15" s="1423" customFormat="1" ht="67.5" customHeight="1">
      <c r="A116" s="3655"/>
      <c r="B116" s="3638"/>
      <c r="C116" s="3638"/>
      <c r="D116" s="2314" t="s">
        <v>310</v>
      </c>
      <c r="E116" s="4128"/>
      <c r="F116" s="4601"/>
      <c r="G116" s="3707"/>
      <c r="H116" s="3654"/>
      <c r="I116" s="4129"/>
      <c r="J116" s="4130"/>
      <c r="L116" s="1271"/>
    </row>
    <row r="117" spans="1:15" s="883" customFormat="1" ht="40.5" customHeight="1">
      <c r="A117" s="4124" t="s">
        <v>4814</v>
      </c>
      <c r="B117" s="4602" t="s">
        <v>301</v>
      </c>
      <c r="C117" s="4603" t="s">
        <v>6486</v>
      </c>
      <c r="D117" s="4603" t="s">
        <v>307</v>
      </c>
      <c r="E117" s="4603" t="s">
        <v>49</v>
      </c>
      <c r="F117" s="4604">
        <f>F118</f>
        <v>1</v>
      </c>
      <c r="G117" s="527"/>
      <c r="H117" s="4604">
        <f>F117*G117</f>
        <v>0</v>
      </c>
      <c r="I117" s="4064" t="s">
        <v>112</v>
      </c>
      <c r="J117" s="4047"/>
      <c r="K117" s="4048"/>
      <c r="L117" s="3209"/>
      <c r="M117" s="3209"/>
      <c r="N117" s="888"/>
      <c r="O117" s="3209"/>
    </row>
    <row r="118" spans="1:15" s="883" customFormat="1" ht="27" customHeight="1">
      <c r="A118" s="4124"/>
      <c r="B118" s="4602"/>
      <c r="C118" s="4603"/>
      <c r="D118" s="4603" t="s">
        <v>308</v>
      </c>
      <c r="E118" s="4603"/>
      <c r="F118" s="4604">
        <v>1</v>
      </c>
      <c r="G118" s="527"/>
      <c r="H118" s="4604"/>
      <c r="I118" s="4605"/>
      <c r="J118" s="4051"/>
      <c r="K118" s="4052"/>
      <c r="L118" s="5162"/>
      <c r="M118" s="5162"/>
      <c r="N118" s="5162"/>
      <c r="O118" s="4053"/>
    </row>
    <row r="119" spans="1:15" s="883" customFormat="1" ht="40.5" customHeight="1">
      <c r="A119" s="4124"/>
      <c r="B119" s="4602"/>
      <c r="C119" s="4603"/>
      <c r="D119" s="4603" t="s">
        <v>309</v>
      </c>
      <c r="E119" s="4603"/>
      <c r="F119" s="4604"/>
      <c r="G119" s="527"/>
      <c r="H119" s="4604"/>
      <c r="I119" s="4605"/>
      <c r="J119" s="3921"/>
      <c r="K119" s="4055"/>
      <c r="L119" s="4056"/>
      <c r="M119" s="888"/>
      <c r="N119" s="888"/>
      <c r="O119" s="888"/>
    </row>
    <row r="120" spans="1:15" s="1423" customFormat="1" ht="67.5" customHeight="1">
      <c r="A120" s="4368"/>
      <c r="B120" s="4100"/>
      <c r="C120" s="4100"/>
      <c r="D120" s="4606" t="s">
        <v>310</v>
      </c>
      <c r="E120" s="4607"/>
      <c r="F120" s="4093"/>
      <c r="G120" s="4822"/>
      <c r="H120" s="4093"/>
      <c r="I120" s="4608"/>
      <c r="J120" s="4130"/>
      <c r="L120" s="883"/>
    </row>
    <row r="121" spans="1:15" s="888" customFormat="1" ht="13.5" customHeight="1">
      <c r="A121" s="3632"/>
      <c r="B121" s="3502"/>
      <c r="C121" s="3502">
        <v>9</v>
      </c>
      <c r="D121" s="3502" t="s">
        <v>312</v>
      </c>
      <c r="E121" s="3502"/>
      <c r="F121" s="3743"/>
      <c r="G121" s="4821"/>
      <c r="H121" s="3634">
        <f>SUM(H122:H389,H399,H407,H416,H424)</f>
        <v>0</v>
      </c>
      <c r="I121" s="3943"/>
    </row>
    <row r="122" spans="1:15" s="1204" customFormat="1" ht="27" customHeight="1">
      <c r="A122" s="3725">
        <v>26</v>
      </c>
      <c r="B122" s="3539" t="s">
        <v>2820</v>
      </c>
      <c r="C122" s="3507">
        <v>941111132</v>
      </c>
      <c r="D122" s="3507" t="s">
        <v>2821</v>
      </c>
      <c r="E122" s="3507" t="s">
        <v>163</v>
      </c>
      <c r="F122" s="4590">
        <f>SUM(F124:F124)</f>
        <v>962.1</v>
      </c>
      <c r="G122" s="2559"/>
      <c r="H122" s="3532">
        <f>F122*G122</f>
        <v>0</v>
      </c>
      <c r="I122" s="2581" t="s">
        <v>137</v>
      </c>
      <c r="J122" s="4609"/>
    </row>
    <row r="123" spans="1:15" s="1204" customFormat="1" ht="27" customHeight="1">
      <c r="A123" s="3725"/>
      <c r="B123" s="3539"/>
      <c r="C123" s="3507"/>
      <c r="D123" s="3514" t="s">
        <v>315</v>
      </c>
      <c r="E123" s="3507"/>
      <c r="F123" s="3641"/>
      <c r="G123" s="2559"/>
      <c r="H123" s="3532"/>
      <c r="I123" s="4152"/>
    </row>
    <row r="124" spans="1:15" s="888" customFormat="1" ht="13.5" customHeight="1">
      <c r="A124" s="3501"/>
      <c r="B124" s="3502"/>
      <c r="C124" s="3502"/>
      <c r="D124" s="3514" t="s">
        <v>2822</v>
      </c>
      <c r="E124" s="3502"/>
      <c r="F124" s="3641">
        <f>(42+43.2+2+19.7)*9</f>
        <v>962.1</v>
      </c>
      <c r="G124" s="2559"/>
      <c r="H124" s="3505"/>
      <c r="I124" s="3506"/>
    </row>
    <row r="125" spans="1:15" s="888" customFormat="1" ht="27" customHeight="1">
      <c r="A125" s="3725">
        <v>27</v>
      </c>
      <c r="B125" s="3539" t="s">
        <v>2820</v>
      </c>
      <c r="C125" s="3507">
        <v>941111232</v>
      </c>
      <c r="D125" s="3507" t="s">
        <v>2823</v>
      </c>
      <c r="E125" s="3507" t="s">
        <v>163</v>
      </c>
      <c r="F125" s="4590">
        <f>SUM(F126:F126)</f>
        <v>144315</v>
      </c>
      <c r="G125" s="5165" t="s">
        <v>3512</v>
      </c>
      <c r="H125" s="5166"/>
      <c r="I125" s="2581" t="s">
        <v>137</v>
      </c>
    </row>
    <row r="126" spans="1:15" s="1204" customFormat="1" ht="13.5" customHeight="1">
      <c r="A126" s="3725"/>
      <c r="B126" s="3539"/>
      <c r="C126" s="3507"/>
      <c r="D126" s="3514" t="s">
        <v>2824</v>
      </c>
      <c r="E126" s="3507"/>
      <c r="F126" s="3641">
        <f>(962.1)*150</f>
        <v>144315</v>
      </c>
      <c r="G126" s="2559"/>
      <c r="H126" s="3532"/>
      <c r="I126" s="3943"/>
    </row>
    <row r="127" spans="1:15" s="888" customFormat="1" ht="27" customHeight="1">
      <c r="A127" s="4043" t="s">
        <v>6370</v>
      </c>
      <c r="B127" s="4143" t="s">
        <v>2820</v>
      </c>
      <c r="C127" s="3761" t="s">
        <v>6364</v>
      </c>
      <c r="D127" s="3761" t="s">
        <v>6368</v>
      </c>
      <c r="E127" s="3761" t="s">
        <v>163</v>
      </c>
      <c r="F127" s="4610">
        <f>SUM(F128:F128)</f>
        <v>962.1</v>
      </c>
      <c r="G127" s="2561"/>
      <c r="H127" s="4611">
        <f>F127*G127</f>
        <v>0</v>
      </c>
      <c r="I127" s="4117" t="s">
        <v>2874</v>
      </c>
    </row>
    <row r="128" spans="1:15" s="1204" customFormat="1" ht="13.5" customHeight="1">
      <c r="A128" s="4043"/>
      <c r="B128" s="4143"/>
      <c r="C128" s="3761"/>
      <c r="D128" s="3761" t="s">
        <v>6374</v>
      </c>
      <c r="E128" s="3761"/>
      <c r="F128" s="4610">
        <f>(962.1)</f>
        <v>962.1</v>
      </c>
      <c r="G128" s="2561"/>
      <c r="H128" s="4611"/>
      <c r="I128" s="4145"/>
    </row>
    <row r="129" spans="1:9" s="1204" customFormat="1" ht="13.5" customHeight="1">
      <c r="A129" s="4146"/>
      <c r="B129" s="4147"/>
      <c r="C129" s="4148"/>
      <c r="D129" s="4148" t="s">
        <v>6371</v>
      </c>
      <c r="E129" s="4148"/>
      <c r="F129" s="4149"/>
      <c r="G129" s="4823"/>
      <c r="H129" s="4150"/>
      <c r="I129" s="4151"/>
    </row>
    <row r="130" spans="1:9" s="1204" customFormat="1" ht="27" customHeight="1">
      <c r="A130" s="3725">
        <v>28</v>
      </c>
      <c r="B130" s="3539" t="s">
        <v>2820</v>
      </c>
      <c r="C130" s="3507">
        <v>941111832</v>
      </c>
      <c r="D130" s="3507" t="s">
        <v>2825</v>
      </c>
      <c r="E130" s="3507" t="s">
        <v>163</v>
      </c>
      <c r="F130" s="4590">
        <f>F131</f>
        <v>962.1</v>
      </c>
      <c r="G130" s="2559"/>
      <c r="H130" s="3532">
        <f>F130*G130</f>
        <v>0</v>
      </c>
      <c r="I130" s="2581" t="s">
        <v>137</v>
      </c>
    </row>
    <row r="131" spans="1:9" s="1204" customFormat="1" ht="27" customHeight="1">
      <c r="A131" s="3725"/>
      <c r="B131" s="3539"/>
      <c r="C131" s="3507"/>
      <c r="D131" s="3514" t="s">
        <v>321</v>
      </c>
      <c r="E131" s="3507"/>
      <c r="F131" s="3641">
        <f>F122</f>
        <v>962.1</v>
      </c>
      <c r="G131" s="2559"/>
      <c r="H131" s="3532"/>
      <c r="I131" s="4152"/>
    </row>
    <row r="132" spans="1:9" s="888" customFormat="1" ht="13.5" customHeight="1">
      <c r="A132" s="3725">
        <v>29</v>
      </c>
      <c r="B132" s="3539" t="s">
        <v>2826</v>
      </c>
      <c r="C132" s="3507">
        <v>944511111</v>
      </c>
      <c r="D132" s="3507" t="s">
        <v>322</v>
      </c>
      <c r="E132" s="3507" t="s">
        <v>163</v>
      </c>
      <c r="F132" s="4590">
        <f>SUM(F133:F133)</f>
        <v>962.1</v>
      </c>
      <c r="G132" s="2559"/>
      <c r="H132" s="3532">
        <f>F132*G132</f>
        <v>0</v>
      </c>
      <c r="I132" s="2581" t="s">
        <v>137</v>
      </c>
    </row>
    <row r="133" spans="1:9" s="888" customFormat="1" ht="13.5" customHeight="1">
      <c r="A133" s="3501"/>
      <c r="B133" s="3502"/>
      <c r="C133" s="3502"/>
      <c r="D133" s="3514" t="s">
        <v>2827</v>
      </c>
      <c r="E133" s="3502"/>
      <c r="F133" s="3641">
        <f xml:space="preserve"> (42+43.2+2+19.7)*9</f>
        <v>962.1</v>
      </c>
      <c r="G133" s="2559"/>
      <c r="H133" s="3505"/>
      <c r="I133" s="3506"/>
    </row>
    <row r="134" spans="1:9" s="888" customFormat="1" ht="13.5" customHeight="1">
      <c r="A134" s="3725">
        <v>30</v>
      </c>
      <c r="B134" s="3539" t="s">
        <v>2826</v>
      </c>
      <c r="C134" s="3507">
        <v>944511211</v>
      </c>
      <c r="D134" s="3507" t="s">
        <v>324</v>
      </c>
      <c r="E134" s="3507" t="s">
        <v>163</v>
      </c>
      <c r="F134" s="4590">
        <f>SUM(F135:F135)</f>
        <v>144315</v>
      </c>
      <c r="G134" s="5165" t="s">
        <v>3512</v>
      </c>
      <c r="H134" s="5166"/>
      <c r="I134" s="2581" t="s">
        <v>137</v>
      </c>
    </row>
    <row r="135" spans="1:9" s="1204" customFormat="1" ht="13.5" customHeight="1">
      <c r="A135" s="3725"/>
      <c r="B135" s="3539"/>
      <c r="C135" s="3507"/>
      <c r="D135" s="3514" t="s">
        <v>2828</v>
      </c>
      <c r="E135" s="3507"/>
      <c r="F135" s="3641">
        <f>(962.1)*150</f>
        <v>144315</v>
      </c>
      <c r="G135" s="2559"/>
      <c r="H135" s="3532"/>
      <c r="I135" s="3943"/>
    </row>
    <row r="136" spans="1:9" s="888" customFormat="1" ht="13.5" customHeight="1">
      <c r="A136" s="4043" t="s">
        <v>5555</v>
      </c>
      <c r="B136" s="4143" t="s">
        <v>2826</v>
      </c>
      <c r="C136" s="3761" t="s">
        <v>6365</v>
      </c>
      <c r="D136" s="3761" t="s">
        <v>6367</v>
      </c>
      <c r="E136" s="3761" t="s">
        <v>163</v>
      </c>
      <c r="F136" s="4610">
        <f>SUM(F137:F137)</f>
        <v>962.1</v>
      </c>
      <c r="G136" s="2561"/>
      <c r="H136" s="4611">
        <f>F136*G136</f>
        <v>0</v>
      </c>
      <c r="I136" s="4117" t="s">
        <v>2874</v>
      </c>
    </row>
    <row r="137" spans="1:9" s="1204" customFormat="1" ht="13.5" customHeight="1">
      <c r="A137" s="4043"/>
      <c r="B137" s="4143"/>
      <c r="C137" s="3761"/>
      <c r="D137" s="3761" t="s">
        <v>6372</v>
      </c>
      <c r="E137" s="3761"/>
      <c r="F137" s="4610">
        <f>(962.1)</f>
        <v>962.1</v>
      </c>
      <c r="G137" s="2561"/>
      <c r="H137" s="4611"/>
      <c r="I137" s="4145"/>
    </row>
    <row r="138" spans="1:9" s="1204" customFormat="1" ht="13.5" customHeight="1">
      <c r="A138" s="4146"/>
      <c r="B138" s="4147"/>
      <c r="C138" s="4148"/>
      <c r="D138" s="4148" t="s">
        <v>6371</v>
      </c>
      <c r="E138" s="4148"/>
      <c r="F138" s="4149"/>
      <c r="G138" s="4823"/>
      <c r="H138" s="4150"/>
      <c r="I138" s="4151"/>
    </row>
    <row r="139" spans="1:9" s="888" customFormat="1" ht="13.5" customHeight="1">
      <c r="A139" s="3725">
        <v>31</v>
      </c>
      <c r="B139" s="3539" t="s">
        <v>2826</v>
      </c>
      <c r="C139" s="3507">
        <v>944511811</v>
      </c>
      <c r="D139" s="3507" t="s">
        <v>326</v>
      </c>
      <c r="E139" s="3507" t="s">
        <v>163</v>
      </c>
      <c r="F139" s="4590">
        <f>F132</f>
        <v>962.1</v>
      </c>
      <c r="G139" s="2559"/>
      <c r="H139" s="3532">
        <f>F139*G139</f>
        <v>0</v>
      </c>
      <c r="I139" s="2581" t="s">
        <v>137</v>
      </c>
    </row>
    <row r="140" spans="1:9" s="1204" customFormat="1" ht="13.5" customHeight="1">
      <c r="A140" s="3725">
        <v>32</v>
      </c>
      <c r="B140" s="3539" t="s">
        <v>2826</v>
      </c>
      <c r="C140" s="3507">
        <v>944711113</v>
      </c>
      <c r="D140" s="3507" t="s">
        <v>2829</v>
      </c>
      <c r="E140" s="3507" t="s">
        <v>141</v>
      </c>
      <c r="F140" s="4590">
        <f>SUM(F141:F141)</f>
        <v>3</v>
      </c>
      <c r="G140" s="2559"/>
      <c r="H140" s="3532">
        <f>F140*G140</f>
        <v>0</v>
      </c>
      <c r="I140" s="2581" t="s">
        <v>137</v>
      </c>
    </row>
    <row r="141" spans="1:9" s="1204" customFormat="1" ht="13.5" customHeight="1">
      <c r="A141" s="3725"/>
      <c r="B141" s="3539"/>
      <c r="C141" s="3507"/>
      <c r="D141" s="3514" t="s">
        <v>2830</v>
      </c>
      <c r="E141" s="3507"/>
      <c r="F141" s="3641">
        <v>3</v>
      </c>
      <c r="G141" s="2559"/>
      <c r="H141" s="3532"/>
      <c r="I141" s="3943"/>
    </row>
    <row r="142" spans="1:9" s="888" customFormat="1" ht="13.5" customHeight="1">
      <c r="A142" s="3725">
        <v>34</v>
      </c>
      <c r="B142" s="3539" t="s">
        <v>2826</v>
      </c>
      <c r="C142" s="3507">
        <v>944711213</v>
      </c>
      <c r="D142" s="3507" t="s">
        <v>2831</v>
      </c>
      <c r="E142" s="3507" t="s">
        <v>141</v>
      </c>
      <c r="F142" s="4590">
        <f>SUM(F143:F143)</f>
        <v>450</v>
      </c>
      <c r="G142" s="5165" t="s">
        <v>3512</v>
      </c>
      <c r="H142" s="5166"/>
      <c r="I142" s="2581" t="s">
        <v>137</v>
      </c>
    </row>
    <row r="143" spans="1:9" s="1204" customFormat="1" ht="13.5" customHeight="1">
      <c r="A143" s="3725"/>
      <c r="B143" s="3539"/>
      <c r="C143" s="3507"/>
      <c r="D143" s="3514" t="s">
        <v>2832</v>
      </c>
      <c r="E143" s="3507"/>
      <c r="F143" s="3641">
        <f>(3)*150</f>
        <v>450</v>
      </c>
      <c r="G143" s="2559"/>
      <c r="H143" s="3532"/>
      <c r="I143" s="3943"/>
    </row>
    <row r="144" spans="1:9" s="888" customFormat="1" ht="27" customHeight="1">
      <c r="A144" s="4043" t="s">
        <v>5592</v>
      </c>
      <c r="B144" s="4143" t="s">
        <v>2826</v>
      </c>
      <c r="C144" s="3761" t="s">
        <v>6366</v>
      </c>
      <c r="D144" s="3761" t="s">
        <v>6369</v>
      </c>
      <c r="E144" s="3761" t="s">
        <v>141</v>
      </c>
      <c r="F144" s="4610">
        <f>SUM(F145:F145)</f>
        <v>3</v>
      </c>
      <c r="G144" s="2561"/>
      <c r="H144" s="4611">
        <f>F144*G144</f>
        <v>0</v>
      </c>
      <c r="I144" s="4117" t="s">
        <v>2874</v>
      </c>
    </row>
    <row r="145" spans="1:12" s="1204" customFormat="1" ht="13.5" customHeight="1">
      <c r="A145" s="4043"/>
      <c r="B145" s="4143"/>
      <c r="C145" s="3761"/>
      <c r="D145" s="3761" t="s">
        <v>6373</v>
      </c>
      <c r="E145" s="3761"/>
      <c r="F145" s="4610">
        <f>(3)</f>
        <v>3</v>
      </c>
      <c r="G145" s="2561"/>
      <c r="H145" s="4611"/>
      <c r="I145" s="4145"/>
    </row>
    <row r="146" spans="1:12" s="1204" customFormat="1" ht="13.5" customHeight="1">
      <c r="A146" s="4146"/>
      <c r="B146" s="4147"/>
      <c r="C146" s="4148"/>
      <c r="D146" s="4148" t="s">
        <v>6371</v>
      </c>
      <c r="E146" s="4148"/>
      <c r="F146" s="4149"/>
      <c r="G146" s="4823"/>
      <c r="H146" s="4150"/>
      <c r="I146" s="4151"/>
    </row>
    <row r="147" spans="1:12" s="888" customFormat="1" ht="13.5" customHeight="1">
      <c r="A147" s="3725">
        <v>35</v>
      </c>
      <c r="B147" s="3539" t="s">
        <v>2826</v>
      </c>
      <c r="C147" s="3507">
        <v>944711813</v>
      </c>
      <c r="D147" s="3507" t="s">
        <v>2833</v>
      </c>
      <c r="E147" s="3507" t="s">
        <v>141</v>
      </c>
      <c r="F147" s="4590">
        <f>F140</f>
        <v>3</v>
      </c>
      <c r="G147" s="2559"/>
      <c r="H147" s="3532">
        <f>F147*G147</f>
        <v>0</v>
      </c>
      <c r="I147" s="2581" t="s">
        <v>137</v>
      </c>
    </row>
    <row r="148" spans="1:12" s="888" customFormat="1" ht="27" customHeight="1">
      <c r="A148" s="3657">
        <v>36</v>
      </c>
      <c r="B148" s="3539" t="s">
        <v>2834</v>
      </c>
      <c r="C148" s="3507">
        <v>949101111</v>
      </c>
      <c r="D148" s="3507" t="s">
        <v>334</v>
      </c>
      <c r="E148" s="3507" t="s">
        <v>163</v>
      </c>
      <c r="F148" s="4590">
        <f>SUM(F151:F153)</f>
        <v>1603.69</v>
      </c>
      <c r="G148" s="2558"/>
      <c r="H148" s="3509">
        <f>F148*G148</f>
        <v>0</v>
      </c>
      <c r="I148" s="2581" t="s">
        <v>137</v>
      </c>
      <c r="J148" s="3592"/>
    </row>
    <row r="149" spans="1:12" s="888" customFormat="1" ht="13.5" customHeight="1">
      <c r="A149" s="3632"/>
      <c r="B149" s="3633"/>
      <c r="C149" s="3502"/>
      <c r="D149" s="3514" t="s">
        <v>338</v>
      </c>
      <c r="E149" s="3502"/>
      <c r="F149" s="3641"/>
      <c r="G149" s="4821"/>
      <c r="H149" s="3634"/>
      <c r="I149" s="3506"/>
    </row>
    <row r="150" spans="1:12" s="4614" customFormat="1" ht="13.5" customHeight="1">
      <c r="A150" s="4107"/>
      <c r="B150" s="2577"/>
      <c r="C150" s="4279"/>
      <c r="D150" s="4612" t="s">
        <v>2835</v>
      </c>
      <c r="E150" s="2603"/>
      <c r="F150" s="4613"/>
      <c r="G150" s="4"/>
      <c r="H150" s="2580"/>
      <c r="I150" s="2581"/>
    </row>
    <row r="151" spans="1:12" s="888" customFormat="1" ht="13.5" customHeight="1">
      <c r="A151" s="3657"/>
      <c r="B151" s="3539"/>
      <c r="C151" s="3507"/>
      <c r="D151" s="3514" t="s">
        <v>2836</v>
      </c>
      <c r="E151" s="3507"/>
      <c r="F151" s="3641">
        <f>(16.7+7.98+11.82+1.08+2.17+3.93+5.21+15.55+6.68+20.76+88.98)</f>
        <v>180.86</v>
      </c>
      <c r="G151" s="2558"/>
      <c r="H151" s="3509"/>
      <c r="I151" s="3510"/>
    </row>
    <row r="152" spans="1:12" s="888" customFormat="1" ht="54" customHeight="1">
      <c r="A152" s="3657"/>
      <c r="B152" s="3539"/>
      <c r="C152" s="3507"/>
      <c r="D152" s="3514" t="s">
        <v>2837</v>
      </c>
      <c r="E152" s="3507"/>
      <c r="F152" s="3641">
        <f>(5.52+6.84+11.15+5.5+1.08+0.78+24.21+15.78+12.83+20.64+13.58+12.35+3.12+4.25+12.8+12.85+3.13+2.41+1.44+3.58+84.54+192.71+9.24+15.05+9.8+4.34+5.09+3.15+2.24+3.15+6.02+43.03+38.25+17.25+65.26+9.22+23.03+9.09)</f>
        <v>714.3</v>
      </c>
      <c r="G152" s="2558"/>
      <c r="H152" s="3509"/>
      <c r="I152" s="3510"/>
    </row>
    <row r="153" spans="1:12" s="888" customFormat="1" ht="40.5" customHeight="1">
      <c r="A153" s="3657"/>
      <c r="B153" s="3539"/>
      <c r="C153" s="3507"/>
      <c r="D153" s="3514" t="s">
        <v>2838</v>
      </c>
      <c r="E153" s="3507"/>
      <c r="F153" s="3641">
        <f>(5.91+88+22.26+64.47+2.24+6.74+6.18+1.4+5.96+5.29+3.36+77.13+22.94+31.05+66.77+4.33+4.96+4.75+1.96+2.65+3.68+1.36+12.71+9.93+58.68+66.77+56.95+70.1)</f>
        <v>708.53</v>
      </c>
      <c r="G153" s="2558"/>
      <c r="H153" s="3509"/>
      <c r="I153" s="3510"/>
      <c r="J153" s="3978"/>
      <c r="L153" s="3978"/>
    </row>
    <row r="154" spans="1:12" s="888" customFormat="1" ht="13.5" customHeight="1">
      <c r="A154" s="3632"/>
      <c r="B154" s="3633"/>
      <c r="C154" s="3502"/>
      <c r="D154" s="3514" t="s">
        <v>2839</v>
      </c>
      <c r="E154" s="3502"/>
      <c r="F154" s="3641"/>
      <c r="G154" s="4821"/>
      <c r="H154" s="3634"/>
      <c r="I154" s="3506"/>
    </row>
    <row r="155" spans="1:12" s="888" customFormat="1" ht="13.5" customHeight="1">
      <c r="A155" s="3657">
        <v>37</v>
      </c>
      <c r="B155" s="3539" t="s">
        <v>2840</v>
      </c>
      <c r="C155" s="3507">
        <v>952901111</v>
      </c>
      <c r="D155" s="3507" t="s">
        <v>339</v>
      </c>
      <c r="E155" s="3507" t="s">
        <v>163</v>
      </c>
      <c r="F155" s="4590">
        <f>SUM(F157:F159)</f>
        <v>1603.69</v>
      </c>
      <c r="G155" s="5165" t="s">
        <v>3512</v>
      </c>
      <c r="H155" s="5166"/>
      <c r="I155" s="2581" t="s">
        <v>137</v>
      </c>
    </row>
    <row r="156" spans="1:12" s="888" customFormat="1" ht="13.5" customHeight="1">
      <c r="A156" s="3657"/>
      <c r="B156" s="3539"/>
      <c r="C156" s="3507"/>
      <c r="D156" s="3530" t="s">
        <v>2841</v>
      </c>
      <c r="E156" s="3507"/>
      <c r="F156" s="4615"/>
      <c r="G156" s="2558"/>
      <c r="H156" s="3509"/>
      <c r="I156" s="3510"/>
      <c r="J156" s="4616"/>
    </row>
    <row r="157" spans="1:12" s="888" customFormat="1" ht="13.5" customHeight="1">
      <c r="A157" s="3657"/>
      <c r="B157" s="3539"/>
      <c r="C157" s="3507"/>
      <c r="D157" s="3514" t="s">
        <v>2842</v>
      </c>
      <c r="E157" s="3507"/>
      <c r="F157" s="3641">
        <f>(16.7+7.98+11.82+1.08+2.17+3.93+5.21+15.55+6.68+20.76+88.98)</f>
        <v>180.86</v>
      </c>
      <c r="G157" s="2558"/>
      <c r="H157" s="3509"/>
      <c r="I157" s="3510"/>
    </row>
    <row r="158" spans="1:12" s="888" customFormat="1" ht="54" customHeight="1">
      <c r="A158" s="3657"/>
      <c r="B158" s="3539"/>
      <c r="C158" s="3507"/>
      <c r="D158" s="3514" t="s">
        <v>2843</v>
      </c>
      <c r="E158" s="3507"/>
      <c r="F158" s="3641">
        <f>(5.52+6.84+11.15+5.5+1.08+0.78+24.21+15.78+12.83+20.64+13.58+12.35+3.12+4.25+12.8+12.85+3.13+2.41+1.44+3.58+84.54+192.71+9.24+15.05+9.8+4.34+5.09+3.15+2.24+3.15+6.02+43.03+38.25+17.25+65.26+9.22+23.03+9.09)</f>
        <v>714.3</v>
      </c>
      <c r="G158" s="2558"/>
      <c r="H158" s="3509"/>
      <c r="I158" s="3510"/>
    </row>
    <row r="159" spans="1:12" s="888" customFormat="1" ht="40.5" customHeight="1">
      <c r="A159" s="3657"/>
      <c r="B159" s="3539"/>
      <c r="C159" s="3507"/>
      <c r="D159" s="3514" t="s">
        <v>2844</v>
      </c>
      <c r="E159" s="3507"/>
      <c r="F159" s="3641">
        <f>(5.91+88+22.26+64.47+2.24+6.74+6.18+1.4+5.96+5.29+3.36+77.13+22.94+31.05+66.77+4.33+4.96+4.75+1.96+2.65+3.68+1.36+12.71+9.93+58.68+66.77+56.95+70.1)</f>
        <v>708.53</v>
      </c>
      <c r="G159" s="2558"/>
      <c r="H159" s="3509"/>
      <c r="I159" s="3510"/>
      <c r="J159" s="3978"/>
      <c r="L159" s="3978"/>
    </row>
    <row r="160" spans="1:12" s="888" customFormat="1" ht="27" customHeight="1">
      <c r="A160" s="4142" t="s">
        <v>6386</v>
      </c>
      <c r="B160" s="4143" t="s">
        <v>2840</v>
      </c>
      <c r="C160" s="3761" t="s">
        <v>6382</v>
      </c>
      <c r="D160" s="3761" t="s">
        <v>6383</v>
      </c>
      <c r="E160" s="3761" t="s">
        <v>163</v>
      </c>
      <c r="F160" s="4610">
        <f>SUM(F162:F164)</f>
        <v>1603.69</v>
      </c>
      <c r="G160" s="2563"/>
      <c r="H160" s="3763">
        <f>F160*G160</f>
        <v>0</v>
      </c>
      <c r="I160" s="4117" t="s">
        <v>112</v>
      </c>
    </row>
    <row r="161" spans="1:13" s="888" customFormat="1" ht="27" customHeight="1">
      <c r="A161" s="4142"/>
      <c r="B161" s="4143"/>
      <c r="C161" s="3761"/>
      <c r="D161" s="3761" t="s">
        <v>6385</v>
      </c>
      <c r="E161" s="3761"/>
      <c r="F161" s="4617"/>
      <c r="G161" s="2563"/>
      <c r="H161" s="3763"/>
      <c r="I161" s="3769"/>
      <c r="J161" s="4616"/>
    </row>
    <row r="162" spans="1:13" s="888" customFormat="1" ht="13.5" customHeight="1">
      <c r="A162" s="4142"/>
      <c r="B162" s="4143"/>
      <c r="C162" s="3761"/>
      <c r="D162" s="3761" t="s">
        <v>2842</v>
      </c>
      <c r="E162" s="3761"/>
      <c r="F162" s="4610">
        <f>(16.7+7.98+11.82+1.08+2.17+3.93+5.21+15.55+6.68+20.76+88.98)</f>
        <v>180.86</v>
      </c>
      <c r="G162" s="2563"/>
      <c r="H162" s="3763"/>
      <c r="I162" s="3769"/>
    </row>
    <row r="163" spans="1:13" s="888" customFormat="1" ht="54" customHeight="1">
      <c r="A163" s="4142"/>
      <c r="B163" s="4143"/>
      <c r="C163" s="3761"/>
      <c r="D163" s="3761" t="s">
        <v>2843</v>
      </c>
      <c r="E163" s="3761"/>
      <c r="F163" s="4610">
        <f>(5.52+6.84+11.15+5.5+1.08+0.78+24.21+15.78+12.83+20.64+13.58+12.35+3.12+4.25+12.8+12.85+3.13+2.41+1.44+3.58+84.54+192.71+9.24+15.05+9.8+4.34+5.09+3.15+2.24+3.15+6.02+43.03+38.25+17.25+65.26+9.22+23.03+9.09)</f>
        <v>714.3</v>
      </c>
      <c r="G163" s="2563"/>
      <c r="H163" s="3763"/>
      <c r="I163" s="3769"/>
    </row>
    <row r="164" spans="1:13" s="888" customFormat="1" ht="40.5" customHeight="1">
      <c r="A164" s="4142"/>
      <c r="B164" s="4143"/>
      <c r="C164" s="3761"/>
      <c r="D164" s="3761" t="s">
        <v>2844</v>
      </c>
      <c r="E164" s="3761"/>
      <c r="F164" s="4610">
        <f>(5.91+88+22.26+64.47+2.24+6.74+6.18+1.4+5.96+5.29+3.36+77.13+22.94+31.05+66.77+4.33+4.96+4.75+1.96+2.65+3.68+1.36+12.71+9.93+58.68+66.77+56.95+70.1)</f>
        <v>708.53</v>
      </c>
      <c r="G164" s="2563"/>
      <c r="H164" s="3763"/>
      <c r="I164" s="3769"/>
      <c r="J164" s="3978"/>
      <c r="L164" s="3978"/>
    </row>
    <row r="165" spans="1:13" s="888" customFormat="1" ht="40.5" customHeight="1">
      <c r="A165" s="4618"/>
      <c r="B165" s="4147"/>
      <c r="C165" s="4148"/>
      <c r="D165" s="4148" t="s">
        <v>6384</v>
      </c>
      <c r="E165" s="4148"/>
      <c r="F165" s="4149"/>
      <c r="G165" s="4824"/>
      <c r="H165" s="4619"/>
      <c r="I165" s="4620"/>
      <c r="J165" s="3978"/>
      <c r="L165" s="3978"/>
    </row>
    <row r="166" spans="1:13" ht="13.5" customHeight="1">
      <c r="A166" s="3657">
        <v>38</v>
      </c>
      <c r="B166" s="3539" t="s">
        <v>2845</v>
      </c>
      <c r="C166" s="3507">
        <v>961044111</v>
      </c>
      <c r="D166" s="3507" t="s">
        <v>2846</v>
      </c>
      <c r="E166" s="3507" t="s">
        <v>146</v>
      </c>
      <c r="F166" s="4590">
        <f>SUM(F167:F168)</f>
        <v>48.9634</v>
      </c>
      <c r="G166" s="2558"/>
      <c r="H166" s="3509">
        <f>F166*G166</f>
        <v>0</v>
      </c>
      <c r="I166" s="2581" t="s">
        <v>137</v>
      </c>
      <c r="M166" s="593"/>
    </row>
    <row r="167" spans="1:13" ht="13.5" customHeight="1">
      <c r="A167" s="3725"/>
      <c r="B167" s="3507"/>
      <c r="C167" s="3514"/>
      <c r="D167" s="3514" t="s">
        <v>2847</v>
      </c>
      <c r="E167" s="3514"/>
      <c r="F167" s="3641">
        <f>(8.28)*0.08</f>
        <v>0.66239999999999999</v>
      </c>
      <c r="G167" s="4825"/>
      <c r="H167" s="3516"/>
      <c r="I167" s="3510"/>
      <c r="M167" s="593"/>
    </row>
    <row r="168" spans="1:13" ht="40.5" customHeight="1">
      <c r="A168" s="3725"/>
      <c r="B168" s="3507"/>
      <c r="C168" s="3514"/>
      <c r="D168" s="3514" t="s">
        <v>2848</v>
      </c>
      <c r="E168" s="3514"/>
      <c r="F168" s="3641">
        <f>((15.78+12.83+20.64+13.58+3.12+4.25+12.8+12.85+3.13+2.41+1.44+3.58+192.71+65.26)+(84.54+9.24+15.05+9.8))*0.1</f>
        <v>48.301000000000002</v>
      </c>
      <c r="G168" s="4825"/>
      <c r="H168" s="3516"/>
      <c r="I168" s="3510"/>
      <c r="M168" s="593"/>
    </row>
    <row r="169" spans="1:13" ht="13.5" customHeight="1">
      <c r="A169" s="3657">
        <v>39</v>
      </c>
      <c r="B169" s="3539" t="s">
        <v>2845</v>
      </c>
      <c r="C169" s="3507">
        <v>961055111</v>
      </c>
      <c r="D169" s="3507" t="s">
        <v>2849</v>
      </c>
      <c r="E169" s="3507" t="s">
        <v>146</v>
      </c>
      <c r="F169" s="4590">
        <f>SUM(F170:F171)</f>
        <v>1.093</v>
      </c>
      <c r="G169" s="2558"/>
      <c r="H169" s="3509">
        <f>F169*G169</f>
        <v>0</v>
      </c>
      <c r="I169" s="2581" t="s">
        <v>137</v>
      </c>
      <c r="M169" s="593"/>
    </row>
    <row r="170" spans="1:13" ht="13.5" customHeight="1">
      <c r="A170" s="3725"/>
      <c r="B170" s="3507"/>
      <c r="C170" s="3514"/>
      <c r="D170" s="3514" t="s">
        <v>2850</v>
      </c>
      <c r="E170" s="3514"/>
      <c r="F170" s="3641">
        <v>0.77</v>
      </c>
      <c r="G170" s="4825"/>
      <c r="H170" s="3516"/>
      <c r="I170" s="3510"/>
      <c r="M170" s="593"/>
    </row>
    <row r="171" spans="1:13" ht="13.5" customHeight="1">
      <c r="A171" s="3725"/>
      <c r="B171" s="3507"/>
      <c r="C171" s="3514"/>
      <c r="D171" s="3514" t="s">
        <v>2851</v>
      </c>
      <c r="E171" s="3514"/>
      <c r="F171" s="3641">
        <v>0.32300000000000001</v>
      </c>
      <c r="G171" s="4825"/>
      <c r="H171" s="3516"/>
      <c r="I171" s="3510"/>
      <c r="M171" s="593"/>
    </row>
    <row r="172" spans="1:13" ht="13.5" customHeight="1">
      <c r="A172" s="3657">
        <v>40</v>
      </c>
      <c r="B172" s="3539" t="s">
        <v>2845</v>
      </c>
      <c r="C172" s="3507">
        <v>961031311</v>
      </c>
      <c r="D172" s="3507" t="s">
        <v>2852</v>
      </c>
      <c r="E172" s="3507" t="s">
        <v>146</v>
      </c>
      <c r="F172" s="4590">
        <f>SUM(F173:F173)</f>
        <v>17.016999999999999</v>
      </c>
      <c r="G172" s="2558"/>
      <c r="H172" s="3509">
        <f>F172*G172</f>
        <v>0</v>
      </c>
      <c r="I172" s="2581" t="s">
        <v>137</v>
      </c>
      <c r="M172" s="593"/>
    </row>
    <row r="173" spans="1:13" ht="13.5" customHeight="1">
      <c r="A173" s="3725"/>
      <c r="B173" s="3507"/>
      <c r="C173" s="3514"/>
      <c r="D173" s="3514" t="s">
        <v>2853</v>
      </c>
      <c r="E173" s="3514"/>
      <c r="F173" s="3641">
        <f>(1.008+12.553+3.456)</f>
        <v>17.016999999999999</v>
      </c>
      <c r="G173" s="4825"/>
      <c r="H173" s="3516"/>
      <c r="I173" s="3510"/>
      <c r="M173" s="593"/>
    </row>
    <row r="174" spans="1:13" ht="13.5" customHeight="1">
      <c r="A174" s="3657">
        <v>41</v>
      </c>
      <c r="B174" s="3539" t="s">
        <v>2845</v>
      </c>
      <c r="C174" s="3507">
        <v>961031411</v>
      </c>
      <c r="D174" s="3507" t="s">
        <v>2854</v>
      </c>
      <c r="E174" s="3507" t="s">
        <v>146</v>
      </c>
      <c r="F174" s="4590">
        <f>SUM(F175:F175)</f>
        <v>6.61</v>
      </c>
      <c r="G174" s="2558"/>
      <c r="H174" s="3509">
        <f>F174*G174</f>
        <v>0</v>
      </c>
      <c r="I174" s="2581" t="s">
        <v>137</v>
      </c>
      <c r="M174" s="593"/>
    </row>
    <row r="175" spans="1:13" ht="13.5" customHeight="1">
      <c r="A175" s="3725"/>
      <c r="B175" s="3507"/>
      <c r="C175" s="3514"/>
      <c r="D175" s="3514" t="s">
        <v>2855</v>
      </c>
      <c r="E175" s="3514"/>
      <c r="F175" s="3641">
        <v>6.61</v>
      </c>
      <c r="G175" s="4825"/>
      <c r="H175" s="3516"/>
      <c r="I175" s="3510"/>
      <c r="M175" s="593"/>
    </row>
    <row r="176" spans="1:13" ht="13.5" customHeight="1">
      <c r="A176" s="3657">
        <v>42</v>
      </c>
      <c r="B176" s="3539" t="s">
        <v>2856</v>
      </c>
      <c r="C176" s="3507">
        <v>962032230</v>
      </c>
      <c r="D176" s="3507" t="s">
        <v>2857</v>
      </c>
      <c r="E176" s="3507" t="s">
        <v>146</v>
      </c>
      <c r="F176" s="4590">
        <f>SUM(F177:F178)</f>
        <v>1.268</v>
      </c>
      <c r="G176" s="2558"/>
      <c r="H176" s="3509">
        <f>F176*G176</f>
        <v>0</v>
      </c>
      <c r="I176" s="2581" t="s">
        <v>137</v>
      </c>
      <c r="M176" s="593"/>
    </row>
    <row r="177" spans="1:13" ht="13.5" customHeight="1">
      <c r="A177" s="3725"/>
      <c r="B177" s="3507"/>
      <c r="C177" s="3514"/>
      <c r="D177" s="3514" t="s">
        <v>2858</v>
      </c>
      <c r="E177" s="3514"/>
      <c r="F177" s="3641">
        <f>(0.36)</f>
        <v>0.36</v>
      </c>
      <c r="G177" s="4825"/>
      <c r="H177" s="3516"/>
      <c r="I177" s="3510"/>
      <c r="M177" s="593"/>
    </row>
    <row r="178" spans="1:13" ht="13.5" customHeight="1">
      <c r="A178" s="3725"/>
      <c r="B178" s="3507"/>
      <c r="C178" s="3514"/>
      <c r="D178" s="3514" t="s">
        <v>2859</v>
      </c>
      <c r="E178" s="3514"/>
      <c r="F178" s="3641">
        <v>0.90800000000000003</v>
      </c>
      <c r="G178" s="4825"/>
      <c r="H178" s="3516"/>
      <c r="I178" s="3510"/>
      <c r="M178" s="593"/>
    </row>
    <row r="179" spans="1:13" ht="13.5" customHeight="1">
      <c r="A179" s="3657">
        <v>43</v>
      </c>
      <c r="B179" s="3539" t="s">
        <v>2856</v>
      </c>
      <c r="C179" s="3507">
        <v>962032231</v>
      </c>
      <c r="D179" s="3507" t="s">
        <v>2860</v>
      </c>
      <c r="E179" s="3507" t="s">
        <v>146</v>
      </c>
      <c r="F179" s="4590">
        <f>SUM(F180:F180)</f>
        <v>8.9719999999999995</v>
      </c>
      <c r="G179" s="2558"/>
      <c r="H179" s="3509">
        <f>F179*G179</f>
        <v>0</v>
      </c>
      <c r="I179" s="2581" t="s">
        <v>137</v>
      </c>
      <c r="M179" s="593"/>
    </row>
    <row r="180" spans="1:13" ht="13.5" customHeight="1">
      <c r="A180" s="3725"/>
      <c r="B180" s="3507"/>
      <c r="C180" s="3514"/>
      <c r="D180" s="3514" t="s">
        <v>2861</v>
      </c>
      <c r="E180" s="3514"/>
      <c r="F180" s="3641">
        <f>(0.36+8.612)</f>
        <v>8.9719999999999995</v>
      </c>
      <c r="G180" s="4825"/>
      <c r="H180" s="3516"/>
      <c r="I180" s="3510"/>
      <c r="M180" s="593"/>
    </row>
    <row r="181" spans="1:13" ht="13.5" customHeight="1">
      <c r="A181" s="3657">
        <v>44</v>
      </c>
      <c r="B181" s="3539" t="s">
        <v>2856</v>
      </c>
      <c r="C181" s="3507">
        <v>962032240</v>
      </c>
      <c r="D181" s="3507" t="s">
        <v>2862</v>
      </c>
      <c r="E181" s="3507" t="s">
        <v>146</v>
      </c>
      <c r="F181" s="4590">
        <f>SUM(F182:F182)</f>
        <v>0.153</v>
      </c>
      <c r="G181" s="2558"/>
      <c r="H181" s="3509">
        <f>F181*G181</f>
        <v>0</v>
      </c>
      <c r="I181" s="2581" t="s">
        <v>137</v>
      </c>
      <c r="M181" s="593"/>
    </row>
    <row r="182" spans="1:13" ht="13.5" customHeight="1">
      <c r="A182" s="3725"/>
      <c r="B182" s="3507"/>
      <c r="C182" s="3514"/>
      <c r="D182" s="3514" t="s">
        <v>2863</v>
      </c>
      <c r="E182" s="3514"/>
      <c r="F182" s="3641">
        <v>0.153</v>
      </c>
      <c r="G182" s="4825"/>
      <c r="H182" s="3516"/>
      <c r="I182" s="3510"/>
      <c r="M182" s="593"/>
    </row>
    <row r="183" spans="1:13" ht="13.5" customHeight="1">
      <c r="A183" s="3657">
        <v>45</v>
      </c>
      <c r="B183" s="3539" t="s">
        <v>2856</v>
      </c>
      <c r="C183" s="3507">
        <v>962032241</v>
      </c>
      <c r="D183" s="3507" t="s">
        <v>2864</v>
      </c>
      <c r="E183" s="3507" t="s">
        <v>146</v>
      </c>
      <c r="F183" s="4590">
        <f>SUM(F184:F185)</f>
        <v>57.910000000000004</v>
      </c>
      <c r="G183" s="2558"/>
      <c r="H183" s="3509">
        <f>F183*G183</f>
        <v>0</v>
      </c>
      <c r="I183" s="2581" t="s">
        <v>137</v>
      </c>
      <c r="M183" s="593"/>
    </row>
    <row r="184" spans="1:13" ht="13.5" customHeight="1">
      <c r="A184" s="3725"/>
      <c r="B184" s="3507"/>
      <c r="C184" s="3514"/>
      <c r="D184" s="3514" t="s">
        <v>2865</v>
      </c>
      <c r="E184" s="3514"/>
      <c r="F184" s="3641">
        <v>37.270000000000003</v>
      </c>
      <c r="G184" s="4825"/>
      <c r="H184" s="3516"/>
      <c r="I184" s="3510"/>
      <c r="M184" s="593"/>
    </row>
    <row r="185" spans="1:13" ht="13.5" customHeight="1">
      <c r="A185" s="3725"/>
      <c r="B185" s="3507"/>
      <c r="C185" s="3514"/>
      <c r="D185" s="3514" t="s">
        <v>2866</v>
      </c>
      <c r="E185" s="3514"/>
      <c r="F185" s="3641">
        <v>20.64</v>
      </c>
      <c r="G185" s="4825"/>
      <c r="H185" s="3516"/>
      <c r="I185" s="3510"/>
      <c r="M185" s="593"/>
    </row>
    <row r="186" spans="1:13" ht="13.5" customHeight="1">
      <c r="A186" s="3657">
        <v>46</v>
      </c>
      <c r="B186" s="3539" t="s">
        <v>2856</v>
      </c>
      <c r="C186" s="3507">
        <v>962052210</v>
      </c>
      <c r="D186" s="3507" t="s">
        <v>2867</v>
      </c>
      <c r="E186" s="3507" t="s">
        <v>146</v>
      </c>
      <c r="F186" s="4590">
        <f>SUM(F187:F187)</f>
        <v>0.16</v>
      </c>
      <c r="G186" s="2558"/>
      <c r="H186" s="3509">
        <f>F186*G186</f>
        <v>0</v>
      </c>
      <c r="I186" s="2581" t="s">
        <v>137</v>
      </c>
      <c r="M186" s="593"/>
    </row>
    <row r="187" spans="1:13" ht="13.5" customHeight="1">
      <c r="A187" s="3725"/>
      <c r="B187" s="3507"/>
      <c r="C187" s="3514"/>
      <c r="D187" s="3514" t="s">
        <v>2868</v>
      </c>
      <c r="E187" s="3514"/>
      <c r="F187" s="3641">
        <v>0.16</v>
      </c>
      <c r="G187" s="4825"/>
      <c r="H187" s="3516"/>
      <c r="I187" s="3510"/>
      <c r="M187" s="593"/>
    </row>
    <row r="188" spans="1:13" s="888" customFormat="1" ht="13.5" customHeight="1">
      <c r="A188" s="3657">
        <v>47</v>
      </c>
      <c r="B188" s="3539" t="s">
        <v>2856</v>
      </c>
      <c r="C188" s="3507">
        <v>962081131</v>
      </c>
      <c r="D188" s="3507" t="s">
        <v>2869</v>
      </c>
      <c r="E188" s="3507" t="s">
        <v>163</v>
      </c>
      <c r="F188" s="4590">
        <f>SUM(F189:F189)</f>
        <v>3.6190000000000002</v>
      </c>
      <c r="G188" s="2558"/>
      <c r="H188" s="3509">
        <f>F188*G188</f>
        <v>0</v>
      </c>
      <c r="I188" s="2581" t="s">
        <v>137</v>
      </c>
      <c r="J188" s="4621"/>
    </row>
    <row r="189" spans="1:13" s="888" customFormat="1" ht="13.5" customHeight="1">
      <c r="A189" s="3657"/>
      <c r="B189" s="3539"/>
      <c r="C189" s="3507"/>
      <c r="D189" s="3530" t="s">
        <v>2870</v>
      </c>
      <c r="E189" s="3507"/>
      <c r="F189" s="4615">
        <v>3.6190000000000002</v>
      </c>
      <c r="G189" s="2558"/>
      <c r="H189" s="3509"/>
      <c r="I189" s="3510"/>
      <c r="J189" s="4622"/>
    </row>
    <row r="190" spans="1:13" ht="13.5" customHeight="1">
      <c r="A190" s="3657">
        <v>48</v>
      </c>
      <c r="B190" s="3539" t="s">
        <v>2871</v>
      </c>
      <c r="C190" s="3507" t="s">
        <v>2872</v>
      </c>
      <c r="D190" s="3507" t="s">
        <v>2873</v>
      </c>
      <c r="E190" s="3507" t="s">
        <v>163</v>
      </c>
      <c r="F190" s="4590">
        <f>SUM(F191:F191)</f>
        <v>8.9</v>
      </c>
      <c r="G190" s="2558"/>
      <c r="H190" s="3509">
        <f>F190*G190</f>
        <v>0</v>
      </c>
      <c r="I190" s="3510" t="s">
        <v>2874</v>
      </c>
    </row>
    <row r="191" spans="1:13" ht="13.5" customHeight="1">
      <c r="A191" s="3657"/>
      <c r="B191" s="3539"/>
      <c r="C191" s="3507"/>
      <c r="D191" s="3514" t="s">
        <v>2875</v>
      </c>
      <c r="E191" s="3507"/>
      <c r="F191" s="4615">
        <f>4.45*2</f>
        <v>8.9</v>
      </c>
      <c r="G191" s="2558"/>
      <c r="H191" s="3509"/>
      <c r="I191" s="3510"/>
    </row>
    <row r="192" spans="1:13" s="888" customFormat="1" ht="63" customHeight="1">
      <c r="A192" s="3657"/>
      <c r="B192" s="3539"/>
      <c r="C192" s="3507"/>
      <c r="D192" s="2314" t="s">
        <v>6337</v>
      </c>
      <c r="E192" s="3507"/>
      <c r="F192" s="3641"/>
      <c r="G192" s="2558"/>
      <c r="H192" s="3509"/>
      <c r="I192" s="3506"/>
    </row>
    <row r="193" spans="1:16" ht="13.5" customHeight="1">
      <c r="A193" s="3657">
        <v>49</v>
      </c>
      <c r="B193" s="3539" t="s">
        <v>2871</v>
      </c>
      <c r="C193" s="3507" t="s">
        <v>2877</v>
      </c>
      <c r="D193" s="3507" t="s">
        <v>2878</v>
      </c>
      <c r="E193" s="3507" t="s">
        <v>146</v>
      </c>
      <c r="F193" s="4590">
        <f>SUM(F194:F196)</f>
        <v>1.1338750000000002</v>
      </c>
      <c r="G193" s="2558"/>
      <c r="H193" s="3509">
        <f>F193*G193</f>
        <v>0</v>
      </c>
      <c r="I193" s="3510" t="s">
        <v>2874</v>
      </c>
    </row>
    <row r="194" spans="1:16" ht="13.5" customHeight="1">
      <c r="A194" s="3657"/>
      <c r="B194" s="3539"/>
      <c r="C194" s="3507"/>
      <c r="D194" s="3514" t="s">
        <v>2879</v>
      </c>
      <c r="E194" s="3507"/>
      <c r="F194" s="4615">
        <f>((1.175*0.3)+(1.25*0.3))*0.25</f>
        <v>0.18187500000000001</v>
      </c>
      <c r="G194" s="2558"/>
      <c r="H194" s="3509"/>
      <c r="I194" s="3510"/>
      <c r="J194" s="3507"/>
    </row>
    <row r="195" spans="1:16" ht="13.5" customHeight="1">
      <c r="A195" s="3657"/>
      <c r="B195" s="3539"/>
      <c r="C195" s="3507"/>
      <c r="D195" s="3514" t="s">
        <v>2880</v>
      </c>
      <c r="E195" s="3507"/>
      <c r="F195" s="4615">
        <f>((0.5*0.225)+(0.225*0.25)+(0.85*0.225))*0.25</f>
        <v>0.09</v>
      </c>
      <c r="G195" s="2558"/>
      <c r="H195" s="3509"/>
      <c r="I195" s="3510"/>
    </row>
    <row r="196" spans="1:16" ht="13.5" customHeight="1">
      <c r="A196" s="3657"/>
      <c r="B196" s="3539"/>
      <c r="C196" s="3507"/>
      <c r="D196" s="3514" t="s">
        <v>2881</v>
      </c>
      <c r="E196" s="3507"/>
      <c r="F196" s="4615">
        <f xml:space="preserve"> ((0.4*0.4*7)+(1.32*0.4)+(0.9*0.4*5))*0.25</f>
        <v>0.8620000000000001</v>
      </c>
      <c r="G196" s="2558"/>
      <c r="H196" s="3509"/>
      <c r="I196" s="3510"/>
    </row>
    <row r="197" spans="1:16" ht="13.5" customHeight="1">
      <c r="A197" s="3657"/>
      <c r="B197" s="3539"/>
      <c r="C197" s="3507"/>
      <c r="D197" s="3514" t="s">
        <v>2882</v>
      </c>
      <c r="E197" s="3507"/>
      <c r="F197" s="4615"/>
      <c r="G197" s="2558"/>
      <c r="H197" s="3509"/>
      <c r="I197" s="3510"/>
    </row>
    <row r="198" spans="1:16" s="888" customFormat="1" ht="63" customHeight="1">
      <c r="A198" s="3657"/>
      <c r="B198" s="3539"/>
      <c r="C198" s="3507"/>
      <c r="D198" s="2314" t="s">
        <v>6337</v>
      </c>
      <c r="E198" s="3507"/>
      <c r="F198" s="3641"/>
      <c r="G198" s="2558"/>
      <c r="H198" s="3509"/>
      <c r="I198" s="3506"/>
    </row>
    <row r="199" spans="1:16" ht="13.5" customHeight="1">
      <c r="A199" s="3657">
        <v>50</v>
      </c>
      <c r="B199" s="3539" t="s">
        <v>2871</v>
      </c>
      <c r="C199" s="3507" t="s">
        <v>2883</v>
      </c>
      <c r="D199" s="3507" t="s">
        <v>2884</v>
      </c>
      <c r="E199" s="3507" t="s">
        <v>146</v>
      </c>
      <c r="F199" s="4590">
        <f>F200</f>
        <v>6.3010000000000002</v>
      </c>
      <c r="G199" s="2558"/>
      <c r="H199" s="3509">
        <f>F199*G199</f>
        <v>0</v>
      </c>
      <c r="I199" s="3510" t="s">
        <v>2874</v>
      </c>
    </row>
    <row r="200" spans="1:16" ht="13.5" customHeight="1">
      <c r="A200" s="3657"/>
      <c r="B200" s="3539"/>
      <c r="C200" s="3507"/>
      <c r="D200" s="3514" t="s">
        <v>2885</v>
      </c>
      <c r="E200" s="3507"/>
      <c r="F200" s="4615">
        <v>6.3010000000000002</v>
      </c>
      <c r="G200" s="2558"/>
      <c r="H200" s="3509"/>
      <c r="I200" s="3510"/>
    </row>
    <row r="201" spans="1:16" s="888" customFormat="1" ht="63" customHeight="1">
      <c r="A201" s="3657"/>
      <c r="B201" s="3539"/>
      <c r="C201" s="3507"/>
      <c r="D201" s="2314" t="s">
        <v>6337</v>
      </c>
      <c r="E201" s="3507"/>
      <c r="F201" s="3641"/>
      <c r="G201" s="2558"/>
      <c r="H201" s="3509"/>
      <c r="I201" s="3506"/>
    </row>
    <row r="202" spans="1:16" s="888" customFormat="1" ht="27" customHeight="1">
      <c r="A202" s="3725">
        <v>51</v>
      </c>
      <c r="B202" s="3539" t="s">
        <v>2886</v>
      </c>
      <c r="C202" s="3507" t="s">
        <v>2887</v>
      </c>
      <c r="D202" s="3507" t="s">
        <v>2888</v>
      </c>
      <c r="E202" s="3507" t="s">
        <v>205</v>
      </c>
      <c r="F202" s="4590">
        <f>SUM(F204:F205)</f>
        <v>3</v>
      </c>
      <c r="G202" s="2559"/>
      <c r="H202" s="3532">
        <f>F202*G202</f>
        <v>0</v>
      </c>
      <c r="I202" s="3510" t="s">
        <v>2874</v>
      </c>
      <c r="J202" s="4622"/>
      <c r="P202" s="4623"/>
    </row>
    <row r="203" spans="1:16" s="888" customFormat="1" ht="13.5" customHeight="1">
      <c r="A203" s="3725"/>
      <c r="B203" s="3539"/>
      <c r="C203" s="3507"/>
      <c r="D203" s="3530" t="s">
        <v>2889</v>
      </c>
      <c r="E203" s="3507"/>
      <c r="F203" s="4615"/>
      <c r="G203" s="2559"/>
      <c r="H203" s="3532"/>
      <c r="I203" s="3510"/>
      <c r="J203" s="4624"/>
    </row>
    <row r="204" spans="1:16" s="888" customFormat="1" ht="13.5" customHeight="1">
      <c r="A204" s="3725"/>
      <c r="B204" s="3539"/>
      <c r="C204" s="3507"/>
      <c r="D204" s="3530" t="s">
        <v>2890</v>
      </c>
      <c r="E204" s="3507"/>
      <c r="F204" s="4615">
        <v>2</v>
      </c>
      <c r="G204" s="2559"/>
      <c r="H204" s="3532"/>
      <c r="I204" s="3510"/>
      <c r="J204" s="4624"/>
    </row>
    <row r="205" spans="1:16" s="888" customFormat="1" ht="13.5" customHeight="1">
      <c r="A205" s="3725"/>
      <c r="B205" s="3539"/>
      <c r="C205" s="3507"/>
      <c r="D205" s="3530" t="s">
        <v>2891</v>
      </c>
      <c r="E205" s="3507"/>
      <c r="F205" s="4615">
        <v>1</v>
      </c>
      <c r="G205" s="2559"/>
      <c r="H205" s="3532"/>
      <c r="I205" s="3510"/>
      <c r="J205" s="4624"/>
    </row>
    <row r="206" spans="1:16" s="888" customFormat="1" ht="40.5" customHeight="1">
      <c r="A206" s="3782"/>
      <c r="B206" s="3594"/>
      <c r="C206" s="3594"/>
      <c r="D206" s="3514" t="s">
        <v>2892</v>
      </c>
      <c r="E206" s="3594"/>
      <c r="F206" s="3641"/>
      <c r="G206" s="4826"/>
      <c r="H206" s="3532"/>
      <c r="I206" s="3506"/>
      <c r="J206" s="4622"/>
      <c r="L206" s="4625"/>
    </row>
    <row r="207" spans="1:16" s="888" customFormat="1" ht="69.75" customHeight="1">
      <c r="A207" s="3782"/>
      <c r="B207" s="4054"/>
      <c r="C207" s="3594"/>
      <c r="D207" s="2314" t="s">
        <v>6337</v>
      </c>
      <c r="E207" s="3514"/>
      <c r="F207" s="3641"/>
      <c r="G207" s="2559"/>
      <c r="H207" s="3532"/>
      <c r="I207" s="3506"/>
    </row>
    <row r="208" spans="1:16" s="888" customFormat="1" ht="13.5" customHeight="1">
      <c r="A208" s="3657">
        <v>52</v>
      </c>
      <c r="B208" s="3539" t="s">
        <v>2893</v>
      </c>
      <c r="C208" s="3507">
        <v>965082932</v>
      </c>
      <c r="D208" s="3507" t="s">
        <v>2894</v>
      </c>
      <c r="E208" s="3507" t="s">
        <v>163</v>
      </c>
      <c r="F208" s="4590">
        <f>SUM(F209:F209)</f>
        <v>1.44</v>
      </c>
      <c r="G208" s="2558"/>
      <c r="H208" s="3509">
        <f>F208*G208</f>
        <v>0</v>
      </c>
      <c r="I208" s="2581" t="s">
        <v>137</v>
      </c>
      <c r="J208" s="4621"/>
    </row>
    <row r="209" spans="1:12" s="888" customFormat="1" ht="13.5" customHeight="1">
      <c r="A209" s="3657"/>
      <c r="B209" s="3539"/>
      <c r="C209" s="3507"/>
      <c r="D209" s="3530" t="s">
        <v>2895</v>
      </c>
      <c r="E209" s="3507"/>
      <c r="F209" s="4615">
        <v>1.44</v>
      </c>
      <c r="G209" s="2558"/>
      <c r="H209" s="3509"/>
      <c r="I209" s="3510"/>
      <c r="J209" s="4622"/>
    </row>
    <row r="210" spans="1:12" s="888" customFormat="1" ht="13.5" customHeight="1">
      <c r="A210" s="3657">
        <v>53</v>
      </c>
      <c r="B210" s="3539" t="s">
        <v>2893</v>
      </c>
      <c r="C210" s="3507">
        <v>965082933</v>
      </c>
      <c r="D210" s="3507" t="s">
        <v>2896</v>
      </c>
      <c r="E210" s="3507" t="s">
        <v>163</v>
      </c>
      <c r="F210" s="4590">
        <f>SUM(F211:F211)</f>
        <v>362.94</v>
      </c>
      <c r="G210" s="2558"/>
      <c r="H210" s="3509">
        <f>F210*G210</f>
        <v>0</v>
      </c>
      <c r="I210" s="2581" t="s">
        <v>137</v>
      </c>
      <c r="J210" s="4621"/>
    </row>
    <row r="211" spans="1:12" s="888" customFormat="1" ht="27" customHeight="1">
      <c r="A211" s="3657"/>
      <c r="B211" s="3539"/>
      <c r="C211" s="3507"/>
      <c r="D211" s="3530" t="s">
        <v>2897</v>
      </c>
      <c r="E211" s="3507"/>
      <c r="F211" s="4615">
        <f>(15.78+12.83+20.64+13.58+3.12+4.25+12.8+12.85+3.13+2.41+3.58+192.71+65.26)</f>
        <v>362.94</v>
      </c>
      <c r="G211" s="2558"/>
      <c r="H211" s="3509"/>
      <c r="I211" s="3510"/>
      <c r="J211" s="4622"/>
    </row>
    <row r="212" spans="1:12" s="888" customFormat="1" ht="13.5" customHeight="1">
      <c r="A212" s="3657">
        <v>54</v>
      </c>
      <c r="B212" s="3539" t="s">
        <v>2893</v>
      </c>
      <c r="C212" s="3507">
        <v>965045112</v>
      </c>
      <c r="D212" s="3507" t="s">
        <v>2898</v>
      </c>
      <c r="E212" s="3507" t="s">
        <v>163</v>
      </c>
      <c r="F212" s="4590">
        <f>SUM(F213:F213)</f>
        <v>8.2799999999999994</v>
      </c>
      <c r="G212" s="2558"/>
      <c r="H212" s="3509">
        <f>F212*G212</f>
        <v>0</v>
      </c>
      <c r="I212" s="2581" t="s">
        <v>137</v>
      </c>
      <c r="J212" s="4621"/>
    </row>
    <row r="213" spans="1:12" s="888" customFormat="1" ht="13.5" customHeight="1">
      <c r="A213" s="3657"/>
      <c r="B213" s="3539"/>
      <c r="C213" s="3507"/>
      <c r="D213" s="3530" t="s">
        <v>2899</v>
      </c>
      <c r="E213" s="3507"/>
      <c r="F213" s="4615">
        <v>8.2799999999999994</v>
      </c>
      <c r="G213" s="2558"/>
      <c r="H213" s="3509"/>
      <c r="I213" s="3510"/>
      <c r="J213" s="4622"/>
    </row>
    <row r="214" spans="1:12" s="888" customFormat="1" ht="27" customHeight="1">
      <c r="A214" s="3657">
        <v>55</v>
      </c>
      <c r="B214" s="3539" t="s">
        <v>2893</v>
      </c>
      <c r="C214" s="3507">
        <v>965042131</v>
      </c>
      <c r="D214" s="3507" t="s">
        <v>2900</v>
      </c>
      <c r="E214" s="3507" t="s">
        <v>146</v>
      </c>
      <c r="F214" s="4590">
        <f>SUM(F215:F217)</f>
        <v>51.101000000000006</v>
      </c>
      <c r="G214" s="2558"/>
      <c r="H214" s="3509">
        <f>F214*G214</f>
        <v>0</v>
      </c>
      <c r="I214" s="2581" t="s">
        <v>137</v>
      </c>
      <c r="J214" s="4621"/>
    </row>
    <row r="215" spans="1:12" s="888" customFormat="1" ht="13.5" customHeight="1">
      <c r="A215" s="3657"/>
      <c r="B215" s="3539"/>
      <c r="C215" s="3507"/>
      <c r="D215" s="3530" t="s">
        <v>2901</v>
      </c>
      <c r="E215" s="3507"/>
      <c r="F215" s="4615">
        <f>(8.28)*0.07</f>
        <v>0.5796</v>
      </c>
      <c r="G215" s="2558"/>
      <c r="H215" s="3509"/>
      <c r="I215" s="3510"/>
      <c r="J215" s="4622"/>
    </row>
    <row r="216" spans="1:12" s="888" customFormat="1" ht="54" customHeight="1">
      <c r="A216" s="3657"/>
      <c r="B216" s="3539"/>
      <c r="C216" s="3507"/>
      <c r="D216" s="3530" t="s">
        <v>2902</v>
      </c>
      <c r="E216" s="3507"/>
      <c r="F216" s="4615">
        <f>((5.52+6.84+11.15+5.5+1.08+0.78+24.21+4.34+5.09+3.15+2.24+3.15+6.02+43.03+38.25+17.25+9.22+23.03)+(15.78+12.83+20.64+13.58+3.12+4.25+12.8+12.85+3.13+2.41+1.44+3.58+192.71+65.26)+(84.54+9.24+15.05+9.8))*0.07</f>
        <v>48.500200000000007</v>
      </c>
      <c r="G216" s="2558"/>
      <c r="H216" s="3509"/>
      <c r="I216" s="3510"/>
      <c r="J216" s="4622"/>
    </row>
    <row r="217" spans="1:12" s="888" customFormat="1" ht="27" customHeight="1">
      <c r="A217" s="3657"/>
      <c r="B217" s="3539"/>
      <c r="C217" s="3507"/>
      <c r="D217" s="3530" t="s">
        <v>2903</v>
      </c>
      <c r="E217" s="3507"/>
      <c r="F217" s="4615">
        <f>(2.24+6.74+6.18+1.4+5.96+5.29+3.36+4.96+4.75+1.96+2.65+3.68+1.36)*0.04</f>
        <v>2.0211999999999999</v>
      </c>
      <c r="G217" s="2558"/>
      <c r="H217" s="3509"/>
      <c r="I217" s="3510"/>
      <c r="J217" s="4622"/>
    </row>
    <row r="218" spans="1:12" s="888" customFormat="1" ht="27" customHeight="1">
      <c r="A218" s="3657">
        <v>56</v>
      </c>
      <c r="B218" s="3539" t="s">
        <v>2893</v>
      </c>
      <c r="C218" s="3507">
        <v>965042141</v>
      </c>
      <c r="D218" s="3507" t="s">
        <v>2904</v>
      </c>
      <c r="E218" s="3507" t="s">
        <v>146</v>
      </c>
      <c r="F218" s="4590">
        <f>SUM(F219:F219)</f>
        <v>3.0350000000000001</v>
      </c>
      <c r="G218" s="2558"/>
      <c r="H218" s="3509">
        <f>F218*G218</f>
        <v>0</v>
      </c>
      <c r="I218" s="2581" t="s">
        <v>137</v>
      </c>
      <c r="J218" s="4621"/>
    </row>
    <row r="219" spans="1:12" s="888" customFormat="1" ht="13.5" customHeight="1">
      <c r="A219" s="3657"/>
      <c r="B219" s="3539"/>
      <c r="C219" s="3507"/>
      <c r="D219" s="3530" t="s">
        <v>2905</v>
      </c>
      <c r="E219" s="3507"/>
      <c r="F219" s="4615">
        <f>(5.5+15.05+9.8)*0.1</f>
        <v>3.0350000000000001</v>
      </c>
      <c r="G219" s="2558"/>
      <c r="H219" s="3509"/>
      <c r="I219" s="3510"/>
      <c r="J219" s="4622"/>
    </row>
    <row r="220" spans="1:12" s="888" customFormat="1" ht="27" customHeight="1">
      <c r="A220" s="3657">
        <v>57</v>
      </c>
      <c r="B220" s="3539" t="s">
        <v>2893</v>
      </c>
      <c r="C220" s="3507">
        <v>965042241</v>
      </c>
      <c r="D220" s="3507" t="s">
        <v>2906</v>
      </c>
      <c r="E220" s="3507" t="s">
        <v>146</v>
      </c>
      <c r="F220" s="4590">
        <f>SUM(F221:F221)</f>
        <v>1.5255000000000001</v>
      </c>
      <c r="G220" s="2558"/>
      <c r="H220" s="3509">
        <f>F220*G220</f>
        <v>0</v>
      </c>
      <c r="I220" s="2581" t="s">
        <v>137</v>
      </c>
      <c r="J220" s="4621"/>
    </row>
    <row r="221" spans="1:12" s="888" customFormat="1" ht="13.5" customHeight="1">
      <c r="A221" s="3657"/>
      <c r="B221" s="3539"/>
      <c r="C221" s="3507"/>
      <c r="D221" s="3530" t="s">
        <v>2907</v>
      </c>
      <c r="E221" s="3507"/>
      <c r="F221" s="4615">
        <f>(5.65*2.25)*0.12</f>
        <v>1.5255000000000001</v>
      </c>
      <c r="G221" s="2558"/>
      <c r="H221" s="3509"/>
      <c r="I221" s="3510"/>
      <c r="J221" s="4622"/>
    </row>
    <row r="222" spans="1:12" s="888" customFormat="1" ht="13.5" customHeight="1">
      <c r="A222" s="3657">
        <v>58</v>
      </c>
      <c r="B222" s="3539" t="s">
        <v>2893</v>
      </c>
      <c r="C222" s="3507">
        <v>965081223</v>
      </c>
      <c r="D222" s="3507" t="s">
        <v>2908</v>
      </c>
      <c r="E222" s="3507" t="s">
        <v>163</v>
      </c>
      <c r="F222" s="4590">
        <f>SUM(F224:F225)</f>
        <v>383.44</v>
      </c>
      <c r="G222" s="2558"/>
      <c r="H222" s="3509">
        <f>F222*G222</f>
        <v>0</v>
      </c>
      <c r="I222" s="4559" t="s">
        <v>137</v>
      </c>
    </row>
    <row r="223" spans="1:12" s="888" customFormat="1" ht="13.5" customHeight="1">
      <c r="A223" s="3657"/>
      <c r="B223" s="3539"/>
      <c r="C223" s="3507"/>
      <c r="D223" s="3514" t="s">
        <v>2909</v>
      </c>
      <c r="E223" s="3507"/>
      <c r="F223" s="3641"/>
      <c r="G223" s="2558"/>
      <c r="H223" s="3509"/>
      <c r="I223" s="3943"/>
    </row>
    <row r="224" spans="1:12" s="888" customFormat="1" ht="40.5" customHeight="1">
      <c r="A224" s="3657"/>
      <c r="B224" s="3539"/>
      <c r="C224" s="3507"/>
      <c r="D224" s="3514" t="s">
        <v>2910</v>
      </c>
      <c r="E224" s="3507"/>
      <c r="F224" s="3641">
        <f>(5.52+6.84+11.15+24.21+15.78+12.83+20.64+13.58+3.12+2.41+1.44+3.58+84.54+5.09+3.15+2.24+3.15+6.02+43.03+38.25+17.25+9.09)</f>
        <v>332.91</v>
      </c>
      <c r="G224" s="2558"/>
      <c r="H224" s="3509"/>
      <c r="I224" s="3943"/>
      <c r="J224" s="3619"/>
      <c r="K224" s="3619"/>
      <c r="L224" s="3619"/>
    </row>
    <row r="225" spans="1:12" s="888" customFormat="1" ht="13.5" customHeight="1">
      <c r="A225" s="3657"/>
      <c r="B225" s="3539"/>
      <c r="C225" s="3507"/>
      <c r="D225" s="3671" t="s">
        <v>2911</v>
      </c>
      <c r="E225" s="3507"/>
      <c r="F225" s="3641">
        <f>(2.24+6.74+6.18+1.4+5.96+5.29+3.36+4.96+4.75+1.96+2.65+3.68+1.36)</f>
        <v>50.529999999999994</v>
      </c>
      <c r="G225" s="2558"/>
      <c r="H225" s="3509"/>
      <c r="I225" s="3943"/>
      <c r="J225" s="3619"/>
      <c r="K225" s="3619"/>
      <c r="L225" s="3619"/>
    </row>
    <row r="226" spans="1:12" s="888" customFormat="1" ht="13.5" customHeight="1">
      <c r="A226" s="4626">
        <v>59</v>
      </c>
      <c r="B226" s="2435">
        <v>968</v>
      </c>
      <c r="C226" s="2435" t="s">
        <v>2912</v>
      </c>
      <c r="D226" s="2435" t="s">
        <v>2913</v>
      </c>
      <c r="E226" s="2435" t="s">
        <v>163</v>
      </c>
      <c r="F226" s="4627">
        <f>SUM(F227:F229)</f>
        <v>258.75</v>
      </c>
      <c r="G226" s="4827"/>
      <c r="H226" s="4035">
        <f>F226*G226</f>
        <v>0</v>
      </c>
      <c r="I226" s="3510" t="s">
        <v>111</v>
      </c>
      <c r="J226" s="3592"/>
    </row>
    <row r="227" spans="1:12" s="888" customFormat="1" ht="13.5" customHeight="1">
      <c r="A227" s="4628"/>
      <c r="B227" s="2435"/>
      <c r="C227" s="2435"/>
      <c r="D227" s="2421" t="s">
        <v>2914</v>
      </c>
      <c r="E227" s="2435"/>
      <c r="F227" s="3641">
        <f>(0.9*0.6*4)</f>
        <v>2.16</v>
      </c>
      <c r="G227" s="4827"/>
      <c r="H227" s="4035"/>
      <c r="I227" s="2436"/>
    </row>
    <row r="228" spans="1:12" s="888" customFormat="1" ht="27" customHeight="1">
      <c r="A228" s="4628"/>
      <c r="B228" s="2435"/>
      <c r="C228" s="2435"/>
      <c r="D228" s="2421" t="s">
        <v>2915</v>
      </c>
      <c r="E228" s="2435"/>
      <c r="F228" s="3641">
        <f>(2.4*1.8*12)+(0.9*1.8*3)+(1.2*1.8*3)+(2.4*2.1*9)+(0.9*2.1*4)+(1.2*2.1*4)</f>
        <v>126.18</v>
      </c>
      <c r="G228" s="4827"/>
      <c r="H228" s="4035"/>
      <c r="I228" s="2436"/>
    </row>
    <row r="229" spans="1:12" s="888" customFormat="1" ht="13.5" customHeight="1">
      <c r="A229" s="4628"/>
      <c r="B229" s="2435"/>
      <c r="C229" s="2435"/>
      <c r="D229" s="2421" t="s">
        <v>2916</v>
      </c>
      <c r="E229" s="2435"/>
      <c r="F229" s="3641">
        <f>(2.4*2.1*12)+(0.9*2.1*5)+(1.2*2.1*4)+(2.4*2.1*10)</f>
        <v>130.41</v>
      </c>
      <c r="G229" s="4827"/>
      <c r="H229" s="4035"/>
      <c r="I229" s="2436"/>
    </row>
    <row r="230" spans="1:12" s="888" customFormat="1" ht="40.5" customHeight="1">
      <c r="A230" s="4629"/>
      <c r="B230" s="2420"/>
      <c r="C230" s="2420"/>
      <c r="D230" s="3514" t="s">
        <v>2917</v>
      </c>
      <c r="E230" s="2420"/>
      <c r="F230" s="4630"/>
      <c r="G230" s="4828"/>
      <c r="H230" s="4035"/>
      <c r="I230" s="2436"/>
    </row>
    <row r="231" spans="1:12" s="4638" customFormat="1" ht="67.5" customHeight="1">
      <c r="A231" s="4631"/>
      <c r="B231" s="4632"/>
      <c r="C231" s="4633"/>
      <c r="D231" s="4606" t="s">
        <v>310</v>
      </c>
      <c r="E231" s="4128"/>
      <c r="F231" s="4634"/>
      <c r="G231" s="223"/>
      <c r="H231" s="4635"/>
      <c r="I231" s="4636"/>
      <c r="J231" s="4637"/>
      <c r="L231" s="4639"/>
    </row>
    <row r="232" spans="1:12" s="888" customFormat="1" ht="13.5" customHeight="1">
      <c r="A232" s="4142">
        <v>60</v>
      </c>
      <c r="B232" s="2435">
        <v>968</v>
      </c>
      <c r="C232" s="3507" t="s">
        <v>2919</v>
      </c>
      <c r="D232" s="3507" t="s">
        <v>2920</v>
      </c>
      <c r="E232" s="3507" t="s">
        <v>163</v>
      </c>
      <c r="F232" s="4590">
        <f>SUM(F233:F234)</f>
        <v>90.156999999999996</v>
      </c>
      <c r="G232" s="2558"/>
      <c r="H232" s="3509">
        <f>F232*G232</f>
        <v>0</v>
      </c>
      <c r="I232" s="3510" t="s">
        <v>111</v>
      </c>
      <c r="J232" s="3592"/>
    </row>
    <row r="233" spans="1:12" s="888" customFormat="1" ht="40.5" customHeight="1">
      <c r="A233" s="3657"/>
      <c r="B233" s="3539"/>
      <c r="C233" s="3507"/>
      <c r="D233" s="3514" t="s">
        <v>2921</v>
      </c>
      <c r="E233" s="3507"/>
      <c r="F233" s="3641">
        <f>(1.65*1.97)+(0.8*1.97)+(0.6*1.97*12)+(0.8*1.97*15)+(0.9*1.97*2)+((0.9+0.615)*2.1)+(1.45*1.97)+(1.25*1.97*7)+(1.65*1.97)</f>
        <v>72.722499999999997</v>
      </c>
      <c r="G233" s="2558"/>
      <c r="H233" s="3509"/>
      <c r="I233" s="3506"/>
    </row>
    <row r="234" spans="1:12" s="888" customFormat="1" ht="13.5" customHeight="1">
      <c r="A234" s="3657"/>
      <c r="B234" s="3539"/>
      <c r="C234" s="3507"/>
      <c r="D234" s="3514" t="s">
        <v>2922</v>
      </c>
      <c r="E234" s="3507"/>
      <c r="F234" s="3641">
        <f>(0.6*1.97*10)+(0.8*1.97*2)+(1.25*1.97)</f>
        <v>17.4345</v>
      </c>
      <c r="G234" s="2558"/>
      <c r="H234" s="3509"/>
      <c r="I234" s="3506"/>
    </row>
    <row r="235" spans="1:12" s="888" customFormat="1" ht="54" customHeight="1">
      <c r="A235" s="3657"/>
      <c r="B235" s="3539"/>
      <c r="C235" s="3507"/>
      <c r="D235" s="3514" t="s">
        <v>2923</v>
      </c>
      <c r="E235" s="3507"/>
      <c r="F235" s="3641"/>
      <c r="G235" s="2558"/>
      <c r="H235" s="3509"/>
      <c r="I235" s="3506"/>
    </row>
    <row r="236" spans="1:12" s="4638" customFormat="1" ht="67.5" customHeight="1">
      <c r="A236" s="4631"/>
      <c r="B236" s="4632"/>
      <c r="C236" s="4633"/>
      <c r="D236" s="4606" t="s">
        <v>310</v>
      </c>
      <c r="E236" s="4128"/>
      <c r="F236" s="4634"/>
      <c r="G236" s="223"/>
      <c r="H236" s="4635"/>
      <c r="I236" s="4636"/>
      <c r="J236" s="4637"/>
      <c r="L236" s="4639"/>
    </row>
    <row r="237" spans="1:12" s="888" customFormat="1" ht="13.5" customHeight="1">
      <c r="A237" s="3725">
        <v>61</v>
      </c>
      <c r="B237" s="2577" t="s">
        <v>2924</v>
      </c>
      <c r="C237" s="3507">
        <v>974031664</v>
      </c>
      <c r="D237" s="3507" t="s">
        <v>2925</v>
      </c>
      <c r="E237" s="3507" t="s">
        <v>141</v>
      </c>
      <c r="F237" s="4590">
        <f>SUM(F238:F246)</f>
        <v>37.450000000000003</v>
      </c>
      <c r="G237" s="2559"/>
      <c r="H237" s="3532">
        <f>F237*G237</f>
        <v>0</v>
      </c>
      <c r="I237" s="3510" t="s">
        <v>1801</v>
      </c>
      <c r="J237" s="4640"/>
    </row>
    <row r="238" spans="1:12" s="888" customFormat="1" ht="13.5" customHeight="1">
      <c r="A238" s="3725"/>
      <c r="B238" s="2577"/>
      <c r="C238" s="3507"/>
      <c r="D238" s="3514" t="s">
        <v>2926</v>
      </c>
      <c r="E238" s="3507"/>
      <c r="F238" s="4641"/>
      <c r="G238" s="2559"/>
      <c r="H238" s="3532"/>
      <c r="I238" s="1368"/>
      <c r="J238" s="4640"/>
    </row>
    <row r="239" spans="1:12" s="888" customFormat="1" ht="27" customHeight="1">
      <c r="A239" s="3725"/>
      <c r="B239" s="2577"/>
      <c r="C239" s="3507"/>
      <c r="D239" s="3514" t="s">
        <v>6548</v>
      </c>
      <c r="E239" s="3507"/>
      <c r="F239" s="4641">
        <f>((1.7)*3)*1</f>
        <v>5.0999999999999996</v>
      </c>
      <c r="G239" s="2559"/>
      <c r="H239" s="3532"/>
      <c r="I239" s="1368"/>
      <c r="J239" s="4640"/>
    </row>
    <row r="240" spans="1:12" s="888" customFormat="1" ht="27" customHeight="1">
      <c r="A240" s="3725"/>
      <c r="B240" s="2577"/>
      <c r="C240" s="3507"/>
      <c r="D240" s="3514" t="s">
        <v>6549</v>
      </c>
      <c r="E240" s="3507"/>
      <c r="F240" s="4641">
        <f>((1.8)*4)*1</f>
        <v>7.2</v>
      </c>
      <c r="G240" s="2559"/>
      <c r="H240" s="3532"/>
      <c r="I240" s="1368"/>
      <c r="J240" s="4640"/>
    </row>
    <row r="241" spans="1:13" s="888" customFormat="1" ht="27" customHeight="1">
      <c r="A241" s="3725"/>
      <c r="B241" s="2577"/>
      <c r="C241" s="3507"/>
      <c r="D241" s="3514" t="s">
        <v>6550</v>
      </c>
      <c r="E241" s="3507"/>
      <c r="F241" s="4641">
        <f>((1)*4)*1</f>
        <v>4</v>
      </c>
      <c r="G241" s="2559"/>
      <c r="H241" s="3532"/>
      <c r="I241" s="1368"/>
      <c r="J241" s="4640"/>
    </row>
    <row r="242" spans="1:13" s="888" customFormat="1" ht="27" customHeight="1">
      <c r="A242" s="3725"/>
      <c r="B242" s="2577"/>
      <c r="C242" s="3507"/>
      <c r="D242" s="3514" t="s">
        <v>6551</v>
      </c>
      <c r="E242" s="3507"/>
      <c r="F242" s="4641">
        <f>((1.4)*2)*1</f>
        <v>2.8</v>
      </c>
      <c r="G242" s="2559"/>
      <c r="H242" s="3532"/>
      <c r="I242" s="1368"/>
      <c r="J242" s="4640"/>
    </row>
    <row r="243" spans="1:13" s="888" customFormat="1" ht="27" customHeight="1">
      <c r="A243" s="3725"/>
      <c r="B243" s="2577"/>
      <c r="C243" s="3507"/>
      <c r="D243" s="3514" t="s">
        <v>6552</v>
      </c>
      <c r="E243" s="3507"/>
      <c r="F243" s="4641">
        <f>((1.55)*2)*1</f>
        <v>3.1</v>
      </c>
      <c r="G243" s="2559"/>
      <c r="H243" s="3532"/>
      <c r="I243" s="1368"/>
      <c r="J243" s="4640"/>
    </row>
    <row r="244" spans="1:13" s="888" customFormat="1" ht="27" customHeight="1">
      <c r="A244" s="3725"/>
      <c r="B244" s="2577"/>
      <c r="C244" s="3507"/>
      <c r="D244" s="3514" t="s">
        <v>6553</v>
      </c>
      <c r="E244" s="3507"/>
      <c r="F244" s="4641">
        <f>((1.8)*3)*1</f>
        <v>5.4</v>
      </c>
      <c r="G244" s="2559"/>
      <c r="H244" s="3532"/>
      <c r="I244" s="1368"/>
      <c r="J244" s="4640"/>
    </row>
    <row r="245" spans="1:13" s="888" customFormat="1" ht="27" customHeight="1">
      <c r="A245" s="3725"/>
      <c r="B245" s="2577"/>
      <c r="C245" s="3507"/>
      <c r="D245" s="3514" t="s">
        <v>6554</v>
      </c>
      <c r="E245" s="3507"/>
      <c r="F245" s="4641">
        <f>((1.55)*3)*1</f>
        <v>4.6500000000000004</v>
      </c>
      <c r="G245" s="2559"/>
      <c r="H245" s="3532"/>
      <c r="I245" s="1368"/>
      <c r="J245" s="4640"/>
    </row>
    <row r="246" spans="1:13" s="888" customFormat="1" ht="27" customHeight="1">
      <c r="A246" s="3725"/>
      <c r="B246" s="2577"/>
      <c r="C246" s="3507"/>
      <c r="D246" s="3514" t="s">
        <v>6555</v>
      </c>
      <c r="E246" s="3507"/>
      <c r="F246" s="4641">
        <f>((1.3)*2)*2</f>
        <v>5.2</v>
      </c>
      <c r="G246" s="2559"/>
      <c r="H246" s="3532"/>
      <c r="I246" s="1368"/>
      <c r="J246" s="4640"/>
    </row>
    <row r="247" spans="1:13" s="4106" customFormat="1" ht="27" customHeight="1">
      <c r="A247" s="4642">
        <v>62</v>
      </c>
      <c r="B247" s="2577" t="s">
        <v>2924</v>
      </c>
      <c r="C247" s="4102" t="s">
        <v>2927</v>
      </c>
      <c r="D247" s="2603" t="s">
        <v>2928</v>
      </c>
      <c r="E247" s="4103" t="s">
        <v>141</v>
      </c>
      <c r="F247" s="4104">
        <f>SUM(F248:F250)</f>
        <v>8000</v>
      </c>
      <c r="G247" s="5167" t="s">
        <v>3512</v>
      </c>
      <c r="H247" s="5168"/>
      <c r="I247" s="3510" t="s">
        <v>111</v>
      </c>
      <c r="J247" s="4643"/>
    </row>
    <row r="248" spans="1:13" s="4106" customFormat="1" ht="40.5" customHeight="1">
      <c r="A248" s="4644"/>
      <c r="B248" s="2577"/>
      <c r="C248" s="4102"/>
      <c r="D248" s="2582" t="s">
        <v>2929</v>
      </c>
      <c r="E248" s="4103"/>
      <c r="F248" s="4641"/>
      <c r="G248" s="17"/>
      <c r="H248" s="4645"/>
      <c r="I248" s="2581"/>
    </row>
    <row r="249" spans="1:13" s="883" customFormat="1" ht="13.5" customHeight="1">
      <c r="A249" s="4646"/>
      <c r="B249" s="4647"/>
      <c r="C249" s="4647"/>
      <c r="D249" s="2599" t="s">
        <v>2930</v>
      </c>
      <c r="E249" s="4647"/>
      <c r="F249" s="4648">
        <v>8000</v>
      </c>
      <c r="G249" s="220"/>
      <c r="H249" s="4125"/>
      <c r="I249" s="4649"/>
      <c r="J249" s="4650"/>
    </row>
    <row r="250" spans="1:13" s="4106" customFormat="1" ht="40.5" customHeight="1">
      <c r="A250" s="4644"/>
      <c r="B250" s="2577"/>
      <c r="C250" s="4102"/>
      <c r="D250" s="2582" t="s">
        <v>2931</v>
      </c>
      <c r="E250" s="4103"/>
      <c r="G250" s="17"/>
      <c r="H250" s="4645"/>
      <c r="I250" s="2581"/>
    </row>
    <row r="251" spans="1:13" s="1423" customFormat="1" ht="48.75" customHeight="1">
      <c r="A251" s="4651"/>
      <c r="B251" s="1539"/>
      <c r="C251" s="1539"/>
      <c r="D251" s="4652" t="s">
        <v>2918</v>
      </c>
      <c r="E251" s="1539"/>
      <c r="F251" s="4653"/>
      <c r="G251" s="1546"/>
      <c r="H251" s="1541"/>
      <c r="I251" s="4654"/>
      <c r="K251" s="4655"/>
    </row>
    <row r="252" spans="1:13" s="4664" customFormat="1" ht="13.5" customHeight="1">
      <c r="A252" s="4656" t="s">
        <v>6440</v>
      </c>
      <c r="B252" s="4657" t="s">
        <v>6439</v>
      </c>
      <c r="C252" s="4658">
        <v>971033241</v>
      </c>
      <c r="D252" s="4658" t="s">
        <v>6494</v>
      </c>
      <c r="E252" s="4658" t="s">
        <v>205</v>
      </c>
      <c r="F252" s="4659">
        <f>SUM(F254:F255)</f>
        <v>11</v>
      </c>
      <c r="G252" s="525"/>
      <c r="H252" s="4660">
        <f>ROUND(F252*G252,3)</f>
        <v>0</v>
      </c>
      <c r="I252" s="3769" t="s">
        <v>1801</v>
      </c>
      <c r="J252" s="4661"/>
      <c r="K252" s="4662"/>
      <c r="L252" s="4663"/>
      <c r="M252" s="4662"/>
    </row>
    <row r="253" spans="1:13" s="4664" customFormat="1" ht="13.5" customHeight="1">
      <c r="A253" s="4656"/>
      <c r="B253" s="4657"/>
      <c r="C253" s="4658"/>
      <c r="D253" s="4658" t="s">
        <v>6495</v>
      </c>
      <c r="E253" s="4658"/>
      <c r="F253" s="4659"/>
      <c r="G253" s="525"/>
      <c r="H253" s="4660"/>
      <c r="I253" s="4665"/>
      <c r="J253" s="4661"/>
      <c r="K253" s="4662"/>
      <c r="L253" s="4663"/>
      <c r="M253" s="4662"/>
    </row>
    <row r="254" spans="1:13" s="4664" customFormat="1" ht="13.5" customHeight="1">
      <c r="A254" s="4656"/>
      <c r="B254" s="4657"/>
      <c r="C254" s="4658"/>
      <c r="D254" s="4658" t="s">
        <v>3091</v>
      </c>
      <c r="E254" s="4658"/>
      <c r="F254" s="4659">
        <v>1</v>
      </c>
      <c r="G254" s="525"/>
      <c r="H254" s="4660"/>
      <c r="I254" s="4665"/>
      <c r="J254" s="4661"/>
      <c r="K254" s="4662"/>
      <c r="L254" s="4663"/>
      <c r="M254" s="4662"/>
    </row>
    <row r="255" spans="1:13" s="4664" customFormat="1" ht="13.5" customHeight="1">
      <c r="A255" s="4656"/>
      <c r="B255" s="4657"/>
      <c r="C255" s="4658"/>
      <c r="D255" s="4658" t="s">
        <v>6496</v>
      </c>
      <c r="E255" s="4658"/>
      <c r="F255" s="4659">
        <v>10</v>
      </c>
      <c r="G255" s="525"/>
      <c r="H255" s="4660"/>
      <c r="I255" s="4665"/>
      <c r="J255" s="4661"/>
      <c r="K255" s="4662"/>
      <c r="L255" s="4663"/>
      <c r="M255" s="4662"/>
    </row>
    <row r="256" spans="1:13" s="4664" customFormat="1" ht="13.5" customHeight="1">
      <c r="A256" s="4656" t="s">
        <v>6441</v>
      </c>
      <c r="B256" s="4657" t="s">
        <v>6439</v>
      </c>
      <c r="C256" s="4658">
        <v>971033261</v>
      </c>
      <c r="D256" s="4658" t="s">
        <v>6497</v>
      </c>
      <c r="E256" s="4658" t="s">
        <v>205</v>
      </c>
      <c r="F256" s="4659">
        <f>SUM(F258:F259)</f>
        <v>3</v>
      </c>
      <c r="G256" s="525"/>
      <c r="H256" s="4660">
        <f>ROUND(F256*G256,3)</f>
        <v>0</v>
      </c>
      <c r="I256" s="3769" t="s">
        <v>1801</v>
      </c>
      <c r="J256" s="4661"/>
      <c r="K256" s="4662"/>
      <c r="L256" s="4663"/>
      <c r="M256" s="4662"/>
    </row>
    <row r="257" spans="1:13" s="4664" customFormat="1" ht="13.5" customHeight="1">
      <c r="A257" s="4656"/>
      <c r="B257" s="4657"/>
      <c r="C257" s="4658"/>
      <c r="D257" s="4658" t="s">
        <v>6495</v>
      </c>
      <c r="E257" s="4658"/>
      <c r="F257" s="4659"/>
      <c r="G257" s="525"/>
      <c r="H257" s="4660"/>
      <c r="I257" s="4665"/>
      <c r="J257" s="4661"/>
      <c r="K257" s="4662"/>
      <c r="L257" s="4663"/>
      <c r="M257" s="4662"/>
    </row>
    <row r="258" spans="1:13" s="4664" customFormat="1" ht="13.5" customHeight="1">
      <c r="A258" s="4656"/>
      <c r="B258" s="4657"/>
      <c r="C258" s="4658"/>
      <c r="D258" s="4658" t="s">
        <v>4114</v>
      </c>
      <c r="E258" s="4658"/>
      <c r="F258" s="4659">
        <v>2</v>
      </c>
      <c r="G258" s="525"/>
      <c r="H258" s="4660"/>
      <c r="I258" s="4665"/>
      <c r="J258" s="4661"/>
      <c r="K258" s="4662"/>
      <c r="L258" s="4663"/>
      <c r="M258" s="4662"/>
    </row>
    <row r="259" spans="1:13" s="4664" customFormat="1" ht="13.5" customHeight="1">
      <c r="A259" s="4656"/>
      <c r="B259" s="4657"/>
      <c r="C259" s="4658"/>
      <c r="D259" s="4658" t="s">
        <v>3091</v>
      </c>
      <c r="E259" s="4658"/>
      <c r="F259" s="4659">
        <v>1</v>
      </c>
      <c r="G259" s="525"/>
      <c r="H259" s="4660"/>
      <c r="I259" s="4665"/>
      <c r="J259" s="4661"/>
      <c r="K259" s="4662"/>
      <c r="L259" s="4663"/>
      <c r="M259" s="4662"/>
    </row>
    <row r="260" spans="1:13" s="4664" customFormat="1" ht="13.5" customHeight="1">
      <c r="A260" s="4656" t="s">
        <v>6442</v>
      </c>
      <c r="B260" s="4657" t="s">
        <v>6439</v>
      </c>
      <c r="C260" s="4658">
        <v>971033341</v>
      </c>
      <c r="D260" s="4658" t="s">
        <v>6498</v>
      </c>
      <c r="E260" s="4658" t="s">
        <v>205</v>
      </c>
      <c r="F260" s="4659">
        <f>SUM(F262:F263)</f>
        <v>14</v>
      </c>
      <c r="G260" s="525"/>
      <c r="H260" s="4660">
        <f>ROUND(F260*G260,3)</f>
        <v>0</v>
      </c>
      <c r="I260" s="3769" t="s">
        <v>1801</v>
      </c>
      <c r="J260" s="4661"/>
      <c r="K260" s="4662"/>
      <c r="L260" s="4663"/>
      <c r="M260" s="4662"/>
    </row>
    <row r="261" spans="1:13" s="4664" customFormat="1" ht="13.5" customHeight="1">
      <c r="A261" s="4656"/>
      <c r="B261" s="4657"/>
      <c r="C261" s="4658"/>
      <c r="D261" s="4658" t="s">
        <v>6495</v>
      </c>
      <c r="E261" s="4658"/>
      <c r="F261" s="4659"/>
      <c r="G261" s="525"/>
      <c r="H261" s="4660"/>
      <c r="I261" s="4665"/>
      <c r="J261" s="4661"/>
      <c r="K261" s="4662"/>
      <c r="L261" s="4663"/>
      <c r="M261" s="4662"/>
    </row>
    <row r="262" spans="1:13" s="4664" customFormat="1" ht="13.5" customHeight="1">
      <c r="A262" s="4656"/>
      <c r="B262" s="4657"/>
      <c r="C262" s="4658"/>
      <c r="D262" s="4658" t="s">
        <v>6499</v>
      </c>
      <c r="E262" s="4658"/>
      <c r="F262" s="4659">
        <v>3</v>
      </c>
      <c r="G262" s="525"/>
      <c r="H262" s="4660"/>
      <c r="I262" s="4665"/>
      <c r="J262" s="4661"/>
      <c r="K262" s="4662"/>
      <c r="L262" s="4663"/>
      <c r="M262" s="4662"/>
    </row>
    <row r="263" spans="1:13" s="4664" customFormat="1" ht="13.5" customHeight="1">
      <c r="A263" s="4656"/>
      <c r="B263" s="4657"/>
      <c r="C263" s="4658"/>
      <c r="D263" s="4658" t="s">
        <v>6500</v>
      </c>
      <c r="E263" s="4658"/>
      <c r="F263" s="4659">
        <v>11</v>
      </c>
      <c r="G263" s="525"/>
      <c r="H263" s="4660"/>
      <c r="I263" s="4665"/>
      <c r="J263" s="4661"/>
      <c r="K263" s="4662"/>
      <c r="L263" s="4663"/>
      <c r="M263" s="4662"/>
    </row>
    <row r="264" spans="1:13" s="4664" customFormat="1" ht="13.5" customHeight="1">
      <c r="A264" s="4656" t="s">
        <v>6456</v>
      </c>
      <c r="B264" s="4657" t="s">
        <v>6439</v>
      </c>
      <c r="C264" s="4658">
        <v>971033371</v>
      </c>
      <c r="D264" s="4658" t="s">
        <v>6501</v>
      </c>
      <c r="E264" s="4658" t="s">
        <v>205</v>
      </c>
      <c r="F264" s="4659">
        <f>SUM(F266:F267)</f>
        <v>10</v>
      </c>
      <c r="G264" s="525"/>
      <c r="H264" s="4660">
        <f>ROUND(F264*G264,3)</f>
        <v>0</v>
      </c>
      <c r="I264" s="3769" t="s">
        <v>1801</v>
      </c>
      <c r="J264" s="4661"/>
      <c r="K264" s="4662"/>
      <c r="L264" s="4663"/>
      <c r="M264" s="4662"/>
    </row>
    <row r="265" spans="1:13" s="4664" customFormat="1" ht="13.5" customHeight="1">
      <c r="A265" s="4656"/>
      <c r="B265" s="4657"/>
      <c r="C265" s="4658"/>
      <c r="D265" s="4658" t="s">
        <v>6495</v>
      </c>
      <c r="E265" s="4658"/>
      <c r="F265" s="4659"/>
      <c r="G265" s="525"/>
      <c r="H265" s="4660"/>
      <c r="I265" s="4665"/>
      <c r="J265" s="4661"/>
      <c r="K265" s="4662"/>
      <c r="L265" s="4663"/>
      <c r="M265" s="4662"/>
    </row>
    <row r="266" spans="1:13" s="4664" customFormat="1" ht="13.5" customHeight="1">
      <c r="A266" s="4656"/>
      <c r="B266" s="4657"/>
      <c r="C266" s="4658"/>
      <c r="D266" s="4658" t="s">
        <v>6502</v>
      </c>
      <c r="E266" s="4658"/>
      <c r="F266" s="4659">
        <v>7</v>
      </c>
      <c r="G266" s="525"/>
      <c r="H266" s="4660"/>
      <c r="I266" s="4665"/>
      <c r="J266" s="4661"/>
      <c r="K266" s="4662"/>
      <c r="L266" s="4663"/>
      <c r="M266" s="4662"/>
    </row>
    <row r="267" spans="1:13" s="4664" customFormat="1" ht="13.5" customHeight="1">
      <c r="A267" s="4656"/>
      <c r="B267" s="4657"/>
      <c r="C267" s="4658"/>
      <c r="D267" s="4658" t="s">
        <v>6499</v>
      </c>
      <c r="E267" s="4658"/>
      <c r="F267" s="4659">
        <v>3</v>
      </c>
      <c r="G267" s="525"/>
      <c r="H267" s="4660"/>
      <c r="I267" s="4665"/>
      <c r="J267" s="4661"/>
      <c r="K267" s="4662"/>
      <c r="L267" s="4663"/>
      <c r="M267" s="4662"/>
    </row>
    <row r="268" spans="1:13" s="4664" customFormat="1" ht="13.5" customHeight="1">
      <c r="A268" s="4656" t="s">
        <v>6466</v>
      </c>
      <c r="B268" s="4657" t="s">
        <v>6439</v>
      </c>
      <c r="C268" s="4658">
        <v>971033441</v>
      </c>
      <c r="D268" s="4658" t="s">
        <v>6503</v>
      </c>
      <c r="E268" s="4658" t="s">
        <v>205</v>
      </c>
      <c r="F268" s="4659">
        <f>SUM(F270:F270)</f>
        <v>1</v>
      </c>
      <c r="G268" s="525"/>
      <c r="H268" s="4660">
        <f>ROUND(F268*G268,3)</f>
        <v>0</v>
      </c>
      <c r="I268" s="3769" t="s">
        <v>1801</v>
      </c>
      <c r="J268" s="4661"/>
      <c r="K268" s="4662"/>
      <c r="L268" s="4663"/>
      <c r="M268" s="4662"/>
    </row>
    <row r="269" spans="1:13" s="4664" customFormat="1" ht="13.5" customHeight="1">
      <c r="A269" s="4656"/>
      <c r="B269" s="4657"/>
      <c r="C269" s="4658"/>
      <c r="D269" s="4658" t="s">
        <v>6495</v>
      </c>
      <c r="E269" s="4658"/>
      <c r="F269" s="4659"/>
      <c r="G269" s="525"/>
      <c r="H269" s="4660"/>
      <c r="I269" s="4665"/>
      <c r="J269" s="4661"/>
      <c r="K269" s="4662"/>
      <c r="L269" s="4663"/>
      <c r="M269" s="4662"/>
    </row>
    <row r="270" spans="1:13" s="4664" customFormat="1" ht="13.5" customHeight="1">
      <c r="A270" s="4656"/>
      <c r="B270" s="4657"/>
      <c r="C270" s="4658"/>
      <c r="D270" s="4658" t="s">
        <v>3091</v>
      </c>
      <c r="E270" s="4658"/>
      <c r="F270" s="4659">
        <v>1</v>
      </c>
      <c r="G270" s="525"/>
      <c r="H270" s="4660"/>
      <c r="I270" s="4665"/>
      <c r="J270" s="4661"/>
      <c r="K270" s="4662"/>
      <c r="L270" s="4663"/>
      <c r="M270" s="4662"/>
    </row>
    <row r="271" spans="1:13" s="4664" customFormat="1" ht="13.5" customHeight="1">
      <c r="A271" s="4656" t="s">
        <v>6467</v>
      </c>
      <c r="B271" s="4657" t="s">
        <v>6439</v>
      </c>
      <c r="C271" s="4658">
        <v>971033461</v>
      </c>
      <c r="D271" s="4658" t="s">
        <v>6504</v>
      </c>
      <c r="E271" s="4658" t="s">
        <v>205</v>
      </c>
      <c r="F271" s="4659">
        <f>SUM(F273:F274)</f>
        <v>2</v>
      </c>
      <c r="G271" s="525"/>
      <c r="H271" s="4660">
        <f>ROUND(F271*G271,3)</f>
        <v>0</v>
      </c>
      <c r="I271" s="3769" t="s">
        <v>1801</v>
      </c>
      <c r="J271" s="4661"/>
      <c r="K271" s="4662"/>
      <c r="L271" s="4663"/>
      <c r="M271" s="4662"/>
    </row>
    <row r="272" spans="1:13" s="4664" customFormat="1" ht="13.5" customHeight="1">
      <c r="A272" s="4656"/>
      <c r="B272" s="4657"/>
      <c r="C272" s="4658"/>
      <c r="D272" s="4658" t="s">
        <v>6495</v>
      </c>
      <c r="E272" s="4658"/>
      <c r="F272" s="4659"/>
      <c r="G272" s="525"/>
      <c r="H272" s="4660"/>
      <c r="I272" s="4665"/>
      <c r="J272" s="4661"/>
      <c r="K272" s="4662"/>
      <c r="L272" s="4663"/>
      <c r="M272" s="4662"/>
    </row>
    <row r="273" spans="1:13" s="4664" customFormat="1" ht="13.5" customHeight="1">
      <c r="A273" s="4656"/>
      <c r="B273" s="4657"/>
      <c r="C273" s="4658"/>
      <c r="D273" s="4658" t="s">
        <v>6505</v>
      </c>
      <c r="E273" s="4658"/>
      <c r="F273" s="4659">
        <v>1</v>
      </c>
      <c r="G273" s="525"/>
      <c r="H273" s="4660"/>
      <c r="I273" s="4665"/>
      <c r="J273" s="4661"/>
      <c r="K273" s="4662"/>
      <c r="L273" s="4663"/>
      <c r="M273" s="4662"/>
    </row>
    <row r="274" spans="1:13" s="4664" customFormat="1" ht="13.5" customHeight="1">
      <c r="A274" s="4656"/>
      <c r="B274" s="4657"/>
      <c r="C274" s="4658"/>
      <c r="D274" s="4658" t="s">
        <v>3091</v>
      </c>
      <c r="E274" s="4658"/>
      <c r="F274" s="4659">
        <v>1</v>
      </c>
      <c r="G274" s="525"/>
      <c r="H274" s="4660"/>
      <c r="I274" s="4665"/>
      <c r="J274" s="4661"/>
      <c r="K274" s="4662"/>
      <c r="L274" s="4663"/>
      <c r="M274" s="4662"/>
    </row>
    <row r="275" spans="1:13" s="4664" customFormat="1" ht="13.5" customHeight="1">
      <c r="A275" s="4656" t="s">
        <v>6468</v>
      </c>
      <c r="B275" s="4657" t="s">
        <v>6439</v>
      </c>
      <c r="C275" s="4658">
        <v>971033541</v>
      </c>
      <c r="D275" s="4658" t="s">
        <v>6506</v>
      </c>
      <c r="E275" s="4658" t="s">
        <v>146</v>
      </c>
      <c r="F275" s="4659">
        <f>SUM(F277:F277)</f>
        <v>0.31769999999999998</v>
      </c>
      <c r="G275" s="525"/>
      <c r="H275" s="4660">
        <f>ROUND(F275*G275,3)</f>
        <v>0</v>
      </c>
      <c r="I275" s="3769" t="s">
        <v>1801</v>
      </c>
      <c r="J275" s="4661"/>
      <c r="K275" s="4662"/>
      <c r="L275" s="4663"/>
      <c r="M275" s="4662"/>
    </row>
    <row r="276" spans="1:13" s="4664" customFormat="1" ht="13.5" customHeight="1">
      <c r="A276" s="4656"/>
      <c r="B276" s="4657"/>
      <c r="C276" s="4658"/>
      <c r="D276" s="4658" t="s">
        <v>6495</v>
      </c>
      <c r="E276" s="4658"/>
      <c r="F276" s="4659"/>
      <c r="G276" s="525"/>
      <c r="H276" s="4660"/>
      <c r="I276" s="4665"/>
      <c r="J276" s="4661"/>
      <c r="K276" s="4662"/>
      <c r="L276" s="4663"/>
      <c r="M276" s="4662"/>
    </row>
    <row r="277" spans="1:13" s="4664" customFormat="1" ht="13.5" customHeight="1">
      <c r="A277" s="4656"/>
      <c r="B277" s="4657"/>
      <c r="C277" s="4658"/>
      <c r="D277" s="4658" t="s">
        <v>6508</v>
      </c>
      <c r="E277" s="4658"/>
      <c r="F277" s="4659">
        <f>((0.9*0.38)*0.3)*2+(1.25*0.3)*0.3</f>
        <v>0.31769999999999998</v>
      </c>
      <c r="G277" s="525"/>
      <c r="H277" s="4660"/>
      <c r="I277" s="4665"/>
      <c r="J277" s="4661"/>
      <c r="K277" s="4662"/>
      <c r="L277" s="4663"/>
      <c r="M277" s="4662"/>
    </row>
    <row r="278" spans="1:13" s="4664" customFormat="1" ht="13.5" customHeight="1">
      <c r="A278" s="4656" t="s">
        <v>6489</v>
      </c>
      <c r="B278" s="4657" t="s">
        <v>6439</v>
      </c>
      <c r="C278" s="4658">
        <v>971033561</v>
      </c>
      <c r="D278" s="4658" t="s">
        <v>6507</v>
      </c>
      <c r="E278" s="4658" t="s">
        <v>146</v>
      </c>
      <c r="F278" s="4659">
        <f>SUM(F280:F280)</f>
        <v>0.39375000000000004</v>
      </c>
      <c r="G278" s="525"/>
      <c r="H278" s="4660">
        <f>ROUND(F278*G278,3)</f>
        <v>0</v>
      </c>
      <c r="I278" s="3769" t="s">
        <v>1801</v>
      </c>
      <c r="J278" s="4661"/>
      <c r="K278" s="4662"/>
      <c r="L278" s="4663"/>
      <c r="M278" s="4662"/>
    </row>
    <row r="279" spans="1:13" s="4664" customFormat="1" ht="13.5" customHeight="1">
      <c r="A279" s="4656"/>
      <c r="B279" s="4657"/>
      <c r="C279" s="4658"/>
      <c r="D279" s="4658" t="s">
        <v>6495</v>
      </c>
      <c r="E279" s="4658"/>
      <c r="F279" s="4659"/>
      <c r="G279" s="525"/>
      <c r="H279" s="4660"/>
      <c r="I279" s="4665"/>
      <c r="J279" s="4661"/>
      <c r="K279" s="4662"/>
      <c r="L279" s="4663"/>
      <c r="M279" s="4662"/>
    </row>
    <row r="280" spans="1:13" s="4664" customFormat="1" ht="13.5" customHeight="1">
      <c r="A280" s="4656"/>
      <c r="B280" s="4657"/>
      <c r="C280" s="4658"/>
      <c r="D280" s="4658" t="s">
        <v>6509</v>
      </c>
      <c r="E280" s="4658"/>
      <c r="F280" s="4659">
        <f>(1*0.5)*0.45+(1.25*0.3)*0.45</f>
        <v>0.39375000000000004</v>
      </c>
      <c r="G280" s="525"/>
      <c r="H280" s="4660"/>
      <c r="I280" s="4665"/>
      <c r="J280" s="4661"/>
      <c r="K280" s="4662"/>
      <c r="L280" s="4663"/>
      <c r="M280" s="4662"/>
    </row>
    <row r="281" spans="1:13" s="4673" customFormat="1" ht="13.5" customHeight="1">
      <c r="A281" s="4666" t="s">
        <v>6526</v>
      </c>
      <c r="B281" s="4667" t="s">
        <v>6439</v>
      </c>
      <c r="C281" s="4668" t="s">
        <v>6444</v>
      </c>
      <c r="D281" s="4668" t="s">
        <v>6445</v>
      </c>
      <c r="E281" s="4668" t="s">
        <v>141</v>
      </c>
      <c r="F281" s="4669">
        <f>ROUND(SUM(F283:F284),3)</f>
        <v>3750</v>
      </c>
      <c r="G281" s="523"/>
      <c r="H281" s="4670">
        <f t="shared" ref="H281" si="3">ROUND(F281*G281,3)</f>
        <v>0</v>
      </c>
      <c r="I281" s="3769" t="s">
        <v>111</v>
      </c>
      <c r="J281" s="4671"/>
      <c r="K281" s="4672"/>
      <c r="L281" s="4672"/>
      <c r="M281" s="4672"/>
    </row>
    <row r="282" spans="1:13" s="4673" customFormat="1" ht="13.5" customHeight="1">
      <c r="A282" s="4666"/>
      <c r="B282" s="4667"/>
      <c r="C282" s="4668"/>
      <c r="D282" s="4668" t="s">
        <v>6443</v>
      </c>
      <c r="E282" s="4668"/>
      <c r="F282" s="4674"/>
      <c r="G282" s="523"/>
      <c r="H282" s="4670"/>
      <c r="I282" s="4675"/>
      <c r="J282" s="4676"/>
    </row>
    <row r="283" spans="1:13" s="4673" customFormat="1" ht="13.5" customHeight="1">
      <c r="A283" s="4666"/>
      <c r="B283" s="4667"/>
      <c r="C283" s="4668"/>
      <c r="D283" s="4668" t="s">
        <v>6448</v>
      </c>
      <c r="E283" s="4668"/>
      <c r="F283" s="4674">
        <f>1950</f>
        <v>1950</v>
      </c>
      <c r="G283" s="523"/>
      <c r="H283" s="4670"/>
      <c r="I283" s="4675"/>
      <c r="J283" s="4676"/>
      <c r="K283" s="4677"/>
      <c r="M283" s="4677"/>
    </row>
    <row r="284" spans="1:13" s="4673" customFormat="1" ht="13.5" customHeight="1">
      <c r="A284" s="4666"/>
      <c r="B284" s="4667"/>
      <c r="C284" s="4668"/>
      <c r="D284" s="4668" t="s">
        <v>6453</v>
      </c>
      <c r="E284" s="4668"/>
      <c r="F284" s="4674">
        <f>1800</f>
        <v>1800</v>
      </c>
      <c r="G284" s="523"/>
      <c r="H284" s="4670"/>
      <c r="I284" s="4675"/>
      <c r="J284" s="4676"/>
      <c r="K284" s="4677"/>
      <c r="M284" s="4677"/>
    </row>
    <row r="285" spans="1:13" s="4673" customFormat="1" ht="13.5" customHeight="1">
      <c r="A285" s="4666" t="s">
        <v>6527</v>
      </c>
      <c r="B285" s="4667" t="s">
        <v>6439</v>
      </c>
      <c r="C285" s="4668" t="s">
        <v>6454</v>
      </c>
      <c r="D285" s="4668" t="s">
        <v>6446</v>
      </c>
      <c r="E285" s="4668" t="s">
        <v>141</v>
      </c>
      <c r="F285" s="4669">
        <f>ROUND(SUM(F287:F288),3)</f>
        <v>1435</v>
      </c>
      <c r="G285" s="523"/>
      <c r="H285" s="4670">
        <f t="shared" ref="H285" si="4">ROUND(F285*G285,3)</f>
        <v>0</v>
      </c>
      <c r="I285" s="3769" t="s">
        <v>111</v>
      </c>
      <c r="J285" s="4678"/>
      <c r="K285" s="4672"/>
      <c r="L285" s="4672"/>
      <c r="M285" s="4672"/>
    </row>
    <row r="286" spans="1:13" s="4673" customFormat="1" ht="13.5" customHeight="1">
      <c r="A286" s="4666"/>
      <c r="B286" s="4667"/>
      <c r="C286" s="4668"/>
      <c r="D286" s="4668" t="s">
        <v>6443</v>
      </c>
      <c r="E286" s="4668"/>
      <c r="F286" s="4674"/>
      <c r="G286" s="523"/>
      <c r="H286" s="4670"/>
      <c r="I286" s="4675"/>
      <c r="J286" s="4676"/>
    </row>
    <row r="287" spans="1:13" s="4673" customFormat="1" ht="13.5" customHeight="1">
      <c r="A287" s="4666"/>
      <c r="B287" s="4667"/>
      <c r="C287" s="4668"/>
      <c r="D287" s="4668" t="s">
        <v>6449</v>
      </c>
      <c r="E287" s="4668"/>
      <c r="F287" s="4674">
        <f>750</f>
        <v>750</v>
      </c>
      <c r="G287" s="523"/>
      <c r="H287" s="4670"/>
      <c r="I287" s="4675"/>
      <c r="J287" s="4676"/>
      <c r="K287" s="4677"/>
      <c r="M287" s="4677"/>
    </row>
    <row r="288" spans="1:13" s="4673" customFormat="1" ht="13.5" customHeight="1">
      <c r="A288" s="4666"/>
      <c r="B288" s="4667"/>
      <c r="C288" s="4668"/>
      <c r="D288" s="4668" t="s">
        <v>6452</v>
      </c>
      <c r="E288" s="4668"/>
      <c r="F288" s="4674">
        <f>685</f>
        <v>685</v>
      </c>
      <c r="G288" s="523"/>
      <c r="H288" s="4670"/>
      <c r="I288" s="4675"/>
      <c r="J288" s="4676"/>
      <c r="K288" s="4677"/>
      <c r="M288" s="4677"/>
    </row>
    <row r="289" spans="1:13" s="4673" customFormat="1" ht="13.5" customHeight="1">
      <c r="A289" s="4666" t="s">
        <v>6528</v>
      </c>
      <c r="B289" s="4667" t="s">
        <v>6439</v>
      </c>
      <c r="C289" s="4668" t="s">
        <v>6455</v>
      </c>
      <c r="D289" s="4668" t="s">
        <v>6447</v>
      </c>
      <c r="E289" s="4668" t="s">
        <v>141</v>
      </c>
      <c r="F289" s="4669">
        <f>ROUND(SUM(F291:F292),3)</f>
        <v>60</v>
      </c>
      <c r="G289" s="523"/>
      <c r="H289" s="4670">
        <f t="shared" ref="H289" si="5">ROUND(F289*G289,3)</f>
        <v>0</v>
      </c>
      <c r="I289" s="3769" t="s">
        <v>111</v>
      </c>
      <c r="J289" s="4678"/>
      <c r="K289" s="4672"/>
      <c r="L289" s="4672"/>
      <c r="M289" s="4672"/>
    </row>
    <row r="290" spans="1:13" s="4673" customFormat="1" ht="13.5" customHeight="1">
      <c r="A290" s="4666"/>
      <c r="B290" s="4667"/>
      <c r="C290" s="4668"/>
      <c r="D290" s="4668" t="s">
        <v>6443</v>
      </c>
      <c r="E290" s="4668"/>
      <c r="F290" s="4674"/>
      <c r="G290" s="523"/>
      <c r="H290" s="4670"/>
      <c r="I290" s="4675"/>
      <c r="J290" s="4676"/>
    </row>
    <row r="291" spans="1:13" s="4673" customFormat="1" ht="13.5" customHeight="1">
      <c r="A291" s="4666"/>
      <c r="B291" s="4667"/>
      <c r="C291" s="4668"/>
      <c r="D291" s="4668" t="s">
        <v>6450</v>
      </c>
      <c r="E291" s="4668"/>
      <c r="F291" s="4674">
        <f>30</f>
        <v>30</v>
      </c>
      <c r="G291" s="523"/>
      <c r="H291" s="4670"/>
      <c r="I291" s="4675"/>
      <c r="J291" s="4676"/>
      <c r="K291" s="4677"/>
      <c r="M291" s="4677"/>
    </row>
    <row r="292" spans="1:13" s="4673" customFormat="1" ht="13.5" customHeight="1">
      <c r="A292" s="4666"/>
      <c r="B292" s="4667"/>
      <c r="C292" s="4668"/>
      <c r="D292" s="4668" t="s">
        <v>6451</v>
      </c>
      <c r="E292" s="4668"/>
      <c r="F292" s="4674">
        <f>30</f>
        <v>30</v>
      </c>
      <c r="G292" s="523"/>
      <c r="H292" s="4670"/>
      <c r="I292" s="4675"/>
      <c r="J292" s="4676"/>
      <c r="K292" s="4677"/>
      <c r="M292" s="4677"/>
    </row>
    <row r="293" spans="1:13" s="4673" customFormat="1" ht="13.5" customHeight="1">
      <c r="A293" s="4666" t="s">
        <v>6529</v>
      </c>
      <c r="B293" s="4667" t="s">
        <v>6439</v>
      </c>
      <c r="C293" s="4668" t="s">
        <v>6490</v>
      </c>
      <c r="D293" s="4668" t="s">
        <v>6491</v>
      </c>
      <c r="E293" s="4668" t="s">
        <v>141</v>
      </c>
      <c r="F293" s="4669">
        <f>ROUND(SUM(F295:F295),3)</f>
        <v>15</v>
      </c>
      <c r="G293" s="523"/>
      <c r="H293" s="4670">
        <f t="shared" ref="H293" si="6">ROUND(F293*G293,3)</f>
        <v>0</v>
      </c>
      <c r="I293" s="3769" t="s">
        <v>111</v>
      </c>
      <c r="J293" s="4678"/>
      <c r="K293" s="4672"/>
      <c r="L293" s="4672"/>
      <c r="M293" s="4672"/>
    </row>
    <row r="294" spans="1:13" s="4673" customFormat="1" ht="13.5" customHeight="1">
      <c r="A294" s="4666"/>
      <c r="B294" s="4667"/>
      <c r="C294" s="4668"/>
      <c r="D294" s="4668" t="s">
        <v>6443</v>
      </c>
      <c r="E294" s="4668"/>
      <c r="F294" s="4674"/>
      <c r="G294" s="523"/>
      <c r="H294" s="4670"/>
      <c r="I294" s="4675"/>
      <c r="J294" s="4676"/>
    </row>
    <row r="295" spans="1:13" s="4673" customFormat="1" ht="13.5" customHeight="1">
      <c r="A295" s="4666"/>
      <c r="B295" s="4667"/>
      <c r="C295" s="4668"/>
      <c r="D295" s="4668" t="s">
        <v>6487</v>
      </c>
      <c r="E295" s="4668"/>
      <c r="F295" s="4674">
        <v>15</v>
      </c>
      <c r="G295" s="523"/>
      <c r="H295" s="4670"/>
      <c r="I295" s="4675"/>
      <c r="J295" s="4676"/>
      <c r="K295" s="4677"/>
      <c r="M295" s="4677"/>
    </row>
    <row r="296" spans="1:13" s="4673" customFormat="1" ht="13.5" customHeight="1">
      <c r="A296" s="4666" t="s">
        <v>6530</v>
      </c>
      <c r="B296" s="4667" t="s">
        <v>6439</v>
      </c>
      <c r="C296" s="4668" t="s">
        <v>6460</v>
      </c>
      <c r="D296" s="4668" t="s">
        <v>6461</v>
      </c>
      <c r="E296" s="4668" t="s">
        <v>141</v>
      </c>
      <c r="F296" s="4669">
        <f>ROUND(SUM(F298:F299),3)</f>
        <v>55</v>
      </c>
      <c r="G296" s="523"/>
      <c r="H296" s="4670">
        <f t="shared" ref="H296" si="7">ROUND(F296*G296,3)</f>
        <v>0</v>
      </c>
      <c r="I296" s="3769" t="s">
        <v>111</v>
      </c>
      <c r="J296" s="4671"/>
      <c r="K296" s="4672"/>
      <c r="L296" s="4672"/>
      <c r="M296" s="4672"/>
    </row>
    <row r="297" spans="1:13" s="4673" customFormat="1" ht="13.5" customHeight="1">
      <c r="A297" s="4666"/>
      <c r="B297" s="4667"/>
      <c r="C297" s="4668"/>
      <c r="D297" s="4668" t="s">
        <v>6457</v>
      </c>
      <c r="E297" s="4668"/>
      <c r="F297" s="4674"/>
      <c r="G297" s="523"/>
      <c r="H297" s="4670"/>
      <c r="I297" s="4675"/>
      <c r="J297" s="4676"/>
    </row>
    <row r="298" spans="1:13" s="4673" customFormat="1" ht="13.5" customHeight="1">
      <c r="A298" s="4666"/>
      <c r="B298" s="4667"/>
      <c r="C298" s="4668"/>
      <c r="D298" s="4668" t="s">
        <v>6458</v>
      </c>
      <c r="E298" s="4668"/>
      <c r="F298" s="4674">
        <v>25</v>
      </c>
      <c r="G298" s="523"/>
      <c r="H298" s="4670"/>
      <c r="I298" s="4675"/>
      <c r="J298" s="4676"/>
      <c r="K298" s="4677"/>
      <c r="M298" s="4677"/>
    </row>
    <row r="299" spans="1:13" s="4673" customFormat="1" ht="13.5" customHeight="1">
      <c r="A299" s="4666"/>
      <c r="B299" s="4667"/>
      <c r="C299" s="4668"/>
      <c r="D299" s="4668" t="s">
        <v>6459</v>
      </c>
      <c r="E299" s="4668"/>
      <c r="F299" s="4674">
        <v>30</v>
      </c>
      <c r="G299" s="523"/>
      <c r="H299" s="4670"/>
      <c r="I299" s="4675"/>
      <c r="J299" s="4676"/>
      <c r="K299" s="4677"/>
      <c r="M299" s="4677"/>
    </row>
    <row r="300" spans="1:13" s="4673" customFormat="1" ht="13.5" customHeight="1">
      <c r="A300" s="4666" t="s">
        <v>6531</v>
      </c>
      <c r="B300" s="4667" t="s">
        <v>6439</v>
      </c>
      <c r="C300" s="4668" t="s">
        <v>6462</v>
      </c>
      <c r="D300" s="4668" t="s">
        <v>6463</v>
      </c>
      <c r="E300" s="4668" t="s">
        <v>141</v>
      </c>
      <c r="F300" s="4669">
        <f>ROUND(SUM(F302:F303),3)</f>
        <v>14.5</v>
      </c>
      <c r="G300" s="523"/>
      <c r="H300" s="4670">
        <f t="shared" ref="H300" si="8">ROUND(F300*G300,3)</f>
        <v>0</v>
      </c>
      <c r="I300" s="3769" t="s">
        <v>111</v>
      </c>
      <c r="J300" s="4671"/>
      <c r="K300" s="4672"/>
      <c r="L300" s="4672"/>
      <c r="M300" s="4672"/>
    </row>
    <row r="301" spans="1:13" s="4673" customFormat="1" ht="13.5" customHeight="1">
      <c r="A301" s="4666"/>
      <c r="B301" s="4667"/>
      <c r="C301" s="4668"/>
      <c r="D301" s="4668" t="s">
        <v>6457</v>
      </c>
      <c r="E301" s="4668"/>
      <c r="F301" s="4674"/>
      <c r="G301" s="523"/>
      <c r="H301" s="4670"/>
      <c r="I301" s="4675"/>
      <c r="J301" s="4676"/>
    </row>
    <row r="302" spans="1:13" s="4673" customFormat="1" ht="13.5" customHeight="1">
      <c r="A302" s="4666"/>
      <c r="B302" s="4667"/>
      <c r="C302" s="4668"/>
      <c r="D302" s="4668" t="s">
        <v>6464</v>
      </c>
      <c r="E302" s="4668"/>
      <c r="F302" s="4674">
        <f>6.5</f>
        <v>6.5</v>
      </c>
      <c r="G302" s="523"/>
      <c r="H302" s="4670"/>
      <c r="I302" s="4675"/>
      <c r="J302" s="4676"/>
      <c r="K302" s="4677"/>
      <c r="M302" s="4677"/>
    </row>
    <row r="303" spans="1:13" s="4673" customFormat="1" ht="13.5" customHeight="1">
      <c r="A303" s="4666"/>
      <c r="B303" s="4667"/>
      <c r="C303" s="4668"/>
      <c r="D303" s="4668" t="s">
        <v>6465</v>
      </c>
      <c r="E303" s="4668"/>
      <c r="F303" s="4674">
        <f>8</f>
        <v>8</v>
      </c>
      <c r="G303" s="523"/>
      <c r="H303" s="4670"/>
      <c r="I303" s="4675"/>
      <c r="J303" s="4676"/>
      <c r="K303" s="4677"/>
      <c r="M303" s="4677"/>
    </row>
    <row r="304" spans="1:13" s="4673" customFormat="1" ht="13.5" customHeight="1">
      <c r="A304" s="4666" t="s">
        <v>6532</v>
      </c>
      <c r="B304" s="4667" t="s">
        <v>6439</v>
      </c>
      <c r="C304" s="4668">
        <v>977151123</v>
      </c>
      <c r="D304" s="4668" t="s">
        <v>6512</v>
      </c>
      <c r="E304" s="4668" t="s">
        <v>141</v>
      </c>
      <c r="F304" s="4669">
        <f>ROUND(SUM(F306:F306),3)</f>
        <v>0.6</v>
      </c>
      <c r="G304" s="523"/>
      <c r="H304" s="4670">
        <f t="shared" ref="H304" si="9">ROUND(F304*G304,3)</f>
        <v>0</v>
      </c>
      <c r="I304" s="3769" t="s">
        <v>1801</v>
      </c>
      <c r="J304" s="4671"/>
      <c r="K304" s="4672"/>
      <c r="L304" s="4672"/>
      <c r="M304" s="4672"/>
    </row>
    <row r="305" spans="1:13" s="4673" customFormat="1" ht="13.5" customHeight="1">
      <c r="A305" s="4666"/>
      <c r="B305" s="4667"/>
      <c r="C305" s="4668"/>
      <c r="D305" s="4658" t="s">
        <v>6510</v>
      </c>
      <c r="E305" s="4668"/>
      <c r="F305" s="4674"/>
      <c r="G305" s="523"/>
      <c r="H305" s="4670"/>
      <c r="I305" s="4675"/>
      <c r="J305" s="4676"/>
    </row>
    <row r="306" spans="1:13" s="4673" customFormat="1" ht="13.5" customHeight="1">
      <c r="A306" s="4666"/>
      <c r="B306" s="4667"/>
      <c r="C306" s="4668"/>
      <c r="D306" s="4658" t="s">
        <v>6511</v>
      </c>
      <c r="E306" s="4668"/>
      <c r="F306" s="4674">
        <f>(0.6)</f>
        <v>0.6</v>
      </c>
      <c r="G306" s="523"/>
      <c r="H306" s="4670"/>
      <c r="I306" s="4675"/>
      <c r="J306" s="4676"/>
      <c r="K306" s="4677"/>
      <c r="M306" s="4677"/>
    </row>
    <row r="307" spans="1:13" s="4673" customFormat="1" ht="13.5" customHeight="1">
      <c r="A307" s="4666" t="s">
        <v>6533</v>
      </c>
      <c r="B307" s="4667" t="s">
        <v>6439</v>
      </c>
      <c r="C307" s="4668">
        <v>977151125</v>
      </c>
      <c r="D307" s="4668" t="s">
        <v>6513</v>
      </c>
      <c r="E307" s="4668" t="s">
        <v>141</v>
      </c>
      <c r="F307" s="4669">
        <f>ROUND(SUM(F309:F309),3)</f>
        <v>0.6</v>
      </c>
      <c r="G307" s="523"/>
      <c r="H307" s="4670">
        <f t="shared" ref="H307" si="10">ROUND(F307*G307,3)</f>
        <v>0</v>
      </c>
      <c r="I307" s="3769" t="s">
        <v>1801</v>
      </c>
      <c r="J307" s="4671"/>
      <c r="K307" s="4672"/>
      <c r="L307" s="4672"/>
      <c r="M307" s="4672"/>
    </row>
    <row r="308" spans="1:13" s="4673" customFormat="1" ht="13.5" customHeight="1">
      <c r="A308" s="4666"/>
      <c r="B308" s="4667"/>
      <c r="C308" s="4668"/>
      <c r="D308" s="4658" t="s">
        <v>6510</v>
      </c>
      <c r="E308" s="4668"/>
      <c r="F308" s="4674"/>
      <c r="G308" s="523"/>
      <c r="H308" s="4670"/>
      <c r="I308" s="4675"/>
      <c r="J308" s="4676"/>
    </row>
    <row r="309" spans="1:13" s="4673" customFormat="1" ht="13.5" customHeight="1">
      <c r="A309" s="4666"/>
      <c r="B309" s="4667"/>
      <c r="C309" s="4668"/>
      <c r="D309" s="4658" t="s">
        <v>6511</v>
      </c>
      <c r="E309" s="4668"/>
      <c r="F309" s="4674">
        <f>(0.6)</f>
        <v>0.6</v>
      </c>
      <c r="G309" s="523"/>
      <c r="H309" s="4670"/>
      <c r="I309" s="4675"/>
      <c r="J309" s="4676"/>
      <c r="K309" s="4677"/>
      <c r="M309" s="4677"/>
    </row>
    <row r="310" spans="1:13" s="4673" customFormat="1" ht="13.5" customHeight="1">
      <c r="A310" s="4666" t="s">
        <v>6534</v>
      </c>
      <c r="B310" s="4667" t="s">
        <v>6439</v>
      </c>
      <c r="C310" s="4658">
        <v>977151131</v>
      </c>
      <c r="D310" s="4658" t="s">
        <v>6514</v>
      </c>
      <c r="E310" s="4668" t="s">
        <v>141</v>
      </c>
      <c r="F310" s="4669">
        <f>ROUND(SUM(F312:F313),3)</f>
        <v>0.9</v>
      </c>
      <c r="G310" s="525"/>
      <c r="H310" s="4670">
        <f t="shared" ref="H310" si="11">ROUND(F310*G310,3)</f>
        <v>0</v>
      </c>
      <c r="I310" s="3769" t="s">
        <v>1801</v>
      </c>
      <c r="J310" s="4671"/>
      <c r="K310" s="4672"/>
      <c r="L310" s="4672"/>
      <c r="M310" s="4672"/>
    </row>
    <row r="311" spans="1:13" s="4673" customFormat="1" ht="13.5" customHeight="1">
      <c r="A311" s="4666"/>
      <c r="B311" s="4667"/>
      <c r="C311" s="4668"/>
      <c r="D311" s="4658" t="s">
        <v>6510</v>
      </c>
      <c r="E311" s="4658"/>
      <c r="F311" s="4659"/>
      <c r="G311" s="523"/>
      <c r="H311" s="4670"/>
      <c r="I311" s="4675"/>
      <c r="J311" s="4676"/>
    </row>
    <row r="312" spans="1:13" s="4673" customFormat="1" ht="13.5" customHeight="1">
      <c r="A312" s="4666"/>
      <c r="B312" s="4667"/>
      <c r="C312" s="4668"/>
      <c r="D312" s="4658" t="s">
        <v>6515</v>
      </c>
      <c r="E312" s="4658"/>
      <c r="F312" s="4659">
        <v>0.6</v>
      </c>
      <c r="G312" s="523"/>
      <c r="H312" s="4670"/>
      <c r="I312" s="4675"/>
      <c r="J312" s="4676"/>
      <c r="K312" s="4677"/>
      <c r="M312" s="4677"/>
    </row>
    <row r="313" spans="1:13" s="4673" customFormat="1" ht="13.5" customHeight="1">
      <c r="A313" s="4666"/>
      <c r="B313" s="4667"/>
      <c r="C313" s="4668"/>
      <c r="D313" s="4658" t="s">
        <v>6516</v>
      </c>
      <c r="E313" s="4658"/>
      <c r="F313" s="4659">
        <v>0.3</v>
      </c>
      <c r="G313" s="523"/>
      <c r="H313" s="4670"/>
      <c r="I313" s="4675"/>
      <c r="J313" s="4676"/>
      <c r="K313" s="4677"/>
      <c r="M313" s="4677"/>
    </row>
    <row r="314" spans="1:13" s="4673" customFormat="1" ht="13.5" customHeight="1">
      <c r="A314" s="4666" t="s">
        <v>6535</v>
      </c>
      <c r="B314" s="4667" t="s">
        <v>6439</v>
      </c>
      <c r="C314" s="4668" t="s">
        <v>6469</v>
      </c>
      <c r="D314" s="4668" t="s">
        <v>6470</v>
      </c>
      <c r="E314" s="4668" t="s">
        <v>141</v>
      </c>
      <c r="F314" s="4669">
        <f>ROUND(SUM(F316:F317),3)</f>
        <v>3</v>
      </c>
      <c r="G314" s="523"/>
      <c r="H314" s="4670">
        <f t="shared" ref="H314" si="12">ROUND(F314*G314,3)</f>
        <v>0</v>
      </c>
      <c r="I314" s="3769" t="s">
        <v>111</v>
      </c>
      <c r="J314" s="4671"/>
      <c r="K314" s="4672"/>
      <c r="L314" s="4672"/>
      <c r="M314" s="4672"/>
    </row>
    <row r="315" spans="1:13" s="4673" customFormat="1" ht="13.5" customHeight="1">
      <c r="A315" s="4666"/>
      <c r="B315" s="4667"/>
      <c r="C315" s="4668"/>
      <c r="D315" s="4668" t="s">
        <v>6457</v>
      </c>
      <c r="E315" s="4668"/>
      <c r="F315" s="4674"/>
      <c r="G315" s="523"/>
      <c r="H315" s="4670"/>
      <c r="I315" s="4675"/>
      <c r="J315" s="4676"/>
    </row>
    <row r="316" spans="1:13" s="4673" customFormat="1" ht="13.5" customHeight="1">
      <c r="A316" s="4666"/>
      <c r="B316" s="4667"/>
      <c r="C316" s="4668"/>
      <c r="D316" s="4668" t="s">
        <v>6471</v>
      </c>
      <c r="E316" s="4668"/>
      <c r="F316" s="4674">
        <v>1.5</v>
      </c>
      <c r="G316" s="523"/>
      <c r="H316" s="4670"/>
      <c r="I316" s="4675"/>
      <c r="J316" s="4676"/>
      <c r="K316" s="4677"/>
      <c r="M316" s="4677"/>
    </row>
    <row r="317" spans="1:13" s="4673" customFormat="1" ht="13.5" customHeight="1">
      <c r="A317" s="4666"/>
      <c r="B317" s="4667"/>
      <c r="C317" s="4668"/>
      <c r="D317" s="4668" t="s">
        <v>6472</v>
      </c>
      <c r="E317" s="4668"/>
      <c r="F317" s="4674">
        <v>1.5</v>
      </c>
      <c r="G317" s="523"/>
      <c r="H317" s="4670"/>
      <c r="I317" s="4675"/>
      <c r="J317" s="4676"/>
      <c r="K317" s="4677"/>
      <c r="M317" s="4677"/>
    </row>
    <row r="318" spans="1:13" s="4673" customFormat="1" ht="22.5">
      <c r="A318" s="4666" t="s">
        <v>6536</v>
      </c>
      <c r="B318" s="4667" t="s">
        <v>6439</v>
      </c>
      <c r="C318" s="4658">
        <v>977151216</v>
      </c>
      <c r="D318" s="4658" t="s">
        <v>6517</v>
      </c>
      <c r="E318" s="4668" t="s">
        <v>141</v>
      </c>
      <c r="F318" s="4669">
        <f>ROUND(SUM(F320:F320),3)</f>
        <v>0.5</v>
      </c>
      <c r="G318" s="525"/>
      <c r="H318" s="4670">
        <f t="shared" ref="H318" si="13">ROUND(F318*G318,3)</f>
        <v>0</v>
      </c>
      <c r="I318" s="4679" t="s">
        <v>137</v>
      </c>
      <c r="J318" s="4671"/>
      <c r="K318" s="4672"/>
      <c r="L318" s="4672"/>
      <c r="M318" s="4672"/>
    </row>
    <row r="319" spans="1:13" s="4673" customFormat="1" ht="13.5" customHeight="1">
      <c r="A319" s="4666"/>
      <c r="B319" s="4667"/>
      <c r="C319" s="4668"/>
      <c r="D319" s="4658" t="s">
        <v>6510</v>
      </c>
      <c r="E319" s="4658"/>
      <c r="F319" s="4659"/>
      <c r="G319" s="523"/>
      <c r="H319" s="4670"/>
      <c r="I319" s="4675"/>
      <c r="J319" s="4676"/>
    </row>
    <row r="320" spans="1:13" s="4673" customFormat="1" ht="13.5" customHeight="1">
      <c r="A320" s="4666"/>
      <c r="B320" s="4667"/>
      <c r="C320" s="4668"/>
      <c r="D320" s="4658" t="s">
        <v>6518</v>
      </c>
      <c r="E320" s="4658"/>
      <c r="F320" s="4659">
        <v>0.5</v>
      </c>
      <c r="G320" s="523"/>
      <c r="H320" s="4670"/>
      <c r="I320" s="4675"/>
      <c r="J320" s="4676"/>
      <c r="K320" s="4677"/>
      <c r="M320" s="4677"/>
    </row>
    <row r="321" spans="1:13" s="4664" customFormat="1" ht="22.5">
      <c r="A321" s="4656" t="s">
        <v>6537</v>
      </c>
      <c r="B321" s="4657" t="s">
        <v>6439</v>
      </c>
      <c r="C321" s="4658">
        <v>977151218</v>
      </c>
      <c r="D321" s="4658" t="s">
        <v>6474</v>
      </c>
      <c r="E321" s="4658" t="s">
        <v>141</v>
      </c>
      <c r="F321" s="4659">
        <f>SUM(F323:F325)</f>
        <v>3.06</v>
      </c>
      <c r="G321" s="525"/>
      <c r="H321" s="4660">
        <f>ROUND(F321*G321,3)</f>
        <v>0</v>
      </c>
      <c r="I321" s="4679" t="s">
        <v>137</v>
      </c>
      <c r="J321" s="4661"/>
      <c r="K321" s="4662"/>
      <c r="L321" s="4663"/>
      <c r="M321" s="4662"/>
    </row>
    <row r="322" spans="1:13" s="4664" customFormat="1" ht="13.5" customHeight="1">
      <c r="A322" s="4656"/>
      <c r="B322" s="4657"/>
      <c r="C322" s="4658"/>
      <c r="D322" s="4658" t="s">
        <v>6510</v>
      </c>
      <c r="E322" s="4658"/>
      <c r="F322" s="4659"/>
      <c r="G322" s="525"/>
      <c r="H322" s="4660"/>
      <c r="I322" s="4665"/>
      <c r="J322" s="4661"/>
      <c r="K322" s="4662"/>
      <c r="L322" s="4663"/>
      <c r="M322" s="4662"/>
    </row>
    <row r="323" spans="1:13" s="4664" customFormat="1" ht="13.5" customHeight="1">
      <c r="A323" s="4656"/>
      <c r="B323" s="4657"/>
      <c r="C323" s="4658"/>
      <c r="D323" s="4658" t="s">
        <v>6519</v>
      </c>
      <c r="E323" s="4658"/>
      <c r="F323" s="4659">
        <v>0.35</v>
      </c>
      <c r="G323" s="525"/>
      <c r="H323" s="4660"/>
      <c r="I323" s="4665"/>
      <c r="J323" s="4661"/>
      <c r="K323" s="4662"/>
      <c r="L323" s="4663"/>
      <c r="M323" s="4662"/>
    </row>
    <row r="324" spans="1:13" s="4664" customFormat="1" ht="13.5" customHeight="1">
      <c r="A324" s="4656"/>
      <c r="B324" s="4657"/>
      <c r="C324" s="4658"/>
      <c r="D324" s="4658" t="s">
        <v>6520</v>
      </c>
      <c r="E324" s="4658"/>
      <c r="F324" s="4659">
        <v>0.96</v>
      </c>
      <c r="G324" s="525"/>
      <c r="H324" s="4660"/>
      <c r="I324" s="4665"/>
      <c r="J324" s="4661"/>
      <c r="K324" s="4662"/>
      <c r="L324" s="4663"/>
      <c r="M324" s="4662"/>
    </row>
    <row r="325" spans="1:13" s="4664" customFormat="1" ht="13.5" customHeight="1">
      <c r="A325" s="4656"/>
      <c r="B325" s="4657"/>
      <c r="C325" s="4658"/>
      <c r="D325" s="4658" t="s">
        <v>6521</v>
      </c>
      <c r="E325" s="4658"/>
      <c r="F325" s="4659">
        <v>1.75</v>
      </c>
      <c r="G325" s="525"/>
      <c r="H325" s="4660"/>
      <c r="I325" s="4665"/>
      <c r="J325" s="4661"/>
      <c r="K325" s="4662"/>
      <c r="L325" s="4663"/>
      <c r="M325" s="4662"/>
    </row>
    <row r="326" spans="1:13" s="4673" customFormat="1" ht="22.5">
      <c r="A326" s="4666" t="s">
        <v>6538</v>
      </c>
      <c r="B326" s="4667" t="s">
        <v>6439</v>
      </c>
      <c r="C326" s="4668" t="s">
        <v>6473</v>
      </c>
      <c r="D326" s="4668" t="s">
        <v>6488</v>
      </c>
      <c r="E326" s="4668" t="s">
        <v>141</v>
      </c>
      <c r="F326" s="4669">
        <f>ROUND(SUM(F328:F329),3)</f>
        <v>2</v>
      </c>
      <c r="G326" s="523"/>
      <c r="H326" s="4670">
        <f t="shared" ref="H326" si="14">ROUND(F326*G326,3)</f>
        <v>0</v>
      </c>
      <c r="I326" s="3769" t="s">
        <v>111</v>
      </c>
      <c r="J326" s="4671"/>
      <c r="K326" s="4672"/>
      <c r="L326" s="4672"/>
      <c r="M326" s="4672"/>
    </row>
    <row r="327" spans="1:13" s="4673" customFormat="1" ht="13.5" customHeight="1">
      <c r="A327" s="4666"/>
      <c r="B327" s="4667"/>
      <c r="C327" s="4668"/>
      <c r="D327" s="4668" t="s">
        <v>6457</v>
      </c>
      <c r="E327" s="4668"/>
      <c r="F327" s="4674"/>
      <c r="G327" s="523"/>
      <c r="H327" s="4670"/>
      <c r="I327" s="4675"/>
      <c r="J327" s="4676"/>
    </row>
    <row r="328" spans="1:13" s="4673" customFormat="1" ht="13.5" customHeight="1">
      <c r="A328" s="4666"/>
      <c r="B328" s="4667"/>
      <c r="C328" s="4668"/>
      <c r="D328" s="4668" t="s">
        <v>6475</v>
      </c>
      <c r="E328" s="4668"/>
      <c r="F328" s="4674">
        <f>1</f>
        <v>1</v>
      </c>
      <c r="G328" s="523"/>
      <c r="H328" s="4670"/>
      <c r="I328" s="4675"/>
      <c r="J328" s="4676"/>
      <c r="K328" s="4677"/>
      <c r="M328" s="4677"/>
    </row>
    <row r="329" spans="1:13" s="4673" customFormat="1" ht="13.5" customHeight="1">
      <c r="A329" s="4666"/>
      <c r="B329" s="4667"/>
      <c r="C329" s="4668"/>
      <c r="D329" s="4668" t="s">
        <v>6476</v>
      </c>
      <c r="E329" s="4668"/>
      <c r="F329" s="4674">
        <f>1</f>
        <v>1</v>
      </c>
      <c r="G329" s="523"/>
      <c r="H329" s="4670"/>
      <c r="I329" s="4675"/>
      <c r="J329" s="4676"/>
      <c r="K329" s="4677"/>
      <c r="M329" s="4677"/>
    </row>
    <row r="330" spans="1:13" s="4664" customFormat="1" ht="27" customHeight="1">
      <c r="A330" s="4656" t="s">
        <v>6539</v>
      </c>
      <c r="B330" s="4657" t="s">
        <v>6439</v>
      </c>
      <c r="C330" s="4658">
        <v>977151223</v>
      </c>
      <c r="D330" s="4658" t="s">
        <v>6522</v>
      </c>
      <c r="E330" s="4658" t="s">
        <v>141</v>
      </c>
      <c r="F330" s="4659">
        <f>SUM(F332:F334)</f>
        <v>0.91999999999999993</v>
      </c>
      <c r="G330" s="525"/>
      <c r="H330" s="4660">
        <f>ROUND(F330*G330,3)</f>
        <v>0</v>
      </c>
      <c r="I330" s="4679" t="s">
        <v>137</v>
      </c>
      <c r="J330" s="4661"/>
      <c r="K330" s="4662"/>
      <c r="L330" s="4663"/>
      <c r="M330" s="4662"/>
    </row>
    <row r="331" spans="1:13" s="4664" customFormat="1" ht="13.5" customHeight="1">
      <c r="A331" s="4656"/>
      <c r="B331" s="4657"/>
      <c r="C331" s="4658"/>
      <c r="D331" s="4658" t="s">
        <v>6510</v>
      </c>
      <c r="E331" s="4658"/>
      <c r="F331" s="4659"/>
      <c r="G331" s="525"/>
      <c r="H331" s="4660"/>
      <c r="I331" s="4665"/>
      <c r="J331" s="4661"/>
      <c r="K331" s="4662"/>
      <c r="L331" s="4663"/>
      <c r="M331" s="4662"/>
    </row>
    <row r="332" spans="1:13" s="4664" customFormat="1" ht="13.5" customHeight="1">
      <c r="A332" s="4656"/>
      <c r="B332" s="4657"/>
      <c r="C332" s="4658"/>
      <c r="D332" s="4658" t="s">
        <v>6519</v>
      </c>
      <c r="E332" s="4658"/>
      <c r="F332" s="4659">
        <v>0.35</v>
      </c>
      <c r="G332" s="525"/>
      <c r="H332" s="4660"/>
      <c r="I332" s="4665"/>
      <c r="J332" s="4661"/>
      <c r="K332" s="4662"/>
      <c r="L332" s="4663"/>
      <c r="M332" s="4662"/>
    </row>
    <row r="333" spans="1:13" s="4664" customFormat="1" ht="13.5" customHeight="1">
      <c r="A333" s="4656"/>
      <c r="B333" s="4657"/>
      <c r="C333" s="4658"/>
      <c r="D333" s="4658" t="s">
        <v>6523</v>
      </c>
      <c r="E333" s="4658"/>
      <c r="F333" s="4659">
        <v>0.32</v>
      </c>
      <c r="G333" s="525"/>
      <c r="H333" s="4660"/>
      <c r="I333" s="4665"/>
      <c r="J333" s="4661"/>
      <c r="K333" s="4662"/>
      <c r="L333" s="4663"/>
      <c r="M333" s="4662"/>
    </row>
    <row r="334" spans="1:13" s="4664" customFormat="1" ht="13.5" customHeight="1">
      <c r="A334" s="4656"/>
      <c r="B334" s="4657"/>
      <c r="C334" s="4658"/>
      <c r="D334" s="4658" t="s">
        <v>6524</v>
      </c>
      <c r="E334" s="4658"/>
      <c r="F334" s="4659">
        <v>0.25</v>
      </c>
      <c r="G334" s="525"/>
      <c r="H334" s="4660"/>
      <c r="I334" s="4665"/>
      <c r="J334" s="4661"/>
      <c r="K334" s="4662"/>
      <c r="L334" s="4663"/>
      <c r="M334" s="4662"/>
    </row>
    <row r="335" spans="1:13" s="888" customFormat="1" ht="27" customHeight="1">
      <c r="A335" s="3657">
        <v>63</v>
      </c>
      <c r="B335" s="3539" t="s">
        <v>2932</v>
      </c>
      <c r="C335" s="3507" t="s">
        <v>2933</v>
      </c>
      <c r="D335" s="3507" t="s">
        <v>2934</v>
      </c>
      <c r="E335" s="3507" t="s">
        <v>163</v>
      </c>
      <c r="F335" s="4590">
        <f>SUM(F336)</f>
        <v>12.63</v>
      </c>
      <c r="G335" s="2558"/>
      <c r="H335" s="3509">
        <f>F335*G335</f>
        <v>0</v>
      </c>
      <c r="I335" s="3510" t="s">
        <v>111</v>
      </c>
    </row>
    <row r="336" spans="1:13" ht="13.5" customHeight="1">
      <c r="A336" s="3657"/>
      <c r="B336" s="3539"/>
      <c r="C336" s="3507"/>
      <c r="D336" s="3514" t="s">
        <v>2935</v>
      </c>
      <c r="E336" s="3507"/>
      <c r="F336" s="4615">
        <v>12.63</v>
      </c>
      <c r="G336" s="2558"/>
      <c r="H336" s="3509"/>
      <c r="I336" s="3510"/>
      <c r="J336" s="3507"/>
    </row>
    <row r="337" spans="1:12" s="888" customFormat="1" ht="27" customHeight="1">
      <c r="A337" s="3657">
        <v>64</v>
      </c>
      <c r="B337" s="3539" t="s">
        <v>2932</v>
      </c>
      <c r="C337" s="3507">
        <v>978011141</v>
      </c>
      <c r="D337" s="3507" t="s">
        <v>2936</v>
      </c>
      <c r="E337" s="3507" t="s">
        <v>163</v>
      </c>
      <c r="F337" s="4590">
        <f>SUM(F338:F340)</f>
        <v>4.5355000000000008</v>
      </c>
      <c r="G337" s="2558"/>
      <c r="H337" s="3509">
        <f>F337*G337</f>
        <v>0</v>
      </c>
      <c r="I337" s="3510" t="s">
        <v>1801</v>
      </c>
    </row>
    <row r="338" spans="1:12" ht="13.5" customHeight="1">
      <c r="A338" s="3657"/>
      <c r="B338" s="3539"/>
      <c r="C338" s="3507"/>
      <c r="D338" s="3514" t="s">
        <v>2937</v>
      </c>
      <c r="E338" s="3507"/>
      <c r="F338" s="4615">
        <f>((1.175*0.3)+(1.25*0.3))</f>
        <v>0.72750000000000004</v>
      </c>
      <c r="G338" s="2558"/>
      <c r="H338" s="3509"/>
      <c r="I338" s="3510"/>
      <c r="J338" s="3507"/>
    </row>
    <row r="339" spans="1:12" ht="13.5" customHeight="1">
      <c r="A339" s="3657"/>
      <c r="B339" s="3539"/>
      <c r="C339" s="3507"/>
      <c r="D339" s="3514" t="s">
        <v>2938</v>
      </c>
      <c r="E339" s="3507"/>
      <c r="F339" s="4615">
        <f>((0.5*0.225)+(0.225*0.25)+(0.85*0.225))</f>
        <v>0.36</v>
      </c>
      <c r="G339" s="2558"/>
      <c r="H339" s="3509"/>
      <c r="I339" s="3510"/>
    </row>
    <row r="340" spans="1:12" ht="13.5" customHeight="1">
      <c r="A340" s="3657"/>
      <c r="B340" s="3539"/>
      <c r="C340" s="3507"/>
      <c r="D340" s="3514" t="s">
        <v>2939</v>
      </c>
      <c r="E340" s="3507"/>
      <c r="F340" s="4615">
        <f xml:space="preserve"> ((0.4*0.4*7)+(1.32*0.4)+(0.9*0.4*5))</f>
        <v>3.4480000000000004</v>
      </c>
      <c r="G340" s="2558"/>
      <c r="H340" s="3509"/>
      <c r="I340" s="3510"/>
    </row>
    <row r="341" spans="1:12" s="888" customFormat="1" ht="27" customHeight="1">
      <c r="A341" s="3657">
        <v>65</v>
      </c>
      <c r="B341" s="3539" t="s">
        <v>2932</v>
      </c>
      <c r="C341" s="3507">
        <v>978013141</v>
      </c>
      <c r="D341" s="3507" t="s">
        <v>2940</v>
      </c>
      <c r="E341" s="3507" t="s">
        <v>163</v>
      </c>
      <c r="F341" s="4590">
        <f>SUM(F342:F344)</f>
        <v>1805.7289999999998</v>
      </c>
      <c r="G341" s="2558"/>
      <c r="H341" s="3509">
        <f>F341*G341</f>
        <v>0</v>
      </c>
      <c r="I341" s="3510" t="s">
        <v>1801</v>
      </c>
    </row>
    <row r="342" spans="1:12" s="888" customFormat="1" ht="13.5" customHeight="1">
      <c r="A342" s="3657"/>
      <c r="B342" s="3539"/>
      <c r="C342" s="3507"/>
      <c r="D342" s="3514" t="s">
        <v>2941</v>
      </c>
      <c r="E342" s="3507"/>
      <c r="F342" s="4641">
        <v>3.54</v>
      </c>
      <c r="G342" s="2558"/>
      <c r="H342" s="3509"/>
      <c r="I342" s="3510"/>
      <c r="J342" s="3592"/>
    </row>
    <row r="343" spans="1:12" s="888" customFormat="1" ht="13.5" customHeight="1">
      <c r="A343" s="3657"/>
      <c r="B343" s="3539"/>
      <c r="C343" s="3507"/>
      <c r="D343" s="3514" t="s">
        <v>2942</v>
      </c>
      <c r="E343" s="3507"/>
      <c r="F343" s="4641">
        <f xml:space="preserve"> (379.386+1139.98)</f>
        <v>1519.366</v>
      </c>
      <c r="G343" s="2558"/>
      <c r="H343" s="3509"/>
      <c r="I343" s="3510"/>
      <c r="J343" s="3592"/>
    </row>
    <row r="344" spans="1:12" s="888" customFormat="1" ht="13.5" customHeight="1">
      <c r="A344" s="3657"/>
      <c r="B344" s="3539"/>
      <c r="C344" s="3507"/>
      <c r="D344" s="3514" t="s">
        <v>2943</v>
      </c>
      <c r="E344" s="3507"/>
      <c r="F344" s="4641">
        <f>(282.823)</f>
        <v>282.82299999999998</v>
      </c>
      <c r="G344" s="2558"/>
      <c r="H344" s="3509"/>
      <c r="I344" s="3510"/>
      <c r="J344" s="3592"/>
    </row>
    <row r="345" spans="1:12" s="888" customFormat="1" ht="13.5" customHeight="1">
      <c r="A345" s="3657">
        <v>66</v>
      </c>
      <c r="B345" s="3539" t="s">
        <v>1641</v>
      </c>
      <c r="C345" s="3507" t="s">
        <v>2944</v>
      </c>
      <c r="D345" s="3507" t="s">
        <v>2945</v>
      </c>
      <c r="E345" s="3507" t="s">
        <v>163</v>
      </c>
      <c r="F345" s="4590">
        <f>SUM(F346:F346)</f>
        <v>542.02260000000001</v>
      </c>
      <c r="G345" s="2558"/>
      <c r="H345" s="3509">
        <f>F345*G345</f>
        <v>0</v>
      </c>
      <c r="I345" s="3510" t="s">
        <v>111</v>
      </c>
      <c r="J345" s="4621"/>
    </row>
    <row r="346" spans="1:12" s="1423" customFormat="1" ht="13.5" customHeight="1">
      <c r="A346" s="4096"/>
      <c r="B346" s="3638"/>
      <c r="C346" s="3638"/>
      <c r="D346" s="3298" t="s">
        <v>2946</v>
      </c>
      <c r="E346" s="3638"/>
      <c r="F346" s="3641">
        <f>4.163*130.2</f>
        <v>542.02260000000001</v>
      </c>
      <c r="G346" s="4829"/>
      <c r="H346" s="4129"/>
      <c r="I346" s="4098"/>
      <c r="J346" s="4680"/>
    </row>
    <row r="347" spans="1:12" s="1423" customFormat="1" ht="27" customHeight="1">
      <c r="A347" s="3648">
        <v>67</v>
      </c>
      <c r="B347" s="3637" t="s">
        <v>2947</v>
      </c>
      <c r="C347" s="3638" t="s">
        <v>2948</v>
      </c>
      <c r="D347" s="3638" t="s">
        <v>2949</v>
      </c>
      <c r="E347" s="3638" t="s">
        <v>163</v>
      </c>
      <c r="F347" s="4681">
        <f>SUM(F350:F352)</f>
        <v>1603.8899999999999</v>
      </c>
      <c r="G347" s="5165" t="s">
        <v>3512</v>
      </c>
      <c r="H347" s="5166"/>
      <c r="I347" s="3510" t="s">
        <v>111</v>
      </c>
      <c r="J347" s="4130"/>
      <c r="L347" s="4639"/>
    </row>
    <row r="348" spans="1:12" s="1423" customFormat="1" ht="40.5" customHeight="1">
      <c r="A348" s="3655"/>
      <c r="B348" s="3638"/>
      <c r="C348" s="3638"/>
      <c r="D348" s="4682" t="s">
        <v>2950</v>
      </c>
      <c r="E348" s="3638"/>
      <c r="F348" s="4601"/>
      <c r="G348" s="3707"/>
      <c r="H348" s="3654"/>
      <c r="I348" s="4129"/>
      <c r="J348" s="4130"/>
      <c r="L348" s="4639"/>
    </row>
    <row r="349" spans="1:12" s="1423" customFormat="1" ht="13.5" customHeight="1">
      <c r="A349" s="3655"/>
      <c r="B349" s="3638"/>
      <c r="C349" s="3638"/>
      <c r="D349" s="4682" t="s">
        <v>2951</v>
      </c>
      <c r="E349" s="3638"/>
      <c r="F349" s="4601"/>
      <c r="G349" s="3707"/>
      <c r="H349" s="3654"/>
      <c r="I349" s="4129"/>
      <c r="J349" s="4130"/>
      <c r="L349" s="4639"/>
    </row>
    <row r="350" spans="1:12" s="1423" customFormat="1" ht="13.5" customHeight="1">
      <c r="A350" s="3655"/>
      <c r="B350" s="3638"/>
      <c r="C350" s="3638"/>
      <c r="D350" s="3298" t="s">
        <v>2952</v>
      </c>
      <c r="E350" s="3638"/>
      <c r="F350" s="4601">
        <f>(16.7+7.98+11.82+1.08+2.17+3.93+5.21+15.55+6.72+20.76+89.06)</f>
        <v>180.98000000000002</v>
      </c>
      <c r="G350" s="3707"/>
      <c r="H350" s="3654"/>
      <c r="I350" s="4098"/>
      <c r="J350" s="4683"/>
      <c r="L350" s="4639"/>
    </row>
    <row r="351" spans="1:12" s="1423" customFormat="1" ht="54" customHeight="1">
      <c r="A351" s="3655"/>
      <c r="B351" s="3638"/>
      <c r="C351" s="3638"/>
      <c r="D351" s="3298" t="s">
        <v>2953</v>
      </c>
      <c r="E351" s="3638"/>
      <c r="F351" s="4601">
        <f>(5.52+6.84+11.15+5.5+1.08+0.78+24.21+15.78+12.83+20.64+13.58+12.43+3.12+4.25+12.8+12.85+3.13+2.41+1.44+3.58+84.54+192.71+9.24+15.05+9.8+4.34+5.09+3.15+2.24+3.15+6.02+43.03+38.25+17.25+65.26+9.22+23.03+9.09)</f>
        <v>714.38</v>
      </c>
      <c r="G351" s="3707"/>
      <c r="H351" s="3654"/>
      <c r="I351" s="4098"/>
      <c r="J351" s="4683"/>
      <c r="L351" s="4639"/>
    </row>
    <row r="352" spans="1:12" s="1423" customFormat="1" ht="40.5" customHeight="1">
      <c r="A352" s="3655"/>
      <c r="B352" s="3638"/>
      <c r="C352" s="3638"/>
      <c r="D352" s="3298" t="s">
        <v>2954</v>
      </c>
      <c r="E352" s="3638"/>
      <c r="F352" s="4601">
        <f>(5.91+88+22.26+64.47+2.24+6.74+6.18+1.4+5.96+5.29+3.36+77.13+22.94+31.05+66.77+4.33+4.96+4.75+1.96+2.65+3.68+1.36+12.71+9.93+58.68+66.77+56.95+70.1)</f>
        <v>708.53</v>
      </c>
      <c r="G352" s="3707"/>
      <c r="H352" s="3654"/>
      <c r="I352" s="4098"/>
      <c r="J352" s="4683"/>
      <c r="L352" s="4639"/>
    </row>
    <row r="353" spans="1:16" s="4639" customFormat="1" ht="13.5" customHeight="1">
      <c r="A353" s="4684"/>
      <c r="B353" s="4685"/>
      <c r="C353" s="4686"/>
      <c r="D353" s="4682" t="s">
        <v>2955</v>
      </c>
      <c r="E353" s="4686"/>
      <c r="F353" s="4687"/>
      <c r="G353" s="221"/>
      <c r="H353" s="4688"/>
      <c r="I353" s="4689"/>
      <c r="J353" s="4690"/>
      <c r="K353" s="4691"/>
      <c r="L353" s="4691"/>
      <c r="M353" s="4691"/>
      <c r="N353" s="4691"/>
      <c r="O353" s="4691"/>
      <c r="P353" s="4691"/>
    </row>
    <row r="354" spans="1:16" s="1423" customFormat="1" ht="67.5" customHeight="1">
      <c r="A354" s="3655"/>
      <c r="B354" s="3638"/>
      <c r="C354" s="3638"/>
      <c r="D354" s="2314" t="s">
        <v>310</v>
      </c>
      <c r="E354" s="4128"/>
      <c r="F354" s="4601"/>
      <c r="G354" s="3707"/>
      <c r="H354" s="3654"/>
      <c r="I354" s="4129"/>
      <c r="J354" s="4130"/>
      <c r="L354" s="4639"/>
    </row>
    <row r="355" spans="1:16" s="1423" customFormat="1" ht="27" customHeight="1">
      <c r="A355" s="4692" t="s">
        <v>6402</v>
      </c>
      <c r="B355" s="4369" t="s">
        <v>2947</v>
      </c>
      <c r="C355" s="4100" t="s">
        <v>6403</v>
      </c>
      <c r="D355" s="4100" t="s">
        <v>6405</v>
      </c>
      <c r="E355" s="4100" t="s">
        <v>163</v>
      </c>
      <c r="F355" s="4693">
        <f>SUM(F357:F360)</f>
        <v>1678.9599999999998</v>
      </c>
      <c r="G355" s="4822"/>
      <c r="H355" s="4093">
        <f>F355*G355</f>
        <v>0</v>
      </c>
      <c r="I355" s="3769" t="s">
        <v>111</v>
      </c>
      <c r="J355" s="4130"/>
      <c r="L355" s="4639"/>
    </row>
    <row r="356" spans="1:16" s="1423" customFormat="1" ht="54" customHeight="1">
      <c r="A356" s="4368"/>
      <c r="B356" s="4100"/>
      <c r="C356" s="4100"/>
      <c r="D356" s="4606" t="s">
        <v>6410</v>
      </c>
      <c r="E356" s="4607"/>
      <c r="F356" s="4693"/>
      <c r="G356" s="4822"/>
      <c r="H356" s="4093"/>
      <c r="I356" s="4608"/>
      <c r="J356" s="4130"/>
      <c r="L356" s="4639"/>
    </row>
    <row r="357" spans="1:16" s="1423" customFormat="1" ht="13.5" customHeight="1">
      <c r="A357" s="4368"/>
      <c r="B357" s="4100"/>
      <c r="C357" s="4100"/>
      <c r="D357" s="4100" t="s">
        <v>2952</v>
      </c>
      <c r="E357" s="4100"/>
      <c r="F357" s="4693">
        <f>(16.7+7.98+11.82+1.08+2.17+3.93+5.21+15.55+6.72+20.76+89.06)</f>
        <v>180.98000000000002</v>
      </c>
      <c r="G357" s="4822"/>
      <c r="H357" s="4093"/>
      <c r="I357" s="3759"/>
      <c r="J357" s="4683"/>
      <c r="L357" s="4639"/>
    </row>
    <row r="358" spans="1:16" s="1423" customFormat="1" ht="54" customHeight="1">
      <c r="A358" s="4368"/>
      <c r="B358" s="4100"/>
      <c r="C358" s="4100"/>
      <c r="D358" s="4100" t="s">
        <v>2953</v>
      </c>
      <c r="E358" s="4100"/>
      <c r="F358" s="4693">
        <f>(5.52+6.84+11.15+5.5+1.08+0.78+24.21+15.78+12.83+20.64+13.58+12.43+3.12+4.25+12.8+12.85+3.13+2.41+1.44+3.58+84.54+192.71+9.24+15.05+9.8+4.34+5.09+3.15+2.24+3.15+6.02+43.03+38.25+17.25+65.26+9.22+23.03+9.09)</f>
        <v>714.38</v>
      </c>
      <c r="G358" s="4822"/>
      <c r="H358" s="4093"/>
      <c r="I358" s="3759"/>
      <c r="J358" s="4683"/>
      <c r="L358" s="4639"/>
    </row>
    <row r="359" spans="1:16" s="1423" customFormat="1" ht="40.5" customHeight="1">
      <c r="A359" s="4368"/>
      <c r="B359" s="4100"/>
      <c r="C359" s="4100"/>
      <c r="D359" s="4100" t="s">
        <v>2954</v>
      </c>
      <c r="E359" s="4100"/>
      <c r="F359" s="4693">
        <f>(5.91+88+22.26+64.47+2.24+6.74+6.18+1.4+5.96+5.29+3.36+77.13+22.94+31.05+66.77+4.33+4.96+4.75+1.96+2.65+3.68+1.36+12.71+9.93+58.68+66.77+56.95+70.1)</f>
        <v>708.53</v>
      </c>
      <c r="G359" s="4822"/>
      <c r="H359" s="4093"/>
      <c r="I359" s="3759"/>
      <c r="J359" s="4683"/>
      <c r="L359" s="4639"/>
    </row>
    <row r="360" spans="1:16" s="1423" customFormat="1" ht="12.95" customHeight="1">
      <c r="A360" s="4694"/>
      <c r="B360" s="4695"/>
      <c r="C360" s="4695"/>
      <c r="D360" s="4100" t="s">
        <v>6483</v>
      </c>
      <c r="E360" s="4100"/>
      <c r="F360" s="4693">
        <f>(750.7)*0.1</f>
        <v>75.070000000000007</v>
      </c>
      <c r="G360" s="4830"/>
      <c r="H360" s="4696"/>
      <c r="I360" s="4697"/>
      <c r="J360" s="4683"/>
      <c r="L360" s="4639"/>
    </row>
    <row r="361" spans="1:16" s="1423" customFormat="1" ht="54" customHeight="1">
      <c r="A361" s="4368"/>
      <c r="B361" s="4100"/>
      <c r="C361" s="4100"/>
      <c r="D361" s="4606" t="s">
        <v>6408</v>
      </c>
      <c r="E361" s="4607"/>
      <c r="F361" s="4693"/>
      <c r="G361" s="4822"/>
      <c r="H361" s="4093"/>
      <c r="I361" s="4608"/>
      <c r="J361" s="4130"/>
      <c r="L361" s="4639"/>
    </row>
    <row r="362" spans="1:16" s="1423" customFormat="1" ht="67.5" customHeight="1">
      <c r="A362" s="4368"/>
      <c r="B362" s="4100"/>
      <c r="C362" s="4100"/>
      <c r="D362" s="4606" t="s">
        <v>310</v>
      </c>
      <c r="E362" s="4607"/>
      <c r="F362" s="4693"/>
      <c r="G362" s="4822"/>
      <c r="H362" s="4093"/>
      <c r="I362" s="4608"/>
      <c r="J362" s="4130"/>
      <c r="L362" s="4639"/>
    </row>
    <row r="363" spans="1:16" s="1423" customFormat="1" ht="27" customHeight="1">
      <c r="A363" s="4692" t="s">
        <v>6404</v>
      </c>
      <c r="B363" s="4369" t="s">
        <v>2947</v>
      </c>
      <c r="C363" s="4100" t="s">
        <v>6409</v>
      </c>
      <c r="D363" s="4100" t="s">
        <v>6556</v>
      </c>
      <c r="E363" s="4100" t="s">
        <v>163</v>
      </c>
      <c r="F363" s="4693">
        <f>SUM(F365:F367)</f>
        <v>1038.3100000000002</v>
      </c>
      <c r="G363" s="4822"/>
      <c r="H363" s="4093">
        <f>F363*G363</f>
        <v>0</v>
      </c>
      <c r="I363" s="3769" t="s">
        <v>111</v>
      </c>
      <c r="J363" s="4130"/>
      <c r="L363" s="4639"/>
    </row>
    <row r="364" spans="1:16" s="1423" customFormat="1" ht="67.5" customHeight="1">
      <c r="A364" s="4368"/>
      <c r="B364" s="4100"/>
      <c r="C364" s="4100"/>
      <c r="D364" s="4606" t="s">
        <v>6411</v>
      </c>
      <c r="E364" s="4607"/>
      <c r="F364" s="4693"/>
      <c r="G364" s="4822"/>
      <c r="H364" s="4093"/>
      <c r="I364" s="4608"/>
      <c r="J364" s="4130"/>
      <c r="L364" s="4639"/>
    </row>
    <row r="365" spans="1:16" s="1423" customFormat="1" ht="13.5" customHeight="1">
      <c r="A365" s="4368"/>
      <c r="B365" s="4100"/>
      <c r="C365" s="4100"/>
      <c r="D365" s="4100" t="s">
        <v>6407</v>
      </c>
      <c r="E365" s="4100"/>
      <c r="F365" s="4693">
        <f>(16.7+5.21)</f>
        <v>21.91</v>
      </c>
      <c r="G365" s="4822"/>
      <c r="H365" s="4093"/>
      <c r="I365" s="3759"/>
      <c r="J365" s="4683"/>
      <c r="L365" s="4639"/>
    </row>
    <row r="366" spans="1:16" s="1423" customFormat="1" ht="27" customHeight="1">
      <c r="A366" s="4368"/>
      <c r="B366" s="4100"/>
      <c r="C366" s="4100"/>
      <c r="D366" s="4100" t="s">
        <v>6412</v>
      </c>
      <c r="E366" s="4100"/>
      <c r="F366" s="4693">
        <f>(5.52+6.84+3.12+4.25+12.8+12.85+3.58+192.71+9.24+43.03+17.25+65.26+9.22)</f>
        <v>385.67000000000007</v>
      </c>
      <c r="G366" s="4822"/>
      <c r="H366" s="4093"/>
      <c r="I366" s="3759"/>
      <c r="J366" s="4683"/>
      <c r="L366" s="4639"/>
    </row>
    <row r="367" spans="1:16" s="1423" customFormat="1" ht="27" customHeight="1">
      <c r="A367" s="4368"/>
      <c r="B367" s="4100"/>
      <c r="C367" s="4100"/>
      <c r="D367" s="4100" t="s">
        <v>6413</v>
      </c>
      <c r="E367" s="4100"/>
      <c r="F367" s="4693">
        <f>(5.91+88+22.26+64.47+77.13+31.05+66.77+12.71+9.93+58.68+66.77+56.95+70.1)</f>
        <v>630.73</v>
      </c>
      <c r="G367" s="4822"/>
      <c r="H367" s="4093"/>
      <c r="I367" s="3759"/>
      <c r="J367" s="4683"/>
      <c r="L367" s="4639"/>
    </row>
    <row r="368" spans="1:16" s="1423" customFormat="1" ht="40.5" customHeight="1">
      <c r="A368" s="4368"/>
      <c r="B368" s="4100"/>
      <c r="C368" s="4100"/>
      <c r="D368" s="4698" t="s">
        <v>6406</v>
      </c>
      <c r="E368" s="4100"/>
      <c r="F368" s="4693"/>
      <c r="G368" s="4822"/>
      <c r="H368" s="4093"/>
      <c r="I368" s="4608"/>
      <c r="J368" s="4130"/>
      <c r="L368" s="4639"/>
    </row>
    <row r="369" spans="1:16" s="4639" customFormat="1" ht="40.5" customHeight="1">
      <c r="A369" s="4699"/>
      <c r="B369" s="4700"/>
      <c r="C369" s="4698"/>
      <c r="D369" s="4698" t="s">
        <v>6562</v>
      </c>
      <c r="E369" s="4698"/>
      <c r="F369" s="4701"/>
      <c r="G369" s="526"/>
      <c r="H369" s="4702"/>
      <c r="I369" s="4703"/>
      <c r="J369" s="4690"/>
      <c r="K369" s="4691"/>
      <c r="L369" s="4691"/>
      <c r="M369" s="4691"/>
      <c r="N369" s="4691"/>
      <c r="O369" s="4691"/>
      <c r="P369" s="4691"/>
    </row>
    <row r="370" spans="1:16" s="1423" customFormat="1" ht="67.5" customHeight="1">
      <c r="A370" s="4368"/>
      <c r="B370" s="4100"/>
      <c r="C370" s="4100"/>
      <c r="D370" s="4606" t="s">
        <v>310</v>
      </c>
      <c r="E370" s="4607"/>
      <c r="F370" s="4693"/>
      <c r="G370" s="4822"/>
      <c r="H370" s="4093"/>
      <c r="I370" s="4608"/>
      <c r="J370" s="4130"/>
      <c r="L370" s="4639"/>
    </row>
    <row r="371" spans="1:16" s="888" customFormat="1" ht="13.5" customHeight="1">
      <c r="A371" s="3725">
        <v>68</v>
      </c>
      <c r="B371" s="3539" t="s">
        <v>2932</v>
      </c>
      <c r="C371" s="3507" t="s">
        <v>2956</v>
      </c>
      <c r="D371" s="3507" t="s">
        <v>2957</v>
      </c>
      <c r="E371" s="3507" t="s">
        <v>49</v>
      </c>
      <c r="F371" s="4590">
        <f>F372</f>
        <v>1</v>
      </c>
      <c r="G371" s="5165" t="s">
        <v>3512</v>
      </c>
      <c r="H371" s="5166"/>
      <c r="I371" s="3510" t="s">
        <v>111</v>
      </c>
      <c r="J371" s="4704"/>
      <c r="K371" s="4704"/>
    </row>
    <row r="372" spans="1:16" s="888" customFormat="1" ht="54" customHeight="1">
      <c r="A372" s="3782"/>
      <c r="B372" s="4054"/>
      <c r="C372" s="3594"/>
      <c r="D372" s="3514" t="s">
        <v>2958</v>
      </c>
      <c r="E372" s="3514"/>
      <c r="F372" s="3641">
        <v>1</v>
      </c>
      <c r="G372" s="4826"/>
      <c r="H372" s="3532"/>
      <c r="I372" s="3506"/>
      <c r="K372" s="4704"/>
    </row>
    <row r="373" spans="1:16" s="888" customFormat="1" ht="27" customHeight="1">
      <c r="A373" s="3782"/>
      <c r="B373" s="4054"/>
      <c r="C373" s="3594"/>
      <c r="D373" s="3514" t="s">
        <v>2959</v>
      </c>
      <c r="E373" s="3514"/>
      <c r="F373" s="3641"/>
      <c r="G373" s="4826"/>
      <c r="H373" s="3532"/>
      <c r="I373" s="3506"/>
      <c r="J373" s="4704"/>
      <c r="K373" s="4704"/>
    </row>
    <row r="374" spans="1:16" s="1423" customFormat="1" ht="40.5" customHeight="1">
      <c r="A374" s="4705"/>
      <c r="B374" s="3638"/>
      <c r="C374" s="3638"/>
      <c r="D374" s="2314" t="s">
        <v>2960</v>
      </c>
      <c r="E374" s="4128"/>
      <c r="F374" s="3656"/>
      <c r="G374" s="3707"/>
      <c r="H374" s="3654"/>
      <c r="I374" s="4098"/>
      <c r="J374" s="4130"/>
      <c r="L374" s="883"/>
    </row>
    <row r="375" spans="1:16" s="1423" customFormat="1" ht="121.5" customHeight="1">
      <c r="A375" s="4705"/>
      <c r="B375" s="3638"/>
      <c r="C375" s="3638"/>
      <c r="D375" s="2314" t="s">
        <v>2961</v>
      </c>
      <c r="E375" s="4128"/>
      <c r="F375" s="3656"/>
      <c r="G375" s="3707"/>
      <c r="H375" s="3654"/>
      <c r="I375" s="4098"/>
      <c r="J375" s="4130"/>
      <c r="L375" s="883"/>
    </row>
    <row r="376" spans="1:16" s="1423" customFormat="1" ht="67.5" customHeight="1">
      <c r="A376" s="4705"/>
      <c r="B376" s="3638"/>
      <c r="C376" s="3638"/>
      <c r="D376" s="2314" t="s">
        <v>310</v>
      </c>
      <c r="E376" s="4128"/>
      <c r="F376" s="3656"/>
      <c r="G376" s="3707"/>
      <c r="H376" s="3654"/>
      <c r="I376" s="4098"/>
      <c r="J376" s="4130"/>
      <c r="L376" s="883"/>
    </row>
    <row r="377" spans="1:16" s="888" customFormat="1" ht="13.5" customHeight="1">
      <c r="A377" s="4043" t="s">
        <v>6387</v>
      </c>
      <c r="B377" s="4143" t="s">
        <v>2932</v>
      </c>
      <c r="C377" s="3761" t="s">
        <v>6393</v>
      </c>
      <c r="D377" s="3761" t="s">
        <v>6388</v>
      </c>
      <c r="E377" s="3761" t="s">
        <v>205</v>
      </c>
      <c r="F377" s="4610">
        <f>F378</f>
        <v>3</v>
      </c>
      <c r="G377" s="2561"/>
      <c r="H377" s="4611">
        <f>F377*G377</f>
        <v>0</v>
      </c>
      <c r="I377" s="3769" t="s">
        <v>111</v>
      </c>
      <c r="J377" s="4704"/>
      <c r="K377" s="4704"/>
    </row>
    <row r="378" spans="1:16" s="888" customFormat="1" ht="27" customHeight="1">
      <c r="A378" s="4043"/>
      <c r="B378" s="4143"/>
      <c r="C378" s="3761"/>
      <c r="D378" s="3761" t="s">
        <v>6394</v>
      </c>
      <c r="E378" s="3761"/>
      <c r="F378" s="4610">
        <v>3</v>
      </c>
      <c r="G378" s="2561"/>
      <c r="H378" s="4611"/>
      <c r="I378" s="4706"/>
      <c r="K378" s="4704"/>
    </row>
    <row r="379" spans="1:16" s="1423" customFormat="1" ht="54" customHeight="1">
      <c r="A379" s="4707"/>
      <c r="B379" s="4100"/>
      <c r="C379" s="4100"/>
      <c r="D379" s="4606" t="s">
        <v>6392</v>
      </c>
      <c r="E379" s="4607"/>
      <c r="F379" s="4708"/>
      <c r="G379" s="4822"/>
      <c r="H379" s="4093"/>
      <c r="I379" s="3759"/>
      <c r="J379" s="4130"/>
      <c r="L379" s="883"/>
    </row>
    <row r="380" spans="1:16" s="1423" customFormat="1" ht="67.5" customHeight="1">
      <c r="A380" s="4707"/>
      <c r="B380" s="4100"/>
      <c r="C380" s="4100"/>
      <c r="D380" s="4606" t="s">
        <v>310</v>
      </c>
      <c r="E380" s="4607"/>
      <c r="F380" s="4708"/>
      <c r="G380" s="4822"/>
      <c r="H380" s="4093"/>
      <c r="I380" s="3759"/>
      <c r="J380" s="4130"/>
      <c r="L380" s="883"/>
    </row>
    <row r="381" spans="1:16" s="888" customFormat="1" ht="13.5" customHeight="1">
      <c r="A381" s="4043" t="s">
        <v>6389</v>
      </c>
      <c r="B381" s="4143" t="s">
        <v>2932</v>
      </c>
      <c r="C381" s="3761" t="s">
        <v>6396</v>
      </c>
      <c r="D381" s="3761" t="s">
        <v>6391</v>
      </c>
      <c r="E381" s="3761" t="s">
        <v>205</v>
      </c>
      <c r="F381" s="4610">
        <f>F382</f>
        <v>1</v>
      </c>
      <c r="G381" s="2561"/>
      <c r="H381" s="4611">
        <f>F381*G381</f>
        <v>0</v>
      </c>
      <c r="I381" s="3769" t="s">
        <v>111</v>
      </c>
      <c r="J381" s="4704"/>
      <c r="K381" s="4704"/>
    </row>
    <row r="382" spans="1:16" s="888" customFormat="1" ht="27" customHeight="1">
      <c r="A382" s="4043"/>
      <c r="B382" s="4143"/>
      <c r="C382" s="3761"/>
      <c r="D382" s="3761" t="s">
        <v>6395</v>
      </c>
      <c r="E382" s="3761"/>
      <c r="F382" s="4610">
        <v>1</v>
      </c>
      <c r="G382" s="2561"/>
      <c r="H382" s="4611"/>
      <c r="I382" s="4706"/>
      <c r="K382" s="4704"/>
    </row>
    <row r="383" spans="1:16" s="1423" customFormat="1" ht="54" customHeight="1">
      <c r="A383" s="4707"/>
      <c r="B383" s="4100"/>
      <c r="C383" s="4100"/>
      <c r="D383" s="4606" t="s">
        <v>6392</v>
      </c>
      <c r="E383" s="4607"/>
      <c r="F383" s="4708"/>
      <c r="G383" s="4822"/>
      <c r="H383" s="4093"/>
      <c r="I383" s="3759"/>
      <c r="J383" s="4130"/>
      <c r="L383" s="883"/>
    </row>
    <row r="384" spans="1:16" s="1423" customFormat="1" ht="67.5" customHeight="1">
      <c r="A384" s="4707"/>
      <c r="B384" s="4100"/>
      <c r="C384" s="4100"/>
      <c r="D384" s="4606" t="s">
        <v>310</v>
      </c>
      <c r="E384" s="4607"/>
      <c r="F384" s="4708"/>
      <c r="G384" s="4822"/>
      <c r="H384" s="4093"/>
      <c r="I384" s="3759"/>
      <c r="J384" s="4130"/>
      <c r="L384" s="883"/>
    </row>
    <row r="385" spans="1:12" s="888" customFormat="1" ht="13.5" customHeight="1">
      <c r="A385" s="4043" t="s">
        <v>6390</v>
      </c>
      <c r="B385" s="4143" t="s">
        <v>2932</v>
      </c>
      <c r="C385" s="3761" t="s">
        <v>6399</v>
      </c>
      <c r="D385" s="3761" t="s">
        <v>6397</v>
      </c>
      <c r="E385" s="3761" t="s">
        <v>49</v>
      </c>
      <c r="F385" s="4610">
        <f>F386</f>
        <v>1</v>
      </c>
      <c r="G385" s="2561"/>
      <c r="H385" s="4611">
        <f>F385*G385</f>
        <v>0</v>
      </c>
      <c r="I385" s="3769" t="s">
        <v>111</v>
      </c>
      <c r="J385" s="4704"/>
      <c r="K385" s="4704"/>
    </row>
    <row r="386" spans="1:12" s="888" customFormat="1" ht="13.5" customHeight="1">
      <c r="A386" s="4043"/>
      <c r="B386" s="4143"/>
      <c r="C386" s="3761"/>
      <c r="D386" s="3761" t="s">
        <v>6398</v>
      </c>
      <c r="E386" s="3761"/>
      <c r="F386" s="4610">
        <v>1</v>
      </c>
      <c r="G386" s="2561"/>
      <c r="H386" s="4611"/>
      <c r="I386" s="4706"/>
      <c r="K386" s="4704"/>
    </row>
    <row r="387" spans="1:12" s="1423" customFormat="1" ht="121.5" customHeight="1">
      <c r="A387" s="4707"/>
      <c r="B387" s="4100"/>
      <c r="C387" s="4100"/>
      <c r="D387" s="4606" t="s">
        <v>6400</v>
      </c>
      <c r="E387" s="4607"/>
      <c r="F387" s="4708"/>
      <c r="G387" s="4822"/>
      <c r="H387" s="4093"/>
      <c r="I387" s="3759"/>
      <c r="J387" s="4130"/>
      <c r="L387" s="883"/>
    </row>
    <row r="388" spans="1:12" s="1423" customFormat="1" ht="67.5" customHeight="1">
      <c r="A388" s="4707"/>
      <c r="B388" s="4100"/>
      <c r="C388" s="4100"/>
      <c r="D388" s="4606" t="s">
        <v>310</v>
      </c>
      <c r="E388" s="4607"/>
      <c r="F388" s="4708"/>
      <c r="G388" s="4822"/>
      <c r="H388" s="4093"/>
      <c r="I388" s="3759"/>
      <c r="J388" s="4130"/>
      <c r="L388" s="883"/>
    </row>
    <row r="389" spans="1:12" s="4638" customFormat="1" ht="28.5" customHeight="1">
      <c r="A389" s="4709">
        <v>69</v>
      </c>
      <c r="B389" s="4685" t="s">
        <v>2962</v>
      </c>
      <c r="C389" s="4686" t="s">
        <v>2963</v>
      </c>
      <c r="D389" s="4686" t="s">
        <v>6338</v>
      </c>
      <c r="E389" s="4710" t="s">
        <v>175</v>
      </c>
      <c r="F389" s="4711">
        <f>SUM(F390:F391)</f>
        <v>1021.528</v>
      </c>
      <c r="G389" s="4635">
        <f>SUM(H392:H396)/F389</f>
        <v>0</v>
      </c>
      <c r="H389" s="4635">
        <f>F389*G389</f>
        <v>0</v>
      </c>
      <c r="I389" s="4689" t="s">
        <v>112</v>
      </c>
      <c r="J389" s="4712"/>
      <c r="L389" s="4639"/>
    </row>
    <row r="390" spans="1:12" s="4639" customFormat="1" ht="13.5" customHeight="1">
      <c r="A390" s="4684"/>
      <c r="B390" s="4686"/>
      <c r="C390" s="4713"/>
      <c r="D390" s="4682" t="s">
        <v>2964</v>
      </c>
      <c r="E390" s="4714"/>
      <c r="F390" s="4687">
        <f>(1002.773)</f>
        <v>1002.773</v>
      </c>
      <c r="G390" s="221"/>
      <c r="H390" s="4688"/>
      <c r="I390" s="4715"/>
      <c r="J390" s="4683"/>
    </row>
    <row r="391" spans="1:12" s="4639" customFormat="1" ht="13.5" customHeight="1">
      <c r="A391" s="4716"/>
      <c r="B391" s="4717"/>
      <c r="C391" s="4718"/>
      <c r="D391" s="4682" t="s">
        <v>6525</v>
      </c>
      <c r="E391" s="4714"/>
      <c r="F391" s="4687">
        <f>(18.755)</f>
        <v>18.754999999999999</v>
      </c>
      <c r="G391" s="479"/>
      <c r="H391" s="4719"/>
      <c r="I391" s="4720"/>
      <c r="J391" s="4721"/>
    </row>
    <row r="392" spans="1:12" s="4638" customFormat="1" ht="27" customHeight="1">
      <c r="A392" s="4709" t="s">
        <v>2965</v>
      </c>
      <c r="B392" s="4632"/>
      <c r="C392" s="4722">
        <v>997013212</v>
      </c>
      <c r="D392" s="4682" t="s">
        <v>6343</v>
      </c>
      <c r="E392" s="4633" t="s">
        <v>175</v>
      </c>
      <c r="F392" s="4634">
        <f>F389</f>
        <v>1021.528</v>
      </c>
      <c r="G392" s="477"/>
      <c r="H392" s="4723">
        <f>F392*G392</f>
        <v>0</v>
      </c>
      <c r="I392" s="2532" t="s">
        <v>137</v>
      </c>
      <c r="J392" s="4724"/>
      <c r="K392" s="4725"/>
      <c r="L392" s="4639"/>
    </row>
    <row r="393" spans="1:12" s="4638" customFormat="1" ht="13.5" customHeight="1">
      <c r="A393" s="4709" t="s">
        <v>2966</v>
      </c>
      <c r="B393" s="4632"/>
      <c r="C393" s="4633">
        <v>997013501</v>
      </c>
      <c r="D393" s="3298" t="s">
        <v>2967</v>
      </c>
      <c r="E393" s="4633" t="s">
        <v>175</v>
      </c>
      <c r="F393" s="4634">
        <f>F389</f>
        <v>1021.528</v>
      </c>
      <c r="G393" s="5165" t="s">
        <v>3512</v>
      </c>
      <c r="H393" s="5166"/>
      <c r="I393" s="2532" t="s">
        <v>137</v>
      </c>
      <c r="J393" s="4724"/>
      <c r="K393" s="4725"/>
      <c r="L393" s="4639"/>
    </row>
    <row r="394" spans="1:12" s="4638" customFormat="1" ht="27" customHeight="1">
      <c r="A394" s="4709" t="s">
        <v>2968</v>
      </c>
      <c r="B394" s="4632"/>
      <c r="C394" s="4633">
        <v>997013509</v>
      </c>
      <c r="D394" s="3298" t="s">
        <v>2969</v>
      </c>
      <c r="E394" s="4633" t="s">
        <v>175</v>
      </c>
      <c r="F394" s="4634">
        <f>F389*9</f>
        <v>9193.7520000000004</v>
      </c>
      <c r="G394" s="5165" t="s">
        <v>3512</v>
      </c>
      <c r="H394" s="5166"/>
      <c r="I394" s="2532" t="s">
        <v>137</v>
      </c>
      <c r="J394" s="4726"/>
      <c r="K394" s="4727"/>
      <c r="L394" s="4639"/>
    </row>
    <row r="395" spans="1:12" s="4638" customFormat="1" ht="27" customHeight="1">
      <c r="A395" s="4709" t="s">
        <v>6344</v>
      </c>
      <c r="B395" s="4728"/>
      <c r="C395" s="4722" t="s">
        <v>2983</v>
      </c>
      <c r="D395" s="4100" t="s">
        <v>6345</v>
      </c>
      <c r="E395" s="4722" t="s">
        <v>175</v>
      </c>
      <c r="F395" s="4729">
        <f>F389</f>
        <v>1021.528</v>
      </c>
      <c r="G395" s="477"/>
      <c r="H395" s="4730">
        <f>F395*G395</f>
        <v>0</v>
      </c>
      <c r="I395" s="3759" t="s">
        <v>112</v>
      </c>
      <c r="J395" s="4724"/>
      <c r="K395" s="4725"/>
      <c r="L395" s="4639"/>
    </row>
    <row r="396" spans="1:12" s="4638" customFormat="1" ht="28.5" customHeight="1">
      <c r="A396" s="4731" t="s">
        <v>2970</v>
      </c>
      <c r="B396" s="4632"/>
      <c r="C396" s="4633">
        <v>997013631</v>
      </c>
      <c r="D396" s="4682" t="s">
        <v>2971</v>
      </c>
      <c r="E396" s="4633" t="s">
        <v>175</v>
      </c>
      <c r="F396" s="4634">
        <f>F389</f>
        <v>1021.528</v>
      </c>
      <c r="G396" s="222"/>
      <c r="H396" s="4723">
        <f>F396*G396</f>
        <v>0</v>
      </c>
      <c r="I396" s="2532" t="s">
        <v>137</v>
      </c>
      <c r="J396" s="4732"/>
      <c r="K396" s="4725"/>
      <c r="L396" s="4639"/>
    </row>
    <row r="397" spans="1:12" s="4740" customFormat="1" ht="40.5" customHeight="1">
      <c r="A397" s="4733"/>
      <c r="B397" s="4734"/>
      <c r="C397" s="4734"/>
      <c r="D397" s="4735" t="s">
        <v>6287</v>
      </c>
      <c r="E397" s="4735"/>
      <c r="F397" s="4736"/>
      <c r="G397" s="524"/>
      <c r="H397" s="4737"/>
      <c r="I397" s="4738"/>
      <c r="J397" s="4739"/>
    </row>
    <row r="398" spans="1:12" s="4638" customFormat="1" ht="67.5" customHeight="1">
      <c r="A398" s="4631"/>
      <c r="B398" s="4632"/>
      <c r="C398" s="4633"/>
      <c r="D398" s="2314" t="s">
        <v>310</v>
      </c>
      <c r="E398" s="4128"/>
      <c r="F398" s="4634"/>
      <c r="G398" s="223"/>
      <c r="H398" s="4635"/>
      <c r="I398" s="4636"/>
      <c r="J398" s="4637"/>
      <c r="L398" s="4639"/>
    </row>
    <row r="399" spans="1:12" s="4638" customFormat="1" ht="13.5" customHeight="1">
      <c r="A399" s="4709">
        <v>70</v>
      </c>
      <c r="B399" s="4685" t="s">
        <v>2962</v>
      </c>
      <c r="C399" s="4686" t="s">
        <v>2972</v>
      </c>
      <c r="D399" s="4686" t="s">
        <v>6339</v>
      </c>
      <c r="E399" s="4710" t="s">
        <v>175</v>
      </c>
      <c r="F399" s="4711">
        <f>F400</f>
        <v>3.9850000000000003</v>
      </c>
      <c r="G399" s="4635">
        <f>SUM(H401:H405)/F399</f>
        <v>0</v>
      </c>
      <c r="H399" s="4635">
        <f>F399*G399</f>
        <v>0</v>
      </c>
      <c r="I399" s="4689" t="s">
        <v>112</v>
      </c>
      <c r="J399" s="4712"/>
      <c r="L399" s="4639"/>
    </row>
    <row r="400" spans="1:12" s="4639" customFormat="1" ht="13.5" customHeight="1">
      <c r="A400" s="4684"/>
      <c r="B400" s="4686"/>
      <c r="C400" s="4713"/>
      <c r="D400" s="4682" t="s">
        <v>2973</v>
      </c>
      <c r="E400" s="4714"/>
      <c r="F400" s="4687">
        <f>(3.623+0.362)</f>
        <v>3.9850000000000003</v>
      </c>
      <c r="G400" s="221"/>
      <c r="H400" s="4688"/>
      <c r="I400" s="4715"/>
      <c r="J400" s="4683"/>
    </row>
    <row r="401" spans="1:14" s="4638" customFormat="1" ht="27" customHeight="1">
      <c r="A401" s="4709" t="s">
        <v>2974</v>
      </c>
      <c r="B401" s="4632"/>
      <c r="C401" s="4722">
        <v>997013212</v>
      </c>
      <c r="D401" s="4682" t="s">
        <v>6343</v>
      </c>
      <c r="E401" s="4633" t="s">
        <v>175</v>
      </c>
      <c r="F401" s="4634">
        <f>F399</f>
        <v>3.9850000000000003</v>
      </c>
      <c r="G401" s="477"/>
      <c r="H401" s="4723">
        <f>F401*G401</f>
        <v>0</v>
      </c>
      <c r="I401" s="2532" t="s">
        <v>137</v>
      </c>
      <c r="J401" s="4724"/>
      <c r="K401" s="4725"/>
      <c r="L401" s="4639"/>
    </row>
    <row r="402" spans="1:14" s="4638" customFormat="1" ht="13.5" customHeight="1">
      <c r="A402" s="4709" t="s">
        <v>2975</v>
      </c>
      <c r="B402" s="4632"/>
      <c r="C402" s="4633">
        <v>997013501</v>
      </c>
      <c r="D402" s="3298" t="s">
        <v>2967</v>
      </c>
      <c r="E402" s="4633" t="s">
        <v>175</v>
      </c>
      <c r="F402" s="4634">
        <f>F399</f>
        <v>3.9850000000000003</v>
      </c>
      <c r="G402" s="5165" t="s">
        <v>3512</v>
      </c>
      <c r="H402" s="5166"/>
      <c r="I402" s="2532" t="s">
        <v>137</v>
      </c>
      <c r="J402" s="4724"/>
      <c r="K402" s="4725"/>
      <c r="L402" s="4639"/>
    </row>
    <row r="403" spans="1:14" s="4638" customFormat="1" ht="27" customHeight="1">
      <c r="A403" s="4709" t="s">
        <v>2976</v>
      </c>
      <c r="B403" s="4632"/>
      <c r="C403" s="4633">
        <v>997013509</v>
      </c>
      <c r="D403" s="3298" t="s">
        <v>2969</v>
      </c>
      <c r="E403" s="4633" t="s">
        <v>175</v>
      </c>
      <c r="F403" s="4634">
        <f>F399*9</f>
        <v>35.865000000000002</v>
      </c>
      <c r="G403" s="5165" t="s">
        <v>3512</v>
      </c>
      <c r="H403" s="5166"/>
      <c r="I403" s="2532" t="s">
        <v>137</v>
      </c>
      <c r="J403" s="4724"/>
      <c r="K403" s="4727"/>
      <c r="L403" s="4639"/>
    </row>
    <row r="404" spans="1:14" s="4638" customFormat="1" ht="27" customHeight="1">
      <c r="A404" s="4741" t="s">
        <v>3716</v>
      </c>
      <c r="B404" s="4742"/>
      <c r="C404" s="4743" t="s">
        <v>2983</v>
      </c>
      <c r="D404" s="4744" t="s">
        <v>6345</v>
      </c>
      <c r="E404" s="4743" t="s">
        <v>175</v>
      </c>
      <c r="F404" s="4745">
        <f>F399</f>
        <v>3.9850000000000003</v>
      </c>
      <c r="G404" s="478"/>
      <c r="H404" s="4746">
        <f>F404*G404</f>
        <v>0</v>
      </c>
      <c r="I404" s="3293" t="s">
        <v>112</v>
      </c>
      <c r="J404" s="4724"/>
      <c r="K404" s="4725"/>
      <c r="L404" s="4639"/>
    </row>
    <row r="405" spans="1:14" s="4638" customFormat="1" ht="27" customHeight="1">
      <c r="A405" s="4731" t="s">
        <v>2977</v>
      </c>
      <c r="B405" s="4632"/>
      <c r="C405" s="4633">
        <v>997013804</v>
      </c>
      <c r="D405" s="3298" t="s">
        <v>2978</v>
      </c>
      <c r="E405" s="4633" t="s">
        <v>175</v>
      </c>
      <c r="F405" s="4634">
        <f>F399</f>
        <v>3.9850000000000003</v>
      </c>
      <c r="G405" s="224"/>
      <c r="H405" s="4723">
        <f>F405*G405</f>
        <v>0</v>
      </c>
      <c r="I405" s="2532" t="s">
        <v>137</v>
      </c>
      <c r="J405" s="1274"/>
      <c r="K405" s="647"/>
      <c r="L405" s="4639"/>
      <c r="M405" s="4639"/>
      <c r="N405" s="4639"/>
    </row>
    <row r="406" spans="1:14" s="4638" customFormat="1" ht="67.5" customHeight="1">
      <c r="A406" s="4631"/>
      <c r="B406" s="4632"/>
      <c r="C406" s="4747"/>
      <c r="D406" s="2314" t="s">
        <v>310</v>
      </c>
      <c r="E406" s="4128"/>
      <c r="F406" s="4634"/>
      <c r="G406" s="223"/>
      <c r="H406" s="4635"/>
      <c r="I406" s="4636"/>
      <c r="J406" s="4637"/>
      <c r="L406" s="4639"/>
    </row>
    <row r="407" spans="1:14" s="4638" customFormat="1" ht="28.5" customHeight="1">
      <c r="A407" s="4709">
        <v>71</v>
      </c>
      <c r="B407" s="4685" t="s">
        <v>2962</v>
      </c>
      <c r="C407" s="4686" t="s">
        <v>2979</v>
      </c>
      <c r="D407" s="4686" t="s">
        <v>6340</v>
      </c>
      <c r="E407" s="4710" t="s">
        <v>175</v>
      </c>
      <c r="F407" s="4711">
        <f>F408</f>
        <v>48.35</v>
      </c>
      <c r="G407" s="4635">
        <f>SUM(H409:H413)/F407</f>
        <v>0</v>
      </c>
      <c r="H407" s="4635">
        <f>F407*G407</f>
        <v>0</v>
      </c>
      <c r="I407" s="4689" t="s">
        <v>112</v>
      </c>
      <c r="J407" s="4748"/>
      <c r="L407" s="4639"/>
    </row>
    <row r="408" spans="1:14" s="4639" customFormat="1" ht="13.5" customHeight="1">
      <c r="A408" s="4684"/>
      <c r="B408" s="4686"/>
      <c r="C408" s="4713"/>
      <c r="D408" s="4682" t="s">
        <v>2980</v>
      </c>
      <c r="E408" s="4714"/>
      <c r="F408" s="4687">
        <f>(0.32+20.709+16.752+10.569)</f>
        <v>48.35</v>
      </c>
      <c r="G408" s="221"/>
      <c r="H408" s="4688"/>
      <c r="I408" s="4715"/>
      <c r="J408" s="4749"/>
    </row>
    <row r="409" spans="1:14" s="4638" customFormat="1" ht="27" customHeight="1">
      <c r="A409" s="4709" t="s">
        <v>2981</v>
      </c>
      <c r="B409" s="4632"/>
      <c r="C409" s="4722">
        <v>997013212</v>
      </c>
      <c r="D409" s="4682" t="s">
        <v>6343</v>
      </c>
      <c r="E409" s="4633" t="s">
        <v>175</v>
      </c>
      <c r="F409" s="4634">
        <f>F407</f>
        <v>48.35</v>
      </c>
      <c r="G409" s="477"/>
      <c r="H409" s="4723">
        <f>F409*G409</f>
        <v>0</v>
      </c>
      <c r="I409" s="2532" t="s">
        <v>137</v>
      </c>
      <c r="J409" s="4732"/>
      <c r="K409" s="4725"/>
      <c r="L409" s="4639"/>
    </row>
    <row r="410" spans="1:14" s="4638" customFormat="1" ht="27" customHeight="1">
      <c r="A410" s="4709" t="s">
        <v>2982</v>
      </c>
      <c r="B410" s="4632"/>
      <c r="C410" s="4633" t="s">
        <v>2983</v>
      </c>
      <c r="D410" s="3298" t="s">
        <v>2984</v>
      </c>
      <c r="E410" s="4633" t="s">
        <v>175</v>
      </c>
      <c r="F410" s="4634">
        <f>F407</f>
        <v>48.35</v>
      </c>
      <c r="G410" s="5165" t="s">
        <v>3512</v>
      </c>
      <c r="H410" s="5166"/>
      <c r="I410" s="2532" t="s">
        <v>137</v>
      </c>
      <c r="J410" s="4732"/>
      <c r="K410" s="4725"/>
      <c r="L410" s="4639"/>
    </row>
    <row r="411" spans="1:14" s="4638" customFormat="1" ht="27" customHeight="1">
      <c r="A411" s="4709" t="s">
        <v>2985</v>
      </c>
      <c r="B411" s="4632"/>
      <c r="C411" s="4633" t="s">
        <v>2986</v>
      </c>
      <c r="D411" s="3298" t="s">
        <v>2987</v>
      </c>
      <c r="E411" s="4633" t="s">
        <v>175</v>
      </c>
      <c r="F411" s="4634">
        <f>F407*89</f>
        <v>4303.1500000000005</v>
      </c>
      <c r="G411" s="5165" t="s">
        <v>3512</v>
      </c>
      <c r="H411" s="5166"/>
      <c r="I411" s="2532" t="s">
        <v>137</v>
      </c>
      <c r="J411" s="4724"/>
      <c r="K411" s="4727"/>
      <c r="L411" s="4639"/>
    </row>
    <row r="412" spans="1:14" s="4638" customFormat="1" ht="27" customHeight="1">
      <c r="A412" s="4741" t="s">
        <v>3716</v>
      </c>
      <c r="B412" s="4742"/>
      <c r="C412" s="4743" t="s">
        <v>2983</v>
      </c>
      <c r="D412" s="4744" t="s">
        <v>6350</v>
      </c>
      <c r="E412" s="4743" t="s">
        <v>175</v>
      </c>
      <c r="F412" s="4745">
        <f>F407</f>
        <v>48.35</v>
      </c>
      <c r="G412" s="478"/>
      <c r="H412" s="4746">
        <f>F412*G412</f>
        <v>0</v>
      </c>
      <c r="I412" s="3293" t="s">
        <v>112</v>
      </c>
      <c r="J412" s="4724"/>
      <c r="K412" s="4725"/>
      <c r="L412" s="4639"/>
    </row>
    <row r="413" spans="1:14" s="4638" customFormat="1" ht="28.5" customHeight="1">
      <c r="A413" s="4731" t="s">
        <v>2988</v>
      </c>
      <c r="B413" s="4632"/>
      <c r="C413" s="4633" t="s">
        <v>2989</v>
      </c>
      <c r="D413" s="3298" t="s">
        <v>2990</v>
      </c>
      <c r="E413" s="4633" t="s">
        <v>175</v>
      </c>
      <c r="F413" s="4634">
        <f>F407</f>
        <v>48.35</v>
      </c>
      <c r="G413" s="224"/>
      <c r="H413" s="4723">
        <f>F413*G413</f>
        <v>0</v>
      </c>
      <c r="I413" s="2532" t="s">
        <v>112</v>
      </c>
      <c r="J413" s="4724"/>
      <c r="K413" s="4732"/>
      <c r="L413" s="4639"/>
    </row>
    <row r="414" spans="1:14" s="4638" customFormat="1" ht="67.5" customHeight="1">
      <c r="A414" s="4631"/>
      <c r="B414" s="4632"/>
      <c r="C414" s="4747"/>
      <c r="D414" s="2314" t="s">
        <v>310</v>
      </c>
      <c r="E414" s="4128"/>
      <c r="F414" s="4634"/>
      <c r="G414" s="223"/>
      <c r="H414" s="4635"/>
      <c r="I414" s="4636"/>
      <c r="J414" s="4637"/>
      <c r="L414" s="4639"/>
    </row>
    <row r="415" spans="1:14" s="4639" customFormat="1" ht="40.5" customHeight="1">
      <c r="A415" s="4750"/>
      <c r="B415" s="4751"/>
      <c r="C415" s="4752"/>
      <c r="D415" s="2314" t="s">
        <v>2991</v>
      </c>
      <c r="E415" s="4682"/>
      <c r="F415" s="4753"/>
      <c r="G415" s="225"/>
      <c r="H415" s="4688"/>
      <c r="I415" s="4754"/>
      <c r="J415" s="4755"/>
      <c r="K415" s="4756"/>
      <c r="L415" s="4756"/>
      <c r="M415" s="4756"/>
      <c r="N415" s="4756"/>
    </row>
    <row r="416" spans="1:14" s="4638" customFormat="1" ht="27" customHeight="1">
      <c r="A416" s="4709">
        <v>72</v>
      </c>
      <c r="B416" s="4685" t="s">
        <v>2962</v>
      </c>
      <c r="C416" s="4686" t="s">
        <v>2992</v>
      </c>
      <c r="D416" s="4686" t="s">
        <v>6341</v>
      </c>
      <c r="E416" s="4710" t="s">
        <v>175</v>
      </c>
      <c r="F416" s="4711">
        <f>F417</f>
        <v>0.69399999999999995</v>
      </c>
      <c r="G416" s="4635">
        <f>SUM(H418:H422)/F416</f>
        <v>0</v>
      </c>
      <c r="H416" s="4635">
        <f>F416*G416</f>
        <v>0</v>
      </c>
      <c r="I416" s="4689" t="s">
        <v>112</v>
      </c>
      <c r="J416" s="4712"/>
      <c r="L416" s="4639"/>
    </row>
    <row r="417" spans="1:19" s="4639" customFormat="1" ht="13.5" customHeight="1">
      <c r="A417" s="4684"/>
      <c r="B417" s="4686"/>
      <c r="C417" s="4713"/>
      <c r="D417" s="4682" t="s">
        <v>2993</v>
      </c>
      <c r="E417" s="4714"/>
      <c r="F417" s="4687">
        <f>(0.158+0.104+0.432)</f>
        <v>0.69399999999999995</v>
      </c>
      <c r="G417" s="221"/>
      <c r="H417" s="4688"/>
      <c r="I417" s="4715"/>
      <c r="J417" s="4683"/>
    </row>
    <row r="418" spans="1:19" s="4638" customFormat="1" ht="27" customHeight="1">
      <c r="A418" s="4709" t="s">
        <v>2994</v>
      </c>
      <c r="B418" s="4632"/>
      <c r="C418" s="4722">
        <v>997013212</v>
      </c>
      <c r="D418" s="4682" t="s">
        <v>6343</v>
      </c>
      <c r="E418" s="4633" t="s">
        <v>175</v>
      </c>
      <c r="F418" s="4634">
        <f>F416</f>
        <v>0.69399999999999995</v>
      </c>
      <c r="G418" s="477"/>
      <c r="H418" s="4723">
        <f>F418*G418</f>
        <v>0</v>
      </c>
      <c r="I418" s="2532" t="s">
        <v>137</v>
      </c>
      <c r="J418" s="4724"/>
      <c r="K418" s="4725"/>
      <c r="L418" s="4639"/>
    </row>
    <row r="419" spans="1:19" s="4638" customFormat="1" ht="13.5" customHeight="1">
      <c r="A419" s="4709" t="s">
        <v>2995</v>
      </c>
      <c r="B419" s="4632"/>
      <c r="C419" s="4633">
        <v>997013501</v>
      </c>
      <c r="D419" s="3298" t="s">
        <v>2967</v>
      </c>
      <c r="E419" s="4633" t="s">
        <v>175</v>
      </c>
      <c r="F419" s="4634">
        <f>F416</f>
        <v>0.69399999999999995</v>
      </c>
      <c r="G419" s="5165" t="s">
        <v>3512</v>
      </c>
      <c r="H419" s="5166"/>
      <c r="I419" s="2532" t="s">
        <v>137</v>
      </c>
      <c r="J419" s="4724"/>
      <c r="K419" s="4725"/>
      <c r="L419" s="4639"/>
    </row>
    <row r="420" spans="1:19" s="4638" customFormat="1" ht="27" customHeight="1">
      <c r="A420" s="4709" t="s">
        <v>2996</v>
      </c>
      <c r="B420" s="4632"/>
      <c r="C420" s="4633">
        <v>997013509</v>
      </c>
      <c r="D420" s="3298" t="s">
        <v>2969</v>
      </c>
      <c r="E420" s="4633" t="s">
        <v>175</v>
      </c>
      <c r="F420" s="4634">
        <f>F416*9</f>
        <v>6.2459999999999996</v>
      </c>
      <c r="G420" s="5165" t="s">
        <v>3512</v>
      </c>
      <c r="H420" s="5166"/>
      <c r="I420" s="2532" t="s">
        <v>137</v>
      </c>
      <c r="J420" s="4724"/>
      <c r="K420" s="4727"/>
      <c r="L420" s="4639"/>
    </row>
    <row r="421" spans="1:19" s="4638" customFormat="1" ht="27" customHeight="1">
      <c r="A421" s="4741" t="s">
        <v>6348</v>
      </c>
      <c r="B421" s="4742"/>
      <c r="C421" s="4743" t="s">
        <v>2983</v>
      </c>
      <c r="D421" s="4744" t="s">
        <v>6347</v>
      </c>
      <c r="E421" s="4743" t="s">
        <v>175</v>
      </c>
      <c r="F421" s="4745">
        <f>F416</f>
        <v>0.69399999999999995</v>
      </c>
      <c r="G421" s="478"/>
      <c r="H421" s="4746">
        <f>F421*G421</f>
        <v>0</v>
      </c>
      <c r="I421" s="3293" t="s">
        <v>112</v>
      </c>
      <c r="J421" s="4724"/>
      <c r="K421" s="4725"/>
      <c r="L421" s="4639"/>
    </row>
    <row r="422" spans="1:19" s="4638" customFormat="1" ht="27" customHeight="1">
      <c r="A422" s="4709" t="s">
        <v>2997</v>
      </c>
      <c r="B422" s="4632"/>
      <c r="C422" s="3285" t="s">
        <v>2998</v>
      </c>
      <c r="D422" s="4757" t="s">
        <v>6349</v>
      </c>
      <c r="E422" s="4633" t="s">
        <v>175</v>
      </c>
      <c r="F422" s="4634">
        <f>F416</f>
        <v>0.69399999999999995</v>
      </c>
      <c r="G422" s="4831"/>
      <c r="H422" s="4723">
        <f>F422*G422</f>
        <v>0</v>
      </c>
      <c r="I422" s="2532" t="s">
        <v>112</v>
      </c>
      <c r="J422" s="4637"/>
      <c r="L422" s="4639"/>
    </row>
    <row r="423" spans="1:19" s="4638" customFormat="1" ht="67.5" customHeight="1">
      <c r="A423" s="4631"/>
      <c r="B423" s="4632"/>
      <c r="C423" s="4747"/>
      <c r="D423" s="2314" t="s">
        <v>310</v>
      </c>
      <c r="E423" s="4128"/>
      <c r="F423" s="4634"/>
      <c r="G423" s="223"/>
      <c r="H423" s="4635"/>
      <c r="I423" s="4636"/>
      <c r="J423" s="4637"/>
      <c r="L423" s="4639"/>
    </row>
    <row r="424" spans="1:19" s="4638" customFormat="1" ht="27" customHeight="1">
      <c r="A424" s="4709">
        <v>73</v>
      </c>
      <c r="B424" s="4685" t="s">
        <v>2962</v>
      </c>
      <c r="C424" s="4686" t="s">
        <v>2999</v>
      </c>
      <c r="D424" s="4686" t="s">
        <v>6342</v>
      </c>
      <c r="E424" s="4710" t="s">
        <v>175</v>
      </c>
      <c r="F424" s="4711">
        <f>SUM(F425:F425)</f>
        <v>3.5480000000000005</v>
      </c>
      <c r="G424" s="4635">
        <f>SUM(H426:H430)/F424</f>
        <v>0</v>
      </c>
      <c r="H424" s="4635">
        <f>F424*G424</f>
        <v>0</v>
      </c>
      <c r="I424" s="4689" t="s">
        <v>112</v>
      </c>
      <c r="J424" s="4712"/>
      <c r="L424" s="4639"/>
    </row>
    <row r="425" spans="1:19" s="4639" customFormat="1" ht="13.5" customHeight="1">
      <c r="A425" s="4684"/>
      <c r="B425" s="4686"/>
      <c r="C425" s="4713"/>
      <c r="D425" s="4682" t="s">
        <v>3000</v>
      </c>
      <c r="E425" s="4714"/>
      <c r="F425" s="4687">
        <f>(0.47+0.677+0.553+1.745+0.1+0.003)</f>
        <v>3.5480000000000005</v>
      </c>
      <c r="G425" s="221"/>
      <c r="H425" s="4688"/>
      <c r="I425" s="4715"/>
      <c r="J425" s="4683"/>
    </row>
    <row r="426" spans="1:19" s="4638" customFormat="1" ht="27" customHeight="1">
      <c r="A426" s="4709" t="s">
        <v>3001</v>
      </c>
      <c r="B426" s="4632"/>
      <c r="C426" s="4722">
        <v>997013212</v>
      </c>
      <c r="D426" s="4682" t="s">
        <v>6343</v>
      </c>
      <c r="E426" s="4633" t="s">
        <v>175</v>
      </c>
      <c r="F426" s="4634">
        <f>F424</f>
        <v>3.5480000000000005</v>
      </c>
      <c r="G426" s="477"/>
      <c r="H426" s="4723">
        <f>F426*G426</f>
        <v>0</v>
      </c>
      <c r="I426" s="2532" t="s">
        <v>137</v>
      </c>
      <c r="J426" s="4732"/>
      <c r="K426" s="4725"/>
      <c r="L426" s="4639"/>
    </row>
    <row r="427" spans="1:19" s="4638" customFormat="1" ht="13.5" customHeight="1">
      <c r="A427" s="4709" t="s">
        <v>3002</v>
      </c>
      <c r="B427" s="4632"/>
      <c r="C427" s="4633">
        <v>997013501</v>
      </c>
      <c r="D427" s="3298" t="s">
        <v>2967</v>
      </c>
      <c r="E427" s="4633" t="s">
        <v>175</v>
      </c>
      <c r="F427" s="4634">
        <f>F424</f>
        <v>3.5480000000000005</v>
      </c>
      <c r="G427" s="5165" t="s">
        <v>3512</v>
      </c>
      <c r="H427" s="5166"/>
      <c r="I427" s="2532" t="s">
        <v>137</v>
      </c>
      <c r="J427" s="4758"/>
      <c r="K427" s="4759"/>
      <c r="L427" s="4691"/>
      <c r="M427" s="4760"/>
      <c r="N427" s="4760"/>
      <c r="O427" s="4760"/>
      <c r="P427" s="4760"/>
      <c r="Q427" s="4760"/>
      <c r="R427" s="4760"/>
      <c r="S427" s="4760"/>
    </row>
    <row r="428" spans="1:19" s="4638" customFormat="1" ht="27" customHeight="1">
      <c r="A428" s="4709" t="s">
        <v>3003</v>
      </c>
      <c r="B428" s="4632"/>
      <c r="C428" s="4633">
        <v>997013509</v>
      </c>
      <c r="D428" s="3298" t="s">
        <v>2969</v>
      </c>
      <c r="E428" s="4633" t="s">
        <v>175</v>
      </c>
      <c r="F428" s="4634">
        <f>F424*9</f>
        <v>31.932000000000006</v>
      </c>
      <c r="G428" s="5165" t="s">
        <v>3512</v>
      </c>
      <c r="H428" s="5166"/>
      <c r="I428" s="2532" t="s">
        <v>137</v>
      </c>
      <c r="J428" s="4724"/>
      <c r="K428" s="4727"/>
      <c r="L428" s="4639"/>
    </row>
    <row r="429" spans="1:19" s="4638" customFormat="1" ht="27" customHeight="1">
      <c r="A429" s="4741" t="s">
        <v>6346</v>
      </c>
      <c r="B429" s="4742"/>
      <c r="C429" s="4743" t="s">
        <v>2983</v>
      </c>
      <c r="D429" s="4744" t="s">
        <v>6345</v>
      </c>
      <c r="E429" s="4743" t="s">
        <v>175</v>
      </c>
      <c r="F429" s="4745">
        <f>F424</f>
        <v>3.5480000000000005</v>
      </c>
      <c r="G429" s="478"/>
      <c r="H429" s="4746">
        <f>F429*G429</f>
        <v>0</v>
      </c>
      <c r="I429" s="3293" t="s">
        <v>112</v>
      </c>
      <c r="J429" s="4724"/>
      <c r="K429" s="4725"/>
      <c r="L429" s="4639"/>
    </row>
    <row r="430" spans="1:19" s="4638" customFormat="1" ht="28.5" customHeight="1">
      <c r="A430" s="4731" t="s">
        <v>3004</v>
      </c>
      <c r="B430" s="4632"/>
      <c r="C430" s="4633">
        <v>997013814</v>
      </c>
      <c r="D430" s="3298" t="s">
        <v>3005</v>
      </c>
      <c r="E430" s="4633" t="s">
        <v>175</v>
      </c>
      <c r="F430" s="4634">
        <f>F424</f>
        <v>3.5480000000000005</v>
      </c>
      <c r="G430" s="222"/>
      <c r="H430" s="4723">
        <f>F430*G430</f>
        <v>0</v>
      </c>
      <c r="I430" s="2532" t="s">
        <v>137</v>
      </c>
      <c r="J430" s="4761"/>
      <c r="K430" s="4725"/>
      <c r="L430" s="4639"/>
    </row>
    <row r="431" spans="1:19" s="4638" customFormat="1" ht="67.5" customHeight="1">
      <c r="A431" s="4631"/>
      <c r="B431" s="4632"/>
      <c r="C431" s="4747"/>
      <c r="D431" s="2314" t="s">
        <v>310</v>
      </c>
      <c r="E431" s="4128"/>
      <c r="F431" s="4634"/>
      <c r="G431" s="223"/>
      <c r="H431" s="4635"/>
      <c r="I431" s="4636"/>
      <c r="J431" s="4637"/>
      <c r="L431" s="4639"/>
    </row>
    <row r="432" spans="1:19" s="888" customFormat="1" ht="13.5" customHeight="1">
      <c r="A432" s="3501"/>
      <c r="B432" s="3502"/>
      <c r="C432" s="3502" t="s">
        <v>356</v>
      </c>
      <c r="D432" s="3502" t="s">
        <v>357</v>
      </c>
      <c r="E432" s="3502"/>
      <c r="F432" s="3743"/>
      <c r="G432" s="4821"/>
      <c r="H432" s="3634">
        <f>SUM(H433:H435)</f>
        <v>0</v>
      </c>
      <c r="I432" s="3506"/>
    </row>
    <row r="433" spans="1:10" s="888" customFormat="1">
      <c r="A433" s="4043">
        <v>74</v>
      </c>
      <c r="B433" s="3539" t="s">
        <v>219</v>
      </c>
      <c r="C433" s="3507">
        <v>998011002</v>
      </c>
      <c r="D433" s="3507" t="s">
        <v>3006</v>
      </c>
      <c r="E433" s="3507" t="s">
        <v>175</v>
      </c>
      <c r="F433" s="4610">
        <f>1.473+0.091</f>
        <v>1.5640000000000001</v>
      </c>
      <c r="G433" s="2559"/>
      <c r="H433" s="3532">
        <f>F433*G433</f>
        <v>0</v>
      </c>
      <c r="I433" s="3510" t="s">
        <v>111</v>
      </c>
    </row>
    <row r="434" spans="1:10" s="888" customFormat="1" ht="13.5" customHeight="1">
      <c r="A434" s="3725">
        <v>75</v>
      </c>
      <c r="B434" s="3507" t="s">
        <v>362</v>
      </c>
      <c r="C434" s="3507" t="s">
        <v>2424</v>
      </c>
      <c r="D434" s="3507" t="s">
        <v>2425</v>
      </c>
      <c r="E434" s="3507" t="s">
        <v>69</v>
      </c>
      <c r="F434" s="4590">
        <f>F435</f>
        <v>350</v>
      </c>
      <c r="G434" s="2559"/>
      <c r="H434" s="3532">
        <f>F434*G434</f>
        <v>0</v>
      </c>
      <c r="I434" s="3510" t="s">
        <v>1801</v>
      </c>
    </row>
    <row r="435" spans="1:10" s="888" customFormat="1" ht="27" customHeight="1">
      <c r="A435" s="3725"/>
      <c r="B435" s="3507"/>
      <c r="C435" s="4762"/>
      <c r="D435" s="3514" t="s">
        <v>365</v>
      </c>
      <c r="E435" s="4762"/>
      <c r="F435" s="4763">
        <v>350</v>
      </c>
      <c r="G435" s="4832"/>
      <c r="H435" s="4764"/>
      <c r="I435" s="4765"/>
    </row>
    <row r="436" spans="1:10" s="888" customFormat="1" ht="21" customHeight="1">
      <c r="A436" s="3632"/>
      <c r="B436" s="3502"/>
      <c r="C436" s="3502" t="s">
        <v>366</v>
      </c>
      <c r="D436" s="3502" t="s">
        <v>367</v>
      </c>
      <c r="E436" s="3502"/>
      <c r="F436" s="4766"/>
      <c r="G436" s="4821"/>
      <c r="H436" s="3634">
        <f>SUM(H437,H443,H448,H454,H461,H484,H511,H519,H558,H576,H598,H607,H616,H633,H648,H655,H665,H681,H693,H700,H707,H715)</f>
        <v>0</v>
      </c>
      <c r="I436" s="3506"/>
    </row>
    <row r="437" spans="1:10" s="888" customFormat="1" ht="13.5" customHeight="1">
      <c r="A437" s="3657"/>
      <c r="B437" s="3502"/>
      <c r="C437" s="3502">
        <v>711</v>
      </c>
      <c r="D437" s="3996" t="s">
        <v>369</v>
      </c>
      <c r="E437" s="3502"/>
      <c r="F437" s="3743"/>
      <c r="G437" s="2558"/>
      <c r="H437" s="3634">
        <f>SUM(H438:H442)</f>
        <v>0</v>
      </c>
      <c r="I437" s="3506"/>
    </row>
    <row r="438" spans="1:10" s="4639" customFormat="1" ht="13.5" customHeight="1">
      <c r="A438" s="4684">
        <v>76</v>
      </c>
      <c r="B438" s="4686">
        <v>711</v>
      </c>
      <c r="C438" s="4686">
        <v>711131811</v>
      </c>
      <c r="D438" s="4686" t="s">
        <v>3007</v>
      </c>
      <c r="E438" s="4686" t="s">
        <v>163</v>
      </c>
      <c r="F438" s="4767">
        <f>SUM(F439:F440)</f>
        <v>436.26000000000005</v>
      </c>
      <c r="G438" s="221"/>
      <c r="H438" s="4688">
        <f>F438*G438</f>
        <v>0</v>
      </c>
      <c r="I438" s="4689" t="s">
        <v>137</v>
      </c>
      <c r="J438" s="4683"/>
    </row>
    <row r="439" spans="1:10" s="4639" customFormat="1" ht="40.5" customHeight="1">
      <c r="A439" s="4684"/>
      <c r="B439" s="4686"/>
      <c r="C439" s="4686"/>
      <c r="D439" s="4682" t="s">
        <v>3008</v>
      </c>
      <c r="E439" s="4686"/>
      <c r="F439" s="4687">
        <f>((5.52+6.84+11.15+5.5+1.08+0.78+24.21+4.34+5.09+3.15+2.24+3.15+6.02+43.03+38.25+17.25+9.22+23.03))*2</f>
        <v>419.70000000000005</v>
      </c>
      <c r="G439" s="221"/>
      <c r="H439" s="4688"/>
      <c r="I439" s="4689"/>
      <c r="J439" s="4683"/>
    </row>
    <row r="440" spans="1:10" s="4639" customFormat="1" ht="13.5" customHeight="1">
      <c r="A440" s="4684"/>
      <c r="B440" s="4686"/>
      <c r="C440" s="4686"/>
      <c r="D440" s="4682" t="s">
        <v>3009</v>
      </c>
      <c r="E440" s="4686"/>
      <c r="F440" s="4687">
        <f>8.28*2</f>
        <v>16.559999999999999</v>
      </c>
      <c r="G440" s="221"/>
      <c r="H440" s="4688"/>
      <c r="I440" s="4689"/>
      <c r="J440" s="4683"/>
    </row>
    <row r="441" spans="1:10" s="4639" customFormat="1" ht="13.5" customHeight="1">
      <c r="A441" s="4684">
        <v>77</v>
      </c>
      <c r="B441" s="4685" t="s">
        <v>362</v>
      </c>
      <c r="C441" s="4686" t="s">
        <v>843</v>
      </c>
      <c r="D441" s="4686" t="s">
        <v>844</v>
      </c>
      <c r="E441" s="4686" t="s">
        <v>69</v>
      </c>
      <c r="F441" s="4767">
        <f>F442</f>
        <v>3</v>
      </c>
      <c r="G441" s="221"/>
      <c r="H441" s="4688">
        <f>F441*G441</f>
        <v>0</v>
      </c>
      <c r="I441" s="4689" t="s">
        <v>137</v>
      </c>
      <c r="J441" s="4755"/>
    </row>
    <row r="442" spans="1:10" s="4639" customFormat="1" ht="13.5" customHeight="1">
      <c r="A442" s="4684"/>
      <c r="B442" s="4752"/>
      <c r="C442" s="4752"/>
      <c r="D442" s="4682" t="s">
        <v>389</v>
      </c>
      <c r="E442" s="4752"/>
      <c r="F442" s="4687">
        <v>3</v>
      </c>
      <c r="G442" s="225"/>
      <c r="H442" s="4688"/>
      <c r="I442" s="4754"/>
      <c r="J442" s="4755"/>
    </row>
    <row r="443" spans="1:10" s="888" customFormat="1" ht="13.5" customHeight="1">
      <c r="A443" s="3657"/>
      <c r="B443" s="3502"/>
      <c r="C443" s="3502">
        <v>712</v>
      </c>
      <c r="D443" s="3502" t="s">
        <v>391</v>
      </c>
      <c r="E443" s="3502"/>
      <c r="F443" s="3743"/>
      <c r="G443" s="2558"/>
      <c r="H443" s="3634">
        <f>SUM(H444:H447)</f>
        <v>0</v>
      </c>
      <c r="I443" s="3506"/>
    </row>
    <row r="444" spans="1:10" s="4639" customFormat="1" ht="13.5" customHeight="1">
      <c r="A444" s="4684">
        <v>78</v>
      </c>
      <c r="B444" s="4686">
        <v>712</v>
      </c>
      <c r="C444" s="4686">
        <v>712331801</v>
      </c>
      <c r="D444" s="4686" t="s">
        <v>3010</v>
      </c>
      <c r="E444" s="4686" t="s">
        <v>163</v>
      </c>
      <c r="F444" s="4767">
        <f>SUM(F445:F445)</f>
        <v>838.59</v>
      </c>
      <c r="G444" s="221"/>
      <c r="H444" s="4688">
        <f>F444*G444</f>
        <v>0</v>
      </c>
      <c r="I444" s="4689" t="s">
        <v>137</v>
      </c>
      <c r="J444" s="4683"/>
    </row>
    <row r="445" spans="1:10" s="4639" customFormat="1" ht="13.5" customHeight="1">
      <c r="A445" s="4684"/>
      <c r="B445" s="4686"/>
      <c r="C445" s="4686"/>
      <c r="D445" s="4682" t="s">
        <v>3011</v>
      </c>
      <c r="E445" s="4686"/>
      <c r="F445" s="4687">
        <v>838.59</v>
      </c>
      <c r="G445" s="221"/>
      <c r="H445" s="4688"/>
      <c r="I445" s="4689"/>
      <c r="J445" s="4683"/>
    </row>
    <row r="446" spans="1:10" s="4639" customFormat="1" ht="13.5" customHeight="1">
      <c r="A446" s="4684">
        <v>79</v>
      </c>
      <c r="B446" s="4685" t="s">
        <v>362</v>
      </c>
      <c r="C446" s="4686" t="s">
        <v>843</v>
      </c>
      <c r="D446" s="4686" t="s">
        <v>844</v>
      </c>
      <c r="E446" s="4686" t="s">
        <v>69</v>
      </c>
      <c r="F446" s="4767">
        <f>F447</f>
        <v>3</v>
      </c>
      <c r="G446" s="221"/>
      <c r="H446" s="4688">
        <f>F446*G446</f>
        <v>0</v>
      </c>
      <c r="I446" s="4689" t="s">
        <v>137</v>
      </c>
      <c r="J446" s="4755"/>
    </row>
    <row r="447" spans="1:10" s="4639" customFormat="1" ht="13.5" customHeight="1">
      <c r="A447" s="4684"/>
      <c r="B447" s="4752"/>
      <c r="C447" s="4752"/>
      <c r="D447" s="4682" t="s">
        <v>3012</v>
      </c>
      <c r="E447" s="4752"/>
      <c r="F447" s="4687">
        <v>3</v>
      </c>
      <c r="G447" s="225"/>
      <c r="H447" s="4688"/>
      <c r="I447" s="4754"/>
      <c r="J447" s="4755"/>
    </row>
    <row r="448" spans="1:10" s="888" customFormat="1" ht="13.5" customHeight="1">
      <c r="A448" s="3657"/>
      <c r="B448" s="3502"/>
      <c r="C448" s="3502">
        <v>713</v>
      </c>
      <c r="D448" s="3502" t="s">
        <v>461</v>
      </c>
      <c r="E448" s="3502"/>
      <c r="F448" s="3743"/>
      <c r="G448" s="2558"/>
      <c r="H448" s="3634">
        <f>SUM(H449:H453)</f>
        <v>0</v>
      </c>
      <c r="I448" s="3506"/>
    </row>
    <row r="449" spans="1:10" s="4639" customFormat="1" ht="13.5" customHeight="1">
      <c r="A449" s="4684">
        <v>80</v>
      </c>
      <c r="B449" s="4686">
        <v>713</v>
      </c>
      <c r="C449" s="4686" t="s">
        <v>3013</v>
      </c>
      <c r="D449" s="4686" t="s">
        <v>3014</v>
      </c>
      <c r="E449" s="4686" t="s">
        <v>163</v>
      </c>
      <c r="F449" s="4767">
        <f>SUM(F450:F450)</f>
        <v>50.529999999999994</v>
      </c>
      <c r="G449" s="221"/>
      <c r="H449" s="4688">
        <f>F449*G449</f>
        <v>0</v>
      </c>
      <c r="I449" s="4127" t="s">
        <v>111</v>
      </c>
      <c r="J449" s="4683"/>
    </row>
    <row r="450" spans="1:10" s="4639" customFormat="1" ht="27" customHeight="1">
      <c r="A450" s="4684"/>
      <c r="B450" s="4686"/>
      <c r="C450" s="4686"/>
      <c r="D450" s="4682" t="s">
        <v>3015</v>
      </c>
      <c r="E450" s="4686"/>
      <c r="F450" s="4687">
        <f>(2.24+6.74+6.18+1.4+5.96+5.29+3.36+4.96+4.75+1.96+2.65+3.68+1.36)</f>
        <v>50.529999999999994</v>
      </c>
      <c r="G450" s="221"/>
      <c r="H450" s="4688"/>
      <c r="I450" s="4689"/>
      <c r="J450" s="4683"/>
    </row>
    <row r="451" spans="1:10" s="883" customFormat="1" ht="67.5" customHeight="1">
      <c r="A451" s="4646"/>
      <c r="B451" s="4768"/>
      <c r="C451" s="4647"/>
      <c r="D451" s="2314" t="s">
        <v>310</v>
      </c>
      <c r="E451" s="4128"/>
      <c r="F451" s="4769"/>
      <c r="G451" s="220"/>
      <c r="H451" s="4125"/>
      <c r="I451" s="4649"/>
      <c r="J451" s="4593"/>
    </row>
    <row r="452" spans="1:10" s="4639" customFormat="1" ht="13.5" customHeight="1">
      <c r="A452" s="4684">
        <v>81</v>
      </c>
      <c r="B452" s="4685" t="s">
        <v>362</v>
      </c>
      <c r="C452" s="4686" t="s">
        <v>843</v>
      </c>
      <c r="D452" s="4686" t="s">
        <v>844</v>
      </c>
      <c r="E452" s="4686" t="s">
        <v>69</v>
      </c>
      <c r="F452" s="4767">
        <f>F453</f>
        <v>3</v>
      </c>
      <c r="G452" s="221"/>
      <c r="H452" s="4688">
        <f>F452*G452</f>
        <v>0</v>
      </c>
      <c r="I452" s="4689" t="s">
        <v>137</v>
      </c>
      <c r="J452" s="4755"/>
    </row>
    <row r="453" spans="1:10" s="4639" customFormat="1" ht="13.5" customHeight="1">
      <c r="A453" s="4684"/>
      <c r="B453" s="4752"/>
      <c r="C453" s="4752"/>
      <c r="D453" s="4682" t="s">
        <v>3016</v>
      </c>
      <c r="E453" s="4752"/>
      <c r="F453" s="4687">
        <v>3</v>
      </c>
      <c r="G453" s="225"/>
      <c r="H453" s="4688"/>
      <c r="I453" s="4754"/>
      <c r="J453" s="4755"/>
    </row>
    <row r="454" spans="1:10" s="888" customFormat="1" ht="13.5" customHeight="1">
      <c r="A454" s="3657"/>
      <c r="B454" s="3502"/>
      <c r="C454" s="3502">
        <v>714</v>
      </c>
      <c r="D454" s="3502" t="s">
        <v>3017</v>
      </c>
      <c r="E454" s="3502"/>
      <c r="F454" s="3743"/>
      <c r="G454" s="2558"/>
      <c r="H454" s="3634">
        <f>SUM(H455:H460)</f>
        <v>0</v>
      </c>
      <c r="I454" s="3506"/>
    </row>
    <row r="455" spans="1:10" s="4639" customFormat="1" ht="13.5" customHeight="1">
      <c r="A455" s="4684">
        <v>82</v>
      </c>
      <c r="B455" s="4686">
        <v>714</v>
      </c>
      <c r="C455" s="4686">
        <v>714110802</v>
      </c>
      <c r="D455" s="4686" t="s">
        <v>3018</v>
      </c>
      <c r="E455" s="4686" t="s">
        <v>163</v>
      </c>
      <c r="F455" s="4767">
        <f>SUM(F456:F456)</f>
        <v>546</v>
      </c>
      <c r="G455" s="221"/>
      <c r="H455" s="4688">
        <f>F455*G455</f>
        <v>0</v>
      </c>
      <c r="I455" s="4689" t="s">
        <v>137</v>
      </c>
      <c r="J455" s="4683"/>
    </row>
    <row r="456" spans="1:10" s="4639" customFormat="1" ht="13.5" customHeight="1">
      <c r="A456" s="4684"/>
      <c r="B456" s="4686"/>
      <c r="C456" s="4686"/>
      <c r="D456" s="4682" t="s">
        <v>3019</v>
      </c>
      <c r="E456" s="4686"/>
      <c r="F456" s="4687">
        <f>14*19.5+(39*7)</f>
        <v>546</v>
      </c>
      <c r="G456" s="221"/>
      <c r="H456" s="4688"/>
      <c r="I456" s="4689"/>
      <c r="J456" s="4683"/>
    </row>
    <row r="457" spans="1:10" s="4639" customFormat="1" ht="27" customHeight="1">
      <c r="A457" s="4684">
        <v>83</v>
      </c>
      <c r="B457" s="4686">
        <v>714</v>
      </c>
      <c r="C457" s="4686">
        <v>714110803</v>
      </c>
      <c r="D457" s="4686" t="s">
        <v>3020</v>
      </c>
      <c r="E457" s="4686" t="s">
        <v>163</v>
      </c>
      <c r="F457" s="4767">
        <f>SUM(F458:F458)</f>
        <v>156.5</v>
      </c>
      <c r="G457" s="221"/>
      <c r="H457" s="4688">
        <f>F457*G457</f>
        <v>0</v>
      </c>
      <c r="I457" s="4689" t="s">
        <v>137</v>
      </c>
      <c r="J457" s="4683"/>
    </row>
    <row r="458" spans="1:10" s="4639" customFormat="1" ht="13.5" customHeight="1">
      <c r="A458" s="4684"/>
      <c r="B458" s="4686"/>
      <c r="C458" s="4686"/>
      <c r="D458" s="4682" t="s">
        <v>3021</v>
      </c>
      <c r="E458" s="4686"/>
      <c r="F458" s="4687">
        <f>(137+19.5)</f>
        <v>156.5</v>
      </c>
      <c r="G458" s="221"/>
      <c r="H458" s="4688"/>
      <c r="I458" s="4689"/>
      <c r="J458" s="4683"/>
    </row>
    <row r="459" spans="1:10" s="4639" customFormat="1" ht="13.5" customHeight="1">
      <c r="A459" s="4684">
        <v>84</v>
      </c>
      <c r="B459" s="4685" t="s">
        <v>362</v>
      </c>
      <c r="C459" s="4686" t="s">
        <v>843</v>
      </c>
      <c r="D459" s="4686" t="s">
        <v>844</v>
      </c>
      <c r="E459" s="4686" t="s">
        <v>69</v>
      </c>
      <c r="F459" s="4767">
        <f>F460</f>
        <v>3</v>
      </c>
      <c r="G459" s="221"/>
      <c r="H459" s="4688">
        <f>F459*G459</f>
        <v>0</v>
      </c>
      <c r="I459" s="4689" t="s">
        <v>137</v>
      </c>
      <c r="J459" s="4755"/>
    </row>
    <row r="460" spans="1:10" s="4639" customFormat="1" ht="13.5" customHeight="1">
      <c r="A460" s="4684"/>
      <c r="B460" s="4752"/>
      <c r="C460" s="4752"/>
      <c r="D460" s="4682" t="s">
        <v>536</v>
      </c>
      <c r="E460" s="4752"/>
      <c r="F460" s="4687">
        <v>3</v>
      </c>
      <c r="G460" s="225"/>
      <c r="H460" s="4688"/>
      <c r="I460" s="4754"/>
      <c r="J460" s="4755"/>
    </row>
    <row r="461" spans="1:10" s="4639" customFormat="1" ht="13.5" customHeight="1">
      <c r="A461" s="4770"/>
      <c r="B461" s="4771"/>
      <c r="C461" s="4771" t="s">
        <v>1860</v>
      </c>
      <c r="D461" s="4771" t="s">
        <v>3022</v>
      </c>
      <c r="E461" s="4771"/>
      <c r="F461" s="4772"/>
      <c r="G461" s="226"/>
      <c r="H461" s="4773">
        <f>SUM(H462:H483)</f>
        <v>0</v>
      </c>
      <c r="I461" s="4754"/>
      <c r="J461" s="4683"/>
    </row>
    <row r="462" spans="1:10" s="883" customFormat="1" ht="27" customHeight="1">
      <c r="A462" s="4774" t="s">
        <v>3023</v>
      </c>
      <c r="B462" s="2592">
        <v>721</v>
      </c>
      <c r="C462" s="2592" t="s">
        <v>2505</v>
      </c>
      <c r="D462" s="2592" t="s">
        <v>3024</v>
      </c>
      <c r="E462" s="2592" t="s">
        <v>141</v>
      </c>
      <c r="F462" s="4775">
        <f>ROUND(SUM(F464),3)</f>
        <v>45</v>
      </c>
      <c r="G462" s="18"/>
      <c r="H462" s="2231">
        <f>ROUND(F462*G462,2)</f>
        <v>0</v>
      </c>
      <c r="I462" s="4127" t="s">
        <v>111</v>
      </c>
      <c r="J462" s="4776"/>
    </row>
    <row r="463" spans="1:10" s="883" customFormat="1" ht="40.5" customHeight="1">
      <c r="A463" s="4646"/>
      <c r="B463" s="4768"/>
      <c r="C463" s="4647"/>
      <c r="D463" s="4777" t="s">
        <v>3025</v>
      </c>
      <c r="E463" s="4128"/>
      <c r="F463" s="4769"/>
      <c r="G463" s="220"/>
      <c r="H463" s="4125"/>
      <c r="I463" s="4649"/>
      <c r="J463" s="4650"/>
    </row>
    <row r="464" spans="1:10" s="883" customFormat="1" ht="13.5" customHeight="1">
      <c r="A464" s="4646"/>
      <c r="B464" s="4647"/>
      <c r="C464" s="4647"/>
      <c r="D464" s="2599" t="s">
        <v>6541</v>
      </c>
      <c r="E464" s="4647"/>
      <c r="F464" s="4778">
        <v>45</v>
      </c>
      <c r="G464" s="220"/>
      <c r="H464" s="4125"/>
      <c r="I464" s="4649"/>
      <c r="J464" s="4650"/>
    </row>
    <row r="465" spans="1:11" s="883" customFormat="1" ht="27" customHeight="1">
      <c r="A465" s="4646"/>
      <c r="B465" s="4647"/>
      <c r="C465" s="4647"/>
      <c r="D465" s="2599" t="s">
        <v>3026</v>
      </c>
      <c r="E465" s="4647"/>
      <c r="F465" s="4648"/>
      <c r="G465" s="220"/>
      <c r="H465" s="4125"/>
      <c r="I465" s="4649"/>
      <c r="J465" s="4650"/>
    </row>
    <row r="466" spans="1:11" s="883" customFormat="1" ht="67.5" customHeight="1">
      <c r="A466" s="4646"/>
      <c r="B466" s="4768"/>
      <c r="C466" s="4647"/>
      <c r="D466" s="2314" t="s">
        <v>310</v>
      </c>
      <c r="E466" s="4128"/>
      <c r="F466" s="4769"/>
      <c r="G466" s="220"/>
      <c r="H466" s="4125"/>
      <c r="I466" s="4649"/>
      <c r="J466" s="4593"/>
    </row>
    <row r="467" spans="1:11" s="883" customFormat="1" ht="27" customHeight="1">
      <c r="A467" s="4774" t="s">
        <v>3027</v>
      </c>
      <c r="B467" s="2592">
        <v>721</v>
      </c>
      <c r="C467" s="2592" t="s">
        <v>3028</v>
      </c>
      <c r="D467" s="2592" t="s">
        <v>3029</v>
      </c>
      <c r="E467" s="2592" t="s">
        <v>141</v>
      </c>
      <c r="F467" s="4779">
        <f>ROUND(SUM(F469),3)</f>
        <v>100</v>
      </c>
      <c r="G467" s="18"/>
      <c r="H467" s="2231">
        <f>ROUND(F467*G467,2)</f>
        <v>0</v>
      </c>
      <c r="I467" s="4127" t="s">
        <v>111</v>
      </c>
      <c r="J467" s="4776"/>
    </row>
    <row r="468" spans="1:11" s="883" customFormat="1" ht="40.5" customHeight="1">
      <c r="A468" s="4646"/>
      <c r="B468" s="4768"/>
      <c r="C468" s="4647"/>
      <c r="D468" s="4777" t="s">
        <v>3030</v>
      </c>
      <c r="E468" s="4128"/>
      <c r="F468" s="4769"/>
      <c r="G468" s="220"/>
      <c r="H468" s="4125"/>
      <c r="I468" s="4649"/>
      <c r="J468" s="4650"/>
    </row>
    <row r="469" spans="1:11" s="883" customFormat="1" ht="13.5" customHeight="1">
      <c r="A469" s="4646"/>
      <c r="B469" s="4647"/>
      <c r="C469" s="4647"/>
      <c r="D469" s="2599" t="s">
        <v>6542</v>
      </c>
      <c r="E469" s="4647"/>
      <c r="F469" s="4648">
        <v>100</v>
      </c>
      <c r="G469" s="220"/>
      <c r="H469" s="4125"/>
      <c r="I469" s="4649"/>
      <c r="J469" s="4650"/>
    </row>
    <row r="470" spans="1:11" s="883" customFormat="1" ht="40.5" customHeight="1">
      <c r="A470" s="4646"/>
      <c r="B470" s="4647"/>
      <c r="C470" s="4647"/>
      <c r="D470" s="2599" t="s">
        <v>3031</v>
      </c>
      <c r="E470" s="4647"/>
      <c r="F470" s="4648"/>
      <c r="G470" s="220"/>
      <c r="H470" s="4125"/>
      <c r="I470" s="4649"/>
      <c r="J470" s="4780"/>
      <c r="K470" s="2596"/>
    </row>
    <row r="471" spans="1:11" s="883" customFormat="1" ht="67.5" customHeight="1">
      <c r="A471" s="4646"/>
      <c r="B471" s="4768"/>
      <c r="C471" s="4647"/>
      <c r="D471" s="2314" t="s">
        <v>310</v>
      </c>
      <c r="E471" s="4128"/>
      <c r="F471" s="4769"/>
      <c r="G471" s="220"/>
      <c r="H471" s="4125"/>
      <c r="I471" s="4649"/>
      <c r="J471" s="4650"/>
    </row>
    <row r="472" spans="1:11" s="883" customFormat="1" ht="40.5" customHeight="1">
      <c r="A472" s="4774" t="s">
        <v>3032</v>
      </c>
      <c r="B472" s="2592">
        <v>721</v>
      </c>
      <c r="C472" s="2592" t="s">
        <v>3033</v>
      </c>
      <c r="D472" s="2592" t="s">
        <v>3034</v>
      </c>
      <c r="E472" s="2592" t="s">
        <v>141</v>
      </c>
      <c r="F472" s="4779">
        <f>ROUND(SUM(F474),3)</f>
        <v>80</v>
      </c>
      <c r="G472" s="18"/>
      <c r="H472" s="2231">
        <f>ROUND(F472*G472,2)</f>
        <v>0</v>
      </c>
      <c r="I472" s="4127" t="s">
        <v>111</v>
      </c>
      <c r="J472" s="4776"/>
    </row>
    <row r="473" spans="1:11" s="883" customFormat="1" ht="40.5" customHeight="1">
      <c r="A473" s="4646"/>
      <c r="B473" s="4768"/>
      <c r="C473" s="4647"/>
      <c r="D473" s="4777" t="s">
        <v>3035</v>
      </c>
      <c r="E473" s="4128"/>
      <c r="F473" s="4769"/>
      <c r="G473" s="220"/>
      <c r="H473" s="4125"/>
      <c r="I473" s="4649"/>
      <c r="J473" s="4650"/>
    </row>
    <row r="474" spans="1:11" s="883" customFormat="1" ht="13.5" customHeight="1">
      <c r="A474" s="4646"/>
      <c r="B474" s="4647"/>
      <c r="C474" s="4647"/>
      <c r="D474" s="2599" t="s">
        <v>6543</v>
      </c>
      <c r="E474" s="4647"/>
      <c r="F474" s="4648">
        <v>80</v>
      </c>
      <c r="G474" s="220"/>
      <c r="H474" s="4125"/>
      <c r="I474" s="4649"/>
      <c r="J474" s="4650"/>
    </row>
    <row r="475" spans="1:11" s="883" customFormat="1" ht="40.5" customHeight="1">
      <c r="A475" s="4646"/>
      <c r="B475" s="4647"/>
      <c r="C475" s="4647"/>
      <c r="D475" s="2599" t="s">
        <v>3031</v>
      </c>
      <c r="E475" s="4647"/>
      <c r="F475" s="4648"/>
      <c r="G475" s="220"/>
      <c r="H475" s="4125"/>
      <c r="I475" s="4649"/>
      <c r="J475" s="4650"/>
    </row>
    <row r="476" spans="1:11" s="883" customFormat="1" ht="67.5" customHeight="1">
      <c r="A476" s="4646"/>
      <c r="B476" s="4768"/>
      <c r="C476" s="4647"/>
      <c r="D476" s="2314" t="s">
        <v>310</v>
      </c>
      <c r="E476" s="4128"/>
      <c r="F476" s="4769"/>
      <c r="G476" s="220"/>
      <c r="H476" s="4125"/>
      <c r="I476" s="4649"/>
      <c r="J476" s="4593"/>
    </row>
    <row r="477" spans="1:11" s="883" customFormat="1" ht="13.5" customHeight="1">
      <c r="A477" s="4774" t="s">
        <v>3036</v>
      </c>
      <c r="B477" s="2592">
        <v>721</v>
      </c>
      <c r="C477" s="2592" t="s">
        <v>3037</v>
      </c>
      <c r="D477" s="2592" t="s">
        <v>3038</v>
      </c>
      <c r="E477" s="2592" t="s">
        <v>205</v>
      </c>
      <c r="F477" s="4775">
        <f>ROUND(SUM(F479),3)</f>
        <v>50</v>
      </c>
      <c r="G477" s="18"/>
      <c r="H477" s="2231">
        <f>ROUND(F477*G477,2)</f>
        <v>0</v>
      </c>
      <c r="I477" s="4127" t="s">
        <v>111</v>
      </c>
      <c r="J477" s="4776"/>
    </row>
    <row r="478" spans="1:11" s="883" customFormat="1" ht="40.5" customHeight="1">
      <c r="A478" s="4646"/>
      <c r="B478" s="2592"/>
      <c r="C478" s="2592"/>
      <c r="D478" s="2599" t="s">
        <v>3039</v>
      </c>
      <c r="E478" s="2592"/>
      <c r="F478" s="4648"/>
      <c r="G478" s="227"/>
      <c r="H478" s="4125"/>
      <c r="I478" s="4649"/>
      <c r="J478" s="4650"/>
    </row>
    <row r="479" spans="1:11" s="883" customFormat="1" ht="13.5" customHeight="1">
      <c r="A479" s="4646"/>
      <c r="B479" s="4647"/>
      <c r="C479" s="4647"/>
      <c r="D479" s="2599" t="s">
        <v>6544</v>
      </c>
      <c r="E479" s="4647"/>
      <c r="F479" s="4778">
        <v>50</v>
      </c>
      <c r="G479" s="220"/>
      <c r="H479" s="4125"/>
      <c r="I479" s="4649"/>
      <c r="J479" s="4650"/>
    </row>
    <row r="480" spans="1:11" s="883" customFormat="1" ht="67.5" customHeight="1">
      <c r="A480" s="4646"/>
      <c r="B480" s="4768"/>
      <c r="C480" s="4647"/>
      <c r="D480" s="2314" t="s">
        <v>310</v>
      </c>
      <c r="E480" s="4128"/>
      <c r="F480" s="4769"/>
      <c r="G480" s="220"/>
      <c r="H480" s="4125"/>
      <c r="I480" s="4649"/>
      <c r="J480" s="4650"/>
    </row>
    <row r="481" spans="1:17" s="4639" customFormat="1" ht="13.5" customHeight="1">
      <c r="A481" s="4684">
        <v>89</v>
      </c>
      <c r="B481" s="4686" t="s">
        <v>362</v>
      </c>
      <c r="C481" s="4686" t="s">
        <v>1885</v>
      </c>
      <c r="D481" s="4686" t="s">
        <v>1886</v>
      </c>
      <c r="E481" s="4686" t="s">
        <v>69</v>
      </c>
      <c r="F481" s="4767">
        <f>F482</f>
        <v>5</v>
      </c>
      <c r="G481" s="221"/>
      <c r="H481" s="4688">
        <f>F481*G481</f>
        <v>0</v>
      </c>
      <c r="I481" s="4689" t="s">
        <v>137</v>
      </c>
      <c r="J481" s="4683"/>
    </row>
    <row r="482" spans="1:17" s="4639" customFormat="1" ht="13.5" customHeight="1">
      <c r="A482" s="4684"/>
      <c r="B482" s="4752"/>
      <c r="C482" s="4752"/>
      <c r="D482" s="4682" t="s">
        <v>2524</v>
      </c>
      <c r="E482" s="4752"/>
      <c r="F482" s="4687">
        <v>5</v>
      </c>
      <c r="G482" s="225"/>
      <c r="H482" s="4688"/>
      <c r="I482" s="4754"/>
      <c r="J482" s="4683"/>
    </row>
    <row r="483" spans="1:17" s="4639" customFormat="1" ht="13.5" customHeight="1">
      <c r="A483" s="4684"/>
      <c r="B483" s="4752"/>
      <c r="C483" s="4752"/>
      <c r="D483" s="4682" t="s">
        <v>3040</v>
      </c>
      <c r="E483" s="4752"/>
      <c r="F483" s="4687"/>
      <c r="G483" s="225"/>
      <c r="H483" s="4688"/>
      <c r="I483" s="4754"/>
      <c r="J483" s="4683"/>
    </row>
    <row r="484" spans="1:17" s="888" customFormat="1" ht="13.5" customHeight="1">
      <c r="A484" s="3657"/>
      <c r="B484" s="3502"/>
      <c r="C484" s="3502" t="s">
        <v>3041</v>
      </c>
      <c r="D484" s="3502" t="s">
        <v>3042</v>
      </c>
      <c r="E484" s="3502"/>
      <c r="F484" s="3743"/>
      <c r="G484" s="2558"/>
      <c r="H484" s="3634">
        <f>SUM(H485:H510)</f>
        <v>0</v>
      </c>
      <c r="I484" s="3506"/>
    </row>
    <row r="485" spans="1:17" s="883" customFormat="1" ht="27" customHeight="1">
      <c r="A485" s="4774" t="s">
        <v>3043</v>
      </c>
      <c r="B485" s="2592">
        <v>722</v>
      </c>
      <c r="C485" s="2592" t="s">
        <v>2607</v>
      </c>
      <c r="D485" s="2592" t="s">
        <v>3044</v>
      </c>
      <c r="E485" s="2592" t="s">
        <v>141</v>
      </c>
      <c r="F485" s="4781">
        <f>ROUND(SUM(F487),3)</f>
        <v>500</v>
      </c>
      <c r="G485" s="18"/>
      <c r="H485" s="2231">
        <f>ROUND(F485*G485,2)</f>
        <v>0</v>
      </c>
      <c r="I485" s="4127" t="s">
        <v>111</v>
      </c>
      <c r="J485" s="4776"/>
    </row>
    <row r="486" spans="1:17" s="883" customFormat="1" ht="40.5" customHeight="1">
      <c r="A486" s="4646"/>
      <c r="B486" s="2592"/>
      <c r="C486" s="2592"/>
      <c r="D486" s="2599" t="s">
        <v>3045</v>
      </c>
      <c r="E486" s="2592"/>
      <c r="F486" s="4648"/>
      <c r="G486" s="227"/>
      <c r="H486" s="4125"/>
      <c r="I486" s="4649"/>
      <c r="J486" s="4650"/>
      <c r="K486" s="2596"/>
    </row>
    <row r="487" spans="1:17" s="883" customFormat="1" ht="13.5" customHeight="1">
      <c r="A487" s="4646"/>
      <c r="B487" s="4647"/>
      <c r="C487" s="4647"/>
      <c r="D487" s="2599" t="s">
        <v>3046</v>
      </c>
      <c r="E487" s="4647"/>
      <c r="F487" s="4648">
        <v>500</v>
      </c>
      <c r="G487" s="220"/>
      <c r="H487" s="4125"/>
      <c r="I487" s="4649"/>
      <c r="J487" s="4650"/>
    </row>
    <row r="488" spans="1:17" s="883" customFormat="1" ht="40.5" customHeight="1">
      <c r="A488" s="4646"/>
      <c r="B488" s="4647"/>
      <c r="C488" s="4647"/>
      <c r="D488" s="2599" t="s">
        <v>3031</v>
      </c>
      <c r="E488" s="4647"/>
      <c r="F488" s="4648"/>
      <c r="G488" s="220"/>
      <c r="H488" s="4125"/>
      <c r="I488" s="4649"/>
      <c r="J488" s="4650"/>
    </row>
    <row r="489" spans="1:17" s="883" customFormat="1" ht="67.5" customHeight="1">
      <c r="A489" s="4646"/>
      <c r="B489" s="4768"/>
      <c r="C489" s="4647"/>
      <c r="D489" s="2314" t="s">
        <v>310</v>
      </c>
      <c r="E489" s="4128"/>
      <c r="F489" s="4769"/>
      <c r="G489" s="220"/>
      <c r="H489" s="4125"/>
      <c r="I489" s="4649"/>
      <c r="J489" s="4780"/>
    </row>
    <row r="490" spans="1:17" s="883" customFormat="1" ht="27" customHeight="1">
      <c r="A490" s="4774" t="s">
        <v>3047</v>
      </c>
      <c r="B490" s="2592">
        <v>722</v>
      </c>
      <c r="C490" s="2592" t="s">
        <v>3048</v>
      </c>
      <c r="D490" s="2592" t="s">
        <v>3049</v>
      </c>
      <c r="E490" s="2592" t="s">
        <v>141</v>
      </c>
      <c r="F490" s="4781">
        <f>ROUND(SUM(F492),3)</f>
        <v>550</v>
      </c>
      <c r="G490" s="18"/>
      <c r="H490" s="2231">
        <f>ROUND(F490*G490,2)</f>
        <v>0</v>
      </c>
      <c r="I490" s="4127" t="s">
        <v>111</v>
      </c>
      <c r="J490" s="4776"/>
    </row>
    <row r="491" spans="1:17" s="883" customFormat="1" ht="40.5" customHeight="1">
      <c r="A491" s="4646"/>
      <c r="B491" s="4768"/>
      <c r="C491" s="4647"/>
      <c r="D491" s="4777" t="s">
        <v>3050</v>
      </c>
      <c r="E491" s="4128"/>
      <c r="F491" s="4769"/>
      <c r="G491" s="220"/>
      <c r="H491" s="4125"/>
      <c r="I491" s="4649"/>
      <c r="J491" s="4650"/>
      <c r="K491" s="2596"/>
    </row>
    <row r="492" spans="1:17" s="883" customFormat="1" ht="13.5" customHeight="1">
      <c r="A492" s="4646"/>
      <c r="B492" s="4647"/>
      <c r="C492" s="4647"/>
      <c r="D492" s="2599" t="s">
        <v>3051</v>
      </c>
      <c r="E492" s="4647"/>
      <c r="F492" s="4648">
        <v>550</v>
      </c>
      <c r="G492" s="220"/>
      <c r="H492" s="4125"/>
      <c r="I492" s="4649"/>
      <c r="J492" s="4650"/>
    </row>
    <row r="493" spans="1:17" s="883" customFormat="1" ht="40.5" customHeight="1">
      <c r="A493" s="4646"/>
      <c r="B493" s="4647"/>
      <c r="C493" s="4647"/>
      <c r="D493" s="2599" t="s">
        <v>3031</v>
      </c>
      <c r="E493" s="4647"/>
      <c r="F493" s="4648"/>
      <c r="G493" s="220"/>
      <c r="H493" s="4125"/>
      <c r="I493" s="4649"/>
      <c r="J493" s="4780"/>
      <c r="K493" s="2596"/>
      <c r="Q493" s="4782"/>
    </row>
    <row r="494" spans="1:17" s="883" customFormat="1" ht="67.5" customHeight="1">
      <c r="A494" s="4646"/>
      <c r="B494" s="4768"/>
      <c r="C494" s="4647"/>
      <c r="D494" s="2314" t="s">
        <v>310</v>
      </c>
      <c r="E494" s="4128"/>
      <c r="F494" s="4769"/>
      <c r="G494" s="220"/>
      <c r="H494" s="4125"/>
      <c r="I494" s="4649"/>
      <c r="J494" s="4780"/>
    </row>
    <row r="495" spans="1:17" s="883" customFormat="1" ht="27" customHeight="1">
      <c r="A495" s="4774" t="s">
        <v>3052</v>
      </c>
      <c r="B495" s="2592">
        <v>722</v>
      </c>
      <c r="C495" s="2592" t="s">
        <v>3053</v>
      </c>
      <c r="D495" s="2592" t="s">
        <v>3054</v>
      </c>
      <c r="E495" s="2592" t="s">
        <v>141</v>
      </c>
      <c r="F495" s="4781">
        <f>ROUND(SUM(F497),3)</f>
        <v>40</v>
      </c>
      <c r="G495" s="18"/>
      <c r="H495" s="2231">
        <f>ROUND(F495*G495,2)</f>
        <v>0</v>
      </c>
      <c r="I495" s="4127" t="s">
        <v>111</v>
      </c>
      <c r="J495" s="4776"/>
    </row>
    <row r="496" spans="1:17" s="883" customFormat="1" ht="40.5" customHeight="1">
      <c r="A496" s="4646"/>
      <c r="B496" s="4768"/>
      <c r="C496" s="4647"/>
      <c r="D496" s="4777" t="s">
        <v>3055</v>
      </c>
      <c r="E496" s="4128"/>
      <c r="F496" s="4769"/>
      <c r="G496" s="220"/>
      <c r="H496" s="4125"/>
      <c r="I496" s="4649"/>
      <c r="J496" s="4650"/>
      <c r="K496" s="2596"/>
    </row>
    <row r="497" spans="1:11" s="883" customFormat="1" ht="13.5" customHeight="1">
      <c r="A497" s="4646"/>
      <c r="B497" s="4647"/>
      <c r="C497" s="4647"/>
      <c r="D497" s="2599" t="s">
        <v>3056</v>
      </c>
      <c r="E497" s="4647"/>
      <c r="F497" s="4648">
        <v>40</v>
      </c>
      <c r="G497" s="220"/>
      <c r="H497" s="4125"/>
      <c r="I497" s="4649"/>
      <c r="J497" s="4650"/>
    </row>
    <row r="498" spans="1:11" s="883" customFormat="1" ht="40.5" customHeight="1">
      <c r="A498" s="4646"/>
      <c r="B498" s="4647"/>
      <c r="C498" s="4647"/>
      <c r="D498" s="2599" t="s">
        <v>3031</v>
      </c>
      <c r="E498" s="4647"/>
      <c r="F498" s="4648"/>
      <c r="G498" s="220"/>
      <c r="H498" s="4125"/>
      <c r="I498" s="4649"/>
      <c r="J498" s="4780"/>
    </row>
    <row r="499" spans="1:11" s="883" customFormat="1" ht="67.5" customHeight="1">
      <c r="A499" s="4646"/>
      <c r="B499" s="4768"/>
      <c r="C499" s="4647"/>
      <c r="D499" s="2314" t="s">
        <v>310</v>
      </c>
      <c r="E499" s="4128"/>
      <c r="F499" s="4769"/>
      <c r="G499" s="220"/>
      <c r="H499" s="4125"/>
      <c r="I499" s="4649"/>
      <c r="J499" s="4650"/>
    </row>
    <row r="500" spans="1:11" s="883" customFormat="1" ht="13.5" customHeight="1">
      <c r="A500" s="4774" t="s">
        <v>3057</v>
      </c>
      <c r="B500" s="2592">
        <v>722</v>
      </c>
      <c r="C500" s="2592" t="s">
        <v>3058</v>
      </c>
      <c r="D500" s="2592" t="s">
        <v>3059</v>
      </c>
      <c r="E500" s="2592" t="s">
        <v>205</v>
      </c>
      <c r="F500" s="4781">
        <f>ROUND(SUM(F502),3)</f>
        <v>70</v>
      </c>
      <c r="G500" s="18"/>
      <c r="H500" s="2231">
        <f>ROUND(F500*G500,2)</f>
        <v>0</v>
      </c>
      <c r="I500" s="4127" t="s">
        <v>111</v>
      </c>
      <c r="J500" s="4776"/>
    </row>
    <row r="501" spans="1:11" s="883" customFormat="1" ht="40.5" customHeight="1">
      <c r="A501" s="4646"/>
      <c r="B501" s="2592"/>
      <c r="C501" s="2592"/>
      <c r="D501" s="2599" t="s">
        <v>3060</v>
      </c>
      <c r="E501" s="2592"/>
      <c r="F501" s="4648"/>
      <c r="G501" s="227"/>
      <c r="H501" s="4125"/>
      <c r="I501" s="4649"/>
      <c r="J501" s="4650"/>
    </row>
    <row r="502" spans="1:11" s="883" customFormat="1" ht="13.5" customHeight="1">
      <c r="A502" s="4646"/>
      <c r="B502" s="4647"/>
      <c r="C502" s="4647"/>
      <c r="D502" s="2599" t="s">
        <v>3061</v>
      </c>
      <c r="E502" s="4647"/>
      <c r="F502" s="4648">
        <v>70</v>
      </c>
      <c r="G502" s="220"/>
      <c r="H502" s="4125"/>
      <c r="I502" s="4649"/>
      <c r="J502" s="4650"/>
    </row>
    <row r="503" spans="1:11" s="883" customFormat="1" ht="67.5" customHeight="1">
      <c r="A503" s="4646"/>
      <c r="B503" s="4768"/>
      <c r="C503" s="4647"/>
      <c r="D503" s="2314" t="s">
        <v>2876</v>
      </c>
      <c r="E503" s="4128"/>
      <c r="F503" s="4769"/>
      <c r="G503" s="220"/>
      <c r="H503" s="4125"/>
      <c r="I503" s="4649"/>
      <c r="J503" s="4650"/>
    </row>
    <row r="504" spans="1:11" s="888" customFormat="1" ht="13.5" customHeight="1">
      <c r="A504" s="3657">
        <v>94</v>
      </c>
      <c r="B504" s="3507">
        <v>722</v>
      </c>
      <c r="C504" s="3507" t="s">
        <v>3062</v>
      </c>
      <c r="D504" s="3507" t="s">
        <v>3063</v>
      </c>
      <c r="E504" s="3507" t="s">
        <v>49</v>
      </c>
      <c r="F504" s="4590">
        <f>F506</f>
        <v>2</v>
      </c>
      <c r="G504" s="2558"/>
      <c r="H504" s="3509">
        <f>F504*G504</f>
        <v>0</v>
      </c>
      <c r="I504" s="4127" t="s">
        <v>111</v>
      </c>
    </row>
    <row r="505" spans="1:11" s="888" customFormat="1" ht="27" customHeight="1">
      <c r="A505" s="3657"/>
      <c r="B505" s="3507"/>
      <c r="C505" s="3507"/>
      <c r="D505" s="3514" t="s">
        <v>3064</v>
      </c>
      <c r="E505" s="3507"/>
      <c r="F505" s="3641"/>
      <c r="G505" s="2558"/>
      <c r="H505" s="3509"/>
      <c r="I505" s="3506"/>
    </row>
    <row r="506" spans="1:11" s="888" customFormat="1" ht="13.5" customHeight="1">
      <c r="A506" s="3657"/>
      <c r="B506" s="3594"/>
      <c r="C506" s="3594"/>
      <c r="D506" s="2599" t="s">
        <v>3065</v>
      </c>
      <c r="E506" s="3594"/>
      <c r="F506" s="3641">
        <v>2</v>
      </c>
      <c r="G506" s="2558"/>
      <c r="H506" s="3509"/>
      <c r="I506" s="3506"/>
    </row>
    <row r="507" spans="1:11" s="883" customFormat="1" ht="67.5" customHeight="1">
      <c r="A507" s="4646"/>
      <c r="B507" s="4768"/>
      <c r="C507" s="4647"/>
      <c r="D507" s="2314" t="s">
        <v>310</v>
      </c>
      <c r="E507" s="4128"/>
      <c r="F507" s="4769"/>
      <c r="G507" s="220"/>
      <c r="H507" s="4125"/>
      <c r="I507" s="4649"/>
      <c r="J507" s="4650"/>
    </row>
    <row r="508" spans="1:11" s="888" customFormat="1" ht="13.5" customHeight="1">
      <c r="A508" s="3657">
        <v>95</v>
      </c>
      <c r="B508" s="3507" t="s">
        <v>362</v>
      </c>
      <c r="C508" s="3507" t="s">
        <v>1885</v>
      </c>
      <c r="D508" s="3507" t="s">
        <v>1886</v>
      </c>
      <c r="E508" s="3507" t="s">
        <v>69</v>
      </c>
      <c r="F508" s="4590">
        <f>F509</f>
        <v>10</v>
      </c>
      <c r="G508" s="2558"/>
      <c r="H508" s="3509">
        <f>F508*G508</f>
        <v>0</v>
      </c>
      <c r="I508" s="4127" t="s">
        <v>1801</v>
      </c>
    </row>
    <row r="509" spans="1:11" s="888" customFormat="1" ht="13.5" customHeight="1">
      <c r="A509" s="3657"/>
      <c r="B509" s="3594"/>
      <c r="C509" s="3594"/>
      <c r="D509" s="3514" t="s">
        <v>3066</v>
      </c>
      <c r="E509" s="3594"/>
      <c r="F509" s="3641">
        <v>10</v>
      </c>
      <c r="G509" s="2558"/>
      <c r="H509" s="3509"/>
      <c r="I509" s="3506"/>
    </row>
    <row r="510" spans="1:11" s="888" customFormat="1" ht="13.5" customHeight="1">
      <c r="A510" s="3657"/>
      <c r="B510" s="3594"/>
      <c r="C510" s="3594"/>
      <c r="D510" s="3514" t="s">
        <v>3040</v>
      </c>
      <c r="E510" s="3594"/>
      <c r="F510" s="3641"/>
      <c r="G510" s="4833"/>
      <c r="H510" s="4783"/>
      <c r="I510" s="3506"/>
    </row>
    <row r="511" spans="1:11" s="888" customFormat="1" ht="13.5" customHeight="1">
      <c r="A511" s="3501"/>
      <c r="B511" s="3502"/>
      <c r="C511" s="3502">
        <v>723</v>
      </c>
      <c r="D511" s="3502" t="s">
        <v>3067</v>
      </c>
      <c r="E511" s="3502"/>
      <c r="F511" s="3743"/>
      <c r="G511" s="2559"/>
      <c r="H511" s="3505">
        <f>SUM(H512:H518)</f>
        <v>0</v>
      </c>
      <c r="I511" s="3506"/>
      <c r="J511" s="1204"/>
      <c r="K511" s="1204"/>
    </row>
    <row r="512" spans="1:11" s="888" customFormat="1" ht="22.5">
      <c r="A512" s="3725">
        <v>96</v>
      </c>
      <c r="B512" s="3507">
        <v>723</v>
      </c>
      <c r="C512" s="3507" t="s">
        <v>3068</v>
      </c>
      <c r="D512" s="3507" t="s">
        <v>3069</v>
      </c>
      <c r="E512" s="3507" t="s">
        <v>141</v>
      </c>
      <c r="F512" s="4590">
        <f>F514</f>
        <v>25</v>
      </c>
      <c r="G512" s="2559"/>
      <c r="H512" s="3532">
        <f>F512*G512</f>
        <v>0</v>
      </c>
      <c r="I512" s="4127" t="s">
        <v>111</v>
      </c>
      <c r="J512" s="1204"/>
      <c r="K512" s="1204"/>
    </row>
    <row r="513" spans="1:11" s="888" customFormat="1" ht="40.5" customHeight="1">
      <c r="A513" s="3725"/>
      <c r="B513" s="3507"/>
      <c r="C513" s="3507"/>
      <c r="D513" s="3514" t="s">
        <v>3070</v>
      </c>
      <c r="E513" s="3507"/>
      <c r="G513" s="2559"/>
      <c r="H513" s="3532"/>
      <c r="I513" s="3506"/>
      <c r="J513" s="1204"/>
      <c r="K513" s="1204"/>
    </row>
    <row r="514" spans="1:11" s="888" customFormat="1" ht="13.5" customHeight="1">
      <c r="A514" s="3657"/>
      <c r="B514" s="3594"/>
      <c r="C514" s="3594"/>
      <c r="D514" s="2599" t="s">
        <v>3071</v>
      </c>
      <c r="E514" s="3594"/>
      <c r="F514" s="3641">
        <v>25</v>
      </c>
      <c r="G514" s="2558"/>
      <c r="H514" s="3509"/>
      <c r="I514" s="3506"/>
    </row>
    <row r="515" spans="1:11" s="888" customFormat="1" ht="69" customHeight="1">
      <c r="A515" s="3725"/>
      <c r="B515" s="3507"/>
      <c r="C515" s="3507"/>
      <c r="D515" s="2314" t="s">
        <v>310</v>
      </c>
      <c r="E515" s="3507"/>
      <c r="F515" s="3641"/>
      <c r="G515" s="2559"/>
      <c r="H515" s="3532"/>
      <c r="I515" s="3506"/>
      <c r="J515" s="1204"/>
      <c r="K515" s="1204"/>
    </row>
    <row r="516" spans="1:11" s="888" customFormat="1" ht="13.5" customHeight="1">
      <c r="A516" s="3657">
        <v>97</v>
      </c>
      <c r="B516" s="3507" t="s">
        <v>362</v>
      </c>
      <c r="C516" s="3507" t="s">
        <v>1885</v>
      </c>
      <c r="D516" s="3507" t="s">
        <v>1886</v>
      </c>
      <c r="E516" s="3507" t="s">
        <v>69</v>
      </c>
      <c r="F516" s="4590">
        <f>F517</f>
        <v>3</v>
      </c>
      <c r="G516" s="2558"/>
      <c r="H516" s="3509">
        <f>F516*G516</f>
        <v>0</v>
      </c>
      <c r="I516" s="4127" t="s">
        <v>111</v>
      </c>
    </row>
    <row r="517" spans="1:11" s="888" customFormat="1" ht="13.5" customHeight="1">
      <c r="A517" s="3657"/>
      <c r="B517" s="3594"/>
      <c r="C517" s="3594"/>
      <c r="D517" s="3514" t="s">
        <v>3072</v>
      </c>
      <c r="E517" s="3594"/>
      <c r="F517" s="3641">
        <v>3</v>
      </c>
      <c r="G517" s="2558"/>
      <c r="H517" s="3509"/>
      <c r="I517" s="3506"/>
    </row>
    <row r="518" spans="1:11" s="888" customFormat="1" ht="13.5" customHeight="1">
      <c r="A518" s="3657"/>
      <c r="B518" s="3594"/>
      <c r="C518" s="3594"/>
      <c r="D518" s="3514" t="s">
        <v>3073</v>
      </c>
      <c r="E518" s="3594"/>
      <c r="F518" s="3641"/>
      <c r="G518" s="4833"/>
      <c r="H518" s="4783"/>
      <c r="I518" s="3506"/>
    </row>
    <row r="519" spans="1:11" s="888" customFormat="1" ht="13.5" customHeight="1">
      <c r="A519" s="3632"/>
      <c r="B519" s="3502"/>
      <c r="C519" s="3502" t="s">
        <v>3074</v>
      </c>
      <c r="D519" s="3502" t="s">
        <v>3075</v>
      </c>
      <c r="E519" s="3502"/>
      <c r="F519" s="3743"/>
      <c r="G519" s="4821"/>
      <c r="H519" s="3634">
        <f>SUM(H520:H557)</f>
        <v>0</v>
      </c>
      <c r="I519" s="3506"/>
    </row>
    <row r="520" spans="1:11" s="4639" customFormat="1" ht="13.5" customHeight="1">
      <c r="A520" s="4684">
        <v>98</v>
      </c>
      <c r="B520" s="4686">
        <v>725</v>
      </c>
      <c r="C520" s="4686">
        <v>725110811</v>
      </c>
      <c r="D520" s="4686" t="s">
        <v>3076</v>
      </c>
      <c r="E520" s="4686" t="s">
        <v>3077</v>
      </c>
      <c r="F520" s="4767">
        <f>SUM(F521:F522)</f>
        <v>11</v>
      </c>
      <c r="G520" s="221"/>
      <c r="H520" s="4688">
        <f>F520*G520</f>
        <v>0</v>
      </c>
      <c r="I520" s="4689" t="s">
        <v>137</v>
      </c>
      <c r="J520" s="4683"/>
    </row>
    <row r="521" spans="1:11" s="4639" customFormat="1" ht="13.5" customHeight="1">
      <c r="A521" s="4684"/>
      <c r="B521" s="4686"/>
      <c r="C521" s="4686"/>
      <c r="D521" s="4682" t="s">
        <v>3078</v>
      </c>
      <c r="E521" s="4686"/>
      <c r="F521" s="4687">
        <v>4</v>
      </c>
      <c r="G521" s="221"/>
      <c r="H521" s="4688"/>
      <c r="I521" s="4689"/>
      <c r="J521" s="4683"/>
    </row>
    <row r="522" spans="1:11" s="4639" customFormat="1" ht="13.5" customHeight="1">
      <c r="A522" s="4684"/>
      <c r="B522" s="4686"/>
      <c r="C522" s="4686"/>
      <c r="D522" s="4682" t="s">
        <v>3079</v>
      </c>
      <c r="E522" s="4686"/>
      <c r="F522" s="4687">
        <v>7</v>
      </c>
      <c r="G522" s="221"/>
      <c r="H522" s="4688"/>
      <c r="I522" s="4689"/>
      <c r="J522" s="4683"/>
    </row>
    <row r="523" spans="1:11" s="4639" customFormat="1" ht="13.5" customHeight="1">
      <c r="A523" s="4684">
        <v>99</v>
      </c>
      <c r="B523" s="4686">
        <v>725</v>
      </c>
      <c r="C523" s="4686">
        <v>725130811</v>
      </c>
      <c r="D523" s="4686" t="s">
        <v>3080</v>
      </c>
      <c r="E523" s="4686" t="s">
        <v>3077</v>
      </c>
      <c r="F523" s="4767">
        <f>SUM(F524:F525)</f>
        <v>5</v>
      </c>
      <c r="G523" s="221"/>
      <c r="H523" s="4688">
        <f>F523*G523</f>
        <v>0</v>
      </c>
      <c r="I523" s="4689" t="s">
        <v>137</v>
      </c>
      <c r="J523" s="4683"/>
    </row>
    <row r="524" spans="1:11" s="4639" customFormat="1" ht="13.5" customHeight="1">
      <c r="A524" s="4684"/>
      <c r="B524" s="4686"/>
      <c r="C524" s="4686"/>
      <c r="D524" s="4682" t="s">
        <v>3081</v>
      </c>
      <c r="E524" s="4686"/>
      <c r="F524" s="4687">
        <v>2</v>
      </c>
      <c r="G524" s="221"/>
      <c r="H524" s="4688"/>
      <c r="I524" s="4689"/>
      <c r="J524" s="4683"/>
    </row>
    <row r="525" spans="1:11" s="4639" customFormat="1" ht="13.5" customHeight="1">
      <c r="A525" s="4684"/>
      <c r="B525" s="4686"/>
      <c r="C525" s="4686"/>
      <c r="D525" s="4682" t="s">
        <v>3082</v>
      </c>
      <c r="E525" s="4686"/>
      <c r="F525" s="4687">
        <v>3</v>
      </c>
      <c r="G525" s="221"/>
      <c r="H525" s="4688"/>
      <c r="I525" s="4689"/>
      <c r="J525" s="4683"/>
    </row>
    <row r="526" spans="1:11" s="4639" customFormat="1" ht="13.5" customHeight="1">
      <c r="A526" s="4684">
        <v>100</v>
      </c>
      <c r="B526" s="4685" t="s">
        <v>3074</v>
      </c>
      <c r="C526" s="4686">
        <v>725210821</v>
      </c>
      <c r="D526" s="4686" t="s">
        <v>3083</v>
      </c>
      <c r="E526" s="4686" t="s">
        <v>3077</v>
      </c>
      <c r="F526" s="4767">
        <f>SUM(F527:F528)</f>
        <v>30</v>
      </c>
      <c r="G526" s="221"/>
      <c r="H526" s="4688">
        <f>F526*G526</f>
        <v>0</v>
      </c>
      <c r="I526" s="4689" t="s">
        <v>137</v>
      </c>
      <c r="J526" s="4683"/>
    </row>
    <row r="527" spans="1:11" s="4639" customFormat="1" ht="13.5" customHeight="1">
      <c r="A527" s="4684"/>
      <c r="B527" s="4686"/>
      <c r="C527" s="4686"/>
      <c r="D527" s="4682" t="s">
        <v>3084</v>
      </c>
      <c r="E527" s="4686"/>
      <c r="F527" s="4687">
        <v>12</v>
      </c>
      <c r="G527" s="221"/>
      <c r="H527" s="4688"/>
      <c r="I527" s="4689"/>
      <c r="J527" s="4683"/>
    </row>
    <row r="528" spans="1:11" s="4639" customFormat="1" ht="13.5" customHeight="1">
      <c r="A528" s="4684"/>
      <c r="B528" s="4686"/>
      <c r="C528" s="4686"/>
      <c r="D528" s="4682" t="s">
        <v>3085</v>
      </c>
      <c r="E528" s="4686"/>
      <c r="F528" s="4687">
        <v>18</v>
      </c>
      <c r="G528" s="221"/>
      <c r="H528" s="4688"/>
      <c r="I528" s="4689"/>
      <c r="J528" s="4683"/>
    </row>
    <row r="529" spans="1:10" s="4639" customFormat="1" ht="13.5" customHeight="1">
      <c r="A529" s="4684">
        <v>101</v>
      </c>
      <c r="B529" s="4685" t="s">
        <v>3074</v>
      </c>
      <c r="C529" s="4686">
        <v>725230811</v>
      </c>
      <c r="D529" s="4686" t="s">
        <v>3086</v>
      </c>
      <c r="E529" s="4686" t="s">
        <v>3077</v>
      </c>
      <c r="F529" s="4767">
        <f>SUM(F530:F530)</f>
        <v>1</v>
      </c>
      <c r="G529" s="221"/>
      <c r="H529" s="4688">
        <f>F529*G529</f>
        <v>0</v>
      </c>
      <c r="I529" s="4689" t="s">
        <v>137</v>
      </c>
      <c r="J529" s="4683"/>
    </row>
    <row r="530" spans="1:10" s="4639" customFormat="1" ht="13.5" customHeight="1">
      <c r="A530" s="4684"/>
      <c r="B530" s="4686"/>
      <c r="C530" s="4686"/>
      <c r="D530" s="4682" t="s">
        <v>3087</v>
      </c>
      <c r="E530" s="4686"/>
      <c r="F530" s="4687">
        <v>1</v>
      </c>
      <c r="G530" s="221"/>
      <c r="H530" s="4688"/>
      <c r="I530" s="4689"/>
      <c r="J530" s="4683"/>
    </row>
    <row r="531" spans="1:10" s="4639" customFormat="1" ht="13.5" customHeight="1">
      <c r="A531" s="4684">
        <v>102</v>
      </c>
      <c r="B531" s="4685" t="s">
        <v>3074</v>
      </c>
      <c r="C531" s="4686">
        <v>725310823</v>
      </c>
      <c r="D531" s="4686" t="s">
        <v>3088</v>
      </c>
      <c r="E531" s="4686" t="s">
        <v>3077</v>
      </c>
      <c r="F531" s="4767">
        <f>SUM(F532:F533)</f>
        <v>11</v>
      </c>
      <c r="G531" s="221"/>
      <c r="H531" s="4688">
        <f>F531*G531</f>
        <v>0</v>
      </c>
      <c r="I531" s="4689" t="s">
        <v>137</v>
      </c>
      <c r="J531" s="4683"/>
    </row>
    <row r="532" spans="1:10" s="4639" customFormat="1" ht="13.5" customHeight="1">
      <c r="A532" s="4684"/>
      <c r="B532" s="4686"/>
      <c r="C532" s="4686"/>
      <c r="D532" s="4682" t="s">
        <v>3078</v>
      </c>
      <c r="E532" s="4686"/>
      <c r="F532" s="4687">
        <v>4</v>
      </c>
      <c r="G532" s="221"/>
      <c r="H532" s="4688"/>
      <c r="I532" s="4689"/>
      <c r="J532" s="4683"/>
    </row>
    <row r="533" spans="1:10" s="4639" customFormat="1" ht="13.5" customHeight="1">
      <c r="A533" s="4684"/>
      <c r="B533" s="4686"/>
      <c r="C533" s="4686"/>
      <c r="D533" s="4682" t="s">
        <v>3079</v>
      </c>
      <c r="E533" s="4686"/>
      <c r="F533" s="4687">
        <v>7</v>
      </c>
      <c r="G533" s="221"/>
      <c r="H533" s="4688"/>
      <c r="I533" s="4689"/>
      <c r="J533" s="4683"/>
    </row>
    <row r="534" spans="1:10" s="4639" customFormat="1" ht="13.5" customHeight="1">
      <c r="A534" s="4684">
        <v>103</v>
      </c>
      <c r="B534" s="4685" t="s">
        <v>3074</v>
      </c>
      <c r="C534" s="4686">
        <v>725320822</v>
      </c>
      <c r="D534" s="4686" t="s">
        <v>3089</v>
      </c>
      <c r="E534" s="4686" t="s">
        <v>3077</v>
      </c>
      <c r="F534" s="4767">
        <f>SUM(F535:F535)</f>
        <v>1</v>
      </c>
      <c r="G534" s="221"/>
      <c r="H534" s="4688">
        <f>F534*G534</f>
        <v>0</v>
      </c>
      <c r="I534" s="4689" t="s">
        <v>137</v>
      </c>
      <c r="J534" s="4683"/>
    </row>
    <row r="535" spans="1:10" s="4639" customFormat="1" ht="13.5" customHeight="1">
      <c r="A535" s="4684"/>
      <c r="B535" s="4686"/>
      <c r="C535" s="4686"/>
      <c r="D535" s="4682" t="s">
        <v>3087</v>
      </c>
      <c r="E535" s="4686"/>
      <c r="F535" s="4687">
        <v>1</v>
      </c>
      <c r="G535" s="221"/>
      <c r="H535" s="4688"/>
      <c r="I535" s="4689"/>
      <c r="J535" s="4683"/>
    </row>
    <row r="536" spans="1:10" s="4639" customFormat="1" ht="13.5" customHeight="1">
      <c r="A536" s="4684">
        <v>104</v>
      </c>
      <c r="B536" s="4685" t="s">
        <v>3074</v>
      </c>
      <c r="C536" s="4686">
        <v>725330820</v>
      </c>
      <c r="D536" s="4686" t="s">
        <v>3090</v>
      </c>
      <c r="E536" s="4686" t="s">
        <v>3077</v>
      </c>
      <c r="F536" s="4767">
        <f>SUM(F537:F538)</f>
        <v>2</v>
      </c>
      <c r="G536" s="221"/>
      <c r="H536" s="4688">
        <f>F536*G536</f>
        <v>0</v>
      </c>
      <c r="I536" s="4689" t="s">
        <v>137</v>
      </c>
      <c r="J536" s="4683"/>
    </row>
    <row r="537" spans="1:10" s="4639" customFormat="1" ht="13.5" customHeight="1">
      <c r="A537" s="4684"/>
      <c r="B537" s="4686"/>
      <c r="C537" s="4686"/>
      <c r="D537" s="4682" t="s">
        <v>3091</v>
      </c>
      <c r="E537" s="4686"/>
      <c r="F537" s="4687">
        <v>1</v>
      </c>
      <c r="G537" s="221"/>
      <c r="H537" s="4688"/>
      <c r="I537" s="4689"/>
      <c r="J537" s="4683"/>
    </row>
    <row r="538" spans="1:10" s="4639" customFormat="1" ht="13.5" customHeight="1">
      <c r="A538" s="4684"/>
      <c r="B538" s="4686"/>
      <c r="C538" s="4686"/>
      <c r="D538" s="4682" t="s">
        <v>3087</v>
      </c>
      <c r="E538" s="4686"/>
      <c r="F538" s="4687">
        <v>1</v>
      </c>
      <c r="G538" s="221"/>
      <c r="H538" s="4688"/>
      <c r="I538" s="4689"/>
      <c r="J538" s="4683"/>
    </row>
    <row r="539" spans="1:10" s="4639" customFormat="1" ht="13.5" customHeight="1">
      <c r="A539" s="4684">
        <v>105</v>
      </c>
      <c r="B539" s="4685" t="s">
        <v>3074</v>
      </c>
      <c r="C539" s="4686">
        <v>725820802</v>
      </c>
      <c r="D539" s="4686" t="s">
        <v>3092</v>
      </c>
      <c r="E539" s="4686" t="s">
        <v>3077</v>
      </c>
      <c r="F539" s="4767">
        <f>SUM(F540:F542)</f>
        <v>43</v>
      </c>
      <c r="G539" s="221"/>
      <c r="H539" s="4688">
        <f>F539*G539</f>
        <v>0</v>
      </c>
      <c r="I539" s="4689" t="s">
        <v>137</v>
      </c>
      <c r="J539" s="4683"/>
    </row>
    <row r="540" spans="1:10" s="4639" customFormat="1" ht="13.5" customHeight="1">
      <c r="A540" s="4684"/>
      <c r="B540" s="4686"/>
      <c r="C540" s="4686"/>
      <c r="D540" s="4682" t="s">
        <v>3093</v>
      </c>
      <c r="E540" s="4686"/>
      <c r="F540" s="4687">
        <v>30</v>
      </c>
      <c r="G540" s="221"/>
      <c r="H540" s="4688"/>
      <c r="I540" s="4689"/>
      <c r="J540" s="4683"/>
    </row>
    <row r="541" spans="1:10" s="4639" customFormat="1" ht="13.5" customHeight="1">
      <c r="A541" s="4684"/>
      <c r="B541" s="4686"/>
      <c r="C541" s="4686"/>
      <c r="D541" s="4682" t="s">
        <v>3094</v>
      </c>
      <c r="E541" s="4686"/>
      <c r="F541" s="4687">
        <v>1</v>
      </c>
      <c r="G541" s="221"/>
      <c r="H541" s="4688"/>
      <c r="I541" s="4689"/>
      <c r="J541" s="4683"/>
    </row>
    <row r="542" spans="1:10" s="4639" customFormat="1" ht="13.5" customHeight="1">
      <c r="A542" s="4684"/>
      <c r="B542" s="4686"/>
      <c r="C542" s="4686"/>
      <c r="D542" s="4682" t="s">
        <v>3095</v>
      </c>
      <c r="E542" s="4686"/>
      <c r="F542" s="4687">
        <v>12</v>
      </c>
      <c r="G542" s="221"/>
      <c r="H542" s="4688"/>
      <c r="I542" s="4689"/>
      <c r="J542" s="4683"/>
    </row>
    <row r="543" spans="1:10" s="4639" customFormat="1" ht="13.5" customHeight="1">
      <c r="A543" s="4684">
        <v>106</v>
      </c>
      <c r="B543" s="4685" t="s">
        <v>3074</v>
      </c>
      <c r="C543" s="4686">
        <v>725850800</v>
      </c>
      <c r="D543" s="4686" t="s">
        <v>3096</v>
      </c>
      <c r="E543" s="4686" t="s">
        <v>205</v>
      </c>
      <c r="F543" s="4767">
        <f>SUM(F544:F546)</f>
        <v>43</v>
      </c>
      <c r="G543" s="221"/>
      <c r="H543" s="4688">
        <f>F543*G543</f>
        <v>0</v>
      </c>
      <c r="I543" s="4689" t="s">
        <v>137</v>
      </c>
      <c r="J543" s="4683"/>
    </row>
    <row r="544" spans="1:10" s="4639" customFormat="1" ht="13.5" customHeight="1">
      <c r="A544" s="4684"/>
      <c r="B544" s="4686"/>
      <c r="C544" s="4686"/>
      <c r="D544" s="4682" t="s">
        <v>3093</v>
      </c>
      <c r="E544" s="4686"/>
      <c r="F544" s="4687">
        <v>30</v>
      </c>
      <c r="G544" s="221"/>
      <c r="H544" s="4688"/>
      <c r="I544" s="4689"/>
      <c r="J544" s="4683"/>
    </row>
    <row r="545" spans="1:10" s="4639" customFormat="1" ht="13.5" customHeight="1">
      <c r="A545" s="4684"/>
      <c r="B545" s="4686"/>
      <c r="C545" s="4686"/>
      <c r="D545" s="4682" t="s">
        <v>3094</v>
      </c>
      <c r="E545" s="4686"/>
      <c r="F545" s="4687">
        <v>1</v>
      </c>
      <c r="G545" s="221"/>
      <c r="H545" s="4688"/>
      <c r="I545" s="4689"/>
      <c r="J545" s="4683"/>
    </row>
    <row r="546" spans="1:10" s="4639" customFormat="1" ht="13.5" customHeight="1">
      <c r="A546" s="4684"/>
      <c r="B546" s="4686"/>
      <c r="C546" s="4686"/>
      <c r="D546" s="4682" t="s">
        <v>3095</v>
      </c>
      <c r="E546" s="4686"/>
      <c r="F546" s="4687">
        <v>12</v>
      </c>
      <c r="G546" s="221"/>
      <c r="H546" s="4688"/>
      <c r="I546" s="4689"/>
      <c r="J546" s="4683"/>
    </row>
    <row r="547" spans="1:10" s="4639" customFormat="1" ht="13.5" customHeight="1">
      <c r="A547" s="4684">
        <v>107</v>
      </c>
      <c r="B547" s="4685" t="s">
        <v>3074</v>
      </c>
      <c r="C547" s="4686">
        <v>725860811</v>
      </c>
      <c r="D547" s="4686" t="s">
        <v>3097</v>
      </c>
      <c r="E547" s="4686" t="s">
        <v>3077</v>
      </c>
      <c r="F547" s="4767">
        <f>SUM(F548:F550)</f>
        <v>43</v>
      </c>
      <c r="G547" s="221"/>
      <c r="H547" s="4688">
        <f>F547*G547</f>
        <v>0</v>
      </c>
      <c r="I547" s="4689" t="s">
        <v>137</v>
      </c>
      <c r="J547" s="4683"/>
    </row>
    <row r="548" spans="1:10" s="4639" customFormat="1" ht="13.5" customHeight="1">
      <c r="A548" s="4684"/>
      <c r="B548" s="4686"/>
      <c r="C548" s="4686"/>
      <c r="D548" s="4682" t="s">
        <v>3093</v>
      </c>
      <c r="E548" s="4686"/>
      <c r="F548" s="4687">
        <v>30</v>
      </c>
      <c r="G548" s="221"/>
      <c r="H548" s="4688"/>
      <c r="I548" s="4689"/>
      <c r="J548" s="4683"/>
    </row>
    <row r="549" spans="1:10" s="4639" customFormat="1" ht="13.5" customHeight="1">
      <c r="A549" s="4684"/>
      <c r="B549" s="4686"/>
      <c r="C549" s="4686"/>
      <c r="D549" s="4682" t="s">
        <v>3094</v>
      </c>
      <c r="E549" s="4686"/>
      <c r="F549" s="4687">
        <v>1</v>
      </c>
      <c r="G549" s="221"/>
      <c r="H549" s="4688"/>
      <c r="I549" s="4689"/>
      <c r="J549" s="4683"/>
    </row>
    <row r="550" spans="1:10" s="4639" customFormat="1" ht="13.5" customHeight="1">
      <c r="A550" s="4684"/>
      <c r="B550" s="4686"/>
      <c r="C550" s="4686"/>
      <c r="D550" s="4682" t="s">
        <v>3095</v>
      </c>
      <c r="E550" s="4686"/>
      <c r="F550" s="4687">
        <v>12</v>
      </c>
      <c r="G550" s="221"/>
      <c r="H550" s="4688"/>
      <c r="I550" s="4689"/>
      <c r="J550" s="4683"/>
    </row>
    <row r="551" spans="1:10" s="4639" customFormat="1" ht="13.5" customHeight="1">
      <c r="A551" s="4684">
        <v>108</v>
      </c>
      <c r="B551" s="4685" t="s">
        <v>3074</v>
      </c>
      <c r="C551" s="4686" t="s">
        <v>3098</v>
      </c>
      <c r="D551" s="4686" t="s">
        <v>3099</v>
      </c>
      <c r="E551" s="4686" t="s">
        <v>205</v>
      </c>
      <c r="F551" s="4767">
        <f>SUM(F552:F552)</f>
        <v>4</v>
      </c>
      <c r="G551" s="221"/>
      <c r="H551" s="4688">
        <f>F551*G551</f>
        <v>0</v>
      </c>
      <c r="I551" s="4689" t="s">
        <v>111</v>
      </c>
      <c r="J551" s="4683"/>
    </row>
    <row r="552" spans="1:10" s="4639" customFormat="1" ht="13.5" customHeight="1">
      <c r="A552" s="4684"/>
      <c r="B552" s="4686"/>
      <c r="C552" s="4686"/>
      <c r="D552" s="4682" t="s">
        <v>3078</v>
      </c>
      <c r="E552" s="4686"/>
      <c r="F552" s="4687">
        <v>4</v>
      </c>
      <c r="G552" s="221"/>
      <c r="H552" s="4688"/>
      <c r="I552" s="4689"/>
      <c r="J552" s="4683"/>
    </row>
    <row r="553" spans="1:10" s="4639" customFormat="1" ht="13.5" customHeight="1">
      <c r="A553" s="4684"/>
      <c r="B553" s="4686"/>
      <c r="C553" s="4686"/>
      <c r="D553" s="4682" t="s">
        <v>3100</v>
      </c>
      <c r="E553" s="4686"/>
      <c r="F553" s="4687"/>
      <c r="G553" s="221"/>
      <c r="H553" s="4688"/>
      <c r="I553" s="4689"/>
      <c r="J553" s="4683"/>
    </row>
    <row r="554" spans="1:10" s="4639" customFormat="1" ht="67.5" customHeight="1">
      <c r="A554" s="4684"/>
      <c r="B554" s="4751"/>
      <c r="C554" s="4752"/>
      <c r="D554" s="2314" t="s">
        <v>310</v>
      </c>
      <c r="E554" s="4128"/>
      <c r="F554" s="4753"/>
      <c r="G554" s="221"/>
      <c r="H554" s="4688"/>
      <c r="I554" s="4754"/>
      <c r="J554" s="4683"/>
    </row>
    <row r="555" spans="1:10" s="888" customFormat="1" ht="13.5" customHeight="1">
      <c r="A555" s="3657">
        <v>109</v>
      </c>
      <c r="B555" s="3539" t="s">
        <v>362</v>
      </c>
      <c r="C555" s="3507" t="s">
        <v>843</v>
      </c>
      <c r="D555" s="3507" t="s">
        <v>844</v>
      </c>
      <c r="E555" s="3507" t="s">
        <v>69</v>
      </c>
      <c r="F555" s="4590">
        <f>F556</f>
        <v>5</v>
      </c>
      <c r="G555" s="2558"/>
      <c r="H555" s="3509">
        <f>F555*G555</f>
        <v>0</v>
      </c>
      <c r="I555" s="4127" t="s">
        <v>1801</v>
      </c>
    </row>
    <row r="556" spans="1:10" s="888" customFormat="1" ht="13.5" customHeight="1">
      <c r="A556" s="3807"/>
      <c r="B556" s="3594"/>
      <c r="C556" s="3594"/>
      <c r="D556" s="3514" t="s">
        <v>3101</v>
      </c>
      <c r="E556" s="3594"/>
      <c r="F556" s="3641">
        <v>5</v>
      </c>
      <c r="G556" s="4834"/>
      <c r="H556" s="3509"/>
      <c r="I556" s="3506"/>
    </row>
    <row r="557" spans="1:10" s="888" customFormat="1" ht="13.5" customHeight="1">
      <c r="A557" s="3807"/>
      <c r="B557" s="3594"/>
      <c r="C557" s="3594"/>
      <c r="D557" s="3514" t="s">
        <v>390</v>
      </c>
      <c r="E557" s="3594"/>
      <c r="F557" s="3641"/>
      <c r="G557" s="4834"/>
      <c r="H557" s="3509"/>
      <c r="I557" s="3506"/>
    </row>
    <row r="558" spans="1:10" s="888" customFormat="1" ht="13.5" customHeight="1">
      <c r="A558" s="3501"/>
      <c r="B558" s="3502"/>
      <c r="C558" s="3502" t="s">
        <v>3102</v>
      </c>
      <c r="D558" s="3502" t="s">
        <v>3103</v>
      </c>
      <c r="E558" s="3502"/>
      <c r="F558" s="3743"/>
      <c r="G558" s="2560"/>
      <c r="H558" s="3634">
        <f>SUM(H559:H575)</f>
        <v>0</v>
      </c>
      <c r="I558" s="3506"/>
    </row>
    <row r="559" spans="1:10" s="883" customFormat="1" ht="27" customHeight="1">
      <c r="A559" s="4774" t="s">
        <v>3104</v>
      </c>
      <c r="B559" s="2592">
        <v>733</v>
      </c>
      <c r="C559" s="2592" t="s">
        <v>2014</v>
      </c>
      <c r="D559" s="2592" t="s">
        <v>3105</v>
      </c>
      <c r="E559" s="2592" t="s">
        <v>141</v>
      </c>
      <c r="F559" s="4781">
        <f>ROUND(SUM(F561),3)</f>
        <v>820</v>
      </c>
      <c r="G559" s="18"/>
      <c r="H559" s="2231">
        <f>ROUND(F559*G559,2)</f>
        <v>0</v>
      </c>
      <c r="I559" s="4127" t="s">
        <v>111</v>
      </c>
      <c r="J559" s="4776"/>
    </row>
    <row r="560" spans="1:10" s="883" customFormat="1" ht="40.5" customHeight="1">
      <c r="A560" s="4646"/>
      <c r="B560" s="2592"/>
      <c r="C560" s="2592"/>
      <c r="D560" s="2599" t="s">
        <v>3106</v>
      </c>
      <c r="E560" s="2592"/>
      <c r="F560" s="4648"/>
      <c r="G560" s="227"/>
      <c r="H560" s="4125"/>
      <c r="I560" s="4649"/>
      <c r="J560" s="4650"/>
    </row>
    <row r="561" spans="1:11" s="883" customFormat="1" ht="13.5" customHeight="1">
      <c r="A561" s="4646"/>
      <c r="B561" s="4647"/>
      <c r="C561" s="4647"/>
      <c r="D561" s="2599" t="s">
        <v>3107</v>
      </c>
      <c r="E561" s="4647"/>
      <c r="F561" s="4648">
        <v>820</v>
      </c>
      <c r="G561" s="220"/>
      <c r="H561" s="4125"/>
      <c r="I561" s="4649"/>
      <c r="J561" s="4650"/>
    </row>
    <row r="562" spans="1:11" s="883" customFormat="1" ht="40.5" customHeight="1">
      <c r="A562" s="4646"/>
      <c r="B562" s="4647"/>
      <c r="C562" s="4647"/>
      <c r="D562" s="2599" t="s">
        <v>3031</v>
      </c>
      <c r="E562" s="4647"/>
      <c r="F562" s="4648"/>
      <c r="G562" s="220"/>
      <c r="H562" s="4125"/>
      <c r="I562" s="4649"/>
      <c r="J562" s="4650"/>
    </row>
    <row r="563" spans="1:11" s="883" customFormat="1" ht="67.5" customHeight="1">
      <c r="A563" s="4646"/>
      <c r="B563" s="4768"/>
      <c r="C563" s="4647"/>
      <c r="D563" s="2314" t="s">
        <v>310</v>
      </c>
      <c r="E563" s="4128"/>
      <c r="F563" s="4769"/>
      <c r="G563" s="220"/>
      <c r="H563" s="4125"/>
      <c r="I563" s="4649"/>
      <c r="J563" s="4650"/>
    </row>
    <row r="564" spans="1:11" s="883" customFormat="1" ht="13.5" customHeight="1">
      <c r="A564" s="4774" t="s">
        <v>1845</v>
      </c>
      <c r="B564" s="2592">
        <v>733</v>
      </c>
      <c r="C564" s="2592" t="s">
        <v>2019</v>
      </c>
      <c r="D564" s="2592" t="s">
        <v>3108</v>
      </c>
      <c r="E564" s="2592" t="s">
        <v>205</v>
      </c>
      <c r="F564" s="4781">
        <f>ROUND(SUM(F566),3)</f>
        <v>70</v>
      </c>
      <c r="G564" s="18"/>
      <c r="H564" s="2231">
        <f>ROUND(F564*G564,2)</f>
        <v>0</v>
      </c>
      <c r="I564" s="4127" t="s">
        <v>111</v>
      </c>
      <c r="J564" s="4776"/>
    </row>
    <row r="565" spans="1:11" s="883" customFormat="1" ht="27" customHeight="1">
      <c r="A565" s="4646"/>
      <c r="B565" s="2592"/>
      <c r="C565" s="2592"/>
      <c r="D565" s="2599" t="s">
        <v>3109</v>
      </c>
      <c r="E565" s="2592"/>
      <c r="F565" s="4648"/>
      <c r="G565" s="227"/>
      <c r="H565" s="4125"/>
      <c r="I565" s="4649"/>
      <c r="J565" s="4650"/>
      <c r="K565" s="2596"/>
    </row>
    <row r="566" spans="1:11" s="883" customFormat="1" ht="13.5" customHeight="1">
      <c r="A566" s="4646"/>
      <c r="B566" s="4647"/>
      <c r="C566" s="4647"/>
      <c r="D566" s="2599" t="s">
        <v>3061</v>
      </c>
      <c r="E566" s="4647"/>
      <c r="F566" s="4648">
        <v>70</v>
      </c>
      <c r="G566" s="220"/>
      <c r="H566" s="4125"/>
      <c r="I566" s="4649"/>
      <c r="J566" s="4650"/>
    </row>
    <row r="567" spans="1:11" s="883" customFormat="1" ht="27" customHeight="1">
      <c r="A567" s="4646"/>
      <c r="B567" s="4647"/>
      <c r="C567" s="4647"/>
      <c r="D567" s="2599" t="s">
        <v>3110</v>
      </c>
      <c r="E567" s="4647"/>
      <c r="F567" s="4648"/>
      <c r="G567" s="220"/>
      <c r="H567" s="4125"/>
      <c r="I567" s="4649"/>
      <c r="J567" s="4650"/>
    </row>
    <row r="568" spans="1:11" s="883" customFormat="1" ht="67.5" customHeight="1">
      <c r="A568" s="4646"/>
      <c r="B568" s="4768"/>
      <c r="C568" s="4647"/>
      <c r="D568" s="2314" t="s">
        <v>310</v>
      </c>
      <c r="E568" s="4128"/>
      <c r="F568" s="4769"/>
      <c r="G568" s="220"/>
      <c r="H568" s="4125"/>
      <c r="I568" s="4649"/>
      <c r="J568" s="4650"/>
    </row>
    <row r="569" spans="1:11" s="883" customFormat="1" ht="13.5" customHeight="1">
      <c r="A569" s="4774" t="s">
        <v>3111</v>
      </c>
      <c r="B569" s="2592">
        <v>733</v>
      </c>
      <c r="C569" s="2592" t="s">
        <v>2021</v>
      </c>
      <c r="D569" s="2592" t="s">
        <v>3112</v>
      </c>
      <c r="E569" s="2592" t="s">
        <v>205</v>
      </c>
      <c r="F569" s="4781">
        <f>ROUND(SUM(F571),3)</f>
        <v>150</v>
      </c>
      <c r="G569" s="18"/>
      <c r="H569" s="2231">
        <f>ROUND(F569*G569,2)</f>
        <v>0</v>
      </c>
      <c r="I569" s="4127" t="s">
        <v>111</v>
      </c>
      <c r="J569" s="4776"/>
    </row>
    <row r="570" spans="1:11" s="883" customFormat="1" ht="54" customHeight="1">
      <c r="A570" s="4646"/>
      <c r="B570" s="4768"/>
      <c r="C570" s="4647"/>
      <c r="D570" s="2314" t="s">
        <v>3113</v>
      </c>
      <c r="E570" s="4128"/>
      <c r="F570" s="4769"/>
      <c r="G570" s="220"/>
      <c r="H570" s="4125"/>
      <c r="I570" s="4649"/>
      <c r="J570" s="4650"/>
      <c r="K570" s="2596"/>
    </row>
    <row r="571" spans="1:11" s="883" customFormat="1" ht="13.5" customHeight="1">
      <c r="A571" s="4646"/>
      <c r="B571" s="4647"/>
      <c r="C571" s="4647"/>
      <c r="D571" s="2599" t="s">
        <v>3114</v>
      </c>
      <c r="E571" s="4647"/>
      <c r="F571" s="4648">
        <v>150</v>
      </c>
      <c r="G571" s="220"/>
      <c r="H571" s="4125"/>
      <c r="I571" s="4649"/>
      <c r="J571" s="4650"/>
    </row>
    <row r="572" spans="1:11" s="883" customFormat="1" ht="67.5" customHeight="1">
      <c r="A572" s="4646"/>
      <c r="B572" s="4768"/>
      <c r="C572" s="4647"/>
      <c r="D572" s="2314" t="s">
        <v>310</v>
      </c>
      <c r="E572" s="4128"/>
      <c r="F572" s="4769"/>
      <c r="G572" s="220"/>
      <c r="H572" s="4125"/>
      <c r="I572" s="4649"/>
      <c r="J572" s="4650"/>
    </row>
    <row r="573" spans="1:11" s="888" customFormat="1" ht="13.5" customHeight="1">
      <c r="A573" s="3657">
        <v>113</v>
      </c>
      <c r="B573" s="3507" t="s">
        <v>362</v>
      </c>
      <c r="C573" s="3507" t="s">
        <v>1885</v>
      </c>
      <c r="D573" s="3507" t="s">
        <v>1886</v>
      </c>
      <c r="E573" s="3507" t="s">
        <v>69</v>
      </c>
      <c r="F573" s="4590">
        <f>F574</f>
        <v>10</v>
      </c>
      <c r="G573" s="2558"/>
      <c r="H573" s="3509">
        <f>F573*G573</f>
        <v>0</v>
      </c>
      <c r="I573" s="4127" t="s">
        <v>1801</v>
      </c>
    </row>
    <row r="574" spans="1:11" s="888" customFormat="1" ht="13.5" customHeight="1">
      <c r="A574" s="3657"/>
      <c r="B574" s="3594"/>
      <c r="C574" s="3594"/>
      <c r="D574" s="3514" t="s">
        <v>3115</v>
      </c>
      <c r="E574" s="3594"/>
      <c r="F574" s="3641">
        <v>10</v>
      </c>
      <c r="G574" s="2558"/>
      <c r="H574" s="3509"/>
      <c r="I574" s="3506"/>
    </row>
    <row r="575" spans="1:11" s="888" customFormat="1" ht="13.5" customHeight="1">
      <c r="A575" s="3657"/>
      <c r="B575" s="3594"/>
      <c r="C575" s="3594"/>
      <c r="D575" s="3514" t="s">
        <v>3040</v>
      </c>
      <c r="E575" s="3594"/>
      <c r="F575" s="3641"/>
      <c r="G575" s="2558"/>
      <c r="H575" s="3509"/>
      <c r="I575" s="3506"/>
    </row>
    <row r="576" spans="1:11" s="3209" customFormat="1" ht="13.5" customHeight="1">
      <c r="A576" s="3657"/>
      <c r="B576" s="3507"/>
      <c r="C576" s="3502">
        <v>741</v>
      </c>
      <c r="D576" s="3502" t="s">
        <v>3116</v>
      </c>
      <c r="E576" s="3502"/>
      <c r="F576" s="3743"/>
      <c r="G576" s="2558"/>
      <c r="H576" s="3634">
        <f>SUM(H577:H597)</f>
        <v>0</v>
      </c>
      <c r="I576" s="3506"/>
    </row>
    <row r="577" spans="1:20" s="2595" customFormat="1" ht="26.25" customHeight="1">
      <c r="A577" s="4774" t="s">
        <v>3117</v>
      </c>
      <c r="B577" s="3869" t="s">
        <v>3118</v>
      </c>
      <c r="C577" s="4784" t="s">
        <v>1800</v>
      </c>
      <c r="D577" s="2592" t="s">
        <v>3119</v>
      </c>
      <c r="E577" s="2592" t="s">
        <v>205</v>
      </c>
      <c r="F577" s="4781">
        <f>ROUND(SUM(F579),3)</f>
        <v>180</v>
      </c>
      <c r="G577" s="18"/>
      <c r="H577" s="2231">
        <f>ROUND(F577*G577,2)</f>
        <v>0</v>
      </c>
      <c r="I577" s="4127" t="s">
        <v>111</v>
      </c>
      <c r="J577" s="4785"/>
      <c r="L577" s="883"/>
    </row>
    <row r="578" spans="1:20" s="883" customFormat="1" ht="27" customHeight="1">
      <c r="A578" s="4646"/>
      <c r="B578" s="2592"/>
      <c r="C578" s="2592"/>
      <c r="D578" s="2599" t="s">
        <v>3120</v>
      </c>
      <c r="E578" s="2592"/>
      <c r="F578" s="4648"/>
      <c r="G578" s="227"/>
      <c r="H578" s="4125"/>
      <c r="I578" s="4649"/>
      <c r="J578" s="4785"/>
    </row>
    <row r="579" spans="1:20" s="883" customFormat="1" ht="13.5" customHeight="1">
      <c r="A579" s="4646"/>
      <c r="B579" s="4647"/>
      <c r="C579" s="4647"/>
      <c r="D579" s="2599" t="s">
        <v>3121</v>
      </c>
      <c r="E579" s="4647"/>
      <c r="F579" s="4648">
        <v>180</v>
      </c>
      <c r="G579" s="220"/>
      <c r="H579" s="4125"/>
      <c r="I579" s="4649"/>
      <c r="J579" s="4650"/>
    </row>
    <row r="580" spans="1:20" s="883" customFormat="1" ht="67.5" customHeight="1">
      <c r="A580" s="4646"/>
      <c r="B580" s="4768"/>
      <c r="C580" s="4647"/>
      <c r="D580" s="2314" t="s">
        <v>310</v>
      </c>
      <c r="E580" s="4128"/>
      <c r="F580" s="4648"/>
      <c r="G580" s="18"/>
      <c r="H580" s="4125"/>
      <c r="I580" s="4649"/>
      <c r="J580" s="4650"/>
    </row>
    <row r="581" spans="1:20" s="2595" customFormat="1" ht="26.25" customHeight="1">
      <c r="A581" s="4774" t="s">
        <v>3122</v>
      </c>
      <c r="B581" s="3869" t="s">
        <v>3118</v>
      </c>
      <c r="C581" s="4784" t="s">
        <v>3123</v>
      </c>
      <c r="D581" s="2592" t="s">
        <v>3124</v>
      </c>
      <c r="E581" s="2592" t="s">
        <v>205</v>
      </c>
      <c r="F581" s="4781">
        <f>ROUND(SUM(F583),3)</f>
        <v>290</v>
      </c>
      <c r="G581" s="18"/>
      <c r="H581" s="2231">
        <f>ROUND(F581*G581,2)</f>
        <v>0</v>
      </c>
      <c r="I581" s="4127" t="s">
        <v>111</v>
      </c>
      <c r="J581" s="4785"/>
      <c r="L581" s="883"/>
    </row>
    <row r="582" spans="1:20" s="883" customFormat="1" ht="27" customHeight="1">
      <c r="A582" s="4646"/>
      <c r="B582" s="2592"/>
      <c r="C582" s="2592"/>
      <c r="D582" s="2599" t="s">
        <v>3125</v>
      </c>
      <c r="E582" s="2592"/>
      <c r="F582" s="4648"/>
      <c r="G582" s="227"/>
      <c r="H582" s="4125"/>
      <c r="I582" s="4649"/>
      <c r="J582" s="4785"/>
    </row>
    <row r="583" spans="1:20" s="883" customFormat="1" ht="13.5" customHeight="1">
      <c r="A583" s="4646"/>
      <c r="B583" s="4647"/>
      <c r="C583" s="4647"/>
      <c r="D583" s="2599" t="s">
        <v>3126</v>
      </c>
      <c r="E583" s="4647"/>
      <c r="F583" s="4648">
        <v>290</v>
      </c>
      <c r="G583" s="220"/>
      <c r="H583" s="4125"/>
      <c r="I583" s="4649"/>
      <c r="J583" s="4650"/>
    </row>
    <row r="584" spans="1:20" s="883" customFormat="1" ht="27" customHeight="1">
      <c r="A584" s="4646"/>
      <c r="B584" s="2592"/>
      <c r="C584" s="2592"/>
      <c r="D584" s="2599" t="s">
        <v>3127</v>
      </c>
      <c r="E584" s="2592"/>
      <c r="F584" s="4786"/>
      <c r="G584" s="227"/>
      <c r="H584" s="4125"/>
      <c r="I584" s="4649"/>
      <c r="J584" s="4650"/>
    </row>
    <row r="585" spans="1:20" s="883" customFormat="1" ht="67.5" customHeight="1">
      <c r="A585" s="4646"/>
      <c r="B585" s="4768"/>
      <c r="C585" s="4647"/>
      <c r="D585" s="2314" t="s">
        <v>310</v>
      </c>
      <c r="E585" s="4128"/>
      <c r="F585" s="4648"/>
      <c r="G585" s="18"/>
      <c r="H585" s="4125"/>
      <c r="I585" s="4649"/>
      <c r="J585" s="4650"/>
    </row>
    <row r="586" spans="1:20" s="2595" customFormat="1" ht="26.25" customHeight="1">
      <c r="A586" s="4774" t="s">
        <v>3128</v>
      </c>
      <c r="B586" s="3869" t="s">
        <v>3118</v>
      </c>
      <c r="C586" s="4784" t="s">
        <v>3129</v>
      </c>
      <c r="D586" s="2592" t="s">
        <v>3130</v>
      </c>
      <c r="E586" s="2592" t="s">
        <v>141</v>
      </c>
      <c r="F586" s="4781">
        <f>ROUND(SUM(F588),3)</f>
        <v>10000</v>
      </c>
      <c r="G586" s="18"/>
      <c r="H586" s="2231">
        <f>ROUND(F586*G586,2)</f>
        <v>0</v>
      </c>
      <c r="I586" s="4127" t="s">
        <v>111</v>
      </c>
      <c r="J586" s="4785"/>
      <c r="L586" s="883"/>
    </row>
    <row r="587" spans="1:20" s="883" customFormat="1" ht="13.5" customHeight="1">
      <c r="A587" s="4646"/>
      <c r="B587" s="2592"/>
      <c r="C587" s="2592"/>
      <c r="D587" s="2599" t="s">
        <v>3131</v>
      </c>
      <c r="E587" s="2592"/>
      <c r="F587" s="4648"/>
      <c r="G587" s="227"/>
      <c r="H587" s="4125"/>
      <c r="I587" s="4649"/>
      <c r="J587" s="4785"/>
    </row>
    <row r="588" spans="1:20" s="883" customFormat="1" ht="13.5" customHeight="1">
      <c r="A588" s="4646"/>
      <c r="B588" s="4647"/>
      <c r="C588" s="4647"/>
      <c r="D588" s="2599" t="s">
        <v>3132</v>
      </c>
      <c r="E588" s="4647"/>
      <c r="F588" s="4648">
        <v>10000</v>
      </c>
      <c r="G588" s="220"/>
      <c r="H588" s="4125"/>
      <c r="I588" s="4649"/>
      <c r="J588" s="4650"/>
    </row>
    <row r="589" spans="1:20" s="883" customFormat="1" ht="27" customHeight="1">
      <c r="A589" s="4646"/>
      <c r="B589" s="2592"/>
      <c r="C589" s="2592"/>
      <c r="D589" s="2599" t="s">
        <v>3127</v>
      </c>
      <c r="E589" s="2592"/>
      <c r="F589" s="4786"/>
      <c r="G589" s="227"/>
      <c r="H589" s="4125"/>
      <c r="I589" s="4649"/>
      <c r="J589" s="4650"/>
      <c r="K589" s="2596"/>
      <c r="L589" s="2596"/>
      <c r="M589" s="2596"/>
      <c r="N589" s="2596"/>
      <c r="O589" s="2596"/>
      <c r="P589" s="2596"/>
      <c r="Q589" s="2596"/>
      <c r="R589" s="2596"/>
      <c r="S589" s="2596"/>
      <c r="T589" s="2596"/>
    </row>
    <row r="590" spans="1:20" s="883" customFormat="1" ht="67.5" customHeight="1">
      <c r="A590" s="4646"/>
      <c r="B590" s="4768"/>
      <c r="C590" s="4647"/>
      <c r="D590" s="2314" t="s">
        <v>310</v>
      </c>
      <c r="E590" s="4128"/>
      <c r="F590" s="4648"/>
      <c r="G590" s="18"/>
      <c r="H590" s="4125"/>
      <c r="I590" s="4649"/>
      <c r="J590" s="4650"/>
    </row>
    <row r="591" spans="1:20" s="2595" customFormat="1" ht="26.25" customHeight="1">
      <c r="A591" s="4646" t="s">
        <v>3133</v>
      </c>
      <c r="B591" s="3869" t="s">
        <v>3118</v>
      </c>
      <c r="C591" s="4784" t="s">
        <v>3134</v>
      </c>
      <c r="D591" s="2592" t="s">
        <v>3135</v>
      </c>
      <c r="E591" s="2592" t="s">
        <v>141</v>
      </c>
      <c r="F591" s="4781">
        <f>ROUND(SUM(F593),3)</f>
        <v>730</v>
      </c>
      <c r="G591" s="18"/>
      <c r="H591" s="2231">
        <f>ROUND(F591*G591,2)</f>
        <v>0</v>
      </c>
      <c r="I591" s="4127" t="s">
        <v>111</v>
      </c>
      <c r="J591" s="4785"/>
      <c r="L591" s="883"/>
    </row>
    <row r="592" spans="1:20" s="883" customFormat="1" ht="27" customHeight="1">
      <c r="A592" s="4646"/>
      <c r="B592" s="2592"/>
      <c r="C592" s="2592"/>
      <c r="D592" s="2599" t="s">
        <v>3136</v>
      </c>
      <c r="E592" s="2592"/>
      <c r="F592" s="4648"/>
      <c r="G592" s="227"/>
      <c r="H592" s="4125"/>
      <c r="I592" s="4649"/>
      <c r="J592" s="4785"/>
    </row>
    <row r="593" spans="1:10" s="883" customFormat="1" ht="13.5" customHeight="1">
      <c r="A593" s="4646"/>
      <c r="B593" s="4647"/>
      <c r="C593" s="4647"/>
      <c r="D593" s="3980" t="s">
        <v>3137</v>
      </c>
      <c r="E593" s="4647"/>
      <c r="F593" s="4648">
        <v>730</v>
      </c>
      <c r="G593" s="220"/>
      <c r="H593" s="4125"/>
      <c r="I593" s="4649"/>
      <c r="J593" s="4650"/>
    </row>
    <row r="594" spans="1:10" s="883" customFormat="1" ht="67.5" customHeight="1">
      <c r="A594" s="4646"/>
      <c r="B594" s="4768"/>
      <c r="C594" s="4647"/>
      <c r="D594" s="2314" t="s">
        <v>310</v>
      </c>
      <c r="E594" s="4128"/>
      <c r="F594" s="4648"/>
      <c r="G594" s="18"/>
      <c r="H594" s="4125"/>
      <c r="I594" s="4649"/>
      <c r="J594" s="4650"/>
    </row>
    <row r="595" spans="1:10" s="3533" customFormat="1" ht="13.5" customHeight="1">
      <c r="A595" s="3657">
        <v>118</v>
      </c>
      <c r="B595" s="3539" t="s">
        <v>362</v>
      </c>
      <c r="C595" s="4787" t="s">
        <v>2066</v>
      </c>
      <c r="D595" s="4788" t="s">
        <v>1803</v>
      </c>
      <c r="E595" s="4788" t="s">
        <v>69</v>
      </c>
      <c r="F595" s="4789">
        <f>F596</f>
        <v>15</v>
      </c>
      <c r="G595" s="2558"/>
      <c r="H595" s="3509">
        <f>F595*G595</f>
        <v>0</v>
      </c>
      <c r="I595" s="4127" t="s">
        <v>1801</v>
      </c>
    </row>
    <row r="596" spans="1:10" s="3533" customFormat="1" ht="13.5" customHeight="1">
      <c r="A596" s="3657"/>
      <c r="B596" s="4790"/>
      <c r="C596" s="4790"/>
      <c r="D596" s="3671" t="s">
        <v>3138</v>
      </c>
      <c r="E596" s="4790"/>
      <c r="F596" s="4791">
        <v>15</v>
      </c>
      <c r="G596" s="2558"/>
      <c r="H596" s="3509"/>
      <c r="I596" s="4792"/>
    </row>
    <row r="597" spans="1:10" s="3533" customFormat="1" ht="13.5" customHeight="1">
      <c r="A597" s="3657"/>
      <c r="B597" s="4790"/>
      <c r="C597" s="4790"/>
      <c r="D597" s="3671" t="s">
        <v>3073</v>
      </c>
      <c r="E597" s="4790"/>
      <c r="F597" s="4791"/>
      <c r="G597" s="2558"/>
      <c r="H597" s="3509"/>
      <c r="I597" s="4792"/>
    </row>
    <row r="598" spans="1:10" s="888" customFormat="1" ht="13.5" customHeight="1">
      <c r="A598" s="4793"/>
      <c r="B598" s="4794"/>
      <c r="C598" s="4795">
        <v>750</v>
      </c>
      <c r="D598" s="4795" t="s">
        <v>3139</v>
      </c>
      <c r="E598" s="4795"/>
      <c r="F598" s="4796"/>
      <c r="G598" s="2559"/>
      <c r="H598" s="4797">
        <f>SUM(H599:H606)</f>
        <v>0</v>
      </c>
      <c r="I598" s="4798"/>
    </row>
    <row r="599" spans="1:10" s="4800" customFormat="1" ht="27" customHeight="1">
      <c r="A599" s="4644">
        <v>119</v>
      </c>
      <c r="B599" s="2577" t="s">
        <v>3140</v>
      </c>
      <c r="C599" s="4102" t="s">
        <v>3141</v>
      </c>
      <c r="D599" s="3507" t="s">
        <v>3142</v>
      </c>
      <c r="E599" s="2603" t="s">
        <v>141</v>
      </c>
      <c r="F599" s="4799">
        <f>F602</f>
        <v>200</v>
      </c>
      <c r="G599" s="219"/>
      <c r="H599" s="4645">
        <f>F599*G599</f>
        <v>0</v>
      </c>
      <c r="I599" s="4127" t="s">
        <v>111</v>
      </c>
    </row>
    <row r="600" spans="1:10" s="604" customFormat="1" ht="27" customHeight="1">
      <c r="A600" s="4644"/>
      <c r="B600" s="2603"/>
      <c r="C600" s="2603"/>
      <c r="D600" s="3514" t="s">
        <v>3143</v>
      </c>
      <c r="E600" s="2603"/>
      <c r="F600" s="4551"/>
      <c r="G600" s="228"/>
      <c r="H600" s="4645"/>
      <c r="I600" s="4801"/>
    </row>
    <row r="601" spans="1:10" s="888" customFormat="1" ht="13.5" customHeight="1">
      <c r="A601" s="3725"/>
      <c r="B601" s="3507"/>
      <c r="C601" s="3507"/>
      <c r="D601" s="3514" t="s">
        <v>3144</v>
      </c>
      <c r="E601" s="3507"/>
      <c r="F601" s="4590"/>
      <c r="G601" s="4835"/>
      <c r="H601" s="3532"/>
      <c r="I601" s="3506"/>
    </row>
    <row r="602" spans="1:10" s="888" customFormat="1" ht="13.5" customHeight="1">
      <c r="A602" s="3782"/>
      <c r="B602" s="3594"/>
      <c r="C602" s="3594"/>
      <c r="D602" s="3980" t="s">
        <v>3145</v>
      </c>
      <c r="E602" s="3594"/>
      <c r="F602" s="3641">
        <v>200</v>
      </c>
      <c r="G602" s="4826"/>
      <c r="H602" s="3532"/>
      <c r="I602" s="3506"/>
    </row>
    <row r="603" spans="1:10" s="604" customFormat="1" ht="71.25" customHeight="1">
      <c r="A603" s="4802"/>
      <c r="B603" s="4803"/>
      <c r="C603" s="4804"/>
      <c r="D603" s="2314" t="s">
        <v>310</v>
      </c>
      <c r="E603" s="2582"/>
      <c r="F603" s="4551"/>
      <c r="G603" s="219"/>
      <c r="H603" s="4645"/>
      <c r="I603" s="4801"/>
    </row>
    <row r="604" spans="1:10" s="888" customFormat="1" ht="13.5" customHeight="1">
      <c r="A604" s="3657">
        <v>120</v>
      </c>
      <c r="B604" s="3507" t="s">
        <v>362</v>
      </c>
      <c r="C604" s="3507" t="s">
        <v>3146</v>
      </c>
      <c r="D604" s="3507" t="s">
        <v>1990</v>
      </c>
      <c r="E604" s="3507" t="s">
        <v>69</v>
      </c>
      <c r="F604" s="4590">
        <f>F605</f>
        <v>5</v>
      </c>
      <c r="G604" s="2558"/>
      <c r="H604" s="3509">
        <f>F604*G604</f>
        <v>0</v>
      </c>
      <c r="I604" s="4127" t="s">
        <v>1801</v>
      </c>
    </row>
    <row r="605" spans="1:10" s="888" customFormat="1" ht="13.5" customHeight="1">
      <c r="A605" s="3657"/>
      <c r="B605" s="3594"/>
      <c r="C605" s="3594"/>
      <c r="D605" s="3514" t="s">
        <v>3147</v>
      </c>
      <c r="E605" s="3594"/>
      <c r="F605" s="3641">
        <v>5</v>
      </c>
      <c r="G605" s="2558"/>
      <c r="H605" s="3509"/>
      <c r="I605" s="3506"/>
    </row>
    <row r="606" spans="1:10" s="888" customFormat="1" ht="13.5" customHeight="1">
      <c r="A606" s="3657"/>
      <c r="B606" s="3594"/>
      <c r="C606" s="3594"/>
      <c r="D606" s="3514" t="s">
        <v>3040</v>
      </c>
      <c r="E606" s="3594"/>
      <c r="F606" s="3641"/>
      <c r="G606" s="2558"/>
      <c r="H606" s="3509"/>
      <c r="I606" s="3506"/>
    </row>
    <row r="607" spans="1:10" s="888" customFormat="1" ht="13.5" customHeight="1">
      <c r="A607" s="4793"/>
      <c r="B607" s="4794"/>
      <c r="C607" s="4795">
        <v>751</v>
      </c>
      <c r="D607" s="4795" t="s">
        <v>2000</v>
      </c>
      <c r="E607" s="4795"/>
      <c r="F607" s="4796"/>
      <c r="G607" s="2559"/>
      <c r="H607" s="4805">
        <f>SUM(H608:H615)</f>
        <v>0</v>
      </c>
      <c r="I607" s="4806"/>
    </row>
    <row r="608" spans="1:10" s="4800" customFormat="1" ht="13.5" customHeight="1">
      <c r="A608" s="4644">
        <v>121</v>
      </c>
      <c r="B608" s="2577" t="s">
        <v>1984</v>
      </c>
      <c r="C608" s="4102" t="s">
        <v>3148</v>
      </c>
      <c r="D608" s="2603" t="s">
        <v>3149</v>
      </c>
      <c r="E608" s="2603" t="s">
        <v>141</v>
      </c>
      <c r="F608" s="4799">
        <f>F611</f>
        <v>300</v>
      </c>
      <c r="G608" s="219"/>
      <c r="H608" s="4645">
        <f>F608*G608</f>
        <v>0</v>
      </c>
      <c r="I608" s="4127" t="s">
        <v>111</v>
      </c>
    </row>
    <row r="609" spans="1:10" s="604" customFormat="1" ht="48.75" customHeight="1">
      <c r="A609" s="4644"/>
      <c r="B609" s="2603"/>
      <c r="C609" s="2603"/>
      <c r="D609" s="2582" t="s">
        <v>3150</v>
      </c>
      <c r="E609" s="2603"/>
      <c r="F609" s="4551"/>
      <c r="G609" s="228"/>
      <c r="H609" s="4645"/>
      <c r="I609" s="4801"/>
    </row>
    <row r="610" spans="1:10" s="888" customFormat="1" ht="13.5" customHeight="1">
      <c r="A610" s="3725"/>
      <c r="B610" s="3507"/>
      <c r="C610" s="3507"/>
      <c r="D610" s="3514" t="s">
        <v>3144</v>
      </c>
      <c r="E610" s="3507"/>
      <c r="F610" s="4590"/>
      <c r="G610" s="4835"/>
      <c r="H610" s="3532"/>
      <c r="I610" s="3506"/>
    </row>
    <row r="611" spans="1:10" s="888" customFormat="1" ht="13.5" customHeight="1">
      <c r="A611" s="3782"/>
      <c r="B611" s="3594"/>
      <c r="C611" s="3594"/>
      <c r="D611" s="3980" t="s">
        <v>3151</v>
      </c>
      <c r="E611" s="3594"/>
      <c r="F611" s="3641">
        <v>300</v>
      </c>
      <c r="G611" s="4826"/>
      <c r="H611" s="3532"/>
      <c r="I611" s="3506"/>
    </row>
    <row r="612" spans="1:10" s="604" customFormat="1" ht="72" customHeight="1">
      <c r="A612" s="4802"/>
      <c r="B612" s="4803"/>
      <c r="C612" s="4804"/>
      <c r="D612" s="2314" t="s">
        <v>310</v>
      </c>
      <c r="E612" s="2582"/>
      <c r="F612" s="4551"/>
      <c r="G612" s="219"/>
      <c r="H612" s="4645"/>
      <c r="I612" s="4801"/>
    </row>
    <row r="613" spans="1:10" s="888" customFormat="1" ht="13.5" customHeight="1">
      <c r="A613" s="3657">
        <v>122</v>
      </c>
      <c r="B613" s="3507" t="s">
        <v>362</v>
      </c>
      <c r="C613" s="3507" t="s">
        <v>3146</v>
      </c>
      <c r="D613" s="3507" t="s">
        <v>1990</v>
      </c>
      <c r="E613" s="3507" t="s">
        <v>69</v>
      </c>
      <c r="F613" s="4590">
        <f>F614</f>
        <v>5</v>
      </c>
      <c r="G613" s="2558"/>
      <c r="H613" s="3509">
        <f>F613*G613</f>
        <v>0</v>
      </c>
      <c r="I613" s="4127" t="s">
        <v>1801</v>
      </c>
    </row>
    <row r="614" spans="1:10" s="888" customFormat="1" ht="13.5" customHeight="1">
      <c r="A614" s="3657"/>
      <c r="B614" s="3594"/>
      <c r="C614" s="3594"/>
      <c r="D614" s="3514" t="s">
        <v>1991</v>
      </c>
      <c r="E614" s="3594"/>
      <c r="F614" s="3641">
        <v>5</v>
      </c>
      <c r="G614" s="2558"/>
      <c r="H614" s="3509"/>
      <c r="I614" s="3506"/>
    </row>
    <row r="615" spans="1:10" s="888" customFormat="1" ht="13.5" customHeight="1">
      <c r="A615" s="3657"/>
      <c r="B615" s="3594"/>
      <c r="C615" s="3594"/>
      <c r="D615" s="3514" t="s">
        <v>3040</v>
      </c>
      <c r="E615" s="3594"/>
      <c r="F615" s="3641"/>
      <c r="G615" s="2558"/>
      <c r="H615" s="3509"/>
      <c r="I615" s="3506"/>
    </row>
    <row r="616" spans="1:10" s="4812" customFormat="1" ht="13.5" customHeight="1">
      <c r="A616" s="4807"/>
      <c r="B616" s="4808"/>
      <c r="C616" s="4808">
        <v>762</v>
      </c>
      <c r="D616" s="4808" t="s">
        <v>3152</v>
      </c>
      <c r="E616" s="4808"/>
      <c r="F616" s="4809"/>
      <c r="G616" s="229"/>
      <c r="H616" s="4810">
        <f>SUM(H617:H632)</f>
        <v>0</v>
      </c>
      <c r="I616" s="4811"/>
    </row>
    <row r="617" spans="1:10" s="1423" customFormat="1" ht="13.5" customHeight="1">
      <c r="A617" s="4813" t="s">
        <v>3153</v>
      </c>
      <c r="B617" s="3637" t="s">
        <v>3154</v>
      </c>
      <c r="C617" s="3638">
        <v>762331821</v>
      </c>
      <c r="D617" s="3638" t="s">
        <v>3155</v>
      </c>
      <c r="E617" s="3638" t="s">
        <v>141</v>
      </c>
      <c r="F617" s="4681">
        <f>SUM(F618:F619)</f>
        <v>1321.07</v>
      </c>
      <c r="G617" s="4836"/>
      <c r="H617" s="3532">
        <f>F617*G617</f>
        <v>0</v>
      </c>
      <c r="I617" s="4127" t="s">
        <v>1801</v>
      </c>
    </row>
    <row r="618" spans="1:10" s="1423" customFormat="1" ht="13.5" customHeight="1">
      <c r="A618" s="4096"/>
      <c r="B618" s="3638"/>
      <c r="C618" s="3638"/>
      <c r="D618" s="3298" t="s">
        <v>3156</v>
      </c>
      <c r="E618" s="3638"/>
      <c r="F618" s="3641">
        <f>54.57+31.76+239.36</f>
        <v>325.69</v>
      </c>
      <c r="G618" s="4829"/>
      <c r="H618" s="4129"/>
      <c r="I618" s="4098"/>
      <c r="J618" s="4680"/>
    </row>
    <row r="619" spans="1:10" s="1423" customFormat="1" ht="13.5" customHeight="1">
      <c r="A619" s="4096"/>
      <c r="B619" s="3638"/>
      <c r="C619" s="3638"/>
      <c r="D619" s="3298" t="s">
        <v>2946</v>
      </c>
      <c r="E619" s="3638"/>
      <c r="F619" s="3641">
        <f>474.58+520.8</f>
        <v>995.37999999999988</v>
      </c>
      <c r="G619" s="4829"/>
      <c r="H619" s="4129"/>
      <c r="I619" s="4098"/>
      <c r="J619" s="4680"/>
    </row>
    <row r="620" spans="1:10" s="1423" customFormat="1" ht="22.5">
      <c r="A620" s="4813" t="s">
        <v>3157</v>
      </c>
      <c r="B620" s="3637" t="s">
        <v>3154</v>
      </c>
      <c r="C620" s="3638">
        <v>762331822</v>
      </c>
      <c r="D620" s="3638" t="s">
        <v>3158</v>
      </c>
      <c r="E620" s="3638" t="s">
        <v>141</v>
      </c>
      <c r="F620" s="4681">
        <f>SUM(F621:F626)</f>
        <v>1196.57</v>
      </c>
      <c r="G620" s="4836"/>
      <c r="H620" s="3532">
        <f>F620*G620</f>
        <v>0</v>
      </c>
      <c r="I620" s="4127" t="s">
        <v>1801</v>
      </c>
    </row>
    <row r="621" spans="1:10" s="1423" customFormat="1" ht="13.5" customHeight="1">
      <c r="A621" s="4096"/>
      <c r="B621" s="3638"/>
      <c r="C621" s="3638"/>
      <c r="D621" s="3298" t="s">
        <v>3159</v>
      </c>
      <c r="E621" s="3638"/>
      <c r="F621" s="3641">
        <v>136.94</v>
      </c>
      <c r="G621" s="4829"/>
      <c r="H621" s="4129"/>
      <c r="I621" s="4098"/>
      <c r="J621" s="4680"/>
    </row>
    <row r="622" spans="1:10" s="1423" customFormat="1" ht="13.5" customHeight="1">
      <c r="A622" s="4096"/>
      <c r="B622" s="3638"/>
      <c r="C622" s="3638"/>
      <c r="D622" s="3298" t="s">
        <v>3160</v>
      </c>
      <c r="E622" s="3638"/>
      <c r="F622" s="3641">
        <v>130.19999999999999</v>
      </c>
      <c r="G622" s="4829"/>
      <c r="H622" s="4129"/>
      <c r="I622" s="4098"/>
      <c r="J622" s="4680"/>
    </row>
    <row r="623" spans="1:10" s="1423" customFormat="1" ht="13.5" customHeight="1">
      <c r="A623" s="4096"/>
      <c r="B623" s="3638"/>
      <c r="C623" s="3638"/>
      <c r="D623" s="3298" t="s">
        <v>3161</v>
      </c>
      <c r="E623" s="3638"/>
      <c r="F623" s="3641">
        <v>68.819999999999993</v>
      </c>
      <c r="G623" s="4829"/>
      <c r="H623" s="4129"/>
      <c r="I623" s="4098"/>
      <c r="J623" s="4680"/>
    </row>
    <row r="624" spans="1:10" s="1423" customFormat="1" ht="13.5" customHeight="1">
      <c r="A624" s="4096"/>
      <c r="B624" s="3638"/>
      <c r="C624" s="3638"/>
      <c r="D624" s="3298" t="s">
        <v>3162</v>
      </c>
      <c r="E624" s="3638"/>
      <c r="F624" s="3641">
        <v>112</v>
      </c>
      <c r="G624" s="4829"/>
      <c r="H624" s="4129"/>
      <c r="I624" s="4098"/>
      <c r="J624" s="4680"/>
    </row>
    <row r="625" spans="1:18" s="1423" customFormat="1" ht="13.5" customHeight="1">
      <c r="A625" s="4096"/>
      <c r="B625" s="3638"/>
      <c r="C625" s="3638"/>
      <c r="D625" s="3298" t="s">
        <v>3163</v>
      </c>
      <c r="E625" s="3638"/>
      <c r="F625" s="3641">
        <v>136.94</v>
      </c>
      <c r="G625" s="4829"/>
      <c r="H625" s="4129"/>
      <c r="I625" s="4098"/>
      <c r="J625" s="4680"/>
    </row>
    <row r="626" spans="1:18" s="1423" customFormat="1" ht="13.5" customHeight="1">
      <c r="A626" s="4096"/>
      <c r="B626" s="3638"/>
      <c r="C626" s="3638"/>
      <c r="D626" s="3298" t="s">
        <v>3164</v>
      </c>
      <c r="E626" s="3638"/>
      <c r="F626" s="3641">
        <v>611.66999999999996</v>
      </c>
      <c r="G626" s="4829"/>
      <c r="H626" s="4129"/>
      <c r="I626" s="4098"/>
      <c r="J626" s="4680"/>
    </row>
    <row r="627" spans="1:18" s="1423" customFormat="1" ht="13.5" customHeight="1">
      <c r="A627" s="4813" t="s">
        <v>3165</v>
      </c>
      <c r="B627" s="3637" t="s">
        <v>3154</v>
      </c>
      <c r="C627" s="3638">
        <v>762341811</v>
      </c>
      <c r="D627" s="3638" t="s">
        <v>3166</v>
      </c>
      <c r="E627" s="3638" t="s">
        <v>163</v>
      </c>
      <c r="F627" s="4681">
        <f>SUM(F628:F629)</f>
        <v>1380.6125999999999</v>
      </c>
      <c r="G627" s="4836"/>
      <c r="H627" s="3532">
        <f>F627*G627</f>
        <v>0</v>
      </c>
      <c r="I627" s="4127" t="s">
        <v>1801</v>
      </c>
    </row>
    <row r="628" spans="1:18" s="1423" customFormat="1" ht="13.5" customHeight="1">
      <c r="A628" s="4096"/>
      <c r="B628" s="3638"/>
      <c r="C628" s="3638"/>
      <c r="D628" s="3298" t="s">
        <v>1189</v>
      </c>
      <c r="E628" s="3638"/>
      <c r="F628" s="3641">
        <f>420.45+(52.57*4)+(103.93*2)</f>
        <v>838.59</v>
      </c>
      <c r="G628" s="4829"/>
      <c r="H628" s="4129"/>
      <c r="I628" s="4098"/>
      <c r="J628" s="4680"/>
    </row>
    <row r="629" spans="1:18" s="1423" customFormat="1" ht="13.5" customHeight="1">
      <c r="A629" s="4096"/>
      <c r="B629" s="3638"/>
      <c r="C629" s="3638"/>
      <c r="D629" s="3298" t="s">
        <v>2946</v>
      </c>
      <c r="E629" s="3638"/>
      <c r="F629" s="3641">
        <f>4.163*130.2</f>
        <v>542.02260000000001</v>
      </c>
      <c r="G629" s="4829"/>
      <c r="H629" s="4129"/>
      <c r="I629" s="4098"/>
      <c r="J629" s="4680"/>
    </row>
    <row r="630" spans="1:18" s="888" customFormat="1" ht="13.5" customHeight="1">
      <c r="A630" s="4644">
        <v>126</v>
      </c>
      <c r="B630" s="2603" t="s">
        <v>362</v>
      </c>
      <c r="C630" s="2603" t="s">
        <v>843</v>
      </c>
      <c r="D630" s="2603" t="s">
        <v>844</v>
      </c>
      <c r="E630" s="2603" t="s">
        <v>69</v>
      </c>
      <c r="F630" s="4613">
        <f>F631</f>
        <v>3</v>
      </c>
      <c r="G630" s="219"/>
      <c r="H630" s="4645">
        <f>F630*G630</f>
        <v>0</v>
      </c>
      <c r="I630" s="4127" t="s">
        <v>1801</v>
      </c>
      <c r="J630" s="4814"/>
      <c r="R630" s="2748"/>
    </row>
    <row r="631" spans="1:18" s="888" customFormat="1" ht="13.5" customHeight="1">
      <c r="A631" s="4802"/>
      <c r="B631" s="4804"/>
      <c r="C631" s="4804"/>
      <c r="D631" s="2582" t="s">
        <v>3167</v>
      </c>
      <c r="E631" s="4804"/>
      <c r="F631" s="4551">
        <v>3</v>
      </c>
      <c r="G631" s="230"/>
      <c r="H631" s="4645"/>
      <c r="I631" s="4801"/>
      <c r="J631" s="4814"/>
      <c r="R631" s="2748"/>
    </row>
    <row r="632" spans="1:18" s="888" customFormat="1" ht="13.5" customHeight="1">
      <c r="A632" s="4802"/>
      <c r="B632" s="4804"/>
      <c r="C632" s="4804"/>
      <c r="D632" s="2582" t="s">
        <v>3040</v>
      </c>
      <c r="E632" s="4804"/>
      <c r="F632" s="4551"/>
      <c r="G632" s="230"/>
      <c r="H632" s="4645"/>
      <c r="I632" s="4801"/>
      <c r="J632" s="4814"/>
      <c r="R632" s="2748"/>
    </row>
    <row r="633" spans="1:18" s="4812" customFormat="1" ht="13.5" customHeight="1">
      <c r="A633" s="4807"/>
      <c r="B633" s="4808"/>
      <c r="C633" s="4808">
        <v>764</v>
      </c>
      <c r="D633" s="4808" t="s">
        <v>1713</v>
      </c>
      <c r="E633" s="4808"/>
      <c r="F633" s="4809"/>
      <c r="G633" s="229"/>
      <c r="H633" s="4810">
        <f>SUM(H634:H647)</f>
        <v>0</v>
      </c>
      <c r="I633" s="4811"/>
    </row>
    <row r="634" spans="1:18" s="1423" customFormat="1" ht="13.5" customHeight="1">
      <c r="A634" s="4813" t="s">
        <v>3168</v>
      </c>
      <c r="B634" s="3637" t="s">
        <v>1714</v>
      </c>
      <c r="C634" s="3638">
        <v>764002801</v>
      </c>
      <c r="D634" s="3638" t="s">
        <v>3169</v>
      </c>
      <c r="E634" s="3638" t="s">
        <v>141</v>
      </c>
      <c r="F634" s="4681">
        <f>SUM(F635:F635)</f>
        <v>254.2</v>
      </c>
      <c r="G634" s="4836"/>
      <c r="H634" s="3532">
        <f>F634*G634</f>
        <v>0</v>
      </c>
      <c r="I634" s="4127" t="s">
        <v>1801</v>
      </c>
    </row>
    <row r="635" spans="1:18" s="1423" customFormat="1" ht="13.5" customHeight="1">
      <c r="A635" s="4096"/>
      <c r="B635" s="3638"/>
      <c r="C635" s="3638"/>
      <c r="D635" s="3298" t="s">
        <v>2946</v>
      </c>
      <c r="E635" s="3638"/>
      <c r="F635" s="3641">
        <v>254.2</v>
      </c>
      <c r="G635" s="4829"/>
      <c r="H635" s="4129"/>
      <c r="I635" s="4098"/>
      <c r="J635" s="4680"/>
    </row>
    <row r="636" spans="1:18" s="1423" customFormat="1" ht="13.5" customHeight="1">
      <c r="A636" s="4813" t="s">
        <v>3170</v>
      </c>
      <c r="B636" s="3637" t="s">
        <v>1714</v>
      </c>
      <c r="C636" s="3638">
        <v>764002851</v>
      </c>
      <c r="D636" s="3638" t="s">
        <v>3171</v>
      </c>
      <c r="E636" s="3638" t="s">
        <v>141</v>
      </c>
      <c r="F636" s="4681">
        <f>SUM(F637:F637)</f>
        <v>62.1</v>
      </c>
      <c r="G636" s="4836"/>
      <c r="H636" s="3532">
        <f>F636*G636</f>
        <v>0</v>
      </c>
      <c r="I636" s="4127" t="s">
        <v>1801</v>
      </c>
    </row>
    <row r="637" spans="1:18" s="1423" customFormat="1" ht="13.5" customHeight="1">
      <c r="A637" s="4096"/>
      <c r="B637" s="3638"/>
      <c r="C637" s="3638"/>
      <c r="D637" s="3298" t="s">
        <v>3172</v>
      </c>
      <c r="E637" s="3638"/>
      <c r="F637" s="3641">
        <v>62.1</v>
      </c>
      <c r="G637" s="4829"/>
      <c r="H637" s="4129"/>
      <c r="I637" s="4098"/>
      <c r="J637" s="4680"/>
    </row>
    <row r="638" spans="1:18" s="1423" customFormat="1" ht="13.5" customHeight="1">
      <c r="A638" s="4813" t="s">
        <v>3173</v>
      </c>
      <c r="B638" s="3637" t="s">
        <v>1714</v>
      </c>
      <c r="C638" s="3638" t="s">
        <v>3174</v>
      </c>
      <c r="D638" s="3638" t="s">
        <v>3175</v>
      </c>
      <c r="E638" s="3638" t="s">
        <v>141</v>
      </c>
      <c r="F638" s="4681">
        <f>SUM(F639:F639)</f>
        <v>252</v>
      </c>
      <c r="G638" s="4836"/>
      <c r="H638" s="3532">
        <f>F638*G638</f>
        <v>0</v>
      </c>
      <c r="I638" s="4127" t="s">
        <v>111</v>
      </c>
    </row>
    <row r="639" spans="1:18" s="1423" customFormat="1" ht="13.5" customHeight="1">
      <c r="A639" s="4096"/>
      <c r="B639" s="3638"/>
      <c r="C639" s="3638"/>
      <c r="D639" s="3298" t="s">
        <v>3176</v>
      </c>
      <c r="E639" s="3638"/>
      <c r="F639" s="3641">
        <f>130.2+121.8</f>
        <v>252</v>
      </c>
      <c r="G639" s="4829"/>
      <c r="H639" s="4129"/>
      <c r="I639" s="4098"/>
      <c r="J639" s="4680"/>
    </row>
    <row r="640" spans="1:18" s="604" customFormat="1" ht="72" customHeight="1">
      <c r="A640" s="4802"/>
      <c r="B640" s="4803"/>
      <c r="C640" s="4804"/>
      <c r="D640" s="2314" t="s">
        <v>310</v>
      </c>
      <c r="E640" s="2582"/>
      <c r="F640" s="4551"/>
      <c r="G640" s="219"/>
      <c r="H640" s="4645"/>
      <c r="I640" s="4801"/>
    </row>
    <row r="641" spans="1:10" s="1423" customFormat="1" ht="13.5" customHeight="1">
      <c r="A641" s="4813" t="s">
        <v>3177</v>
      </c>
      <c r="B641" s="3637" t="s">
        <v>1714</v>
      </c>
      <c r="C641" s="3638">
        <v>764004861</v>
      </c>
      <c r="D641" s="3638" t="s">
        <v>3178</v>
      </c>
      <c r="E641" s="3638" t="s">
        <v>141</v>
      </c>
      <c r="F641" s="4681">
        <f>SUM(F642:F642)</f>
        <v>40</v>
      </c>
      <c r="G641" s="4836"/>
      <c r="H641" s="3532">
        <f>F641*G641</f>
        <v>0</v>
      </c>
      <c r="I641" s="4127" t="s">
        <v>1801</v>
      </c>
    </row>
    <row r="642" spans="1:10" s="1423" customFormat="1" ht="13.5" customHeight="1">
      <c r="A642" s="4096"/>
      <c r="B642" s="3638"/>
      <c r="C642" s="3638"/>
      <c r="D642" s="3298" t="s">
        <v>2946</v>
      </c>
      <c r="E642" s="3638"/>
      <c r="F642" s="3641">
        <v>40</v>
      </c>
      <c r="G642" s="4829"/>
      <c r="H642" s="4129"/>
      <c r="I642" s="4098"/>
      <c r="J642" s="4680"/>
    </row>
    <row r="643" spans="1:10" s="1423" customFormat="1" ht="13.5" customHeight="1">
      <c r="A643" s="4813" t="s">
        <v>3179</v>
      </c>
      <c r="B643" s="3637" t="s">
        <v>1714</v>
      </c>
      <c r="C643" s="3638" t="s">
        <v>3180</v>
      </c>
      <c r="D643" s="3638" t="s">
        <v>3181</v>
      </c>
      <c r="E643" s="3638" t="s">
        <v>1425</v>
      </c>
      <c r="F643" s="4681">
        <f>SUM(F644:F644)</f>
        <v>1</v>
      </c>
      <c r="G643" s="4836"/>
      <c r="H643" s="3532">
        <f>F643*G643</f>
        <v>0</v>
      </c>
      <c r="I643" s="4127" t="s">
        <v>111</v>
      </c>
    </row>
    <row r="644" spans="1:10" s="1423" customFormat="1" ht="13.5" customHeight="1">
      <c r="A644" s="4096"/>
      <c r="B644" s="3638"/>
      <c r="C644" s="3638"/>
      <c r="D644" s="3298" t="s">
        <v>3182</v>
      </c>
      <c r="E644" s="3638"/>
      <c r="F644" s="3641">
        <v>1</v>
      </c>
      <c r="G644" s="4829"/>
      <c r="H644" s="4129"/>
      <c r="I644" s="4098"/>
      <c r="J644" s="4680"/>
    </row>
    <row r="645" spans="1:10" s="4639" customFormat="1" ht="13.5" customHeight="1">
      <c r="A645" s="4684">
        <v>132</v>
      </c>
      <c r="B645" s="4685" t="s">
        <v>362</v>
      </c>
      <c r="C645" s="4686" t="s">
        <v>843</v>
      </c>
      <c r="D645" s="4686" t="s">
        <v>844</v>
      </c>
      <c r="E645" s="4686" t="s">
        <v>69</v>
      </c>
      <c r="F645" s="4767">
        <f>F646</f>
        <v>3</v>
      </c>
      <c r="G645" s="221"/>
      <c r="H645" s="4688">
        <f>F645*G645</f>
        <v>0</v>
      </c>
      <c r="I645" s="4689" t="s">
        <v>137</v>
      </c>
      <c r="J645" s="4815"/>
    </row>
    <row r="646" spans="1:10" s="4639" customFormat="1" ht="13.5" customHeight="1">
      <c r="A646" s="4684"/>
      <c r="B646" s="4752"/>
      <c r="C646" s="4752"/>
      <c r="D646" s="4682" t="s">
        <v>1792</v>
      </c>
      <c r="E646" s="4752"/>
      <c r="F646" s="4687">
        <v>3</v>
      </c>
      <c r="G646" s="225"/>
      <c r="H646" s="4688"/>
      <c r="I646" s="4754"/>
      <c r="J646" s="4816"/>
    </row>
    <row r="647" spans="1:10" s="4639" customFormat="1" ht="13.5" customHeight="1">
      <c r="A647" s="4684"/>
      <c r="B647" s="4752"/>
      <c r="C647" s="4752"/>
      <c r="D647" s="4682" t="s">
        <v>390</v>
      </c>
      <c r="E647" s="4752"/>
      <c r="F647" s="4687"/>
      <c r="G647" s="225"/>
      <c r="H647" s="4688"/>
      <c r="I647" s="4754"/>
      <c r="J647" s="4683"/>
    </row>
    <row r="648" spans="1:10" s="4812" customFormat="1" ht="13.5" customHeight="1">
      <c r="A648" s="4807"/>
      <c r="B648" s="4808"/>
      <c r="C648" s="4808">
        <v>765</v>
      </c>
      <c r="D648" s="4808" t="s">
        <v>3183</v>
      </c>
      <c r="E648" s="4808"/>
      <c r="F648" s="4809"/>
      <c r="G648" s="229"/>
      <c r="H648" s="4810">
        <f>SUM(H649:H654)</f>
        <v>0</v>
      </c>
      <c r="I648" s="4811"/>
    </row>
    <row r="649" spans="1:10" s="1423" customFormat="1" ht="13.5" customHeight="1">
      <c r="A649" s="4813" t="s">
        <v>3184</v>
      </c>
      <c r="B649" s="3637" t="s">
        <v>3185</v>
      </c>
      <c r="C649" s="3638">
        <v>765151801</v>
      </c>
      <c r="D649" s="3638" t="s">
        <v>3186</v>
      </c>
      <c r="E649" s="3638" t="s">
        <v>163</v>
      </c>
      <c r="F649" s="4681">
        <f>SUM(F650:F651)</f>
        <v>1380.6125999999999</v>
      </c>
      <c r="G649" s="4836"/>
      <c r="H649" s="3532">
        <f>F649*G649</f>
        <v>0</v>
      </c>
      <c r="I649" s="4127" t="s">
        <v>1801</v>
      </c>
    </row>
    <row r="650" spans="1:10" s="1423" customFormat="1" ht="13.5" customHeight="1">
      <c r="A650" s="4096"/>
      <c r="B650" s="3638"/>
      <c r="C650" s="3638"/>
      <c r="D650" s="3298" t="s">
        <v>2946</v>
      </c>
      <c r="E650" s="3638"/>
      <c r="F650" s="3641">
        <f>4.163*130.2</f>
        <v>542.02260000000001</v>
      </c>
      <c r="G650" s="4829"/>
      <c r="H650" s="4129"/>
      <c r="I650" s="4098"/>
      <c r="J650" s="4680"/>
    </row>
    <row r="651" spans="1:10" s="1423" customFormat="1" ht="13.5" customHeight="1">
      <c r="A651" s="4096"/>
      <c r="B651" s="3638"/>
      <c r="C651" s="3638"/>
      <c r="D651" s="3298" t="s">
        <v>1189</v>
      </c>
      <c r="E651" s="3638"/>
      <c r="F651" s="3641">
        <f>420.45+(52.57*4)+(103.93*2)</f>
        <v>838.59</v>
      </c>
      <c r="G651" s="4829"/>
      <c r="H651" s="4129"/>
      <c r="I651" s="4098"/>
      <c r="J651" s="4680"/>
    </row>
    <row r="652" spans="1:10" s="4639" customFormat="1" ht="13.5" customHeight="1">
      <c r="A652" s="4684">
        <v>134</v>
      </c>
      <c r="B652" s="4685" t="s">
        <v>362</v>
      </c>
      <c r="C652" s="4686" t="s">
        <v>843</v>
      </c>
      <c r="D652" s="4686" t="s">
        <v>844</v>
      </c>
      <c r="E652" s="4686" t="s">
        <v>69</v>
      </c>
      <c r="F652" s="4767">
        <f>F653</f>
        <v>3</v>
      </c>
      <c r="G652" s="221"/>
      <c r="H652" s="4688">
        <f>F652*G652</f>
        <v>0</v>
      </c>
      <c r="I652" s="4689" t="s">
        <v>137</v>
      </c>
      <c r="J652" s="4815"/>
    </row>
    <row r="653" spans="1:10" s="4639" customFormat="1" ht="13.5" customHeight="1">
      <c r="A653" s="4684"/>
      <c r="B653" s="4752"/>
      <c r="C653" s="4752"/>
      <c r="D653" s="4682" t="s">
        <v>3187</v>
      </c>
      <c r="E653" s="4752"/>
      <c r="F653" s="4687">
        <v>3</v>
      </c>
      <c r="G653" s="225"/>
      <c r="H653" s="4688"/>
      <c r="I653" s="4754"/>
      <c r="J653" s="4683"/>
    </row>
    <row r="654" spans="1:10" s="4639" customFormat="1" ht="13.5" customHeight="1">
      <c r="A654" s="4684"/>
      <c r="B654" s="4752"/>
      <c r="C654" s="4752"/>
      <c r="D654" s="4682" t="s">
        <v>390</v>
      </c>
      <c r="E654" s="4752"/>
      <c r="F654" s="4687"/>
      <c r="G654" s="225"/>
      <c r="H654" s="4688"/>
      <c r="I654" s="4754"/>
      <c r="J654" s="4683"/>
    </row>
    <row r="655" spans="1:10" s="4812" customFormat="1" ht="13.5" customHeight="1">
      <c r="A655" s="4807"/>
      <c r="B655" s="4808"/>
      <c r="C655" s="4808">
        <v>766</v>
      </c>
      <c r="D655" s="4808" t="s">
        <v>1015</v>
      </c>
      <c r="E655" s="4808"/>
      <c r="F655" s="4809"/>
      <c r="G655" s="229"/>
      <c r="H655" s="4810">
        <f>SUM(H656:H664)</f>
        <v>0</v>
      </c>
      <c r="I655" s="4811"/>
    </row>
    <row r="656" spans="1:10" s="1423" customFormat="1" ht="13.5" customHeight="1">
      <c r="A656" s="4813" t="s">
        <v>3188</v>
      </c>
      <c r="B656" s="3637" t="s">
        <v>887</v>
      </c>
      <c r="C656" s="3638">
        <v>766411811</v>
      </c>
      <c r="D656" s="3638" t="s">
        <v>3189</v>
      </c>
      <c r="E656" s="3638" t="s">
        <v>163</v>
      </c>
      <c r="F656" s="4681">
        <f>SUM(F657:F658)</f>
        <v>12.99</v>
      </c>
      <c r="G656" s="4836"/>
      <c r="H656" s="3532">
        <f>F656*G656</f>
        <v>0</v>
      </c>
      <c r="I656" s="4127" t="s">
        <v>1801</v>
      </c>
    </row>
    <row r="657" spans="1:10" s="1423" customFormat="1" ht="13.5" customHeight="1">
      <c r="A657" s="4096"/>
      <c r="B657" s="3638"/>
      <c r="C657" s="3638"/>
      <c r="D657" s="3298" t="s">
        <v>3190</v>
      </c>
      <c r="E657" s="3638"/>
      <c r="F657" s="3641">
        <v>12.63</v>
      </c>
      <c r="G657" s="4829"/>
      <c r="H657" s="4129"/>
      <c r="I657" s="4098"/>
      <c r="J657" s="4680"/>
    </row>
    <row r="658" spans="1:10" s="1423" customFormat="1" ht="13.5" customHeight="1">
      <c r="A658" s="4096"/>
      <c r="B658" s="3638"/>
      <c r="C658" s="3638"/>
      <c r="D658" s="3298" t="s">
        <v>3191</v>
      </c>
      <c r="E658" s="3638"/>
      <c r="F658" s="3641">
        <v>0.36</v>
      </c>
      <c r="G658" s="4829"/>
      <c r="H658" s="4129"/>
      <c r="I658" s="4098"/>
      <c r="J658" s="4680"/>
    </row>
    <row r="659" spans="1:10" s="1423" customFormat="1" ht="13.5" customHeight="1">
      <c r="A659" s="4813" t="s">
        <v>3192</v>
      </c>
      <c r="B659" s="3637" t="s">
        <v>887</v>
      </c>
      <c r="C659" s="3638" t="s">
        <v>3193</v>
      </c>
      <c r="D659" s="3638" t="s">
        <v>3194</v>
      </c>
      <c r="E659" s="3638" t="s">
        <v>163</v>
      </c>
      <c r="F659" s="4681">
        <f>SUM(F660)</f>
        <v>55.71</v>
      </c>
      <c r="G659" s="4836"/>
      <c r="H659" s="3532">
        <f>F659*G659</f>
        <v>0</v>
      </c>
      <c r="I659" s="4127" t="s">
        <v>1801</v>
      </c>
    </row>
    <row r="660" spans="1:10" s="1423" customFormat="1" ht="13.5" customHeight="1">
      <c r="A660" s="4096"/>
      <c r="B660" s="3638"/>
      <c r="C660" s="3638"/>
      <c r="D660" s="3298" t="s">
        <v>3195</v>
      </c>
      <c r="E660" s="3638"/>
      <c r="F660" s="3641">
        <v>55.71</v>
      </c>
      <c r="G660" s="4829"/>
      <c r="H660" s="4129"/>
      <c r="I660" s="4098"/>
      <c r="J660" s="4680"/>
    </row>
    <row r="661" spans="1:10" s="604" customFormat="1" ht="72" customHeight="1">
      <c r="A661" s="4802"/>
      <c r="B661" s="4803"/>
      <c r="C661" s="4804"/>
      <c r="D661" s="2314" t="s">
        <v>310</v>
      </c>
      <c r="E661" s="2582"/>
      <c r="F661" s="4551"/>
      <c r="G661" s="219"/>
      <c r="H661" s="4645"/>
      <c r="I661" s="4801"/>
    </row>
    <row r="662" spans="1:10" s="4639" customFormat="1" ht="13.5" customHeight="1">
      <c r="A662" s="4684">
        <v>137</v>
      </c>
      <c r="B662" s="4685" t="s">
        <v>362</v>
      </c>
      <c r="C662" s="4686" t="s">
        <v>843</v>
      </c>
      <c r="D662" s="4686" t="s">
        <v>844</v>
      </c>
      <c r="E662" s="4686" t="s">
        <v>69</v>
      </c>
      <c r="F662" s="4767">
        <f>F663</f>
        <v>5</v>
      </c>
      <c r="G662" s="221"/>
      <c r="H662" s="4688">
        <f>F662*G662</f>
        <v>0</v>
      </c>
      <c r="I662" s="4689" t="s">
        <v>137</v>
      </c>
      <c r="J662" s="4815"/>
    </row>
    <row r="663" spans="1:10" s="4639" customFormat="1" ht="13.5" customHeight="1">
      <c r="A663" s="4684"/>
      <c r="B663" s="4752"/>
      <c r="C663" s="4752"/>
      <c r="D663" s="4682" t="s">
        <v>1011</v>
      </c>
      <c r="E663" s="4752"/>
      <c r="F663" s="4687">
        <v>5</v>
      </c>
      <c r="G663" s="225"/>
      <c r="H663" s="4688"/>
      <c r="I663" s="4754"/>
      <c r="J663" s="4683"/>
    </row>
    <row r="664" spans="1:10" s="4639" customFormat="1" ht="13.5" customHeight="1">
      <c r="A664" s="4684"/>
      <c r="B664" s="4752"/>
      <c r="C664" s="4752"/>
      <c r="D664" s="4682" t="s">
        <v>390</v>
      </c>
      <c r="E664" s="4752"/>
      <c r="F664" s="4687"/>
      <c r="G664" s="225"/>
      <c r="H664" s="4688"/>
      <c r="I664" s="4754"/>
      <c r="J664" s="4683"/>
    </row>
    <row r="665" spans="1:10" s="4812" customFormat="1" ht="13.5" customHeight="1">
      <c r="A665" s="4807"/>
      <c r="B665" s="4808"/>
      <c r="C665" s="4808">
        <v>767</v>
      </c>
      <c r="D665" s="4808" t="s">
        <v>1072</v>
      </c>
      <c r="E665" s="4808"/>
      <c r="F665" s="4809"/>
      <c r="G665" s="229"/>
      <c r="H665" s="4810">
        <f>SUM(H666:H680)</f>
        <v>0</v>
      </c>
      <c r="I665" s="4811"/>
    </row>
    <row r="666" spans="1:10" s="1423" customFormat="1" ht="13.5" customHeight="1">
      <c r="A666" s="4813" t="s">
        <v>3196</v>
      </c>
      <c r="B666" s="3637" t="s">
        <v>1077</v>
      </c>
      <c r="C666" s="3638" t="s">
        <v>3197</v>
      </c>
      <c r="D666" s="3638" t="s">
        <v>3198</v>
      </c>
      <c r="E666" s="3638" t="s">
        <v>1315</v>
      </c>
      <c r="F666" s="4681">
        <f>SUM(F667:F667)</f>
        <v>1</v>
      </c>
      <c r="G666" s="4836"/>
      <c r="H666" s="3532">
        <f>F666*G666</f>
        <v>0</v>
      </c>
      <c r="I666" s="4127" t="s">
        <v>111</v>
      </c>
    </row>
    <row r="667" spans="1:10" s="1423" customFormat="1" ht="13.5" customHeight="1">
      <c r="A667" s="4096"/>
      <c r="B667" s="3638"/>
      <c r="C667" s="3638"/>
      <c r="D667" s="3298" t="s">
        <v>3199</v>
      </c>
      <c r="E667" s="3638"/>
      <c r="F667" s="3641">
        <v>1</v>
      </c>
      <c r="G667" s="4829"/>
      <c r="H667" s="4129"/>
      <c r="I667" s="4098"/>
      <c r="J667" s="4680"/>
    </row>
    <row r="668" spans="1:10" s="604" customFormat="1" ht="72" customHeight="1">
      <c r="A668" s="4802"/>
      <c r="B668" s="4803"/>
      <c r="C668" s="4804"/>
      <c r="D668" s="2314" t="s">
        <v>310</v>
      </c>
      <c r="E668" s="2582"/>
      <c r="F668" s="4551"/>
      <c r="G668" s="219"/>
      <c r="H668" s="4645"/>
      <c r="I668" s="4801"/>
    </row>
    <row r="669" spans="1:10" s="1423" customFormat="1" ht="13.5" customHeight="1">
      <c r="A669" s="4813" t="s">
        <v>3200</v>
      </c>
      <c r="B669" s="3637" t="s">
        <v>1077</v>
      </c>
      <c r="C669" s="3638" t="s">
        <v>3201</v>
      </c>
      <c r="D669" s="3638" t="s">
        <v>3202</v>
      </c>
      <c r="E669" s="3638" t="s">
        <v>141</v>
      </c>
      <c r="F669" s="4681">
        <f>SUM(F670:F670)</f>
        <v>2.8</v>
      </c>
      <c r="G669" s="4836"/>
      <c r="H669" s="3532">
        <f>F669*G669</f>
        <v>0</v>
      </c>
      <c r="I669" s="4127" t="s">
        <v>111</v>
      </c>
    </row>
    <row r="670" spans="1:10" s="1423" customFormat="1" ht="13.5" customHeight="1">
      <c r="A670" s="4096"/>
      <c r="B670" s="3638"/>
      <c r="C670" s="3638"/>
      <c r="D670" s="3298" t="s">
        <v>3203</v>
      </c>
      <c r="E670" s="3638"/>
      <c r="F670" s="3641">
        <v>2.8</v>
      </c>
      <c r="G670" s="4829"/>
      <c r="H670" s="4129"/>
      <c r="I670" s="4098"/>
      <c r="J670" s="4680"/>
    </row>
    <row r="671" spans="1:10" s="604" customFormat="1" ht="72" customHeight="1">
      <c r="A671" s="4802"/>
      <c r="B671" s="4803"/>
      <c r="C671" s="4804"/>
      <c r="D671" s="2314" t="s">
        <v>310</v>
      </c>
      <c r="E671" s="2582"/>
      <c r="F671" s="4551"/>
      <c r="G671" s="219"/>
      <c r="H671" s="4645"/>
      <c r="I671" s="4801"/>
    </row>
    <row r="672" spans="1:10" s="1423" customFormat="1" ht="13.5" customHeight="1">
      <c r="A672" s="4813" t="s">
        <v>3204</v>
      </c>
      <c r="B672" s="3637" t="s">
        <v>1077</v>
      </c>
      <c r="C672" s="3638" t="s">
        <v>3205</v>
      </c>
      <c r="D672" s="3638" t="s">
        <v>3206</v>
      </c>
      <c r="E672" s="3638" t="s">
        <v>1425</v>
      </c>
      <c r="F672" s="4681">
        <f>SUM(F673:F673)</f>
        <v>1</v>
      </c>
      <c r="G672" s="4836"/>
      <c r="H672" s="3532">
        <f>F672*G672</f>
        <v>0</v>
      </c>
      <c r="I672" s="4127" t="s">
        <v>111</v>
      </c>
    </row>
    <row r="673" spans="1:10" s="1423" customFormat="1" ht="13.5" customHeight="1">
      <c r="A673" s="4096"/>
      <c r="B673" s="3638"/>
      <c r="C673" s="3638"/>
      <c r="D673" s="3298" t="s">
        <v>3207</v>
      </c>
      <c r="E673" s="3638"/>
      <c r="F673" s="3641">
        <v>1</v>
      </c>
      <c r="G673" s="4829"/>
      <c r="H673" s="4129"/>
      <c r="I673" s="4098"/>
      <c r="J673" s="4680"/>
    </row>
    <row r="674" spans="1:10" s="604" customFormat="1" ht="72" customHeight="1">
      <c r="A674" s="4802"/>
      <c r="B674" s="4803"/>
      <c r="C674" s="4804"/>
      <c r="D674" s="2314" t="s">
        <v>310</v>
      </c>
      <c r="E674" s="2582"/>
      <c r="F674" s="4551"/>
      <c r="G674" s="219"/>
      <c r="H674" s="4645"/>
      <c r="I674" s="4801"/>
    </row>
    <row r="675" spans="1:10" s="1423" customFormat="1" ht="13.5" customHeight="1">
      <c r="A675" s="4813" t="s">
        <v>3208</v>
      </c>
      <c r="B675" s="3637" t="s">
        <v>1077</v>
      </c>
      <c r="C675" s="3638" t="s">
        <v>3209</v>
      </c>
      <c r="D675" s="3638" t="s">
        <v>3210</v>
      </c>
      <c r="E675" s="3638" t="s">
        <v>141</v>
      </c>
      <c r="F675" s="4681">
        <f>SUM(F676:F676)</f>
        <v>4.5999999999999996</v>
      </c>
      <c r="G675" s="4836"/>
      <c r="H675" s="3532">
        <f>F675*G675</f>
        <v>0</v>
      </c>
      <c r="I675" s="4127" t="s">
        <v>111</v>
      </c>
    </row>
    <row r="676" spans="1:10" s="1423" customFormat="1" ht="13.5" customHeight="1">
      <c r="A676" s="4096"/>
      <c r="B676" s="3638"/>
      <c r="C676" s="3638"/>
      <c r="D676" s="3298" t="s">
        <v>3211</v>
      </c>
      <c r="E676" s="3638"/>
      <c r="F676" s="3641">
        <v>4.5999999999999996</v>
      </c>
      <c r="G676" s="4829"/>
      <c r="H676" s="4129"/>
      <c r="I676" s="4098"/>
      <c r="J676" s="4680"/>
    </row>
    <row r="677" spans="1:10" s="604" customFormat="1" ht="72" customHeight="1">
      <c r="A677" s="4802"/>
      <c r="B677" s="4803"/>
      <c r="C677" s="4804"/>
      <c r="D677" s="2314" t="s">
        <v>310</v>
      </c>
      <c r="E677" s="2582"/>
      <c r="F677" s="4551"/>
      <c r="G677" s="219"/>
      <c r="H677" s="4645"/>
      <c r="I677" s="4801"/>
    </row>
    <row r="678" spans="1:10" s="4639" customFormat="1" ht="13.5" customHeight="1">
      <c r="A678" s="4684">
        <v>142</v>
      </c>
      <c r="B678" s="4685" t="s">
        <v>362</v>
      </c>
      <c r="C678" s="4686" t="s">
        <v>843</v>
      </c>
      <c r="D678" s="4686" t="s">
        <v>844</v>
      </c>
      <c r="E678" s="4686" t="s">
        <v>69</v>
      </c>
      <c r="F678" s="4767">
        <f>F679</f>
        <v>5</v>
      </c>
      <c r="G678" s="221"/>
      <c r="H678" s="4688">
        <f>F678*G678</f>
        <v>0</v>
      </c>
      <c r="I678" s="4689" t="s">
        <v>137</v>
      </c>
      <c r="J678" s="4815"/>
    </row>
    <row r="679" spans="1:10" s="4639" customFormat="1" ht="13.5" customHeight="1">
      <c r="A679" s="4684"/>
      <c r="B679" s="4752"/>
      <c r="C679" s="4752"/>
      <c r="D679" s="4682" t="s">
        <v>1400</v>
      </c>
      <c r="E679" s="4752"/>
      <c r="F679" s="4687">
        <v>5</v>
      </c>
      <c r="G679" s="225"/>
      <c r="H679" s="4688"/>
      <c r="I679" s="4754"/>
      <c r="J679" s="4683"/>
    </row>
    <row r="680" spans="1:10" s="4639" customFormat="1" ht="13.5" customHeight="1">
      <c r="A680" s="4684"/>
      <c r="B680" s="4752"/>
      <c r="C680" s="4752"/>
      <c r="D680" s="4682" t="s">
        <v>390</v>
      </c>
      <c r="E680" s="4752"/>
      <c r="F680" s="4687"/>
      <c r="G680" s="225"/>
      <c r="H680" s="4688"/>
      <c r="I680" s="4754"/>
      <c r="J680" s="4683"/>
    </row>
    <row r="681" spans="1:10" s="4812" customFormat="1" ht="13.5" customHeight="1">
      <c r="A681" s="4807"/>
      <c r="B681" s="4808"/>
      <c r="C681" s="4808">
        <v>776</v>
      </c>
      <c r="D681" s="4808" t="s">
        <v>680</v>
      </c>
      <c r="E681" s="4808"/>
      <c r="F681" s="4809"/>
      <c r="G681" s="229"/>
      <c r="H681" s="4810">
        <f>SUM(H682:H692)</f>
        <v>0</v>
      </c>
      <c r="I681" s="4811"/>
    </row>
    <row r="682" spans="1:10" s="1423" customFormat="1" ht="13.5" customHeight="1">
      <c r="A682" s="4813" t="s">
        <v>3212</v>
      </c>
      <c r="B682" s="3637" t="s">
        <v>3213</v>
      </c>
      <c r="C682" s="3638">
        <v>776201812</v>
      </c>
      <c r="D682" s="3638" t="s">
        <v>3214</v>
      </c>
      <c r="E682" s="3638" t="s">
        <v>163</v>
      </c>
      <c r="F682" s="4681">
        <f>SUM(F683:F684)</f>
        <v>973.35</v>
      </c>
      <c r="G682" s="4836"/>
      <c r="H682" s="3532">
        <f>F682*G682</f>
        <v>0</v>
      </c>
      <c r="I682" s="4127" t="s">
        <v>1801</v>
      </c>
    </row>
    <row r="683" spans="1:10" s="1423" customFormat="1" ht="13.5" customHeight="1">
      <c r="A683" s="4096"/>
      <c r="B683" s="3638"/>
      <c r="C683" s="3638"/>
      <c r="D683" s="3298" t="s">
        <v>3215</v>
      </c>
      <c r="E683" s="3638"/>
      <c r="F683" s="3641">
        <f>(0.78+4.25+12.8+12.85+3.13+192.71+9.24+4.34+65.26+9.22+23.03)</f>
        <v>337.61</v>
      </c>
      <c r="G683" s="4829"/>
      <c r="H683" s="4129"/>
      <c r="I683" s="4098"/>
      <c r="J683" s="4680"/>
    </row>
    <row r="684" spans="1:10" s="1423" customFormat="1" ht="27" customHeight="1">
      <c r="A684" s="4096"/>
      <c r="B684" s="3638"/>
      <c r="C684" s="3638"/>
      <c r="D684" s="3298" t="s">
        <v>3216</v>
      </c>
      <c r="E684" s="3638"/>
      <c r="F684" s="3641">
        <f>(5.91+88+64.47+77.13+22.94+31.05+66.77+4.33+12.71+9.93+58.68+66.77+56.95+70.1)</f>
        <v>635.74</v>
      </c>
      <c r="G684" s="4829"/>
      <c r="H684" s="4129"/>
      <c r="I684" s="4098"/>
      <c r="J684" s="4680"/>
    </row>
    <row r="685" spans="1:10" s="1423" customFormat="1" ht="13.5" customHeight="1">
      <c r="A685" s="4813" t="s">
        <v>3217</v>
      </c>
      <c r="B685" s="3637" t="s">
        <v>3213</v>
      </c>
      <c r="C685" s="3638">
        <v>776201814</v>
      </c>
      <c r="D685" s="3638" t="s">
        <v>3218</v>
      </c>
      <c r="E685" s="3638" t="s">
        <v>163</v>
      </c>
      <c r="F685" s="4681">
        <f>SUM(F686:F686)</f>
        <v>22.26</v>
      </c>
      <c r="G685" s="4836"/>
      <c r="H685" s="3532">
        <f>F685*G685</f>
        <v>0</v>
      </c>
      <c r="I685" s="4127" t="s">
        <v>1801</v>
      </c>
    </row>
    <row r="686" spans="1:10" s="1423" customFormat="1" ht="13.5" customHeight="1">
      <c r="A686" s="4096"/>
      <c r="B686" s="3638"/>
      <c r="C686" s="3638"/>
      <c r="D686" s="3298" t="s">
        <v>3219</v>
      </c>
      <c r="E686" s="3638"/>
      <c r="F686" s="3641">
        <v>22.26</v>
      </c>
      <c r="G686" s="4829"/>
      <c r="H686" s="4129"/>
      <c r="I686" s="4098"/>
      <c r="J686" s="4680"/>
    </row>
    <row r="687" spans="1:10" s="1423" customFormat="1" ht="13.5" customHeight="1">
      <c r="A687" s="4813" t="s">
        <v>3220</v>
      </c>
      <c r="B687" s="3637" t="s">
        <v>3213</v>
      </c>
      <c r="C687" s="3638" t="s">
        <v>3221</v>
      </c>
      <c r="D687" s="3638" t="s">
        <v>3222</v>
      </c>
      <c r="E687" s="3638" t="s">
        <v>163</v>
      </c>
      <c r="F687" s="4681">
        <f>SUM(F688:F689)</f>
        <v>62.632000000000005</v>
      </c>
      <c r="G687" s="4836"/>
      <c r="H687" s="3532">
        <f>F687*G687</f>
        <v>0</v>
      </c>
      <c r="I687" s="4127" t="s">
        <v>111</v>
      </c>
    </row>
    <row r="688" spans="1:10" s="1423" customFormat="1" ht="13.5" customHeight="1">
      <c r="A688" s="4096"/>
      <c r="B688" s="3638"/>
      <c r="C688" s="3638"/>
      <c r="D688" s="3298" t="s">
        <v>3223</v>
      </c>
      <c r="E688" s="3638"/>
      <c r="F688" s="3641">
        <v>57.456000000000003</v>
      </c>
      <c r="G688" s="4829"/>
      <c r="H688" s="4129"/>
      <c r="I688" s="4098"/>
      <c r="J688" s="4680"/>
    </row>
    <row r="689" spans="1:10" s="1423" customFormat="1" ht="13.5" customHeight="1">
      <c r="A689" s="4096"/>
      <c r="B689" s="3638"/>
      <c r="C689" s="3638"/>
      <c r="D689" s="3298" t="s">
        <v>3224</v>
      </c>
      <c r="E689" s="3638"/>
      <c r="F689" s="3641">
        <f>(5.176)</f>
        <v>5.1760000000000002</v>
      </c>
      <c r="G689" s="4829"/>
      <c r="H689" s="4129"/>
      <c r="I689" s="4098"/>
      <c r="J689" s="4680"/>
    </row>
    <row r="690" spans="1:10" s="4639" customFormat="1" ht="13.5" customHeight="1">
      <c r="A690" s="4684">
        <v>146</v>
      </c>
      <c r="B690" s="4686" t="s">
        <v>362</v>
      </c>
      <c r="C690" s="4686" t="s">
        <v>843</v>
      </c>
      <c r="D690" s="4686" t="s">
        <v>844</v>
      </c>
      <c r="E690" s="4686" t="s">
        <v>69</v>
      </c>
      <c r="F690" s="4767">
        <f>F691</f>
        <v>5</v>
      </c>
      <c r="G690" s="221"/>
      <c r="H690" s="4688">
        <f>F690*G690</f>
        <v>0</v>
      </c>
      <c r="I690" s="4689" t="s">
        <v>137</v>
      </c>
      <c r="J690" s="4683"/>
    </row>
    <row r="691" spans="1:10" s="4639" customFormat="1" ht="13.5" customHeight="1">
      <c r="A691" s="4684"/>
      <c r="B691" s="4752"/>
      <c r="C691" s="4752"/>
      <c r="D691" s="4682" t="s">
        <v>3225</v>
      </c>
      <c r="E691" s="4752"/>
      <c r="F691" s="4687">
        <v>5</v>
      </c>
      <c r="G691" s="225"/>
      <c r="H691" s="4688"/>
      <c r="I691" s="4754"/>
      <c r="J691" s="4683"/>
    </row>
    <row r="692" spans="1:10" s="4639" customFormat="1" ht="13.5" customHeight="1">
      <c r="A692" s="4684"/>
      <c r="B692" s="4752"/>
      <c r="C692" s="4752"/>
      <c r="D692" s="4682" t="s">
        <v>390</v>
      </c>
      <c r="E692" s="4752"/>
      <c r="F692" s="4687"/>
      <c r="G692" s="225"/>
      <c r="H692" s="4688"/>
      <c r="I692" s="4754"/>
      <c r="J692" s="4683"/>
    </row>
    <row r="693" spans="1:10" s="4812" customFormat="1" ht="13.5" customHeight="1">
      <c r="A693" s="4807"/>
      <c r="B693" s="4808"/>
      <c r="C693" s="4808">
        <v>781</v>
      </c>
      <c r="D693" s="4808" t="s">
        <v>784</v>
      </c>
      <c r="E693" s="4808"/>
      <c r="F693" s="4809"/>
      <c r="G693" s="229"/>
      <c r="H693" s="4810">
        <f>SUM(H694:H699)</f>
        <v>0</v>
      </c>
      <c r="I693" s="4811"/>
    </row>
    <row r="694" spans="1:10" s="1423" customFormat="1" ht="13.5" customHeight="1">
      <c r="A694" s="4813" t="s">
        <v>3226</v>
      </c>
      <c r="B694" s="3637" t="s">
        <v>783</v>
      </c>
      <c r="C694" s="3638">
        <v>781471810</v>
      </c>
      <c r="D694" s="3638" t="s">
        <v>3227</v>
      </c>
      <c r="E694" s="3638" t="s">
        <v>163</v>
      </c>
      <c r="F694" s="4681">
        <f>SUM(F695:F696)</f>
        <v>429.57600000000002</v>
      </c>
      <c r="G694" s="4836"/>
      <c r="H694" s="3532">
        <f>F694*G694</f>
        <v>0</v>
      </c>
      <c r="I694" s="4127" t="s">
        <v>1801</v>
      </c>
    </row>
    <row r="695" spans="1:10" s="1423" customFormat="1" ht="13.5" customHeight="1">
      <c r="A695" s="4096"/>
      <c r="B695" s="3638"/>
      <c r="C695" s="3638"/>
      <c r="D695" s="3298" t="s">
        <v>3228</v>
      </c>
      <c r="E695" s="3638"/>
      <c r="F695" s="3641">
        <v>280.78100000000001</v>
      </c>
      <c r="G695" s="4829"/>
      <c r="H695" s="4129"/>
      <c r="I695" s="4098"/>
      <c r="J695" s="4680"/>
    </row>
    <row r="696" spans="1:10" s="1423" customFormat="1" ht="13.5" customHeight="1">
      <c r="A696" s="4096"/>
      <c r="B696" s="3638"/>
      <c r="C696" s="3638"/>
      <c r="D696" s="3298" t="s">
        <v>3229</v>
      </c>
      <c r="E696" s="3638"/>
      <c r="F696" s="3641">
        <v>148.79499999999999</v>
      </c>
      <c r="G696" s="4829"/>
      <c r="H696" s="4129"/>
      <c r="I696" s="4098"/>
      <c r="J696" s="4680"/>
    </row>
    <row r="697" spans="1:10" s="4639" customFormat="1" ht="13.5" customHeight="1">
      <c r="A697" s="4684">
        <v>148</v>
      </c>
      <c r="B697" s="4686" t="s">
        <v>362</v>
      </c>
      <c r="C697" s="4686" t="s">
        <v>843</v>
      </c>
      <c r="D697" s="4686" t="s">
        <v>844</v>
      </c>
      <c r="E697" s="4686" t="s">
        <v>69</v>
      </c>
      <c r="F697" s="4767">
        <f>F698</f>
        <v>25</v>
      </c>
      <c r="G697" s="221"/>
      <c r="H697" s="4688">
        <f>F697*G697</f>
        <v>0</v>
      </c>
      <c r="I697" s="4689" t="s">
        <v>137</v>
      </c>
      <c r="J697" s="4683"/>
    </row>
    <row r="698" spans="1:10" s="4639" customFormat="1" ht="13.5" customHeight="1">
      <c r="A698" s="4684"/>
      <c r="B698" s="4752"/>
      <c r="C698" s="4752"/>
      <c r="D698" s="4682" t="s">
        <v>3230</v>
      </c>
      <c r="E698" s="4752"/>
      <c r="F698" s="4687">
        <v>25</v>
      </c>
      <c r="G698" s="225"/>
      <c r="H698" s="4688"/>
      <c r="I698" s="4754"/>
      <c r="J698" s="4683"/>
    </row>
    <row r="699" spans="1:10" s="4639" customFormat="1" ht="13.5" customHeight="1">
      <c r="A699" s="4684"/>
      <c r="B699" s="4752"/>
      <c r="C699" s="4752"/>
      <c r="D699" s="4682" t="s">
        <v>390</v>
      </c>
      <c r="E699" s="4752"/>
      <c r="F699" s="4687"/>
      <c r="G699" s="225"/>
      <c r="H699" s="4688"/>
      <c r="I699" s="4754"/>
      <c r="J699" s="4683"/>
    </row>
    <row r="700" spans="1:10" s="4812" customFormat="1" ht="13.5" customHeight="1">
      <c r="A700" s="4807"/>
      <c r="B700" s="4808"/>
      <c r="C700" s="4808">
        <v>783</v>
      </c>
      <c r="D700" s="4808" t="s">
        <v>798</v>
      </c>
      <c r="E700" s="4808"/>
      <c r="F700" s="4809"/>
      <c r="G700" s="229"/>
      <c r="H700" s="4810">
        <f>SUM(H701:H706)</f>
        <v>0</v>
      </c>
      <c r="I700" s="4811"/>
    </row>
    <row r="701" spans="1:10" s="1423" customFormat="1" ht="13.5" customHeight="1">
      <c r="A701" s="4813" t="s">
        <v>3231</v>
      </c>
      <c r="B701" s="3637" t="s">
        <v>3232</v>
      </c>
      <c r="C701" s="3638">
        <v>783806811</v>
      </c>
      <c r="D701" s="3638" t="s">
        <v>3233</v>
      </c>
      <c r="E701" s="3638" t="s">
        <v>163</v>
      </c>
      <c r="F701" s="4681">
        <f>SUM(F702:F703)</f>
        <v>187.78700000000001</v>
      </c>
      <c r="G701" s="4836"/>
      <c r="H701" s="3532">
        <f>F701*G701</f>
        <v>0</v>
      </c>
      <c r="I701" s="4127" t="s">
        <v>1801</v>
      </c>
    </row>
    <row r="702" spans="1:10" s="1423" customFormat="1" ht="13.5" customHeight="1">
      <c r="A702" s="4096"/>
      <c r="B702" s="3638"/>
      <c r="C702" s="3638"/>
      <c r="D702" s="3298" t="s">
        <v>3234</v>
      </c>
      <c r="E702" s="3638"/>
      <c r="F702" s="3641">
        <v>170.34800000000001</v>
      </c>
      <c r="G702" s="4829"/>
      <c r="H702" s="4129"/>
      <c r="I702" s="4098"/>
      <c r="J702" s="4680"/>
    </row>
    <row r="703" spans="1:10" s="1423" customFormat="1" ht="13.5" customHeight="1">
      <c r="A703" s="4096"/>
      <c r="B703" s="3638"/>
      <c r="C703" s="3638"/>
      <c r="D703" s="3298" t="s">
        <v>3235</v>
      </c>
      <c r="E703" s="3638"/>
      <c r="F703" s="3641">
        <v>17.439</v>
      </c>
      <c r="G703" s="4829"/>
      <c r="H703" s="4129"/>
      <c r="I703" s="4098"/>
      <c r="J703" s="4680"/>
    </row>
    <row r="704" spans="1:10" s="4639" customFormat="1" ht="13.5" customHeight="1">
      <c r="A704" s="4684">
        <v>150</v>
      </c>
      <c r="B704" s="4686" t="s">
        <v>362</v>
      </c>
      <c r="C704" s="4686" t="s">
        <v>843</v>
      </c>
      <c r="D704" s="4686" t="s">
        <v>844</v>
      </c>
      <c r="E704" s="4686" t="s">
        <v>69</v>
      </c>
      <c r="F704" s="4767">
        <f>F705</f>
        <v>3</v>
      </c>
      <c r="G704" s="221"/>
      <c r="H704" s="4688">
        <f>F704*G704</f>
        <v>0</v>
      </c>
      <c r="I704" s="4689" t="s">
        <v>137</v>
      </c>
      <c r="J704" s="4683"/>
    </row>
    <row r="705" spans="1:10" s="4639" customFormat="1" ht="13.5" customHeight="1">
      <c r="A705" s="4684"/>
      <c r="B705" s="4752"/>
      <c r="C705" s="4752"/>
      <c r="D705" s="4682" t="s">
        <v>3236</v>
      </c>
      <c r="E705" s="4752"/>
      <c r="F705" s="4687">
        <v>3</v>
      </c>
      <c r="G705" s="225"/>
      <c r="H705" s="4688"/>
      <c r="I705" s="4754"/>
      <c r="J705" s="4683"/>
    </row>
    <row r="706" spans="1:10" s="4639" customFormat="1" ht="13.5" customHeight="1">
      <c r="A706" s="4684"/>
      <c r="B706" s="4752"/>
      <c r="C706" s="4752"/>
      <c r="D706" s="4682" t="s">
        <v>390</v>
      </c>
      <c r="E706" s="4752"/>
      <c r="F706" s="4687"/>
      <c r="G706" s="225"/>
      <c r="H706" s="4688"/>
      <c r="I706" s="4754"/>
      <c r="J706" s="4683"/>
    </row>
    <row r="707" spans="1:10" s="4812" customFormat="1" ht="13.5" customHeight="1">
      <c r="A707" s="4807"/>
      <c r="B707" s="4808"/>
      <c r="C707" s="4808">
        <v>784</v>
      </c>
      <c r="D707" s="4808" t="s">
        <v>807</v>
      </c>
      <c r="E707" s="4808"/>
      <c r="F707" s="4809"/>
      <c r="G707" s="229"/>
      <c r="H707" s="4810">
        <f>SUM(H708:H714)</f>
        <v>0</v>
      </c>
      <c r="I707" s="4811"/>
    </row>
    <row r="708" spans="1:10" s="1423" customFormat="1" ht="13.5" customHeight="1">
      <c r="A708" s="4813" t="s">
        <v>3237</v>
      </c>
      <c r="B708" s="3637" t="s">
        <v>822</v>
      </c>
      <c r="C708" s="3638">
        <v>784121001</v>
      </c>
      <c r="D708" s="3638" t="s">
        <v>3238</v>
      </c>
      <c r="E708" s="3638" t="s">
        <v>163</v>
      </c>
      <c r="F708" s="4681">
        <f>SUM(F709:F711)</f>
        <v>1183.7440000000001</v>
      </c>
      <c r="G708" s="4836"/>
      <c r="H708" s="3532">
        <f>F708*G708</f>
        <v>0</v>
      </c>
      <c r="I708" s="4127" t="s">
        <v>1801</v>
      </c>
    </row>
    <row r="709" spans="1:10" s="1423" customFormat="1" ht="13.5" customHeight="1">
      <c r="A709" s="4096"/>
      <c r="B709" s="3638"/>
      <c r="C709" s="3638"/>
      <c r="D709" s="3298" t="s">
        <v>3239</v>
      </c>
      <c r="E709" s="3638"/>
      <c r="F709" s="3641">
        <v>5.6639999999999997</v>
      </c>
      <c r="G709" s="4829"/>
      <c r="H709" s="4129"/>
      <c r="I709" s="4098"/>
      <c r="J709" s="4680"/>
    </row>
    <row r="710" spans="1:10" s="1423" customFormat="1" ht="13.5" customHeight="1">
      <c r="A710" s="4096"/>
      <c r="B710" s="3638"/>
      <c r="C710" s="3638"/>
      <c r="D710" s="3298" t="s">
        <v>3240</v>
      </c>
      <c r="E710" s="3638"/>
      <c r="F710" s="3641">
        <v>1024.6410000000001</v>
      </c>
      <c r="G710" s="4829"/>
      <c r="H710" s="4129"/>
      <c r="I710" s="4098"/>
      <c r="J710" s="4680"/>
    </row>
    <row r="711" spans="1:10" s="1423" customFormat="1" ht="13.5" customHeight="1">
      <c r="A711" s="4096"/>
      <c r="B711" s="3638"/>
      <c r="C711" s="3638"/>
      <c r="D711" s="3298" t="s">
        <v>3241</v>
      </c>
      <c r="E711" s="3638"/>
      <c r="F711" s="3641">
        <v>153.43899999999999</v>
      </c>
      <c r="G711" s="4829"/>
      <c r="H711" s="4129"/>
      <c r="I711" s="4098"/>
      <c r="J711" s="4680"/>
    </row>
    <row r="712" spans="1:10" s="4639" customFormat="1" ht="13.5" customHeight="1">
      <c r="A712" s="4684">
        <v>152</v>
      </c>
      <c r="B712" s="4686" t="s">
        <v>362</v>
      </c>
      <c r="C712" s="4686" t="s">
        <v>843</v>
      </c>
      <c r="D712" s="4686" t="s">
        <v>844</v>
      </c>
      <c r="E712" s="4686" t="s">
        <v>69</v>
      </c>
      <c r="F712" s="4767">
        <f>F713</f>
        <v>3</v>
      </c>
      <c r="G712" s="221"/>
      <c r="H712" s="4688">
        <f>F712*G712</f>
        <v>0</v>
      </c>
      <c r="I712" s="4689" t="s">
        <v>137</v>
      </c>
      <c r="J712" s="4683"/>
    </row>
    <row r="713" spans="1:10" s="4639" customFormat="1" ht="13.5" customHeight="1">
      <c r="A713" s="4684"/>
      <c r="B713" s="4752"/>
      <c r="C713" s="4752"/>
      <c r="D713" s="4682" t="s">
        <v>3242</v>
      </c>
      <c r="E713" s="4752"/>
      <c r="F713" s="4687">
        <v>3</v>
      </c>
      <c r="G713" s="225"/>
      <c r="H713" s="4688"/>
      <c r="I713" s="4754"/>
      <c r="J713" s="4683"/>
    </row>
    <row r="714" spans="1:10" s="4639" customFormat="1" ht="13.5" customHeight="1">
      <c r="A714" s="4684"/>
      <c r="B714" s="4752"/>
      <c r="C714" s="4752"/>
      <c r="D714" s="4682" t="s">
        <v>390</v>
      </c>
      <c r="E714" s="4752"/>
      <c r="F714" s="4687"/>
      <c r="G714" s="225"/>
      <c r="H714" s="4688"/>
      <c r="I714" s="4754"/>
      <c r="J714" s="4683"/>
    </row>
    <row r="715" spans="1:10" s="883" customFormat="1" ht="13.5" customHeight="1">
      <c r="A715" s="4817"/>
      <c r="B715" s="2571"/>
      <c r="C715" s="2571">
        <v>787</v>
      </c>
      <c r="D715" s="2571" t="s">
        <v>3243</v>
      </c>
      <c r="E715" s="2571"/>
      <c r="F715" s="2572"/>
      <c r="G715" s="231"/>
      <c r="H715" s="4818">
        <f>SUM(H716:H723)</f>
        <v>0</v>
      </c>
      <c r="I715" s="4649"/>
      <c r="J715" s="4650"/>
    </row>
    <row r="716" spans="1:10" s="883" customFormat="1" ht="13.5" customHeight="1">
      <c r="A716" s="4126">
        <v>153</v>
      </c>
      <c r="B716" s="3869" t="s">
        <v>3244</v>
      </c>
      <c r="C716" s="2592">
        <v>787600802</v>
      </c>
      <c r="D716" s="2592" t="s">
        <v>3245</v>
      </c>
      <c r="E716" s="2592" t="s">
        <v>163</v>
      </c>
      <c r="F716" s="4819">
        <f>SUM(F719:F721)</f>
        <v>258.75</v>
      </c>
      <c r="G716" s="18"/>
      <c r="H716" s="4125">
        <f>F716*G716</f>
        <v>0</v>
      </c>
      <c r="I716" s="4127" t="s">
        <v>1801</v>
      </c>
      <c r="J716" s="4820"/>
    </row>
    <row r="717" spans="1:10" s="883" customFormat="1" ht="13.5" customHeight="1">
      <c r="A717" s="4126"/>
      <c r="B717" s="3869"/>
      <c r="C717" s="2592"/>
      <c r="D717" s="2421" t="s">
        <v>3246</v>
      </c>
      <c r="E717" s="2592"/>
      <c r="F717" s="4819"/>
      <c r="G717" s="18"/>
      <c r="H717" s="4125"/>
      <c r="I717" s="4559"/>
    </row>
    <row r="718" spans="1:10" s="883" customFormat="1" ht="13.5" customHeight="1">
      <c r="A718" s="4126"/>
      <c r="B718" s="3869"/>
      <c r="C718" s="2592"/>
      <c r="D718" s="2421" t="s">
        <v>3247</v>
      </c>
      <c r="E718" s="2592"/>
      <c r="F718" s="4819"/>
      <c r="G718" s="18"/>
      <c r="H718" s="4125"/>
      <c r="I718" s="4559"/>
    </row>
    <row r="719" spans="1:10" s="888" customFormat="1" ht="13.5" customHeight="1">
      <c r="A719" s="4628"/>
      <c r="B719" s="2435"/>
      <c r="C719" s="2435"/>
      <c r="D719" s="2421" t="s">
        <v>3248</v>
      </c>
      <c r="E719" s="2435"/>
      <c r="F719" s="3641">
        <f>(0.9*0.6*4)</f>
        <v>2.16</v>
      </c>
      <c r="G719" s="4827"/>
      <c r="H719" s="4035"/>
      <c r="I719" s="2436"/>
    </row>
    <row r="720" spans="1:10" s="888" customFormat="1" ht="27" customHeight="1">
      <c r="A720" s="4628"/>
      <c r="B720" s="2435"/>
      <c r="C720" s="2435"/>
      <c r="D720" s="2421" t="s">
        <v>3249</v>
      </c>
      <c r="E720" s="2435"/>
      <c r="F720" s="3641">
        <f>(2.4*1.8*12)+(0.9*1.8*3)+(1.2*1.8*3)+(2.4*2.1*9)+(0.9*2.1*4)+(1.2*2.1*4)</f>
        <v>126.18</v>
      </c>
      <c r="G720" s="4827"/>
      <c r="H720" s="4035"/>
      <c r="I720" s="2436"/>
    </row>
    <row r="721" spans="1:10" s="888" customFormat="1" ht="13.5" customHeight="1">
      <c r="A721" s="4628"/>
      <c r="B721" s="2435"/>
      <c r="C721" s="2435"/>
      <c r="D721" s="2421" t="s">
        <v>3250</v>
      </c>
      <c r="E721" s="2435"/>
      <c r="F721" s="3641">
        <f>(2.4*2.1*12)+(0.9*2.1*5)+(1.2*2.1*4)+(2.4*2.1*10)</f>
        <v>130.41</v>
      </c>
      <c r="G721" s="4827"/>
      <c r="H721" s="4035"/>
      <c r="I721" s="2436"/>
    </row>
    <row r="722" spans="1:10" s="883" customFormat="1" ht="13.5" customHeight="1">
      <c r="A722" s="4126">
        <v>154</v>
      </c>
      <c r="B722" s="2592" t="s">
        <v>362</v>
      </c>
      <c r="C722" s="2592" t="s">
        <v>843</v>
      </c>
      <c r="D722" s="2592" t="s">
        <v>844</v>
      </c>
      <c r="E722" s="2592" t="s">
        <v>69</v>
      </c>
      <c r="F722" s="4819">
        <f>F723</f>
        <v>5</v>
      </c>
      <c r="G722" s="18"/>
      <c r="H722" s="4125">
        <f>F722*G722</f>
        <v>0</v>
      </c>
      <c r="I722" s="4127" t="s">
        <v>1801</v>
      </c>
      <c r="J722" s="4650"/>
    </row>
    <row r="723" spans="1:10" s="883" customFormat="1" ht="13.5" customHeight="1">
      <c r="A723" s="4126"/>
      <c r="B723" s="4647"/>
      <c r="C723" s="4647"/>
      <c r="D723" s="2599" t="s">
        <v>3251</v>
      </c>
      <c r="E723" s="4647"/>
      <c r="F723" s="2600">
        <v>5</v>
      </c>
      <c r="G723" s="220"/>
      <c r="H723" s="4125"/>
      <c r="I723" s="4649"/>
      <c r="J723" s="4650"/>
    </row>
    <row r="724" spans="1:10" s="883" customFormat="1" ht="13.5" customHeight="1">
      <c r="A724" s="4126"/>
      <c r="B724" s="4647"/>
      <c r="C724" s="4647"/>
      <c r="D724" s="2599" t="s">
        <v>390</v>
      </c>
      <c r="E724" s="4647"/>
      <c r="F724" s="2600"/>
      <c r="G724" s="220"/>
      <c r="H724" s="4125"/>
      <c r="I724" s="4649"/>
      <c r="J724" s="4650"/>
    </row>
    <row r="725" spans="1:10" s="888" customFormat="1" ht="21" customHeight="1">
      <c r="A725" s="3187"/>
      <c r="B725" s="3188"/>
      <c r="C725" s="3188"/>
      <c r="D725" s="3188" t="s">
        <v>0</v>
      </c>
      <c r="E725" s="3188"/>
      <c r="F725" s="3189"/>
      <c r="G725" s="3682"/>
      <c r="H725" s="3682">
        <f>SUM(H436,H8)</f>
        <v>0</v>
      </c>
    </row>
    <row r="726" spans="1:10" s="888" customFormat="1" ht="12" customHeight="1">
      <c r="A726" s="3597"/>
      <c r="B726" s="3598"/>
      <c r="C726" s="3598"/>
      <c r="D726" s="3598"/>
      <c r="E726" s="3598"/>
      <c r="F726" s="3731"/>
      <c r="G726" s="3684"/>
      <c r="H726" s="3684"/>
    </row>
    <row r="727" spans="1:10" s="888" customFormat="1" ht="13.5" customHeight="1">
      <c r="A727" s="5169" t="s">
        <v>862</v>
      </c>
      <c r="B727" s="5170"/>
      <c r="C727" s="5171"/>
      <c r="D727" s="3196" t="s">
        <v>3252</v>
      </c>
      <c r="E727" s="3197"/>
      <c r="F727" s="3198"/>
      <c r="G727" s="3685"/>
      <c r="H727" s="3686">
        <f>H725</f>
        <v>0</v>
      </c>
    </row>
    <row r="728" spans="1:10" s="888" customFormat="1" ht="13.5" customHeight="1">
      <c r="A728" s="3202"/>
      <c r="B728" s="3203"/>
      <c r="C728" s="3203"/>
      <c r="D728" s="3094"/>
      <c r="E728" s="3204"/>
      <c r="F728" s="3205"/>
      <c r="G728" s="3206"/>
      <c r="H728" s="3151"/>
    </row>
    <row r="729" spans="1:10" s="689" customFormat="1" ht="11.25">
      <c r="A729" s="689" t="s">
        <v>1</v>
      </c>
    </row>
    <row r="730" spans="1:10" s="888" customFormat="1" ht="23.45" customHeight="1">
      <c r="A730" s="5159" t="s">
        <v>864</v>
      </c>
      <c r="B730" s="5172"/>
      <c r="C730" s="5172"/>
      <c r="D730" s="5172"/>
      <c r="E730" s="5172"/>
      <c r="F730" s="5172"/>
      <c r="G730" s="5172"/>
      <c r="H730" s="689"/>
    </row>
    <row r="731" spans="1:10" s="689" customFormat="1" ht="93.75" customHeight="1">
      <c r="A731" s="5159" t="s">
        <v>104</v>
      </c>
      <c r="B731" s="5173"/>
      <c r="C731" s="5173"/>
      <c r="D731" s="5173"/>
      <c r="E731" s="5173"/>
      <c r="F731" s="5173"/>
      <c r="G731" s="5173"/>
    </row>
    <row r="732" spans="1:10" s="1204" customFormat="1" ht="13.5" customHeight="1">
      <c r="A732" s="5159" t="s">
        <v>105</v>
      </c>
      <c r="B732" s="5174"/>
      <c r="C732" s="5174"/>
      <c r="D732" s="5174"/>
      <c r="E732" s="5174"/>
      <c r="F732" s="5174"/>
      <c r="G732" s="5174"/>
      <c r="H732" s="691"/>
      <c r="I732" s="691"/>
    </row>
    <row r="733" spans="1:10" s="1204" customFormat="1" ht="13.5" customHeight="1">
      <c r="A733" s="5159" t="s">
        <v>106</v>
      </c>
      <c r="B733" s="5174"/>
      <c r="C733" s="5174"/>
      <c r="D733" s="5174"/>
      <c r="E733" s="5174"/>
      <c r="F733" s="5174"/>
      <c r="G733" s="5174"/>
      <c r="H733" s="691"/>
      <c r="I733" s="691"/>
    </row>
    <row r="734" spans="1:10" s="3208" customFormat="1" ht="40.5" customHeight="1">
      <c r="A734" s="5156" t="s">
        <v>865</v>
      </c>
      <c r="B734" s="5156"/>
      <c r="C734" s="5156"/>
      <c r="D734" s="5156"/>
      <c r="E734" s="5156"/>
      <c r="F734" s="5156"/>
      <c r="G734" s="5156"/>
      <c r="I734" s="3120"/>
    </row>
    <row r="735" spans="1:10" s="695" customFormat="1" ht="108" customHeight="1">
      <c r="A735" s="5156" t="s">
        <v>1013</v>
      </c>
      <c r="B735" s="5156"/>
      <c r="C735" s="5156"/>
      <c r="D735" s="5156"/>
      <c r="E735" s="5156"/>
      <c r="F735" s="5156"/>
      <c r="G735" s="5156"/>
      <c r="H735" s="693"/>
      <c r="I735" s="694"/>
    </row>
  </sheetData>
  <sheetProtection algorithmName="SHA-512" hashValue="w8gJPvaVTnR1L63Q7PIl6+BnMfybjjEbAkBLpda1lFU6hPqqLX/oyS4DKQ3/TkvW1aemKMlIzRH6mdpPt14esg==" saltValue="usLyyx7Y4Y3yhfQLspW4ng==" spinCount="100000" sheet="1" objects="1" scenarios="1"/>
  <mergeCells count="41">
    <mergeCell ref="G428:H428"/>
    <mergeCell ref="G410:H410"/>
    <mergeCell ref="G411:H411"/>
    <mergeCell ref="G419:H419"/>
    <mergeCell ref="G420:H420"/>
    <mergeCell ref="A735:G735"/>
    <mergeCell ref="A727:C727"/>
    <mergeCell ref="A730:G730"/>
    <mergeCell ref="A731:G731"/>
    <mergeCell ref="A732:G732"/>
    <mergeCell ref="A733:G733"/>
    <mergeCell ref="A734:G734"/>
    <mergeCell ref="G394:H394"/>
    <mergeCell ref="G402:H402"/>
    <mergeCell ref="G403:H403"/>
    <mergeCell ref="G427:H427"/>
    <mergeCell ref="G15:H15"/>
    <mergeCell ref="G347:H347"/>
    <mergeCell ref="G247:H247"/>
    <mergeCell ref="G125:H125"/>
    <mergeCell ref="G142:H142"/>
    <mergeCell ref="G134:H134"/>
    <mergeCell ref="G155:H155"/>
    <mergeCell ref="G47:H47"/>
    <mergeCell ref="G48:H48"/>
    <mergeCell ref="G371:H371"/>
    <mergeCell ref="G393:H393"/>
    <mergeCell ref="L118:N118"/>
    <mergeCell ref="G10:H10"/>
    <mergeCell ref="G11:H11"/>
    <mergeCell ref="G12:H12"/>
    <mergeCell ref="G13:H13"/>
    <mergeCell ref="G14:H14"/>
    <mergeCell ref="L89:O89"/>
    <mergeCell ref="L95:O95"/>
    <mergeCell ref="L101:O101"/>
    <mergeCell ref="L59:O59"/>
    <mergeCell ref="L65:O65"/>
    <mergeCell ref="L71:O71"/>
    <mergeCell ref="L77:O77"/>
    <mergeCell ref="L83:O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A89A-CC43-4E3D-A303-D3B6F377635F}">
  <sheetPr>
    <pageSetUpPr fitToPage="1"/>
  </sheetPr>
  <dimension ref="A1:I33"/>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866</v>
      </c>
      <c r="B1" s="28"/>
      <c r="C1" s="28"/>
    </row>
    <row r="2" spans="1:9" s="889" customFormat="1" ht="13.5" customHeight="1">
      <c r="A2" s="5175" t="s">
        <v>115</v>
      </c>
      <c r="B2" s="5175"/>
      <c r="C2" s="5175"/>
      <c r="D2" s="29"/>
      <c r="E2" s="29"/>
      <c r="F2" s="29"/>
      <c r="G2" s="29"/>
      <c r="H2" s="29"/>
      <c r="I2" s="29"/>
    </row>
    <row r="3" spans="1:9" s="889" customFormat="1" ht="13.5" customHeight="1">
      <c r="A3" s="885" t="s">
        <v>867</v>
      </c>
      <c r="B3" s="886"/>
      <c r="C3" s="886"/>
      <c r="D3" s="886"/>
      <c r="E3" s="886"/>
      <c r="F3" s="887"/>
      <c r="G3" s="887"/>
      <c r="H3" s="888"/>
      <c r="I3" s="888"/>
    </row>
    <row r="4" spans="1:9" ht="13.5" customHeight="1">
      <c r="A4" s="28"/>
      <c r="B4" s="28"/>
      <c r="C4" s="28"/>
    </row>
    <row r="5" spans="1:9" ht="23.25" customHeight="1">
      <c r="A5" s="30" t="s">
        <v>868</v>
      </c>
      <c r="B5" s="31" t="s">
        <v>121</v>
      </c>
      <c r="C5" s="32" t="s">
        <v>869</v>
      </c>
    </row>
    <row r="6" spans="1:9" ht="12.6" customHeight="1">
      <c r="A6" s="33">
        <v>1</v>
      </c>
      <c r="B6" s="34">
        <v>2</v>
      </c>
      <c r="C6" s="35">
        <v>3</v>
      </c>
    </row>
    <row r="7" spans="1:9" ht="21" customHeight="1">
      <c r="A7" s="36"/>
      <c r="B7" s="37"/>
      <c r="C7" s="37"/>
    </row>
    <row r="8" spans="1:9" ht="13.5" customHeight="1">
      <c r="A8" s="38" t="s">
        <v>132</v>
      </c>
      <c r="B8" s="39" t="s">
        <v>133</v>
      </c>
      <c r="C8" s="40">
        <f>SUM(C9:C15)</f>
        <v>0</v>
      </c>
    </row>
    <row r="9" spans="1:9" ht="13.5" customHeight="1">
      <c r="A9" s="41">
        <v>1</v>
      </c>
      <c r="B9" s="42" t="s">
        <v>134</v>
      </c>
      <c r="C9" s="43">
        <f>'D.1.1. ASŘ - NOVÝ STAV'!H9</f>
        <v>0</v>
      </c>
    </row>
    <row r="10" spans="1:9" ht="13.5" customHeight="1">
      <c r="A10" s="41">
        <v>2</v>
      </c>
      <c r="B10" s="42" t="s">
        <v>195</v>
      </c>
      <c r="C10" s="44">
        <f>'D.1.1. ASŘ - NOVÝ STAV'!H74</f>
        <v>0</v>
      </c>
    </row>
    <row r="11" spans="1:9" ht="13.5" customHeight="1">
      <c r="A11" s="41">
        <v>3</v>
      </c>
      <c r="B11" s="42" t="s">
        <v>249</v>
      </c>
      <c r="C11" s="43">
        <f>'D.1.1. ASŘ - NOVÝ STAV'!H120</f>
        <v>0</v>
      </c>
    </row>
    <row r="12" spans="1:9" ht="13.5" customHeight="1">
      <c r="A12" s="41">
        <v>4</v>
      </c>
      <c r="B12" s="42" t="s">
        <v>279</v>
      </c>
      <c r="C12" s="44">
        <f>'D.1.1. ASŘ - NOVÝ STAV'!H158</f>
        <v>0</v>
      </c>
    </row>
    <row r="13" spans="1:9" ht="13.5" customHeight="1">
      <c r="A13" s="41">
        <v>6</v>
      </c>
      <c r="B13" s="42" t="s">
        <v>294</v>
      </c>
      <c r="C13" s="43">
        <f>'D.1.1. ASŘ - NOVÝ STAV'!H173</f>
        <v>0</v>
      </c>
    </row>
    <row r="14" spans="1:9" ht="13.5" customHeight="1">
      <c r="A14" s="41">
        <v>9</v>
      </c>
      <c r="B14" s="42" t="s">
        <v>312</v>
      </c>
      <c r="C14" s="43">
        <f>'D.1.1. ASŘ - NOVÝ STAV'!H198</f>
        <v>0</v>
      </c>
    </row>
    <row r="15" spans="1:9" ht="13.5" customHeight="1">
      <c r="A15" s="45">
        <v>99</v>
      </c>
      <c r="B15" s="46" t="s">
        <v>357</v>
      </c>
      <c r="C15" s="47">
        <f>'D.1.1. ASŘ - NOVÝ STAV'!H257</f>
        <v>0</v>
      </c>
    </row>
    <row r="16" spans="1:9" ht="13.5" customHeight="1">
      <c r="A16" s="38" t="s">
        <v>366</v>
      </c>
      <c r="B16" s="39" t="s">
        <v>367</v>
      </c>
      <c r="C16" s="40">
        <f>SUM(C17:C29)</f>
        <v>0</v>
      </c>
    </row>
    <row r="17" spans="1:3" ht="13.5" customHeight="1">
      <c r="A17" s="41">
        <v>711</v>
      </c>
      <c r="B17" s="42" t="s">
        <v>369</v>
      </c>
      <c r="C17" s="43">
        <f>'D.1.1. ASŘ - NOVÝ STAV'!H265</f>
        <v>0</v>
      </c>
    </row>
    <row r="18" spans="1:3" ht="13.5" customHeight="1">
      <c r="A18" s="41">
        <v>712</v>
      </c>
      <c r="B18" s="42" t="s">
        <v>391</v>
      </c>
      <c r="C18" s="43">
        <f>'D.1.1. ASŘ - NOVÝ STAV'!H284</f>
        <v>0</v>
      </c>
    </row>
    <row r="19" spans="1:3" ht="13.5" customHeight="1">
      <c r="A19" s="41">
        <v>713</v>
      </c>
      <c r="B19" s="42" t="s">
        <v>461</v>
      </c>
      <c r="C19" s="44">
        <f>'D.1.1. ASŘ - NOVÝ STAV'!H371</f>
        <v>0</v>
      </c>
    </row>
    <row r="20" spans="1:3" ht="13.5" customHeight="1">
      <c r="A20" s="41">
        <v>714</v>
      </c>
      <c r="B20" s="42" t="s">
        <v>527</v>
      </c>
      <c r="C20" s="44">
        <f>'D.1.1. ASŘ - NOVÝ STAV'!H454</f>
        <v>0</v>
      </c>
    </row>
    <row r="21" spans="1:3" ht="13.5" customHeight="1">
      <c r="A21" s="41">
        <v>763</v>
      </c>
      <c r="B21" s="42" t="s">
        <v>537</v>
      </c>
      <c r="C21" s="43">
        <f>'D.1.1. ASŘ - NOVÝ STAV'!H462</f>
        <v>0</v>
      </c>
    </row>
    <row r="22" spans="1:3" ht="13.5" customHeight="1">
      <c r="A22" s="260">
        <v>766</v>
      </c>
      <c r="B22" s="261" t="s">
        <v>1015</v>
      </c>
      <c r="C22" s="262">
        <f>'D.1.1. ASŘ - NOVÝ STAV'!H612</f>
        <v>0</v>
      </c>
    </row>
    <row r="23" spans="1:3" ht="13.5" customHeight="1">
      <c r="A23" s="41">
        <v>771</v>
      </c>
      <c r="B23" s="42" t="s">
        <v>632</v>
      </c>
      <c r="C23" s="43">
        <f>'D.1.1. ASŘ - NOVÝ STAV'!H623</f>
        <v>0</v>
      </c>
    </row>
    <row r="24" spans="1:3" ht="13.5" customHeight="1">
      <c r="A24" s="41">
        <v>771</v>
      </c>
      <c r="B24" s="42" t="s">
        <v>870</v>
      </c>
      <c r="C24" s="43">
        <f>'D.1.1. ASŘ - NOVÝ STAV'!H685</f>
        <v>0</v>
      </c>
    </row>
    <row r="25" spans="1:3" ht="13.5" customHeight="1">
      <c r="A25" s="41">
        <v>777</v>
      </c>
      <c r="B25" s="42" t="s">
        <v>745</v>
      </c>
      <c r="C25" s="43">
        <f>'D.1.1. ASŘ - NOVÝ STAV'!H767</f>
        <v>0</v>
      </c>
    </row>
    <row r="26" spans="1:3" ht="13.5" customHeight="1">
      <c r="A26" s="41">
        <v>781</v>
      </c>
      <c r="B26" s="42" t="s">
        <v>784</v>
      </c>
      <c r="C26" s="43">
        <f>'D.1.1. ASŘ - NOVÝ STAV'!H819</f>
        <v>0</v>
      </c>
    </row>
    <row r="27" spans="1:3" ht="13.5" customHeight="1">
      <c r="A27" s="41">
        <v>783</v>
      </c>
      <c r="B27" s="42" t="s">
        <v>798</v>
      </c>
      <c r="C27" s="43">
        <f>'D.1.1. ASŘ - NOVÝ STAV'!H833</f>
        <v>0</v>
      </c>
    </row>
    <row r="28" spans="1:3" ht="13.5" customHeight="1">
      <c r="A28" s="41">
        <v>784</v>
      </c>
      <c r="B28" s="42" t="s">
        <v>807</v>
      </c>
      <c r="C28" s="43">
        <f>'D.1.1. ASŘ - NOVÝ STAV'!H843</f>
        <v>0</v>
      </c>
    </row>
    <row r="29" spans="1:3" ht="13.5" customHeight="1">
      <c r="A29" s="41">
        <v>790</v>
      </c>
      <c r="B29" s="42" t="s">
        <v>835</v>
      </c>
      <c r="C29" s="43">
        <f>'D.1.1. ASŘ - NOVÝ STAV'!H875</f>
        <v>0</v>
      </c>
    </row>
    <row r="30" spans="1:3" ht="13.5" customHeight="1">
      <c r="A30" s="38" t="s">
        <v>846</v>
      </c>
      <c r="B30" s="39" t="s">
        <v>847</v>
      </c>
      <c r="C30" s="40">
        <f>SUM(C31)</f>
        <v>0</v>
      </c>
    </row>
    <row r="31" spans="1:3" ht="13.5" customHeight="1">
      <c r="A31" s="41" t="s">
        <v>848</v>
      </c>
      <c r="B31" s="42" t="s">
        <v>849</v>
      </c>
      <c r="C31" s="43">
        <f>'D.1.1. ASŘ - NOVÝ STAV'!H889</f>
        <v>0</v>
      </c>
    </row>
    <row r="32" spans="1:3" ht="21" customHeight="1">
      <c r="A32" s="48"/>
      <c r="B32" s="49" t="s">
        <v>871</v>
      </c>
      <c r="C32" s="50">
        <f>C16+C8+C30</f>
        <v>0</v>
      </c>
    </row>
    <row r="33" spans="1:3" ht="13.5" customHeight="1">
      <c r="A33" s="51"/>
      <c r="C33" s="52"/>
    </row>
  </sheetData>
  <sheetProtection algorithmName="SHA-512" hashValue="hqB++RrMWtKkjS3QEi3IZ9/Og0bURmyO9t8D+4nKJqbF9bNncqij562tg5J0WBnZnFuSLA42a9axVDLuG+DXzg==" saltValue="QBpqkjV5dWTviJd3OUELP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AEC8-8A7A-404A-990B-07E82101D41F}">
  <sheetPr>
    <pageSetUpPr fitToPage="1"/>
  </sheetPr>
  <dimension ref="A1:IV914"/>
  <sheetViews>
    <sheetView zoomScaleNormal="100" workbookViewId="0"/>
  </sheetViews>
  <sheetFormatPr defaultRowHeight="15"/>
  <cols>
    <col min="1" max="2" width="5.5" style="889" customWidth="1"/>
    <col min="3" max="3" width="15.33203125" style="889" customWidth="1"/>
    <col min="4" max="4" width="75.5" style="889" customWidth="1"/>
    <col min="5" max="5" width="7.6640625" style="889" customWidth="1"/>
    <col min="6" max="6" width="10.6640625" style="1203" customWidth="1"/>
    <col min="7" max="7" width="12.83203125" style="1203" customWidth="1"/>
    <col min="8" max="8" width="18.83203125" style="1203" customWidth="1"/>
    <col min="9" max="9" width="19.6640625" style="889" customWidth="1"/>
    <col min="10" max="10" width="16" style="889" customWidth="1"/>
    <col min="11" max="11" width="16.6640625" style="889" customWidth="1"/>
    <col min="12" max="12" width="16.83203125" style="889" customWidth="1"/>
    <col min="13" max="13" width="15.6640625" style="889" customWidth="1"/>
    <col min="14" max="14" width="14.5" style="889" customWidth="1"/>
    <col min="15" max="15" width="15.83203125" style="889" customWidth="1"/>
    <col min="16" max="16" width="9.33203125" style="889"/>
    <col min="17" max="17" width="12.83203125" style="889" customWidth="1"/>
    <col min="18" max="18" width="9.33203125" style="889"/>
    <col min="19" max="19" width="12.1640625" style="889" bestFit="1" customWidth="1"/>
    <col min="20" max="20" width="9.33203125" style="889"/>
    <col min="21" max="21" width="11.5" style="889" bestFit="1" customWidth="1"/>
    <col min="22" max="16384" width="9.33203125" style="889"/>
  </cols>
  <sheetData>
    <row r="1" spans="1:14" s="888" customFormat="1" ht="20.25" customHeight="1">
      <c r="A1" s="1" t="s">
        <v>2760</v>
      </c>
      <c r="B1" s="887"/>
      <c r="C1" s="887"/>
      <c r="D1" s="887"/>
      <c r="E1" s="887"/>
      <c r="F1" s="3616"/>
      <c r="G1" s="3616"/>
      <c r="H1" s="3622"/>
      <c r="I1" s="3918"/>
      <c r="J1" s="3797"/>
      <c r="K1" s="3919"/>
    </row>
    <row r="2" spans="1:14" ht="13.5" customHeight="1">
      <c r="A2" s="2" t="s">
        <v>115</v>
      </c>
      <c r="B2" s="885"/>
      <c r="C2" s="886"/>
      <c r="D2" s="886"/>
      <c r="E2" s="886"/>
      <c r="F2" s="3920"/>
      <c r="J2" s="888"/>
      <c r="K2" s="3919"/>
    </row>
    <row r="3" spans="1:14" ht="13.5" customHeight="1">
      <c r="A3" s="885" t="s">
        <v>116</v>
      </c>
      <c r="B3" s="886"/>
      <c r="C3" s="886"/>
      <c r="D3" s="886"/>
      <c r="E3" s="886"/>
      <c r="F3" s="3616"/>
      <c r="G3" s="3616"/>
      <c r="H3" s="3622"/>
      <c r="I3" s="888"/>
    </row>
    <row r="4" spans="1:14" ht="13.5" customHeight="1">
      <c r="A4" s="885" t="s">
        <v>117</v>
      </c>
      <c r="B4" s="886"/>
      <c r="C4" s="886"/>
      <c r="D4" s="886"/>
      <c r="E4" s="886"/>
      <c r="F4" s="3616"/>
      <c r="G4" s="3616"/>
      <c r="H4" s="3622"/>
      <c r="I4" s="888"/>
    </row>
    <row r="5" spans="1:14" s="888" customFormat="1" ht="12.75" customHeight="1">
      <c r="A5" s="886"/>
      <c r="B5" s="886"/>
      <c r="C5" s="886"/>
      <c r="D5" s="3921"/>
      <c r="E5" s="886"/>
      <c r="F5" s="3922"/>
      <c r="G5" s="3616"/>
      <c r="H5" s="3616"/>
    </row>
    <row r="6" spans="1:14" s="888" customFormat="1" ht="24.75" customHeight="1">
      <c r="A6" s="3491" t="s">
        <v>118</v>
      </c>
      <c r="B6" s="3491" t="s">
        <v>119</v>
      </c>
      <c r="C6" s="3491" t="s">
        <v>120</v>
      </c>
      <c r="D6" s="3491" t="s">
        <v>121</v>
      </c>
      <c r="E6" s="3491" t="s">
        <v>122</v>
      </c>
      <c r="F6" s="3627" t="s">
        <v>123</v>
      </c>
      <c r="G6" s="3627" t="s">
        <v>124</v>
      </c>
      <c r="H6" s="3627" t="s">
        <v>2</v>
      </c>
      <c r="I6" s="3491" t="s">
        <v>46</v>
      </c>
      <c r="K6" s="3923"/>
    </row>
    <row r="7" spans="1:14" s="888" customFormat="1" ht="12.75" customHeight="1">
      <c r="A7" s="3491" t="s">
        <v>125</v>
      </c>
      <c r="B7" s="3491" t="s">
        <v>126</v>
      </c>
      <c r="C7" s="3491" t="s">
        <v>127</v>
      </c>
      <c r="D7" s="3491" t="s">
        <v>128</v>
      </c>
      <c r="E7" s="3491" t="s">
        <v>129</v>
      </c>
      <c r="F7" s="3627" t="s">
        <v>130</v>
      </c>
      <c r="G7" s="3627" t="s">
        <v>131</v>
      </c>
      <c r="H7" s="3627">
        <v>8</v>
      </c>
      <c r="I7" s="3491">
        <v>9</v>
      </c>
    </row>
    <row r="8" spans="1:14" s="888" customFormat="1" ht="21" customHeight="1">
      <c r="A8" s="3496"/>
      <c r="B8" s="3497"/>
      <c r="C8" s="3497" t="s">
        <v>132</v>
      </c>
      <c r="D8" s="3497" t="s">
        <v>133</v>
      </c>
      <c r="E8" s="3497"/>
      <c r="F8" s="3742"/>
      <c r="G8" s="3742"/>
      <c r="H8" s="3742">
        <f>H9+H74+H120+H158+H173+H198+H257</f>
        <v>0</v>
      </c>
      <c r="J8" s="3924"/>
    </row>
    <row r="9" spans="1:14" s="888" customFormat="1" ht="13.5" customHeight="1">
      <c r="A9" s="3501"/>
      <c r="B9" s="3502"/>
      <c r="C9" s="3502">
        <v>1</v>
      </c>
      <c r="D9" s="3502" t="s">
        <v>134</v>
      </c>
      <c r="E9" s="3502"/>
      <c r="F9" s="3634"/>
      <c r="G9" s="3634"/>
      <c r="H9" s="3634">
        <f>SUM(H10:H63)</f>
        <v>0</v>
      </c>
      <c r="I9" s="3506"/>
      <c r="J9" s="3925"/>
    </row>
    <row r="10" spans="1:14" s="888" customFormat="1" ht="13.5" customHeight="1">
      <c r="A10" s="3926">
        <v>1</v>
      </c>
      <c r="B10" s="3927" t="s">
        <v>135</v>
      </c>
      <c r="C10" s="3927">
        <v>115101201</v>
      </c>
      <c r="D10" s="3927" t="s">
        <v>136</v>
      </c>
      <c r="E10" s="3927" t="s">
        <v>69</v>
      </c>
      <c r="F10" s="3928">
        <v>320</v>
      </c>
      <c r="G10" s="24"/>
      <c r="H10" s="3929">
        <f t="shared" ref="H10:H16" si="0">F10*G10</f>
        <v>0</v>
      </c>
      <c r="I10" s="2228" t="s">
        <v>137</v>
      </c>
      <c r="J10" s="2656"/>
    </row>
    <row r="11" spans="1:14" s="888" customFormat="1" ht="13.5" customHeight="1">
      <c r="A11" s="3926">
        <v>2</v>
      </c>
      <c r="B11" s="3927" t="s">
        <v>135</v>
      </c>
      <c r="C11" s="3927">
        <v>115101301</v>
      </c>
      <c r="D11" s="3927" t="s">
        <v>138</v>
      </c>
      <c r="E11" s="3927" t="s">
        <v>139</v>
      </c>
      <c r="F11" s="3928">
        <v>40</v>
      </c>
      <c r="G11" s="24"/>
      <c r="H11" s="3929">
        <f t="shared" si="0"/>
        <v>0</v>
      </c>
      <c r="I11" s="2228" t="s">
        <v>137</v>
      </c>
      <c r="J11" s="2656"/>
    </row>
    <row r="12" spans="1:14" s="888" customFormat="1" ht="13.5" customHeight="1">
      <c r="A12" s="3926">
        <v>3</v>
      </c>
      <c r="B12" s="3927" t="s">
        <v>135</v>
      </c>
      <c r="C12" s="3927">
        <v>119001402</v>
      </c>
      <c r="D12" s="3927" t="s">
        <v>140</v>
      </c>
      <c r="E12" s="3927" t="s">
        <v>141</v>
      </c>
      <c r="F12" s="3928">
        <v>15</v>
      </c>
      <c r="G12" s="24"/>
      <c r="H12" s="3929">
        <f t="shared" si="0"/>
        <v>0</v>
      </c>
      <c r="I12" s="2228" t="s">
        <v>137</v>
      </c>
      <c r="J12" s="2656"/>
    </row>
    <row r="13" spans="1:14" s="888" customFormat="1" ht="13.5" customHeight="1">
      <c r="A13" s="3926">
        <v>4</v>
      </c>
      <c r="B13" s="3927" t="s">
        <v>135</v>
      </c>
      <c r="C13" s="3927">
        <v>119001406</v>
      </c>
      <c r="D13" s="3927" t="s">
        <v>142</v>
      </c>
      <c r="E13" s="3927" t="s">
        <v>141</v>
      </c>
      <c r="F13" s="3928">
        <v>15</v>
      </c>
      <c r="G13" s="24"/>
      <c r="H13" s="3929">
        <f t="shared" si="0"/>
        <v>0</v>
      </c>
      <c r="I13" s="2228" t="s">
        <v>137</v>
      </c>
      <c r="J13" s="2656"/>
    </row>
    <row r="14" spans="1:14" s="888" customFormat="1" ht="13.5" customHeight="1">
      <c r="A14" s="3926">
        <v>5</v>
      </c>
      <c r="B14" s="3927" t="s">
        <v>135</v>
      </c>
      <c r="C14" s="3927">
        <v>119001412</v>
      </c>
      <c r="D14" s="3927" t="s">
        <v>143</v>
      </c>
      <c r="E14" s="3927" t="s">
        <v>141</v>
      </c>
      <c r="F14" s="3928">
        <v>15</v>
      </c>
      <c r="G14" s="24"/>
      <c r="H14" s="3929">
        <f t="shared" si="0"/>
        <v>0</v>
      </c>
      <c r="I14" s="2228" t="s">
        <v>137</v>
      </c>
      <c r="J14" s="2656"/>
    </row>
    <row r="15" spans="1:14" s="888" customFormat="1" ht="13.5" customHeight="1">
      <c r="A15" s="3926">
        <v>6</v>
      </c>
      <c r="B15" s="3927" t="s">
        <v>135</v>
      </c>
      <c r="C15" s="3927">
        <v>119001422</v>
      </c>
      <c r="D15" s="3927" t="s">
        <v>144</v>
      </c>
      <c r="E15" s="3927" t="s">
        <v>141</v>
      </c>
      <c r="F15" s="3928">
        <v>90</v>
      </c>
      <c r="G15" s="24"/>
      <c r="H15" s="3929">
        <f t="shared" si="0"/>
        <v>0</v>
      </c>
      <c r="I15" s="2228" t="s">
        <v>137</v>
      </c>
      <c r="J15" s="2656"/>
    </row>
    <row r="16" spans="1:14" s="593" customFormat="1" ht="13.5" customHeight="1">
      <c r="A16" s="3930">
        <v>7</v>
      </c>
      <c r="B16" s="3931" t="s">
        <v>135</v>
      </c>
      <c r="C16" s="3931">
        <v>131213702</v>
      </c>
      <c r="D16" s="3931" t="s">
        <v>145</v>
      </c>
      <c r="E16" s="3931" t="s">
        <v>146</v>
      </c>
      <c r="F16" s="3932">
        <f>SUM(F17:F21)</f>
        <v>112.95850000000002</v>
      </c>
      <c r="G16" s="528"/>
      <c r="H16" s="3932">
        <f t="shared" si="0"/>
        <v>0</v>
      </c>
      <c r="I16" s="2228" t="s">
        <v>137</v>
      </c>
      <c r="J16" s="535"/>
      <c r="N16" s="591"/>
    </row>
    <row r="17" spans="1:23" s="3937" customFormat="1" ht="13.5" customHeight="1">
      <c r="A17" s="3933"/>
      <c r="B17" s="3934"/>
      <c r="C17" s="3934"/>
      <c r="D17" s="3934" t="s">
        <v>152</v>
      </c>
      <c r="E17" s="3934"/>
      <c r="F17" s="3935"/>
      <c r="G17" s="529"/>
      <c r="H17" s="3935"/>
      <c r="I17" s="3936"/>
      <c r="J17" s="536"/>
      <c r="L17" s="3938"/>
      <c r="N17" s="3938"/>
    </row>
    <row r="18" spans="1:23" s="3937" customFormat="1" ht="13.5" customHeight="1">
      <c r="A18" s="3933"/>
      <c r="B18" s="3934"/>
      <c r="C18" s="3934"/>
      <c r="D18" s="3934" t="s">
        <v>147</v>
      </c>
      <c r="E18" s="3934"/>
      <c r="F18" s="3935">
        <f>(10.64+153.6+41.61+33)*0.45</f>
        <v>107.48250000000002</v>
      </c>
      <c r="G18" s="529"/>
      <c r="H18" s="3935"/>
      <c r="I18" s="3936"/>
      <c r="J18" s="535"/>
      <c r="L18" s="3938"/>
      <c r="N18" s="3938"/>
    </row>
    <row r="19" spans="1:23" s="3937" customFormat="1" ht="13.5" customHeight="1">
      <c r="A19" s="3933"/>
      <c r="B19" s="3934"/>
      <c r="C19" s="3934"/>
      <c r="D19" s="3934" t="s">
        <v>148</v>
      </c>
      <c r="E19" s="3934"/>
      <c r="F19" s="3935"/>
      <c r="G19" s="529"/>
      <c r="H19" s="3935"/>
      <c r="I19" s="3936"/>
      <c r="J19" s="536"/>
    </row>
    <row r="20" spans="1:23" s="3937" customFormat="1" ht="13.5" customHeight="1">
      <c r="A20" s="3933"/>
      <c r="B20" s="3934"/>
      <c r="C20" s="3934"/>
      <c r="D20" s="3934" t="s">
        <v>149</v>
      </c>
      <c r="E20" s="3934"/>
      <c r="F20" s="3935">
        <f xml:space="preserve"> (35.46+19.3)*0.1</f>
        <v>5.4760000000000009</v>
      </c>
      <c r="G20" s="529"/>
      <c r="H20" s="3935"/>
      <c r="I20" s="3936"/>
      <c r="J20" s="537"/>
      <c r="L20" s="3938"/>
      <c r="N20" s="3938"/>
    </row>
    <row r="21" spans="1:23" s="604" customFormat="1" ht="27" customHeight="1">
      <c r="A21" s="2576"/>
      <c r="B21" s="2577"/>
      <c r="C21" s="2582"/>
      <c r="D21" s="2582" t="s">
        <v>150</v>
      </c>
      <c r="E21" s="2582"/>
      <c r="F21" s="2579"/>
      <c r="G21" s="3"/>
      <c r="H21" s="2580"/>
      <c r="I21" s="2581"/>
      <c r="J21" s="537"/>
      <c r="K21" s="3937"/>
      <c r="L21" s="3938"/>
      <c r="M21" s="3937"/>
      <c r="U21" s="605"/>
      <c r="W21" s="605"/>
    </row>
    <row r="22" spans="1:23" s="593" customFormat="1" ht="13.5" customHeight="1">
      <c r="A22" s="3930">
        <v>8</v>
      </c>
      <c r="B22" s="3931" t="s">
        <v>135</v>
      </c>
      <c r="C22" s="3931">
        <v>131313712</v>
      </c>
      <c r="D22" s="3931" t="s">
        <v>151</v>
      </c>
      <c r="E22" s="3931" t="s">
        <v>146</v>
      </c>
      <c r="F22" s="3932">
        <f>SUM(F23:F27)</f>
        <v>145.81450000000001</v>
      </c>
      <c r="G22" s="528"/>
      <c r="H22" s="3932">
        <f>F22*G22</f>
        <v>0</v>
      </c>
      <c r="I22" s="2228" t="s">
        <v>137</v>
      </c>
      <c r="J22" s="538"/>
      <c r="N22" s="591"/>
    </row>
    <row r="23" spans="1:23" s="3937" customFormat="1" ht="13.5" customHeight="1">
      <c r="A23" s="3933"/>
      <c r="B23" s="3934"/>
      <c r="C23" s="3934"/>
      <c r="D23" s="3934" t="s">
        <v>152</v>
      </c>
      <c r="E23" s="3934"/>
      <c r="F23" s="3935"/>
      <c r="G23" s="529"/>
      <c r="H23" s="3935"/>
      <c r="I23" s="3936"/>
      <c r="J23" s="536"/>
    </row>
    <row r="24" spans="1:23" s="3937" customFormat="1" ht="13.5" customHeight="1">
      <c r="A24" s="3933"/>
      <c r="B24" s="3934"/>
      <c r="C24" s="3934"/>
      <c r="D24" s="3934" t="s">
        <v>147</v>
      </c>
      <c r="E24" s="3934"/>
      <c r="F24" s="3935">
        <f>(10.64+153.6+41.61+33)*0.45</f>
        <v>107.48250000000002</v>
      </c>
      <c r="G24" s="529"/>
      <c r="H24" s="3935"/>
      <c r="I24" s="3936"/>
      <c r="J24" s="537"/>
      <c r="L24" s="3938"/>
      <c r="N24" s="3938"/>
    </row>
    <row r="25" spans="1:23" s="3937" customFormat="1" ht="13.5" customHeight="1">
      <c r="A25" s="3933"/>
      <c r="B25" s="3934"/>
      <c r="C25" s="3934"/>
      <c r="D25" s="3934" t="s">
        <v>153</v>
      </c>
      <c r="E25" s="3934"/>
      <c r="F25" s="3935"/>
      <c r="G25" s="529"/>
      <c r="H25" s="3935"/>
      <c r="I25" s="3936"/>
      <c r="J25" s="536"/>
    </row>
    <row r="26" spans="1:23" s="3937" customFormat="1" ht="13.5" customHeight="1">
      <c r="A26" s="3933"/>
      <c r="B26" s="3934"/>
      <c r="C26" s="3934"/>
      <c r="D26" s="3934" t="s">
        <v>154</v>
      </c>
      <c r="E26" s="3934"/>
      <c r="F26" s="3935">
        <f xml:space="preserve"> (35.46+19.3)*0.7</f>
        <v>38.332000000000001</v>
      </c>
      <c r="G26" s="529"/>
      <c r="H26" s="3935"/>
      <c r="I26" s="3936"/>
      <c r="J26" s="537"/>
      <c r="L26" s="3938"/>
      <c r="N26" s="3938"/>
    </row>
    <row r="27" spans="1:23" s="604" customFormat="1" ht="27" customHeight="1">
      <c r="A27" s="2576"/>
      <c r="B27" s="2577"/>
      <c r="C27" s="2582"/>
      <c r="D27" s="2582" t="s">
        <v>150</v>
      </c>
      <c r="E27" s="2582"/>
      <c r="F27" s="2579"/>
      <c r="G27" s="3"/>
      <c r="H27" s="2580"/>
      <c r="I27" s="2581"/>
      <c r="J27" s="537"/>
      <c r="K27" s="3937"/>
      <c r="L27" s="3938"/>
      <c r="M27" s="3937"/>
      <c r="U27" s="605"/>
      <c r="W27" s="605"/>
    </row>
    <row r="28" spans="1:23" s="593" customFormat="1" ht="13.5" customHeight="1">
      <c r="A28" s="3930">
        <v>9</v>
      </c>
      <c r="B28" s="3931" t="s">
        <v>135</v>
      </c>
      <c r="C28" s="3931">
        <v>131413712</v>
      </c>
      <c r="D28" s="3931" t="s">
        <v>155</v>
      </c>
      <c r="E28" s="3931" t="s">
        <v>146</v>
      </c>
      <c r="F28" s="3932">
        <f>SUM(F29:F33)</f>
        <v>34.837000000000003</v>
      </c>
      <c r="G28" s="528"/>
      <c r="H28" s="3932">
        <f>F28*G28</f>
        <v>0</v>
      </c>
      <c r="I28" s="2228" t="s">
        <v>137</v>
      </c>
      <c r="J28" s="538"/>
    </row>
    <row r="29" spans="1:23" s="3937" customFormat="1" ht="13.5" customHeight="1">
      <c r="A29" s="3933"/>
      <c r="B29" s="3934"/>
      <c r="C29" s="3934"/>
      <c r="D29" s="3934" t="s">
        <v>148</v>
      </c>
      <c r="E29" s="3934"/>
      <c r="F29" s="3935"/>
      <c r="G29" s="529"/>
      <c r="H29" s="3935"/>
      <c r="I29" s="3936"/>
      <c r="J29" s="537"/>
    </row>
    <row r="30" spans="1:23" s="3937" customFormat="1" ht="13.5" customHeight="1">
      <c r="A30" s="3933"/>
      <c r="B30" s="3934"/>
      <c r="C30" s="3934"/>
      <c r="D30" s="3934" t="s">
        <v>156</v>
      </c>
      <c r="E30" s="3934"/>
      <c r="F30" s="3935">
        <f>(10.64+153.6+41.61+33)*0.1</f>
        <v>23.885000000000005</v>
      </c>
      <c r="G30" s="529"/>
      <c r="H30" s="3935"/>
      <c r="I30" s="3936"/>
      <c r="J30" s="537"/>
    </row>
    <row r="31" spans="1:23" s="3937" customFormat="1" ht="13.5" customHeight="1">
      <c r="A31" s="3933"/>
      <c r="B31" s="3934"/>
      <c r="C31" s="3934"/>
      <c r="D31" s="3934" t="s">
        <v>157</v>
      </c>
      <c r="E31" s="3934"/>
      <c r="F31" s="3935"/>
      <c r="G31" s="529"/>
      <c r="H31" s="3935"/>
      <c r="I31" s="3936"/>
      <c r="J31" s="536"/>
    </row>
    <row r="32" spans="1:23" s="3937" customFormat="1" ht="13.5" customHeight="1">
      <c r="A32" s="3933"/>
      <c r="B32" s="3934"/>
      <c r="C32" s="3934"/>
      <c r="D32" s="3934" t="s">
        <v>158</v>
      </c>
      <c r="E32" s="3934"/>
      <c r="F32" s="3935">
        <f>(35.46+19.3)*0.2</f>
        <v>10.952000000000002</v>
      </c>
      <c r="G32" s="529"/>
      <c r="H32" s="3935"/>
      <c r="I32" s="3936"/>
      <c r="J32" s="537"/>
      <c r="L32" s="3938"/>
      <c r="N32" s="3938"/>
    </row>
    <row r="33" spans="1:23" s="604" customFormat="1" ht="27" customHeight="1">
      <c r="A33" s="2576"/>
      <c r="B33" s="2577"/>
      <c r="C33" s="2582"/>
      <c r="D33" s="2582" t="s">
        <v>159</v>
      </c>
      <c r="E33" s="2582"/>
      <c r="F33" s="2579"/>
      <c r="G33" s="3"/>
      <c r="H33" s="2580"/>
      <c r="I33" s="2581"/>
      <c r="J33" s="537"/>
      <c r="K33" s="3937"/>
      <c r="L33" s="3938"/>
      <c r="M33" s="3937"/>
      <c r="U33" s="605"/>
      <c r="W33" s="605"/>
    </row>
    <row r="34" spans="1:23" s="888" customFormat="1" ht="13.5" customHeight="1">
      <c r="A34" s="3657">
        <v>10</v>
      </c>
      <c r="B34" s="3507" t="s">
        <v>135</v>
      </c>
      <c r="C34" s="3507">
        <v>139001101</v>
      </c>
      <c r="D34" s="3507" t="s">
        <v>160</v>
      </c>
      <c r="E34" s="3507" t="s">
        <v>146</v>
      </c>
      <c r="F34" s="3679">
        <f>F35</f>
        <v>23.885000000000005</v>
      </c>
      <c r="G34" s="5"/>
      <c r="H34" s="3509">
        <f>F34*G34</f>
        <v>0</v>
      </c>
      <c r="I34" s="2228" t="s">
        <v>137</v>
      </c>
      <c r="J34" s="3939"/>
    </row>
    <row r="35" spans="1:23" s="604" customFormat="1" ht="13.5" customHeight="1">
      <c r="A35" s="2576"/>
      <c r="B35" s="2577"/>
      <c r="C35" s="2582"/>
      <c r="D35" s="2582" t="s">
        <v>161</v>
      </c>
      <c r="E35" s="2582"/>
      <c r="F35" s="2579">
        <f>(10.64+153.6+41.61+33)*0.1</f>
        <v>23.885000000000005</v>
      </c>
      <c r="G35" s="3"/>
      <c r="H35" s="2580"/>
      <c r="I35" s="2581"/>
      <c r="J35" s="3940"/>
      <c r="T35" s="605"/>
      <c r="V35" s="605"/>
    </row>
    <row r="36" spans="1:23" s="888" customFormat="1" ht="13.5" customHeight="1">
      <c r="A36" s="3562" t="s">
        <v>882</v>
      </c>
      <c r="B36" s="3539" t="s">
        <v>135</v>
      </c>
      <c r="C36" s="3507">
        <v>171152501</v>
      </c>
      <c r="D36" s="3507" t="s">
        <v>162</v>
      </c>
      <c r="E36" s="3507" t="s">
        <v>163</v>
      </c>
      <c r="F36" s="3941">
        <f>SUM(F38:F39)</f>
        <v>75.05</v>
      </c>
      <c r="G36" s="5"/>
      <c r="H36" s="3509">
        <f>F36*G36</f>
        <v>0</v>
      </c>
      <c r="I36" s="2228" t="s">
        <v>137</v>
      </c>
      <c r="J36" s="2668"/>
    </row>
    <row r="37" spans="1:23" s="888" customFormat="1" ht="13.5" customHeight="1">
      <c r="A37" s="3562"/>
      <c r="B37" s="3539"/>
      <c r="C37" s="3507"/>
      <c r="D37" s="3514" t="s">
        <v>164</v>
      </c>
      <c r="E37" s="3507"/>
      <c r="F37" s="3942"/>
      <c r="G37" s="5"/>
      <c r="H37" s="3509"/>
      <c r="I37" s="3943"/>
      <c r="J37" s="3791"/>
    </row>
    <row r="38" spans="1:23" s="888" customFormat="1" ht="13.5" customHeight="1">
      <c r="A38" s="3562"/>
      <c r="B38" s="3539"/>
      <c r="C38" s="3507"/>
      <c r="D38" s="3514" t="s">
        <v>165</v>
      </c>
      <c r="E38" s="3507"/>
      <c r="F38" s="3942">
        <f>(71.81)</f>
        <v>71.81</v>
      </c>
      <c r="G38" s="5"/>
      <c r="H38" s="3509"/>
      <c r="I38" s="3943"/>
      <c r="J38" s="3944"/>
    </row>
    <row r="39" spans="1:23" s="888" customFormat="1" ht="13.5" customHeight="1">
      <c r="A39" s="3562"/>
      <c r="B39" s="3539"/>
      <c r="C39" s="3507"/>
      <c r="D39" s="3514" t="s">
        <v>166</v>
      </c>
      <c r="E39" s="3507"/>
      <c r="F39" s="3942">
        <f>(3.24)</f>
        <v>3.24</v>
      </c>
      <c r="G39" s="5"/>
      <c r="H39" s="3509"/>
      <c r="I39" s="3943"/>
      <c r="J39" s="3944"/>
    </row>
    <row r="40" spans="1:23" s="7" customFormat="1" ht="13.5" customHeight="1">
      <c r="A40" s="2408">
        <v>12</v>
      </c>
      <c r="B40" s="3945" t="s">
        <v>135</v>
      </c>
      <c r="C40" s="3425">
        <v>174111101</v>
      </c>
      <c r="D40" s="3425" t="s">
        <v>167</v>
      </c>
      <c r="E40" s="3425" t="s">
        <v>146</v>
      </c>
      <c r="F40" s="3946">
        <f>SUM(F41:F44)</f>
        <v>255.35</v>
      </c>
      <c r="G40" s="4837"/>
      <c r="H40" s="3946">
        <f>F40*G40</f>
        <v>0</v>
      </c>
      <c r="I40" s="2228" t="s">
        <v>137</v>
      </c>
      <c r="J40" s="539"/>
    </row>
    <row r="41" spans="1:23" s="7" customFormat="1" ht="13.5" customHeight="1">
      <c r="A41" s="2408"/>
      <c r="B41" s="3945"/>
      <c r="C41" s="3425"/>
      <c r="D41" s="3947" t="s">
        <v>168</v>
      </c>
      <c r="E41" s="3425"/>
      <c r="F41" s="3946"/>
      <c r="G41" s="4837"/>
      <c r="H41" s="3946"/>
      <c r="I41" s="3948"/>
      <c r="J41" s="539"/>
    </row>
    <row r="42" spans="1:23" s="7" customFormat="1" ht="13.5" customHeight="1">
      <c r="A42" s="2408"/>
      <c r="B42" s="3425"/>
      <c r="C42" s="3425"/>
      <c r="D42" s="3947" t="s">
        <v>169</v>
      </c>
      <c r="E42" s="3425"/>
      <c r="F42" s="3949">
        <f>(238.85)</f>
        <v>238.85</v>
      </c>
      <c r="G42" s="4837"/>
      <c r="H42" s="3946"/>
      <c r="I42" s="3948"/>
    </row>
    <row r="43" spans="1:23" s="7" customFormat="1" ht="13.5" customHeight="1">
      <c r="A43" s="2408"/>
      <c r="B43" s="3945"/>
      <c r="C43" s="3425"/>
      <c r="D43" s="3947" t="s">
        <v>170</v>
      </c>
      <c r="E43" s="3425"/>
      <c r="F43" s="3946"/>
      <c r="G43" s="4837"/>
      <c r="H43" s="3946"/>
      <c r="I43" s="3948"/>
      <c r="J43" s="539"/>
    </row>
    <row r="44" spans="1:23" s="7" customFormat="1" ht="13.5" customHeight="1">
      <c r="A44" s="2408"/>
      <c r="B44" s="3425"/>
      <c r="C44" s="3425"/>
      <c r="D44" s="3947" t="s">
        <v>171</v>
      </c>
      <c r="E44" s="3425"/>
      <c r="F44" s="3949">
        <f>(15)*1.1</f>
        <v>16.5</v>
      </c>
      <c r="G44" s="4837"/>
      <c r="H44" s="3946"/>
      <c r="I44" s="3948"/>
      <c r="J44" s="539"/>
    </row>
    <row r="45" spans="1:23" s="7" customFormat="1" ht="13.5" customHeight="1">
      <c r="A45" s="3950">
        <v>13</v>
      </c>
      <c r="B45" s="3945" t="s">
        <v>135</v>
      </c>
      <c r="C45" s="3425">
        <v>174111102</v>
      </c>
      <c r="D45" s="3425" t="s">
        <v>172</v>
      </c>
      <c r="E45" s="3425" t="s">
        <v>146</v>
      </c>
      <c r="F45" s="3951">
        <f>SUM(F46:F48)</f>
        <v>85</v>
      </c>
      <c r="G45" s="4837"/>
      <c r="H45" s="3946">
        <f>F45*G45</f>
        <v>0</v>
      </c>
      <c r="I45" s="2228" t="s">
        <v>137</v>
      </c>
      <c r="J45" s="539"/>
    </row>
    <row r="46" spans="1:23" s="7" customFormat="1" ht="13.5" customHeight="1">
      <c r="A46" s="2408"/>
      <c r="B46" s="3945"/>
      <c r="C46" s="3425"/>
      <c r="D46" s="3947" t="s">
        <v>168</v>
      </c>
      <c r="E46" s="3425"/>
      <c r="F46" s="3946"/>
      <c r="G46" s="4837"/>
      <c r="H46" s="3946"/>
      <c r="I46" s="3948"/>
      <c r="J46" s="539"/>
    </row>
    <row r="47" spans="1:23" s="7" customFormat="1" ht="27" customHeight="1">
      <c r="A47" s="2408"/>
      <c r="B47" s="3425"/>
      <c r="C47" s="3425"/>
      <c r="D47" s="3947" t="s">
        <v>173</v>
      </c>
      <c r="E47" s="3425"/>
      <c r="F47" s="3949">
        <v>85</v>
      </c>
      <c r="G47" s="4837"/>
      <c r="H47" s="3946"/>
      <c r="I47" s="3948"/>
    </row>
    <row r="48" spans="1:23" s="7" customFormat="1" ht="13.5" customHeight="1">
      <c r="A48" s="2408"/>
      <c r="B48" s="3425"/>
      <c r="C48" s="3425"/>
      <c r="D48" s="3947" t="s">
        <v>6414</v>
      </c>
      <c r="E48" s="3425"/>
      <c r="F48" s="3951">
        <v>0</v>
      </c>
      <c r="G48" s="4837"/>
      <c r="H48" s="3946"/>
      <c r="I48" s="3948"/>
    </row>
    <row r="49" spans="1:256" s="612" customFormat="1" ht="13.5" customHeight="1">
      <c r="A49" s="3952">
        <v>14</v>
      </c>
      <c r="B49" s="3247">
        <v>103</v>
      </c>
      <c r="C49" s="3247">
        <v>10364100</v>
      </c>
      <c r="D49" s="3247" t="s">
        <v>174</v>
      </c>
      <c r="E49" s="3247" t="s">
        <v>175</v>
      </c>
      <c r="F49" s="3953">
        <f>SUM(F51:F52)</f>
        <v>550.54499999999996</v>
      </c>
      <c r="G49" s="54"/>
      <c r="H49" s="3953">
        <f>F49*G49</f>
        <v>0</v>
      </c>
      <c r="I49" s="3250" t="s">
        <v>137</v>
      </c>
    </row>
    <row r="50" spans="1:256" s="7" customFormat="1" ht="13.5" customHeight="1">
      <c r="A50" s="3954"/>
      <c r="B50" s="3955"/>
      <c r="C50" s="3956"/>
      <c r="D50" s="3957" t="s">
        <v>168</v>
      </c>
      <c r="E50" s="3956"/>
      <c r="F50" s="3958"/>
      <c r="G50" s="4838"/>
      <c r="H50" s="3958"/>
      <c r="I50" s="3959"/>
      <c r="J50" s="539"/>
    </row>
    <row r="51" spans="1:256" s="7" customFormat="1" ht="27" customHeight="1">
      <c r="A51" s="3954"/>
      <c r="B51" s="3956"/>
      <c r="C51" s="3956"/>
      <c r="D51" s="3947" t="s">
        <v>176</v>
      </c>
      <c r="E51" s="3956"/>
      <c r="F51" s="3960">
        <f>(85)*1.7</f>
        <v>144.5</v>
      </c>
      <c r="G51" s="4838"/>
      <c r="H51" s="3958"/>
      <c r="I51" s="3959"/>
    </row>
    <row r="52" spans="1:256" s="7" customFormat="1" ht="13.5" customHeight="1">
      <c r="A52" s="3954"/>
      <c r="B52" s="3956"/>
      <c r="C52" s="3956"/>
      <c r="D52" s="3947" t="s">
        <v>177</v>
      </c>
      <c r="E52" s="3956"/>
      <c r="F52" s="3960">
        <f>(238.85)*1.7</f>
        <v>406.04499999999996</v>
      </c>
      <c r="G52" s="4838"/>
      <c r="H52" s="3958"/>
      <c r="I52" s="3959"/>
    </row>
    <row r="53" spans="1:256" s="612" customFormat="1" ht="13.5" customHeight="1">
      <c r="A53" s="3952">
        <v>15</v>
      </c>
      <c r="B53" s="3247">
        <v>583</v>
      </c>
      <c r="C53" s="3247">
        <v>58344171</v>
      </c>
      <c r="D53" s="3247" t="s">
        <v>178</v>
      </c>
      <c r="E53" s="3247" t="s">
        <v>175</v>
      </c>
      <c r="F53" s="3953">
        <f>SUM(F54:F55)</f>
        <v>33</v>
      </c>
      <c r="G53" s="54"/>
      <c r="H53" s="3953">
        <f>F53*G53</f>
        <v>0</v>
      </c>
      <c r="I53" s="3250" t="s">
        <v>137</v>
      </c>
      <c r="J53" s="3961"/>
    </row>
    <row r="54" spans="1:256" s="7" customFormat="1" ht="13.5" customHeight="1">
      <c r="A54" s="3954"/>
      <c r="B54" s="3955"/>
      <c r="C54" s="3956"/>
      <c r="D54" s="3957" t="s">
        <v>170</v>
      </c>
      <c r="E54" s="3956"/>
      <c r="F54" s="3958"/>
      <c r="G54" s="4838"/>
      <c r="H54" s="3958"/>
      <c r="I54" s="3959"/>
      <c r="J54" s="539"/>
    </row>
    <row r="55" spans="1:256" s="7" customFormat="1" ht="13.5" customHeight="1">
      <c r="A55" s="3954"/>
      <c r="B55" s="3956"/>
      <c r="C55" s="3956"/>
      <c r="D55" s="3957" t="s">
        <v>179</v>
      </c>
      <c r="E55" s="3956"/>
      <c r="F55" s="3960">
        <f>(16.5)*2</f>
        <v>33</v>
      </c>
      <c r="G55" s="4838"/>
      <c r="H55" s="3958"/>
      <c r="I55" s="3959"/>
    </row>
    <row r="56" spans="1:256" s="1587" customFormat="1" ht="27" customHeight="1">
      <c r="A56" s="3962">
        <v>16</v>
      </c>
      <c r="B56" s="3963" t="s">
        <v>135</v>
      </c>
      <c r="C56" s="3964" t="s">
        <v>180</v>
      </c>
      <c r="D56" s="3964" t="s">
        <v>6332</v>
      </c>
      <c r="E56" s="3964" t="s">
        <v>146</v>
      </c>
      <c r="F56" s="3965">
        <f>F58+F61</f>
        <v>293.61</v>
      </c>
      <c r="G56" s="3965">
        <f>SUM(H64:H71)/F56</f>
        <v>0</v>
      </c>
      <c r="H56" s="3965">
        <f>F56*G56</f>
        <v>0</v>
      </c>
      <c r="I56" s="3966" t="s">
        <v>111</v>
      </c>
      <c r="J56" s="3967"/>
      <c r="L56" s="1588"/>
      <c r="M56" s="1588"/>
      <c r="N56" s="1588"/>
      <c r="O56" s="1588"/>
      <c r="P56" s="1588"/>
      <c r="Q56" s="1588"/>
      <c r="R56" s="1588"/>
      <c r="S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1587" customFormat="1" ht="13.5" customHeight="1">
      <c r="A57" s="3968"/>
      <c r="B57" s="3963"/>
      <c r="C57" s="3964"/>
      <c r="D57" s="3969" t="s">
        <v>181</v>
      </c>
      <c r="E57" s="3964"/>
      <c r="F57" s="3965"/>
      <c r="G57" s="8"/>
      <c r="H57" s="3965"/>
      <c r="I57" s="3966"/>
      <c r="J57" s="3970"/>
      <c r="L57" s="1588"/>
      <c r="M57" s="1588"/>
      <c r="N57" s="1588"/>
      <c r="O57" s="1588"/>
      <c r="P57" s="1588"/>
      <c r="Q57" s="1588"/>
      <c r="R57" s="1588"/>
      <c r="S57" s="1588"/>
      <c r="V57" s="1588"/>
      <c r="W57" s="1588"/>
      <c r="X57" s="1588"/>
      <c r="Y57" s="1588"/>
      <c r="Z57" s="1588"/>
      <c r="AA57" s="1588"/>
      <c r="AB57" s="1588"/>
      <c r="AC57" s="1588"/>
      <c r="AD57" s="1588"/>
      <c r="AE57" s="1588"/>
      <c r="AF57" s="1588"/>
      <c r="AG57" s="1588"/>
      <c r="AH57" s="1588"/>
      <c r="AI57" s="1588"/>
      <c r="AJ57" s="1588"/>
      <c r="AK57" s="1588"/>
      <c r="AL57" s="1588"/>
      <c r="AM57" s="1588"/>
      <c r="AN57" s="1588"/>
      <c r="AO57" s="1588"/>
      <c r="AP57" s="1588"/>
      <c r="AQ57" s="1588"/>
      <c r="AR57" s="1588"/>
      <c r="AS57" s="1588"/>
      <c r="AT57" s="1588"/>
      <c r="AU57" s="1588"/>
      <c r="AV57" s="1588"/>
      <c r="AW57" s="1588"/>
      <c r="AX57" s="1588"/>
      <c r="AY57" s="1588"/>
      <c r="AZ57" s="1588"/>
      <c r="BA57" s="1588"/>
      <c r="BB57" s="1588"/>
      <c r="BC57" s="1588"/>
      <c r="BD57" s="1588"/>
      <c r="BE57" s="1588"/>
      <c r="BF57" s="1588"/>
      <c r="BG57" s="1588"/>
      <c r="BH57" s="1588"/>
      <c r="BI57" s="1588"/>
      <c r="BJ57" s="1588"/>
      <c r="BK57" s="1588"/>
      <c r="BL57" s="1588"/>
      <c r="BM57" s="1588"/>
      <c r="BN57" s="1588"/>
      <c r="BO57" s="1588"/>
      <c r="BP57" s="1588"/>
      <c r="BQ57" s="1588"/>
      <c r="BR57" s="1588"/>
      <c r="BS57" s="1588"/>
      <c r="BT57" s="1588"/>
      <c r="BU57" s="1588"/>
      <c r="BV57" s="1588"/>
      <c r="BW57" s="1588"/>
      <c r="BX57" s="1588"/>
      <c r="BY57" s="1588"/>
      <c r="BZ57" s="1588"/>
      <c r="CA57" s="1588"/>
      <c r="CB57" s="1588"/>
      <c r="CC57" s="1588"/>
      <c r="CD57" s="1588"/>
      <c r="CE57" s="1588"/>
      <c r="CF57" s="1588"/>
      <c r="CG57" s="1588"/>
      <c r="CH57" s="1588"/>
      <c r="CI57" s="1588"/>
      <c r="CJ57" s="1588"/>
      <c r="CK57" s="1588"/>
      <c r="CL57" s="1588"/>
      <c r="CM57" s="1588"/>
      <c r="CN57" s="1588"/>
      <c r="CO57" s="1588"/>
      <c r="CP57" s="1588"/>
      <c r="CQ57" s="1588"/>
      <c r="CR57" s="1588"/>
      <c r="CS57" s="1588"/>
      <c r="CT57" s="1588"/>
      <c r="CU57" s="1588"/>
      <c r="CV57" s="1588"/>
      <c r="CW57" s="1588"/>
      <c r="CX57" s="1588"/>
      <c r="CY57" s="1588"/>
      <c r="CZ57" s="1588"/>
      <c r="DA57" s="1588"/>
      <c r="DB57" s="1588"/>
      <c r="DC57" s="1588"/>
      <c r="DD57" s="1588"/>
      <c r="DE57" s="1588"/>
      <c r="DF57" s="1588"/>
      <c r="DG57" s="1588"/>
      <c r="DH57" s="1588"/>
      <c r="DI57" s="1588"/>
      <c r="DJ57" s="1588"/>
      <c r="DK57" s="1588"/>
      <c r="DL57" s="1588"/>
      <c r="DM57" s="1588"/>
      <c r="DN57" s="1588"/>
      <c r="DO57" s="1588"/>
      <c r="DP57" s="1588"/>
      <c r="DQ57" s="1588"/>
      <c r="DR57" s="1588"/>
      <c r="DS57" s="1588"/>
      <c r="DT57" s="1588"/>
      <c r="DU57" s="1588"/>
      <c r="DV57" s="1588"/>
      <c r="DW57" s="1588"/>
      <c r="DX57" s="1588"/>
      <c r="DY57" s="1588"/>
      <c r="DZ57" s="1588"/>
      <c r="EA57" s="1588"/>
      <c r="EB57" s="1588"/>
      <c r="EC57" s="1588"/>
      <c r="ED57" s="1588"/>
      <c r="EE57" s="1588"/>
      <c r="EF57" s="1588"/>
      <c r="EG57" s="1588"/>
      <c r="EH57" s="1588"/>
      <c r="EI57" s="1588"/>
      <c r="EJ57" s="1588"/>
      <c r="EK57" s="1588"/>
      <c r="EL57" s="1588"/>
      <c r="EM57" s="1588"/>
      <c r="EN57" s="1588"/>
      <c r="EO57" s="1588"/>
      <c r="EP57" s="1588"/>
      <c r="EQ57" s="1588"/>
      <c r="ER57" s="1588"/>
      <c r="ES57" s="1588"/>
      <c r="ET57" s="1588"/>
      <c r="EU57" s="1588"/>
      <c r="EV57" s="1588"/>
      <c r="EW57" s="1588"/>
      <c r="EX57" s="1588"/>
      <c r="EY57" s="1588"/>
      <c r="EZ57" s="1588"/>
      <c r="FA57" s="1588"/>
      <c r="FB57" s="1588"/>
      <c r="FC57" s="1588"/>
      <c r="FD57" s="1588"/>
      <c r="FE57" s="1588"/>
      <c r="FF57" s="1588"/>
      <c r="FG57" s="1588"/>
      <c r="FH57" s="1588"/>
      <c r="FI57" s="1588"/>
      <c r="FJ57" s="1588"/>
      <c r="FK57" s="1588"/>
      <c r="FL57" s="1588"/>
      <c r="FM57" s="1588"/>
      <c r="FN57" s="1588"/>
      <c r="FO57" s="1588"/>
      <c r="FP57" s="1588"/>
      <c r="FQ57" s="1588"/>
      <c r="FR57" s="1588"/>
      <c r="FS57" s="1588"/>
      <c r="FT57" s="1588"/>
      <c r="FU57" s="1588"/>
      <c r="FV57" s="1588"/>
      <c r="FW57" s="1588"/>
      <c r="FX57" s="1588"/>
      <c r="FY57" s="1588"/>
      <c r="FZ57" s="1588"/>
      <c r="GA57" s="1588"/>
      <c r="GB57" s="1588"/>
      <c r="GC57" s="1588"/>
      <c r="GD57" s="1588"/>
      <c r="GE57" s="1588"/>
      <c r="GF57" s="1588"/>
      <c r="GG57" s="1588"/>
      <c r="GH57" s="1588"/>
      <c r="GI57" s="1588"/>
      <c r="GJ57" s="1588"/>
      <c r="GK57" s="1588"/>
      <c r="GL57" s="1588"/>
      <c r="GM57" s="1588"/>
      <c r="GN57" s="1588"/>
      <c r="GO57" s="1588"/>
      <c r="GP57" s="1588"/>
      <c r="GQ57" s="1588"/>
      <c r="GR57" s="1588"/>
      <c r="GS57" s="1588"/>
      <c r="GT57" s="1588"/>
      <c r="GU57" s="1588"/>
      <c r="GV57" s="1588"/>
      <c r="GW57" s="1588"/>
      <c r="GX57" s="1588"/>
      <c r="GY57" s="1588"/>
      <c r="GZ57" s="1588"/>
      <c r="HA57" s="1588"/>
      <c r="HB57" s="1588"/>
      <c r="HC57" s="1588"/>
      <c r="HD57" s="1588"/>
      <c r="HE57" s="1588"/>
      <c r="HF57" s="1588"/>
      <c r="HG57" s="1588"/>
      <c r="HH57" s="1588"/>
      <c r="HI57" s="1588"/>
      <c r="HJ57" s="1588"/>
      <c r="HK57" s="1588"/>
      <c r="HL57" s="1588"/>
      <c r="HM57" s="1588"/>
      <c r="HN57" s="1588"/>
      <c r="HO57" s="1588"/>
      <c r="HP57" s="1588"/>
      <c r="HQ57" s="1588"/>
      <c r="HR57" s="1588"/>
      <c r="HS57" s="1588"/>
      <c r="HT57" s="1588"/>
      <c r="HU57" s="1588"/>
      <c r="HV57" s="1588"/>
      <c r="HW57" s="1588"/>
      <c r="HX57" s="1588"/>
      <c r="HY57" s="1588"/>
      <c r="HZ57" s="1588"/>
      <c r="IA57" s="1588"/>
      <c r="IB57" s="1588"/>
      <c r="IC57" s="1588"/>
      <c r="ID57" s="1588"/>
      <c r="IE57" s="1588"/>
      <c r="IF57" s="1588"/>
      <c r="IG57" s="1588"/>
      <c r="IH57" s="1588"/>
      <c r="II57" s="1588"/>
      <c r="IJ57" s="1588"/>
      <c r="IK57" s="1588"/>
      <c r="IL57" s="1588"/>
      <c r="IM57" s="1588"/>
      <c r="IN57" s="1588"/>
      <c r="IO57" s="1588"/>
      <c r="IP57" s="1588"/>
      <c r="IQ57" s="1588"/>
      <c r="IR57" s="1588"/>
      <c r="IS57" s="1588"/>
      <c r="IT57" s="1588"/>
      <c r="IU57" s="1588"/>
      <c r="IV57" s="1588"/>
    </row>
    <row r="58" spans="1:256" s="1587" customFormat="1" ht="13.5" customHeight="1">
      <c r="A58" s="3968"/>
      <c r="B58" s="3963"/>
      <c r="C58" s="2592"/>
      <c r="D58" s="3269" t="s">
        <v>182</v>
      </c>
      <c r="E58" s="3971"/>
      <c r="F58" s="3972">
        <f>SUM(F59:F60)</f>
        <v>112.95850000000002</v>
      </c>
      <c r="G58" s="8"/>
      <c r="H58" s="3965"/>
      <c r="I58" s="3966"/>
      <c r="J58" s="3970"/>
      <c r="K58" s="2732"/>
      <c r="L58" s="3973"/>
      <c r="M58" s="1588"/>
      <c r="N58" s="1588"/>
      <c r="O58" s="1588"/>
      <c r="P58" s="1588"/>
      <c r="Q58" s="1588"/>
      <c r="R58" s="1588"/>
      <c r="S58" s="1588"/>
      <c r="V58" s="1588"/>
      <c r="W58" s="1588"/>
      <c r="X58" s="1588"/>
      <c r="Y58" s="1588"/>
      <c r="Z58" s="1588"/>
      <c r="AA58" s="1588"/>
      <c r="AB58" s="1588"/>
      <c r="AC58" s="1588"/>
      <c r="AD58" s="1588"/>
      <c r="AE58" s="1588"/>
      <c r="AF58" s="1588"/>
      <c r="AG58" s="1588"/>
      <c r="AH58" s="1588"/>
      <c r="AI58" s="1588"/>
      <c r="AJ58" s="1588"/>
      <c r="AK58" s="1588"/>
      <c r="AL58" s="1588"/>
      <c r="AM58" s="1588"/>
      <c r="AN58" s="1588"/>
      <c r="AO58" s="1588"/>
      <c r="AP58" s="1588"/>
      <c r="AQ58" s="1588"/>
      <c r="AR58" s="1588"/>
      <c r="AS58" s="1588"/>
      <c r="AT58" s="1588"/>
      <c r="AU58" s="1588"/>
      <c r="AV58" s="1588"/>
      <c r="AW58" s="1588"/>
      <c r="AX58" s="1588"/>
      <c r="AY58" s="1588"/>
      <c r="AZ58" s="1588"/>
      <c r="BA58" s="1588"/>
      <c r="BB58" s="1588"/>
      <c r="BC58" s="1588"/>
      <c r="BD58" s="1588"/>
      <c r="BE58" s="1588"/>
      <c r="BF58" s="1588"/>
      <c r="BG58" s="1588"/>
      <c r="BH58" s="1588"/>
      <c r="BI58" s="1588"/>
      <c r="BJ58" s="1588"/>
      <c r="BK58" s="1588"/>
      <c r="BL58" s="1588"/>
      <c r="BM58" s="1588"/>
      <c r="BN58" s="1588"/>
      <c r="BO58" s="1588"/>
      <c r="BP58" s="1588"/>
      <c r="BQ58" s="1588"/>
      <c r="BR58" s="1588"/>
      <c r="BS58" s="1588"/>
      <c r="BT58" s="1588"/>
      <c r="BU58" s="1588"/>
      <c r="BV58" s="1588"/>
      <c r="BW58" s="1588"/>
      <c r="BX58" s="1588"/>
      <c r="BY58" s="1588"/>
      <c r="BZ58" s="1588"/>
      <c r="CA58" s="1588"/>
      <c r="CB58" s="1588"/>
      <c r="CC58" s="1588"/>
      <c r="CD58" s="1588"/>
      <c r="CE58" s="1588"/>
      <c r="CF58" s="1588"/>
      <c r="CG58" s="1588"/>
      <c r="CH58" s="1588"/>
      <c r="CI58" s="1588"/>
      <c r="CJ58" s="1588"/>
      <c r="CK58" s="1588"/>
      <c r="CL58" s="1588"/>
      <c r="CM58" s="1588"/>
      <c r="CN58" s="1588"/>
      <c r="CO58" s="1588"/>
      <c r="CP58" s="1588"/>
      <c r="CQ58" s="1588"/>
      <c r="CR58" s="1588"/>
      <c r="CS58" s="1588"/>
      <c r="CT58" s="1588"/>
      <c r="CU58" s="1588"/>
      <c r="CV58" s="1588"/>
      <c r="CW58" s="1588"/>
      <c r="CX58" s="1588"/>
      <c r="CY58" s="1588"/>
      <c r="CZ58" s="1588"/>
      <c r="DA58" s="1588"/>
      <c r="DB58" s="1588"/>
      <c r="DC58" s="1588"/>
      <c r="DD58" s="1588"/>
      <c r="DE58" s="1588"/>
      <c r="DF58" s="1588"/>
      <c r="DG58" s="1588"/>
      <c r="DH58" s="1588"/>
      <c r="DI58" s="1588"/>
      <c r="DJ58" s="1588"/>
      <c r="DK58" s="1588"/>
      <c r="DL58" s="1588"/>
      <c r="DM58" s="1588"/>
      <c r="DN58" s="1588"/>
      <c r="DO58" s="1588"/>
      <c r="DP58" s="1588"/>
      <c r="DQ58" s="1588"/>
      <c r="DR58" s="1588"/>
      <c r="DS58" s="1588"/>
      <c r="DT58" s="1588"/>
      <c r="DU58" s="1588"/>
      <c r="DV58" s="1588"/>
      <c r="DW58" s="1588"/>
      <c r="DX58" s="1588"/>
      <c r="DY58" s="1588"/>
      <c r="DZ58" s="1588"/>
      <c r="EA58" s="1588"/>
      <c r="EB58" s="1588"/>
      <c r="EC58" s="1588"/>
      <c r="ED58" s="1588"/>
      <c r="EE58" s="1588"/>
      <c r="EF58" s="1588"/>
      <c r="EG58" s="1588"/>
      <c r="EH58" s="1588"/>
      <c r="EI58" s="1588"/>
      <c r="EJ58" s="1588"/>
      <c r="EK58" s="1588"/>
      <c r="EL58" s="1588"/>
      <c r="EM58" s="1588"/>
      <c r="EN58" s="1588"/>
      <c r="EO58" s="1588"/>
      <c r="EP58" s="1588"/>
      <c r="EQ58" s="1588"/>
      <c r="ER58" s="1588"/>
      <c r="ES58" s="1588"/>
      <c r="ET58" s="1588"/>
      <c r="EU58" s="1588"/>
      <c r="EV58" s="1588"/>
      <c r="EW58" s="1588"/>
      <c r="EX58" s="1588"/>
      <c r="EY58" s="1588"/>
      <c r="EZ58" s="1588"/>
      <c r="FA58" s="1588"/>
      <c r="FB58" s="1588"/>
      <c r="FC58" s="1588"/>
      <c r="FD58" s="1588"/>
      <c r="FE58" s="1588"/>
      <c r="FF58" s="1588"/>
      <c r="FG58" s="1588"/>
      <c r="FH58" s="1588"/>
      <c r="FI58" s="1588"/>
      <c r="FJ58" s="1588"/>
      <c r="FK58" s="1588"/>
      <c r="FL58" s="1588"/>
      <c r="FM58" s="1588"/>
      <c r="FN58" s="1588"/>
      <c r="FO58" s="1588"/>
      <c r="FP58" s="1588"/>
      <c r="FQ58" s="1588"/>
      <c r="FR58" s="1588"/>
      <c r="FS58" s="1588"/>
      <c r="FT58" s="1588"/>
      <c r="FU58" s="1588"/>
      <c r="FV58" s="1588"/>
      <c r="FW58" s="1588"/>
      <c r="FX58" s="1588"/>
      <c r="FY58" s="1588"/>
      <c r="FZ58" s="1588"/>
      <c r="GA58" s="1588"/>
      <c r="GB58" s="1588"/>
      <c r="GC58" s="1588"/>
      <c r="GD58" s="1588"/>
      <c r="GE58" s="1588"/>
      <c r="GF58" s="1588"/>
      <c r="GG58" s="1588"/>
      <c r="GH58" s="1588"/>
      <c r="GI58" s="1588"/>
      <c r="GJ58" s="1588"/>
      <c r="GK58" s="1588"/>
      <c r="GL58" s="1588"/>
      <c r="GM58" s="1588"/>
      <c r="GN58" s="1588"/>
      <c r="GO58" s="1588"/>
      <c r="GP58" s="1588"/>
      <c r="GQ58" s="1588"/>
      <c r="GR58" s="1588"/>
      <c r="GS58" s="1588"/>
      <c r="GT58" s="1588"/>
      <c r="GU58" s="1588"/>
      <c r="GV58" s="1588"/>
      <c r="GW58" s="1588"/>
      <c r="GX58" s="1588"/>
      <c r="GY58" s="1588"/>
      <c r="GZ58" s="1588"/>
      <c r="HA58" s="1588"/>
      <c r="HB58" s="1588"/>
      <c r="HC58" s="1588"/>
      <c r="HD58" s="1588"/>
      <c r="HE58" s="1588"/>
      <c r="HF58" s="1588"/>
      <c r="HG58" s="1588"/>
      <c r="HH58" s="1588"/>
      <c r="HI58" s="1588"/>
      <c r="HJ58" s="1588"/>
      <c r="HK58" s="1588"/>
      <c r="HL58" s="1588"/>
      <c r="HM58" s="1588"/>
      <c r="HN58" s="1588"/>
      <c r="HO58" s="1588"/>
      <c r="HP58" s="1588"/>
      <c r="HQ58" s="1588"/>
      <c r="HR58" s="1588"/>
      <c r="HS58" s="1588"/>
      <c r="HT58" s="1588"/>
      <c r="HU58" s="1588"/>
      <c r="HV58" s="1588"/>
      <c r="HW58" s="1588"/>
      <c r="HX58" s="1588"/>
      <c r="HY58" s="1588"/>
      <c r="HZ58" s="1588"/>
      <c r="IA58" s="1588"/>
      <c r="IB58" s="1588"/>
      <c r="IC58" s="1588"/>
      <c r="ID58" s="1588"/>
      <c r="IE58" s="1588"/>
      <c r="IF58" s="1588"/>
      <c r="IG58" s="1588"/>
      <c r="IH58" s="1588"/>
      <c r="II58" s="1588"/>
      <c r="IJ58" s="1588"/>
      <c r="IK58" s="1588"/>
      <c r="IL58" s="1588"/>
      <c r="IM58" s="1588"/>
      <c r="IN58" s="1588"/>
      <c r="IO58" s="1588"/>
      <c r="IP58" s="1588"/>
      <c r="IQ58" s="1588"/>
      <c r="IR58" s="1588"/>
      <c r="IS58" s="1588"/>
      <c r="IT58" s="1588"/>
      <c r="IU58" s="1588"/>
      <c r="IV58" s="1588"/>
    </row>
    <row r="59" spans="1:256" s="804" customFormat="1" ht="13.5" customHeight="1">
      <c r="A59" s="3974"/>
      <c r="B59" s="3927"/>
      <c r="C59" s="3975"/>
      <c r="D59" s="3975" t="s">
        <v>183</v>
      </c>
      <c r="E59" s="3975"/>
      <c r="F59" s="3976">
        <f>(10.64+153.6+41.61+33)*0.45</f>
        <v>107.48250000000002</v>
      </c>
      <c r="G59" s="14"/>
      <c r="H59" s="3976"/>
      <c r="I59" s="1368"/>
      <c r="O59" s="3977"/>
    </row>
    <row r="60" spans="1:256" s="804" customFormat="1" ht="13.5" customHeight="1">
      <c r="A60" s="3974"/>
      <c r="B60" s="3927"/>
      <c r="C60" s="3975"/>
      <c r="D60" s="3975" t="s">
        <v>184</v>
      </c>
      <c r="E60" s="3975"/>
      <c r="F60" s="3976">
        <f xml:space="preserve"> (35.46+19.3)*0.1</f>
        <v>5.4760000000000009</v>
      </c>
      <c r="G60" s="14"/>
      <c r="H60" s="3976"/>
      <c r="I60" s="1368"/>
      <c r="O60" s="3977"/>
    </row>
    <row r="61" spans="1:256" s="1587" customFormat="1" ht="13.5" customHeight="1">
      <c r="A61" s="3968"/>
      <c r="B61" s="3963"/>
      <c r="C61" s="2592"/>
      <c r="D61" s="3269" t="s">
        <v>185</v>
      </c>
      <c r="E61" s="3971"/>
      <c r="F61" s="3972">
        <f>SUM(F62:F63)</f>
        <v>180.6515</v>
      </c>
      <c r="G61" s="8"/>
      <c r="H61" s="3965"/>
      <c r="I61" s="3966"/>
      <c r="J61" s="2726"/>
      <c r="L61" s="1588"/>
      <c r="M61" s="1588"/>
      <c r="N61" s="1588"/>
      <c r="O61" s="1588"/>
      <c r="P61" s="1588"/>
      <c r="Q61" s="1588"/>
      <c r="R61" s="1588"/>
      <c r="S61" s="1588"/>
      <c r="V61" s="1588"/>
      <c r="W61" s="1588"/>
      <c r="X61" s="1588"/>
      <c r="Y61" s="1588"/>
      <c r="Z61" s="1588"/>
      <c r="AA61" s="1588"/>
      <c r="AB61" s="1588"/>
      <c r="AC61" s="1588"/>
      <c r="AD61" s="1588"/>
      <c r="AE61" s="1588"/>
      <c r="AF61" s="1588"/>
      <c r="AG61" s="1588"/>
      <c r="AH61" s="1588"/>
      <c r="AI61" s="1588"/>
      <c r="AJ61" s="1588"/>
      <c r="AK61" s="1588"/>
      <c r="AL61" s="1588"/>
      <c r="AM61" s="1588"/>
      <c r="AN61" s="1588"/>
      <c r="AO61" s="1588"/>
      <c r="AP61" s="1588"/>
      <c r="AQ61" s="1588"/>
      <c r="AR61" s="1588"/>
      <c r="AS61" s="1588"/>
      <c r="AT61" s="1588"/>
      <c r="AU61" s="1588"/>
      <c r="AV61" s="1588"/>
      <c r="AW61" s="1588"/>
      <c r="AX61" s="1588"/>
      <c r="AY61" s="1588"/>
      <c r="AZ61" s="1588"/>
      <c r="BA61" s="1588"/>
      <c r="BB61" s="1588"/>
      <c r="BC61" s="1588"/>
      <c r="BD61" s="1588"/>
      <c r="BE61" s="1588"/>
      <c r="BF61" s="1588"/>
      <c r="BG61" s="1588"/>
      <c r="BH61" s="1588"/>
      <c r="BI61" s="1588"/>
      <c r="BJ61" s="1588"/>
      <c r="BK61" s="1588"/>
      <c r="BL61" s="1588"/>
      <c r="BM61" s="1588"/>
      <c r="BN61" s="1588"/>
      <c r="BO61" s="1588"/>
      <c r="BP61" s="1588"/>
      <c r="BQ61" s="1588"/>
      <c r="BR61" s="1588"/>
      <c r="BS61" s="1588"/>
      <c r="BT61" s="1588"/>
      <c r="BU61" s="1588"/>
      <c r="BV61" s="1588"/>
      <c r="BW61" s="1588"/>
      <c r="BX61" s="1588"/>
      <c r="BY61" s="1588"/>
      <c r="BZ61" s="1588"/>
      <c r="CA61" s="1588"/>
      <c r="CB61" s="1588"/>
      <c r="CC61" s="1588"/>
      <c r="CD61" s="1588"/>
      <c r="CE61" s="1588"/>
      <c r="CF61" s="1588"/>
      <c r="CG61" s="1588"/>
      <c r="CH61" s="1588"/>
      <c r="CI61" s="1588"/>
      <c r="CJ61" s="1588"/>
      <c r="CK61" s="1588"/>
      <c r="CL61" s="1588"/>
      <c r="CM61" s="1588"/>
      <c r="CN61" s="1588"/>
      <c r="CO61" s="1588"/>
      <c r="CP61" s="1588"/>
      <c r="CQ61" s="1588"/>
      <c r="CR61" s="1588"/>
      <c r="CS61" s="1588"/>
      <c r="CT61" s="1588"/>
      <c r="CU61" s="1588"/>
      <c r="CV61" s="1588"/>
      <c r="CW61" s="1588"/>
      <c r="CX61" s="1588"/>
      <c r="CY61" s="1588"/>
      <c r="CZ61" s="1588"/>
      <c r="DA61" s="1588"/>
      <c r="DB61" s="1588"/>
      <c r="DC61" s="1588"/>
      <c r="DD61" s="1588"/>
      <c r="DE61" s="1588"/>
      <c r="DF61" s="1588"/>
      <c r="DG61" s="1588"/>
      <c r="DH61" s="1588"/>
      <c r="DI61" s="1588"/>
      <c r="DJ61" s="1588"/>
      <c r="DK61" s="1588"/>
      <c r="DL61" s="1588"/>
      <c r="DM61" s="1588"/>
      <c r="DN61" s="1588"/>
      <c r="DO61" s="1588"/>
      <c r="DP61" s="1588"/>
      <c r="DQ61" s="1588"/>
      <c r="DR61" s="1588"/>
      <c r="DS61" s="1588"/>
      <c r="DT61" s="1588"/>
      <c r="DU61" s="1588"/>
      <c r="DV61" s="1588"/>
      <c r="DW61" s="1588"/>
      <c r="DX61" s="1588"/>
      <c r="DY61" s="1588"/>
      <c r="DZ61" s="1588"/>
      <c r="EA61" s="1588"/>
      <c r="EB61" s="1588"/>
      <c r="EC61" s="1588"/>
      <c r="ED61" s="1588"/>
      <c r="EE61" s="1588"/>
      <c r="EF61" s="1588"/>
      <c r="EG61" s="1588"/>
      <c r="EH61" s="1588"/>
      <c r="EI61" s="1588"/>
      <c r="EJ61" s="1588"/>
      <c r="EK61" s="1588"/>
      <c r="EL61" s="1588"/>
      <c r="EM61" s="1588"/>
      <c r="EN61" s="1588"/>
      <c r="EO61" s="1588"/>
      <c r="EP61" s="1588"/>
      <c r="EQ61" s="1588"/>
      <c r="ER61" s="1588"/>
      <c r="ES61" s="1588"/>
      <c r="ET61" s="1588"/>
      <c r="EU61" s="1588"/>
      <c r="EV61" s="1588"/>
      <c r="EW61" s="1588"/>
      <c r="EX61" s="1588"/>
      <c r="EY61" s="1588"/>
      <c r="EZ61" s="1588"/>
      <c r="FA61" s="1588"/>
      <c r="FB61" s="1588"/>
      <c r="FC61" s="1588"/>
      <c r="FD61" s="1588"/>
      <c r="FE61" s="1588"/>
      <c r="FF61" s="1588"/>
      <c r="FG61" s="1588"/>
      <c r="FH61" s="1588"/>
      <c r="FI61" s="1588"/>
      <c r="FJ61" s="1588"/>
      <c r="FK61" s="1588"/>
      <c r="FL61" s="1588"/>
      <c r="FM61" s="1588"/>
      <c r="FN61" s="1588"/>
      <c r="FO61" s="1588"/>
      <c r="FP61" s="1588"/>
      <c r="FQ61" s="1588"/>
      <c r="FR61" s="1588"/>
      <c r="FS61" s="1588"/>
      <c r="FT61" s="1588"/>
      <c r="FU61" s="1588"/>
      <c r="FV61" s="1588"/>
      <c r="FW61" s="1588"/>
      <c r="FX61" s="1588"/>
      <c r="FY61" s="1588"/>
      <c r="FZ61" s="1588"/>
      <c r="GA61" s="1588"/>
      <c r="GB61" s="1588"/>
      <c r="GC61" s="1588"/>
      <c r="GD61" s="1588"/>
      <c r="GE61" s="1588"/>
      <c r="GF61" s="1588"/>
      <c r="GG61" s="1588"/>
      <c r="GH61" s="1588"/>
      <c r="GI61" s="1588"/>
      <c r="GJ61" s="1588"/>
      <c r="GK61" s="1588"/>
      <c r="GL61" s="1588"/>
      <c r="GM61" s="1588"/>
      <c r="GN61" s="1588"/>
      <c r="GO61" s="1588"/>
      <c r="GP61" s="1588"/>
      <c r="GQ61" s="1588"/>
      <c r="GR61" s="1588"/>
      <c r="GS61" s="1588"/>
      <c r="GT61" s="1588"/>
      <c r="GU61" s="1588"/>
      <c r="GV61" s="1588"/>
      <c r="GW61" s="1588"/>
      <c r="GX61" s="1588"/>
      <c r="GY61" s="1588"/>
      <c r="GZ61" s="1588"/>
      <c r="HA61" s="1588"/>
      <c r="HB61" s="1588"/>
      <c r="HC61" s="1588"/>
      <c r="HD61" s="1588"/>
      <c r="HE61" s="1588"/>
      <c r="HF61" s="1588"/>
      <c r="HG61" s="1588"/>
      <c r="HH61" s="1588"/>
      <c r="HI61" s="1588"/>
      <c r="HJ61" s="1588"/>
      <c r="HK61" s="1588"/>
      <c r="HL61" s="1588"/>
      <c r="HM61" s="1588"/>
      <c r="HN61" s="1588"/>
      <c r="HO61" s="1588"/>
      <c r="HP61" s="1588"/>
      <c r="HQ61" s="1588"/>
      <c r="HR61" s="1588"/>
      <c r="HS61" s="1588"/>
      <c r="HT61" s="1588"/>
      <c r="HU61" s="1588"/>
      <c r="HV61" s="1588"/>
      <c r="HW61" s="1588"/>
      <c r="HX61" s="1588"/>
      <c r="HY61" s="1588"/>
      <c r="HZ61" s="1588"/>
      <c r="IA61" s="1588"/>
      <c r="IB61" s="1588"/>
      <c r="IC61" s="1588"/>
      <c r="ID61" s="1588"/>
      <c r="IE61" s="1588"/>
      <c r="IF61" s="1588"/>
      <c r="IG61" s="1588"/>
      <c r="IH61" s="1588"/>
      <c r="II61" s="1588"/>
      <c r="IJ61" s="1588"/>
      <c r="IK61" s="1588"/>
      <c r="IL61" s="1588"/>
      <c r="IM61" s="1588"/>
      <c r="IN61" s="1588"/>
      <c r="IO61" s="1588"/>
      <c r="IP61" s="1588"/>
      <c r="IQ61" s="1588"/>
      <c r="IR61" s="1588"/>
      <c r="IS61" s="1588"/>
      <c r="IT61" s="1588"/>
      <c r="IU61" s="1588"/>
      <c r="IV61" s="1588"/>
    </row>
    <row r="62" spans="1:256" s="888" customFormat="1" ht="27" customHeight="1">
      <c r="A62" s="3725"/>
      <c r="B62" s="3507"/>
      <c r="C62" s="3514"/>
      <c r="D62" s="3975" t="s">
        <v>186</v>
      </c>
      <c r="E62" s="3514"/>
      <c r="F62" s="3546">
        <f>(10.64+153.6+41.61+33)*0.45+(10.64+153.6+41.61+33)*0.1</f>
        <v>131.36750000000001</v>
      </c>
      <c r="G62" s="15"/>
      <c r="H62" s="3546"/>
      <c r="I62" s="3510"/>
      <c r="J62" s="3978"/>
      <c r="O62" s="3133"/>
    </row>
    <row r="63" spans="1:256" s="888" customFormat="1" ht="13.5" customHeight="1">
      <c r="A63" s="3725"/>
      <c r="B63" s="3507"/>
      <c r="C63" s="3514"/>
      <c r="D63" s="3975" t="s">
        <v>187</v>
      </c>
      <c r="E63" s="3514"/>
      <c r="F63" s="3546">
        <f>(35.46+19.3)*0.7+(35.46+19.3)*0.2</f>
        <v>49.284000000000006</v>
      </c>
      <c r="G63" s="15"/>
      <c r="H63" s="3546"/>
      <c r="I63" s="3510"/>
      <c r="O63" s="3133"/>
    </row>
    <row r="64" spans="1:256" s="883" customFormat="1" ht="13.5" customHeight="1">
      <c r="A64" s="3979"/>
      <c r="B64" s="2592"/>
      <c r="C64" s="3285"/>
      <c r="D64" s="2599" t="s">
        <v>188</v>
      </c>
      <c r="E64" s="3980" t="s">
        <v>146</v>
      </c>
      <c r="F64" s="3872">
        <f>F58</f>
        <v>112.95850000000002</v>
      </c>
      <c r="G64" s="9"/>
      <c r="H64" s="3872">
        <f t="shared" ref="H64:H71" si="1">F64*G64</f>
        <v>0</v>
      </c>
      <c r="I64" s="2532"/>
      <c r="J64" s="3981"/>
      <c r="K64" s="783"/>
      <c r="L64" s="2832"/>
      <c r="M64" s="2832"/>
      <c r="N64" s="2832"/>
      <c r="Q64" s="2832"/>
      <c r="V64" s="2714"/>
    </row>
    <row r="65" spans="1:256" s="883" customFormat="1" ht="13.5" customHeight="1">
      <c r="A65" s="3979"/>
      <c r="B65" s="2592"/>
      <c r="C65" s="3285"/>
      <c r="D65" s="2599" t="s">
        <v>189</v>
      </c>
      <c r="E65" s="3980" t="s">
        <v>146</v>
      </c>
      <c r="F65" s="3872">
        <f>F61</f>
        <v>180.6515</v>
      </c>
      <c r="G65" s="9"/>
      <c r="H65" s="3872">
        <f t="shared" si="1"/>
        <v>0</v>
      </c>
      <c r="I65" s="2532"/>
      <c r="J65" s="3981"/>
      <c r="K65" s="783"/>
      <c r="L65" s="2832"/>
      <c r="M65" s="2832"/>
      <c r="N65" s="2832"/>
      <c r="Q65" s="2832"/>
      <c r="V65" s="2714"/>
    </row>
    <row r="66" spans="1:256" s="1587" customFormat="1" ht="27" customHeight="1">
      <c r="A66" s="3982"/>
      <c r="B66" s="3964"/>
      <c r="C66" s="3285"/>
      <c r="D66" s="3969" t="s">
        <v>190</v>
      </c>
      <c r="E66" s="3983" t="s">
        <v>146</v>
      </c>
      <c r="F66" s="3984">
        <f>F58</f>
        <v>112.95850000000002</v>
      </c>
      <c r="G66" s="5165" t="s">
        <v>3512</v>
      </c>
      <c r="H66" s="5166"/>
      <c r="I66" s="2532"/>
      <c r="J66" s="3981"/>
      <c r="K66" s="783"/>
      <c r="L66" s="621"/>
      <c r="M66" s="621"/>
      <c r="N66" s="621"/>
      <c r="O66" s="621"/>
      <c r="P66" s="621"/>
      <c r="Q66" s="621"/>
      <c r="R66" s="621"/>
      <c r="S66" s="784"/>
      <c r="V66" s="783"/>
      <c r="W66" s="1588"/>
      <c r="X66" s="1588"/>
      <c r="Y66" s="1588"/>
      <c r="Z66" s="1588"/>
      <c r="AA66" s="1588"/>
      <c r="AB66" s="1588"/>
      <c r="AC66" s="1588"/>
      <c r="AD66" s="1588"/>
      <c r="AE66" s="1588"/>
      <c r="AF66" s="1588"/>
      <c r="AG66" s="1588"/>
      <c r="AH66" s="1588"/>
      <c r="AI66" s="1588"/>
      <c r="AJ66" s="1588"/>
      <c r="AK66" s="1588"/>
      <c r="AL66" s="1588"/>
      <c r="AM66" s="1588"/>
      <c r="AN66" s="1588"/>
      <c r="AO66" s="1588"/>
      <c r="AP66" s="1588"/>
      <c r="AQ66" s="1588"/>
      <c r="AR66" s="1588"/>
      <c r="AS66" s="1588"/>
      <c r="AT66" s="1588"/>
      <c r="AU66" s="1588"/>
      <c r="AV66" s="1588"/>
      <c r="AW66" s="1588"/>
      <c r="AX66" s="1588"/>
      <c r="AY66" s="1588"/>
      <c r="AZ66" s="1588"/>
      <c r="BA66" s="1588"/>
      <c r="BB66" s="1588"/>
      <c r="BC66" s="1588"/>
      <c r="BD66" s="1588"/>
      <c r="BE66" s="1588"/>
      <c r="BF66" s="1588"/>
      <c r="BG66" s="1588"/>
      <c r="BH66" s="1588"/>
      <c r="BI66" s="1588"/>
      <c r="BJ66" s="1588"/>
      <c r="BK66" s="1588"/>
      <c r="BL66" s="1588"/>
      <c r="BM66" s="1588"/>
      <c r="BN66" s="1588"/>
      <c r="BO66" s="1588"/>
      <c r="BP66" s="1588"/>
      <c r="BQ66" s="1588"/>
      <c r="BR66" s="1588"/>
      <c r="BS66" s="1588"/>
      <c r="BT66" s="1588"/>
      <c r="BU66" s="1588"/>
      <c r="BV66" s="1588"/>
      <c r="BW66" s="1588"/>
      <c r="BX66" s="1588"/>
      <c r="BY66" s="1588"/>
      <c r="BZ66" s="1588"/>
      <c r="CA66" s="1588"/>
      <c r="CB66" s="1588"/>
      <c r="CC66" s="1588"/>
      <c r="CD66" s="1588"/>
      <c r="CE66" s="1588"/>
      <c r="CF66" s="1588"/>
      <c r="CG66" s="1588"/>
      <c r="CH66" s="1588"/>
      <c r="CI66" s="1588"/>
      <c r="CJ66" s="1588"/>
      <c r="CK66" s="1588"/>
      <c r="CL66" s="1588"/>
      <c r="CM66" s="1588"/>
      <c r="CN66" s="1588"/>
      <c r="CO66" s="1588"/>
      <c r="CP66" s="1588"/>
      <c r="CQ66" s="1588"/>
      <c r="CR66" s="1588"/>
      <c r="CS66" s="1588"/>
      <c r="CT66" s="1588"/>
      <c r="CU66" s="1588"/>
      <c r="CV66" s="1588"/>
      <c r="CW66" s="1588"/>
      <c r="CX66" s="1588"/>
      <c r="CY66" s="1588"/>
      <c r="CZ66" s="1588"/>
      <c r="DA66" s="1588"/>
      <c r="DB66" s="1588"/>
      <c r="DC66" s="1588"/>
      <c r="DD66" s="1588"/>
      <c r="DE66" s="1588"/>
      <c r="DF66" s="1588"/>
      <c r="DG66" s="1588"/>
      <c r="DH66" s="1588"/>
      <c r="DI66" s="1588"/>
      <c r="DJ66" s="1588"/>
      <c r="DK66" s="1588"/>
      <c r="DL66" s="1588"/>
      <c r="DM66" s="1588"/>
      <c r="DN66" s="1588"/>
      <c r="DO66" s="1588"/>
      <c r="DP66" s="1588"/>
      <c r="DQ66" s="1588"/>
      <c r="DR66" s="1588"/>
      <c r="DS66" s="1588"/>
      <c r="DT66" s="1588"/>
      <c r="DU66" s="1588"/>
      <c r="DV66" s="1588"/>
      <c r="DW66" s="1588"/>
      <c r="DX66" s="1588"/>
      <c r="DY66" s="1588"/>
      <c r="DZ66" s="1588"/>
      <c r="EA66" s="1588"/>
      <c r="EB66" s="1588"/>
      <c r="EC66" s="1588"/>
      <c r="ED66" s="1588"/>
      <c r="EE66" s="1588"/>
      <c r="EF66" s="1588"/>
      <c r="EG66" s="1588"/>
      <c r="EH66" s="1588"/>
      <c r="EI66" s="1588"/>
      <c r="EJ66" s="1588"/>
      <c r="EK66" s="1588"/>
      <c r="EL66" s="1588"/>
      <c r="EM66" s="1588"/>
      <c r="EN66" s="1588"/>
      <c r="EO66" s="1588"/>
      <c r="EP66" s="1588"/>
      <c r="EQ66" s="1588"/>
      <c r="ER66" s="1588"/>
      <c r="ES66" s="1588"/>
      <c r="ET66" s="1588"/>
      <c r="EU66" s="1588"/>
      <c r="EV66" s="1588"/>
      <c r="EW66" s="1588"/>
      <c r="EX66" s="1588"/>
      <c r="EY66" s="1588"/>
      <c r="EZ66" s="1588"/>
      <c r="FA66" s="1588"/>
      <c r="FB66" s="1588"/>
      <c r="FC66" s="1588"/>
      <c r="FD66" s="1588"/>
      <c r="FE66" s="1588"/>
      <c r="FF66" s="1588"/>
      <c r="FG66" s="1588"/>
      <c r="FH66" s="1588"/>
      <c r="FI66" s="1588"/>
      <c r="FJ66" s="1588"/>
      <c r="FK66" s="1588"/>
      <c r="FL66" s="1588"/>
      <c r="FM66" s="1588"/>
      <c r="FN66" s="1588"/>
      <c r="FO66" s="1588"/>
      <c r="FP66" s="1588"/>
      <c r="FQ66" s="1588"/>
      <c r="FR66" s="1588"/>
      <c r="FS66" s="1588"/>
      <c r="FT66" s="1588"/>
      <c r="FU66" s="1588"/>
      <c r="FV66" s="1588"/>
      <c r="FW66" s="1588"/>
      <c r="FX66" s="1588"/>
      <c r="FY66" s="1588"/>
      <c r="FZ66" s="1588"/>
      <c r="GA66" s="1588"/>
      <c r="GB66" s="1588"/>
      <c r="GC66" s="1588"/>
      <c r="GD66" s="1588"/>
      <c r="GE66" s="1588"/>
      <c r="GF66" s="1588"/>
      <c r="GG66" s="1588"/>
      <c r="GH66" s="1588"/>
      <c r="GI66" s="1588"/>
      <c r="GJ66" s="1588"/>
      <c r="GK66" s="1588"/>
      <c r="GL66" s="1588"/>
      <c r="GM66" s="1588"/>
      <c r="GN66" s="1588"/>
      <c r="GO66" s="1588"/>
      <c r="GP66" s="1588"/>
      <c r="GQ66" s="1588"/>
      <c r="GR66" s="1588"/>
      <c r="GS66" s="1588"/>
      <c r="GT66" s="1588"/>
      <c r="GU66" s="1588"/>
      <c r="GV66" s="1588"/>
      <c r="GW66" s="1588"/>
      <c r="GX66" s="1588"/>
      <c r="GY66" s="1588"/>
      <c r="GZ66" s="1588"/>
      <c r="HA66" s="1588"/>
      <c r="HB66" s="1588"/>
      <c r="HC66" s="1588"/>
      <c r="HD66" s="1588"/>
      <c r="HE66" s="1588"/>
      <c r="HF66" s="1588"/>
      <c r="HG66" s="1588"/>
      <c r="HH66" s="1588"/>
      <c r="HI66" s="1588"/>
      <c r="HJ66" s="1588"/>
      <c r="HK66" s="1588"/>
      <c r="HL66" s="1588"/>
      <c r="HM66" s="1588"/>
      <c r="HN66" s="1588"/>
      <c r="HO66" s="1588"/>
      <c r="HP66" s="1588"/>
      <c r="HQ66" s="1588"/>
      <c r="HR66" s="1588"/>
      <c r="HS66" s="1588"/>
      <c r="HT66" s="1588"/>
      <c r="HU66" s="1588"/>
      <c r="HV66" s="1588"/>
      <c r="HW66" s="1588"/>
      <c r="HX66" s="1588"/>
      <c r="HY66" s="1588"/>
      <c r="HZ66" s="1588"/>
      <c r="IA66" s="1588"/>
      <c r="IB66" s="1588"/>
      <c r="IC66" s="1588"/>
      <c r="ID66" s="1588"/>
      <c r="IE66" s="1588"/>
      <c r="IF66" s="1588"/>
      <c r="IG66" s="1588"/>
      <c r="IH66" s="1588"/>
      <c r="II66" s="1588"/>
      <c r="IJ66" s="1588"/>
      <c r="IK66" s="1588"/>
      <c r="IL66" s="1588"/>
      <c r="IM66" s="1588"/>
      <c r="IN66" s="1588"/>
      <c r="IO66" s="1588"/>
      <c r="IP66" s="1588"/>
      <c r="IQ66" s="1588"/>
      <c r="IR66" s="1588"/>
      <c r="IS66" s="1588"/>
      <c r="IT66" s="1588"/>
      <c r="IU66" s="1588"/>
      <c r="IV66" s="1588"/>
    </row>
    <row r="67" spans="1:256" s="1587" customFormat="1" ht="27" customHeight="1">
      <c r="A67" s="3982"/>
      <c r="B67" s="3964"/>
      <c r="C67" s="3285"/>
      <c r="D67" s="3969" t="s">
        <v>191</v>
      </c>
      <c r="E67" s="3983" t="s">
        <v>146</v>
      </c>
      <c r="F67" s="3984">
        <f>F61</f>
        <v>180.6515</v>
      </c>
      <c r="G67" s="5165" t="s">
        <v>3512</v>
      </c>
      <c r="H67" s="5166"/>
      <c r="I67" s="2532"/>
      <c r="J67" s="3981"/>
      <c r="K67" s="783"/>
      <c r="L67" s="621"/>
      <c r="M67" s="621"/>
      <c r="N67" s="621"/>
      <c r="O67" s="621"/>
      <c r="P67" s="621"/>
      <c r="Q67" s="621"/>
      <c r="R67" s="621"/>
      <c r="S67" s="784"/>
      <c r="V67" s="783"/>
      <c r="W67" s="1588"/>
      <c r="X67" s="1588"/>
      <c r="Y67" s="1588"/>
      <c r="Z67" s="1588"/>
      <c r="AA67" s="1588"/>
      <c r="AB67" s="1588"/>
      <c r="AC67" s="1588"/>
      <c r="AD67" s="1588"/>
      <c r="AE67" s="1588"/>
      <c r="AF67" s="1588"/>
      <c r="AG67" s="1588"/>
      <c r="AH67" s="1588"/>
      <c r="AI67" s="1588"/>
      <c r="AJ67" s="1588"/>
      <c r="AK67" s="1588"/>
      <c r="AL67" s="1588"/>
      <c r="AM67" s="1588"/>
      <c r="AN67" s="1588"/>
      <c r="AO67" s="1588"/>
      <c r="AP67" s="1588"/>
      <c r="AQ67" s="1588"/>
      <c r="AR67" s="1588"/>
      <c r="AS67" s="1588"/>
      <c r="AT67" s="1588"/>
      <c r="AU67" s="1588"/>
      <c r="AV67" s="1588"/>
      <c r="AW67" s="1588"/>
      <c r="AX67" s="1588"/>
      <c r="AY67" s="1588"/>
      <c r="AZ67" s="1588"/>
      <c r="BA67" s="1588"/>
      <c r="BB67" s="1588"/>
      <c r="BC67" s="1588"/>
      <c r="BD67" s="1588"/>
      <c r="BE67" s="1588"/>
      <c r="BF67" s="1588"/>
      <c r="BG67" s="1588"/>
      <c r="BH67" s="1588"/>
      <c r="BI67" s="1588"/>
      <c r="BJ67" s="1588"/>
      <c r="BK67" s="1588"/>
      <c r="BL67" s="1588"/>
      <c r="BM67" s="1588"/>
      <c r="BN67" s="1588"/>
      <c r="BO67" s="1588"/>
      <c r="BP67" s="1588"/>
      <c r="BQ67" s="1588"/>
      <c r="BR67" s="1588"/>
      <c r="BS67" s="1588"/>
      <c r="BT67" s="1588"/>
      <c r="BU67" s="1588"/>
      <c r="BV67" s="1588"/>
      <c r="BW67" s="1588"/>
      <c r="BX67" s="1588"/>
      <c r="BY67" s="1588"/>
      <c r="BZ67" s="1588"/>
      <c r="CA67" s="1588"/>
      <c r="CB67" s="1588"/>
      <c r="CC67" s="1588"/>
      <c r="CD67" s="1588"/>
      <c r="CE67" s="1588"/>
      <c r="CF67" s="1588"/>
      <c r="CG67" s="1588"/>
      <c r="CH67" s="1588"/>
      <c r="CI67" s="1588"/>
      <c r="CJ67" s="1588"/>
      <c r="CK67" s="1588"/>
      <c r="CL67" s="1588"/>
      <c r="CM67" s="1588"/>
      <c r="CN67" s="1588"/>
      <c r="CO67" s="1588"/>
      <c r="CP67" s="1588"/>
      <c r="CQ67" s="1588"/>
      <c r="CR67" s="1588"/>
      <c r="CS67" s="1588"/>
      <c r="CT67" s="1588"/>
      <c r="CU67" s="1588"/>
      <c r="CV67" s="1588"/>
      <c r="CW67" s="1588"/>
      <c r="CX67" s="1588"/>
      <c r="CY67" s="1588"/>
      <c r="CZ67" s="1588"/>
      <c r="DA67" s="1588"/>
      <c r="DB67" s="1588"/>
      <c r="DC67" s="1588"/>
      <c r="DD67" s="1588"/>
      <c r="DE67" s="1588"/>
      <c r="DF67" s="1588"/>
      <c r="DG67" s="1588"/>
      <c r="DH67" s="1588"/>
      <c r="DI67" s="1588"/>
      <c r="DJ67" s="1588"/>
      <c r="DK67" s="1588"/>
      <c r="DL67" s="1588"/>
      <c r="DM67" s="1588"/>
      <c r="DN67" s="1588"/>
      <c r="DO67" s="1588"/>
      <c r="DP67" s="1588"/>
      <c r="DQ67" s="1588"/>
      <c r="DR67" s="1588"/>
      <c r="DS67" s="1588"/>
      <c r="DT67" s="1588"/>
      <c r="DU67" s="1588"/>
      <c r="DV67" s="1588"/>
      <c r="DW67" s="1588"/>
      <c r="DX67" s="1588"/>
      <c r="DY67" s="1588"/>
      <c r="DZ67" s="1588"/>
      <c r="EA67" s="1588"/>
      <c r="EB67" s="1588"/>
      <c r="EC67" s="1588"/>
      <c r="ED67" s="1588"/>
      <c r="EE67" s="1588"/>
      <c r="EF67" s="1588"/>
      <c r="EG67" s="1588"/>
      <c r="EH67" s="1588"/>
      <c r="EI67" s="1588"/>
      <c r="EJ67" s="1588"/>
      <c r="EK67" s="1588"/>
      <c r="EL67" s="1588"/>
      <c r="EM67" s="1588"/>
      <c r="EN67" s="1588"/>
      <c r="EO67" s="1588"/>
      <c r="EP67" s="1588"/>
      <c r="EQ67" s="1588"/>
      <c r="ER67" s="1588"/>
      <c r="ES67" s="1588"/>
      <c r="ET67" s="1588"/>
      <c r="EU67" s="1588"/>
      <c r="EV67" s="1588"/>
      <c r="EW67" s="1588"/>
      <c r="EX67" s="1588"/>
      <c r="EY67" s="1588"/>
      <c r="EZ67" s="1588"/>
      <c r="FA67" s="1588"/>
      <c r="FB67" s="1588"/>
      <c r="FC67" s="1588"/>
      <c r="FD67" s="1588"/>
      <c r="FE67" s="1588"/>
      <c r="FF67" s="1588"/>
      <c r="FG67" s="1588"/>
      <c r="FH67" s="1588"/>
      <c r="FI67" s="1588"/>
      <c r="FJ67" s="1588"/>
      <c r="FK67" s="1588"/>
      <c r="FL67" s="1588"/>
      <c r="FM67" s="1588"/>
      <c r="FN67" s="1588"/>
      <c r="FO67" s="1588"/>
      <c r="FP67" s="1588"/>
      <c r="FQ67" s="1588"/>
      <c r="FR67" s="1588"/>
      <c r="FS67" s="1588"/>
      <c r="FT67" s="1588"/>
      <c r="FU67" s="1588"/>
      <c r="FV67" s="1588"/>
      <c r="FW67" s="1588"/>
      <c r="FX67" s="1588"/>
      <c r="FY67" s="1588"/>
      <c r="FZ67" s="1588"/>
      <c r="GA67" s="1588"/>
      <c r="GB67" s="1588"/>
      <c r="GC67" s="1588"/>
      <c r="GD67" s="1588"/>
      <c r="GE67" s="1588"/>
      <c r="GF67" s="1588"/>
      <c r="GG67" s="1588"/>
      <c r="GH67" s="1588"/>
      <c r="GI67" s="1588"/>
      <c r="GJ67" s="1588"/>
      <c r="GK67" s="1588"/>
      <c r="GL67" s="1588"/>
      <c r="GM67" s="1588"/>
      <c r="GN67" s="1588"/>
      <c r="GO67" s="1588"/>
      <c r="GP67" s="1588"/>
      <c r="GQ67" s="1588"/>
      <c r="GR67" s="1588"/>
      <c r="GS67" s="1588"/>
      <c r="GT67" s="1588"/>
      <c r="GU67" s="1588"/>
      <c r="GV67" s="1588"/>
      <c r="GW67" s="1588"/>
      <c r="GX67" s="1588"/>
      <c r="GY67" s="1588"/>
      <c r="GZ67" s="1588"/>
      <c r="HA67" s="1588"/>
      <c r="HB67" s="1588"/>
      <c r="HC67" s="1588"/>
      <c r="HD67" s="1588"/>
      <c r="HE67" s="1588"/>
      <c r="HF67" s="1588"/>
      <c r="HG67" s="1588"/>
      <c r="HH67" s="1588"/>
      <c r="HI67" s="1588"/>
      <c r="HJ67" s="1588"/>
      <c r="HK67" s="1588"/>
      <c r="HL67" s="1588"/>
      <c r="HM67" s="1588"/>
      <c r="HN67" s="1588"/>
      <c r="HO67" s="1588"/>
      <c r="HP67" s="1588"/>
      <c r="HQ67" s="1588"/>
      <c r="HR67" s="1588"/>
      <c r="HS67" s="1588"/>
      <c r="HT67" s="1588"/>
      <c r="HU67" s="1588"/>
      <c r="HV67" s="1588"/>
      <c r="HW67" s="1588"/>
      <c r="HX67" s="1588"/>
      <c r="HY67" s="1588"/>
      <c r="HZ67" s="1588"/>
      <c r="IA67" s="1588"/>
      <c r="IB67" s="1588"/>
      <c r="IC67" s="1588"/>
      <c r="ID67" s="1588"/>
      <c r="IE67" s="1588"/>
      <c r="IF67" s="1588"/>
      <c r="IG67" s="1588"/>
      <c r="IH67" s="1588"/>
      <c r="II67" s="1588"/>
      <c r="IJ67" s="1588"/>
      <c r="IK67" s="1588"/>
      <c r="IL67" s="1588"/>
      <c r="IM67" s="1588"/>
      <c r="IN67" s="1588"/>
      <c r="IO67" s="1588"/>
      <c r="IP67" s="1588"/>
      <c r="IQ67" s="1588"/>
      <c r="IR67" s="1588"/>
      <c r="IS67" s="1588"/>
      <c r="IT67" s="1588"/>
      <c r="IU67" s="1588"/>
      <c r="IV67" s="1588"/>
    </row>
    <row r="68" spans="1:256" s="1271" customFormat="1" ht="26.25" customHeight="1">
      <c r="A68" s="3985"/>
      <c r="B68" s="3986"/>
      <c r="C68" s="3986"/>
      <c r="D68" s="3986" t="s">
        <v>6317</v>
      </c>
      <c r="E68" s="3986" t="s">
        <v>146</v>
      </c>
      <c r="F68" s="3987">
        <f>F58</f>
        <v>112.95850000000002</v>
      </c>
      <c r="G68" s="468"/>
      <c r="H68" s="3988">
        <f t="shared" ref="H68:H69" si="2">F68*G68</f>
        <v>0</v>
      </c>
      <c r="I68" s="3759"/>
      <c r="J68" s="1270"/>
      <c r="K68" s="647"/>
    </row>
    <row r="69" spans="1:256" s="1271" customFormat="1" ht="26.25" customHeight="1">
      <c r="A69" s="3985"/>
      <c r="B69" s="3986"/>
      <c r="C69" s="3986"/>
      <c r="D69" s="3986" t="s">
        <v>6318</v>
      </c>
      <c r="E69" s="3986" t="s">
        <v>146</v>
      </c>
      <c r="F69" s="3987">
        <f>F61</f>
        <v>180.6515</v>
      </c>
      <c r="G69" s="468"/>
      <c r="H69" s="3988">
        <f t="shared" si="2"/>
        <v>0</v>
      </c>
      <c r="I69" s="3759"/>
      <c r="J69" s="1270"/>
      <c r="K69" s="647"/>
    </row>
    <row r="70" spans="1:256" s="883" customFormat="1" ht="27" customHeight="1">
      <c r="A70" s="3979"/>
      <c r="B70" s="2592"/>
      <c r="C70" s="3285"/>
      <c r="D70" s="3969" t="s">
        <v>192</v>
      </c>
      <c r="E70" s="3980" t="s">
        <v>146</v>
      </c>
      <c r="F70" s="3872">
        <f>F56</f>
        <v>293.61</v>
      </c>
      <c r="G70" s="10"/>
      <c r="H70" s="3872">
        <f t="shared" si="1"/>
        <v>0</v>
      </c>
      <c r="I70" s="2532"/>
      <c r="J70" s="3981"/>
      <c r="K70" s="783"/>
      <c r="L70" s="612"/>
      <c r="M70" s="612"/>
      <c r="N70" s="612"/>
      <c r="O70" s="612"/>
      <c r="P70" s="612"/>
      <c r="Q70" s="612"/>
      <c r="R70" s="612"/>
      <c r="S70" s="788"/>
      <c r="U70" s="621"/>
      <c r="V70" s="612"/>
      <c r="W70" s="1273"/>
    </row>
    <row r="71" spans="1:256" s="883" customFormat="1" ht="27" customHeight="1">
      <c r="A71" s="3979"/>
      <c r="B71" s="2592"/>
      <c r="C71" s="3285"/>
      <c r="D71" s="810" t="s">
        <v>6314</v>
      </c>
      <c r="E71" s="3980" t="s">
        <v>175</v>
      </c>
      <c r="F71" s="3872">
        <f>F56*2</f>
        <v>587.22</v>
      </c>
      <c r="G71" s="9"/>
      <c r="H71" s="3872">
        <f t="shared" si="1"/>
        <v>0</v>
      </c>
      <c r="I71" s="2532"/>
      <c r="J71" s="3981"/>
      <c r="K71" s="647"/>
      <c r="L71" s="612"/>
      <c r="M71" s="612"/>
      <c r="N71" s="612"/>
      <c r="O71" s="612"/>
      <c r="P71" s="612"/>
      <c r="Q71" s="612"/>
      <c r="R71" s="612"/>
      <c r="S71" s="788"/>
      <c r="V71" s="612"/>
    </row>
    <row r="72" spans="1:256" s="647" customFormat="1" ht="13.5" customHeight="1">
      <c r="A72" s="3295"/>
      <c r="B72" s="3296"/>
      <c r="C72" s="3297"/>
      <c r="D72" s="3298" t="s">
        <v>193</v>
      </c>
      <c r="E72" s="3299"/>
      <c r="F72" s="3989"/>
      <c r="G72" s="3216"/>
      <c r="H72" s="3301"/>
      <c r="I72" s="3302"/>
      <c r="J72" s="815"/>
      <c r="L72" s="612"/>
      <c r="M72" s="612"/>
      <c r="N72" s="612"/>
      <c r="O72" s="612"/>
      <c r="P72" s="612"/>
      <c r="Q72" s="612"/>
      <c r="R72" s="612"/>
      <c r="S72" s="788"/>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16"/>
      <c r="BR72" s="816"/>
      <c r="BS72" s="816"/>
      <c r="BT72" s="816"/>
      <c r="BU72" s="816"/>
      <c r="BV72" s="816"/>
      <c r="BW72" s="816"/>
      <c r="BX72" s="816"/>
      <c r="BY72" s="816"/>
      <c r="BZ72" s="816"/>
      <c r="CA72" s="816"/>
      <c r="CB72" s="816"/>
      <c r="CC72" s="816"/>
      <c r="CD72" s="816"/>
      <c r="CE72" s="816"/>
      <c r="CF72" s="816"/>
      <c r="CG72" s="816"/>
      <c r="CH72" s="816"/>
      <c r="CI72" s="816"/>
      <c r="CJ72" s="816"/>
      <c r="CK72" s="816"/>
      <c r="CL72" s="816"/>
      <c r="CM72" s="816"/>
      <c r="CN72" s="816"/>
      <c r="CO72" s="816"/>
      <c r="CP72" s="816"/>
      <c r="CQ72" s="816"/>
      <c r="CR72" s="816"/>
      <c r="CS72" s="816"/>
      <c r="CT72" s="816"/>
      <c r="CU72" s="816"/>
      <c r="CV72" s="816"/>
      <c r="CW72" s="816"/>
      <c r="CX72" s="816"/>
      <c r="CY72" s="816"/>
      <c r="CZ72" s="816"/>
      <c r="DA72" s="816"/>
      <c r="DB72" s="816"/>
      <c r="DC72" s="816"/>
      <c r="DD72" s="816"/>
      <c r="DE72" s="816"/>
      <c r="DF72" s="816"/>
      <c r="DG72" s="816"/>
      <c r="DH72" s="816"/>
      <c r="DI72" s="816"/>
      <c r="DJ72" s="816"/>
      <c r="DK72" s="816"/>
      <c r="DL72" s="816"/>
      <c r="DM72" s="816"/>
      <c r="DN72" s="816"/>
      <c r="DO72" s="816"/>
      <c r="DP72" s="816"/>
      <c r="DQ72" s="816"/>
      <c r="DR72" s="816"/>
      <c r="DS72" s="816"/>
      <c r="DT72" s="816"/>
      <c r="DU72" s="816"/>
      <c r="DV72" s="816"/>
      <c r="DW72" s="816"/>
      <c r="DX72" s="816"/>
      <c r="DY72" s="816"/>
      <c r="DZ72" s="816"/>
      <c r="EA72" s="816"/>
      <c r="EB72" s="816"/>
      <c r="EC72" s="816"/>
      <c r="ED72" s="816"/>
      <c r="EE72" s="816"/>
      <c r="EF72" s="816"/>
      <c r="EG72" s="816"/>
      <c r="EH72" s="816"/>
      <c r="EI72" s="816"/>
      <c r="EJ72" s="816"/>
      <c r="EK72" s="816"/>
      <c r="EL72" s="816"/>
      <c r="EM72" s="816"/>
      <c r="EN72" s="816"/>
      <c r="EO72" s="816"/>
      <c r="EP72" s="816"/>
      <c r="EQ72" s="816"/>
      <c r="ER72" s="816"/>
      <c r="ES72" s="816"/>
      <c r="ET72" s="816"/>
      <c r="EU72" s="816"/>
      <c r="EV72" s="816"/>
      <c r="EW72" s="816"/>
      <c r="EX72" s="816"/>
      <c r="EY72" s="816"/>
      <c r="EZ72" s="816"/>
      <c r="FA72" s="816"/>
      <c r="FB72" s="816"/>
      <c r="FC72" s="816"/>
      <c r="FD72" s="816"/>
      <c r="FE72" s="816"/>
      <c r="FF72" s="816"/>
      <c r="FG72" s="816"/>
      <c r="FH72" s="816"/>
      <c r="FI72" s="816"/>
      <c r="FJ72" s="816"/>
      <c r="FK72" s="816"/>
      <c r="FL72" s="816"/>
      <c r="FM72" s="816"/>
      <c r="FN72" s="816"/>
      <c r="FO72" s="816"/>
      <c r="FP72" s="816"/>
      <c r="FQ72" s="816"/>
      <c r="FR72" s="816"/>
      <c r="FS72" s="816"/>
      <c r="FT72" s="816"/>
      <c r="FU72" s="816"/>
      <c r="FV72" s="816"/>
      <c r="FW72" s="816"/>
      <c r="FX72" s="816"/>
      <c r="FY72" s="816"/>
      <c r="FZ72" s="816"/>
      <c r="GA72" s="816"/>
      <c r="GB72" s="816"/>
      <c r="GC72" s="816"/>
      <c r="GD72" s="816"/>
      <c r="GE72" s="816"/>
      <c r="GF72" s="816"/>
      <c r="GG72" s="816"/>
      <c r="GH72" s="816"/>
      <c r="GI72" s="816"/>
      <c r="GJ72" s="816"/>
      <c r="GK72" s="816"/>
      <c r="GL72" s="816"/>
      <c r="GM72" s="816"/>
      <c r="GN72" s="816"/>
      <c r="GO72" s="816"/>
      <c r="GP72" s="816"/>
      <c r="GQ72" s="816"/>
      <c r="GR72" s="816"/>
      <c r="GS72" s="816"/>
      <c r="GT72" s="816"/>
      <c r="GU72" s="816"/>
      <c r="GV72" s="816"/>
      <c r="GW72" s="816"/>
      <c r="GX72" s="816"/>
      <c r="GY72" s="816"/>
      <c r="GZ72" s="816"/>
      <c r="HA72" s="816"/>
      <c r="HB72" s="816"/>
      <c r="HC72" s="816"/>
      <c r="HD72" s="816"/>
      <c r="HE72" s="816"/>
      <c r="HF72" s="816"/>
      <c r="HG72" s="816"/>
      <c r="HH72" s="816"/>
      <c r="HI72" s="816"/>
      <c r="HJ72" s="816"/>
      <c r="HK72" s="816"/>
      <c r="HL72" s="816"/>
      <c r="HM72" s="816"/>
      <c r="HN72" s="816"/>
      <c r="HO72" s="816"/>
      <c r="HP72" s="816"/>
      <c r="HQ72" s="816"/>
      <c r="HR72" s="816"/>
      <c r="HS72" s="816"/>
      <c r="HT72" s="816"/>
      <c r="HU72" s="816"/>
      <c r="HV72" s="816"/>
      <c r="HW72" s="816"/>
      <c r="HX72" s="816"/>
      <c r="HY72" s="816"/>
      <c r="HZ72" s="816"/>
      <c r="IA72" s="816"/>
      <c r="IB72" s="816"/>
      <c r="IC72" s="816"/>
      <c r="ID72" s="816"/>
      <c r="IE72" s="816"/>
      <c r="IF72" s="816"/>
      <c r="IG72" s="816"/>
      <c r="IH72" s="816"/>
      <c r="II72" s="816"/>
      <c r="IJ72" s="816"/>
      <c r="IK72" s="816"/>
      <c r="IL72" s="816"/>
      <c r="IM72" s="816"/>
      <c r="IN72" s="816"/>
      <c r="IO72" s="816"/>
      <c r="IP72" s="816"/>
      <c r="IQ72" s="816"/>
      <c r="IR72" s="816"/>
      <c r="IS72" s="816"/>
      <c r="IT72" s="816"/>
      <c r="IU72" s="816"/>
      <c r="IV72" s="816"/>
    </row>
    <row r="73" spans="1:256" s="1587" customFormat="1" ht="81" customHeight="1">
      <c r="A73" s="3990"/>
      <c r="B73" s="3991"/>
      <c r="C73" s="3992"/>
      <c r="D73" s="2314" t="s">
        <v>194</v>
      </c>
      <c r="E73" s="3969"/>
      <c r="F73" s="3984"/>
      <c r="G73" s="8"/>
      <c r="H73" s="3965"/>
      <c r="I73" s="3993"/>
      <c r="L73" s="1588"/>
      <c r="M73" s="1588"/>
      <c r="N73" s="1588"/>
      <c r="O73" s="1588"/>
      <c r="P73" s="1588"/>
      <c r="Q73" s="1588"/>
      <c r="R73" s="1588"/>
      <c r="S73" s="1588"/>
      <c r="T73" s="1588"/>
      <c r="U73" s="1588"/>
      <c r="V73" s="1588"/>
      <c r="W73" s="1588"/>
      <c r="X73" s="1588"/>
      <c r="Y73" s="1588"/>
      <c r="Z73" s="1588"/>
      <c r="AA73" s="1588"/>
      <c r="AB73" s="1588"/>
      <c r="AC73" s="1588"/>
      <c r="AD73" s="1588"/>
      <c r="AE73" s="1588"/>
      <c r="AF73" s="1588"/>
      <c r="AG73" s="1588"/>
      <c r="AH73" s="1588"/>
      <c r="AI73" s="1588"/>
      <c r="AJ73" s="1588"/>
      <c r="AK73" s="1588"/>
      <c r="AL73" s="1588"/>
      <c r="AM73" s="1588"/>
      <c r="AN73" s="1588"/>
      <c r="AO73" s="1588"/>
      <c r="AP73" s="1588"/>
      <c r="AQ73" s="1588"/>
      <c r="AR73" s="1588"/>
      <c r="AS73" s="1588"/>
      <c r="AT73" s="1588"/>
      <c r="AU73" s="1588"/>
      <c r="AV73" s="1588"/>
      <c r="AW73" s="1588"/>
      <c r="AX73" s="1588"/>
      <c r="AY73" s="1588"/>
      <c r="AZ73" s="1588"/>
      <c r="BA73" s="1588"/>
      <c r="BB73" s="1588"/>
      <c r="BC73" s="1588"/>
      <c r="BD73" s="1588"/>
      <c r="BE73" s="1588"/>
      <c r="BF73" s="1588"/>
      <c r="BG73" s="1588"/>
      <c r="BH73" s="1588"/>
      <c r="BI73" s="1588"/>
      <c r="BJ73" s="1588"/>
      <c r="BK73" s="1588"/>
      <c r="BL73" s="1588"/>
      <c r="BM73" s="1588"/>
      <c r="BN73" s="1588"/>
      <c r="BO73" s="1588"/>
      <c r="BP73" s="1588"/>
      <c r="BQ73" s="1588"/>
      <c r="BR73" s="1588"/>
      <c r="BS73" s="1588"/>
      <c r="BT73" s="1588"/>
      <c r="BU73" s="1588"/>
      <c r="BV73" s="1588"/>
      <c r="BW73" s="1588"/>
      <c r="BX73" s="1588"/>
      <c r="BY73" s="1588"/>
      <c r="BZ73" s="1588"/>
      <c r="CA73" s="1588"/>
      <c r="CB73" s="1588"/>
      <c r="CC73" s="1588"/>
      <c r="CD73" s="1588"/>
      <c r="CE73" s="1588"/>
      <c r="CF73" s="1588"/>
      <c r="CG73" s="1588"/>
      <c r="CH73" s="1588"/>
      <c r="CI73" s="1588"/>
      <c r="CJ73" s="1588"/>
      <c r="CK73" s="1588"/>
      <c r="CL73" s="1588"/>
      <c r="CM73" s="1588"/>
      <c r="CN73" s="1588"/>
      <c r="CO73" s="1588"/>
      <c r="CP73" s="1588"/>
      <c r="CQ73" s="1588"/>
      <c r="CR73" s="1588"/>
      <c r="CS73" s="1588"/>
      <c r="CT73" s="1588"/>
      <c r="CU73" s="1588"/>
      <c r="CV73" s="1588"/>
      <c r="CW73" s="1588"/>
      <c r="CX73" s="1588"/>
      <c r="CY73" s="1588"/>
      <c r="CZ73" s="1588"/>
      <c r="DA73" s="1588"/>
      <c r="DB73" s="1588"/>
      <c r="DC73" s="1588"/>
      <c r="DD73" s="1588"/>
      <c r="DE73" s="1588"/>
      <c r="DF73" s="1588"/>
      <c r="DG73" s="1588"/>
      <c r="DH73" s="1588"/>
      <c r="DI73" s="1588"/>
      <c r="DJ73" s="1588"/>
      <c r="DK73" s="1588"/>
      <c r="DL73" s="1588"/>
      <c r="DM73" s="1588"/>
      <c r="DN73" s="1588"/>
      <c r="DO73" s="1588"/>
      <c r="DP73" s="1588"/>
      <c r="DQ73" s="1588"/>
      <c r="DR73" s="1588"/>
      <c r="DS73" s="1588"/>
      <c r="DT73" s="1588"/>
      <c r="DU73" s="1588"/>
      <c r="DV73" s="1588"/>
      <c r="DW73" s="1588"/>
      <c r="DX73" s="1588"/>
      <c r="DY73" s="1588"/>
      <c r="DZ73" s="1588"/>
      <c r="EA73" s="1588"/>
      <c r="EB73" s="1588"/>
      <c r="EC73" s="1588"/>
      <c r="ED73" s="1588"/>
      <c r="EE73" s="1588"/>
      <c r="EF73" s="1588"/>
      <c r="EG73" s="1588"/>
      <c r="EH73" s="1588"/>
      <c r="EI73" s="1588"/>
      <c r="EJ73" s="1588"/>
      <c r="EK73" s="1588"/>
      <c r="EL73" s="1588"/>
      <c r="EM73" s="1588"/>
      <c r="EN73" s="1588"/>
      <c r="EO73" s="1588"/>
      <c r="EP73" s="1588"/>
      <c r="EQ73" s="1588"/>
      <c r="ER73" s="1588"/>
      <c r="ES73" s="1588"/>
      <c r="ET73" s="1588"/>
      <c r="EU73" s="1588"/>
      <c r="EV73" s="1588"/>
      <c r="EW73" s="1588"/>
      <c r="EX73" s="1588"/>
      <c r="EY73" s="1588"/>
      <c r="EZ73" s="1588"/>
      <c r="FA73" s="1588"/>
      <c r="FB73" s="1588"/>
      <c r="FC73" s="1588"/>
      <c r="FD73" s="1588"/>
      <c r="FE73" s="1588"/>
      <c r="FF73" s="1588"/>
      <c r="FG73" s="1588"/>
      <c r="FH73" s="1588"/>
      <c r="FI73" s="1588"/>
      <c r="FJ73" s="1588"/>
      <c r="FK73" s="1588"/>
      <c r="FL73" s="1588"/>
      <c r="FM73" s="1588"/>
      <c r="FN73" s="1588"/>
      <c r="FO73" s="1588"/>
      <c r="FP73" s="1588"/>
      <c r="FQ73" s="1588"/>
      <c r="FR73" s="1588"/>
      <c r="FS73" s="1588"/>
      <c r="FT73" s="1588"/>
      <c r="FU73" s="1588"/>
      <c r="FV73" s="1588"/>
      <c r="FW73" s="1588"/>
      <c r="FX73" s="1588"/>
      <c r="FY73" s="1588"/>
      <c r="FZ73" s="1588"/>
      <c r="GA73" s="1588"/>
      <c r="GB73" s="1588"/>
      <c r="GC73" s="1588"/>
      <c r="GD73" s="1588"/>
      <c r="GE73" s="1588"/>
      <c r="GF73" s="1588"/>
      <c r="GG73" s="1588"/>
      <c r="GH73" s="1588"/>
      <c r="GI73" s="1588"/>
      <c r="GJ73" s="1588"/>
      <c r="GK73" s="1588"/>
      <c r="GL73" s="1588"/>
      <c r="GM73" s="1588"/>
      <c r="GN73" s="1588"/>
      <c r="GO73" s="1588"/>
      <c r="GP73" s="1588"/>
      <c r="GQ73" s="1588"/>
      <c r="GR73" s="1588"/>
      <c r="GS73" s="1588"/>
      <c r="GT73" s="1588"/>
      <c r="GU73" s="1588"/>
      <c r="GV73" s="1588"/>
      <c r="GW73" s="1588"/>
      <c r="GX73" s="1588"/>
      <c r="GY73" s="1588"/>
      <c r="GZ73" s="1588"/>
      <c r="HA73" s="1588"/>
      <c r="HB73" s="1588"/>
      <c r="HC73" s="1588"/>
      <c r="HD73" s="1588"/>
      <c r="HE73" s="1588"/>
      <c r="HF73" s="1588"/>
      <c r="HG73" s="1588"/>
      <c r="HH73" s="1588"/>
      <c r="HI73" s="1588"/>
      <c r="HJ73" s="1588"/>
      <c r="HK73" s="1588"/>
      <c r="HL73" s="1588"/>
      <c r="HM73" s="1588"/>
      <c r="HN73" s="1588"/>
      <c r="HO73" s="1588"/>
      <c r="HP73" s="1588"/>
      <c r="HQ73" s="1588"/>
      <c r="HR73" s="1588"/>
      <c r="HS73" s="1588"/>
      <c r="HT73" s="1588"/>
      <c r="HU73" s="1588"/>
      <c r="HV73" s="1588"/>
      <c r="HW73" s="1588"/>
      <c r="HX73" s="1588"/>
      <c r="HY73" s="1588"/>
      <c r="HZ73" s="1588"/>
      <c r="IA73" s="1588"/>
      <c r="IB73" s="1588"/>
      <c r="IC73" s="1588"/>
      <c r="ID73" s="1588"/>
      <c r="IE73" s="1588"/>
      <c r="IF73" s="1588"/>
      <c r="IG73" s="1588"/>
      <c r="IH73" s="1588"/>
      <c r="II73" s="1588"/>
      <c r="IJ73" s="1588"/>
      <c r="IK73" s="1588"/>
      <c r="IL73" s="1588"/>
      <c r="IM73" s="1588"/>
      <c r="IN73" s="1588"/>
      <c r="IO73" s="1588"/>
      <c r="IP73" s="1588"/>
      <c r="IQ73" s="1588"/>
      <c r="IR73" s="1588"/>
      <c r="IS73" s="1588"/>
      <c r="IT73" s="1588"/>
      <c r="IU73" s="1588"/>
      <c r="IV73" s="1588"/>
    </row>
    <row r="74" spans="1:256" s="804" customFormat="1" ht="13.5" customHeight="1">
      <c r="A74" s="3994"/>
      <c r="B74" s="3995"/>
      <c r="C74" s="3996">
        <v>2</v>
      </c>
      <c r="D74" s="3996" t="s">
        <v>195</v>
      </c>
      <c r="E74" s="3996"/>
      <c r="F74" s="3997"/>
      <c r="G74" s="11"/>
      <c r="H74" s="3997">
        <f>SUM(H75:H119)</f>
        <v>0</v>
      </c>
      <c r="I74" s="3998"/>
      <c r="J74" s="3999"/>
    </row>
    <row r="75" spans="1:256" s="804" customFormat="1" ht="13.5" customHeight="1">
      <c r="A75" s="4000" t="s">
        <v>883</v>
      </c>
      <c r="B75" s="4001" t="s">
        <v>197</v>
      </c>
      <c r="C75" s="3927">
        <v>212755215</v>
      </c>
      <c r="D75" s="3927" t="s">
        <v>198</v>
      </c>
      <c r="E75" s="3927" t="s">
        <v>141</v>
      </c>
      <c r="F75" s="3724">
        <f>SUM(F76:F77)</f>
        <v>185.35000000000002</v>
      </c>
      <c r="G75" s="12"/>
      <c r="H75" s="3724">
        <f>G75*F75</f>
        <v>0</v>
      </c>
      <c r="I75" s="2228" t="s">
        <v>137</v>
      </c>
      <c r="J75" s="4002"/>
      <c r="K75" s="4003"/>
    </row>
    <row r="76" spans="1:256" s="804" customFormat="1" ht="13.5" customHeight="1">
      <c r="A76" s="4004"/>
      <c r="B76" s="3995"/>
      <c r="C76" s="3996"/>
      <c r="D76" s="3975" t="s">
        <v>199</v>
      </c>
      <c r="E76" s="3927"/>
      <c r="F76" s="3976"/>
      <c r="G76" s="11"/>
      <c r="H76" s="3997"/>
      <c r="I76" s="4005"/>
      <c r="K76" s="4006"/>
      <c r="L76" s="4006"/>
      <c r="M76" s="4006"/>
    </row>
    <row r="77" spans="1:256" s="804" customFormat="1" ht="13.5" customHeight="1">
      <c r="A77" s="4004"/>
      <c r="B77" s="3995"/>
      <c r="C77" s="4007"/>
      <c r="D77" s="3975" t="s">
        <v>200</v>
      </c>
      <c r="E77" s="3927"/>
      <c r="F77" s="3976">
        <f>(168.5)*1.1</f>
        <v>185.35000000000002</v>
      </c>
      <c r="G77" s="11"/>
      <c r="H77" s="3997"/>
      <c r="I77" s="4005"/>
      <c r="K77" s="4006"/>
      <c r="L77" s="4006"/>
      <c r="M77" s="4006"/>
    </row>
    <row r="78" spans="1:256" s="804" customFormat="1" ht="27" customHeight="1">
      <c r="A78" s="4004"/>
      <c r="B78" s="3995"/>
      <c r="C78" s="3996"/>
      <c r="D78" s="3975" t="s">
        <v>201</v>
      </c>
      <c r="E78" s="3927"/>
      <c r="F78" s="3976"/>
      <c r="G78" s="11"/>
      <c r="H78" s="3997"/>
      <c r="I78" s="4005"/>
      <c r="K78" s="4006"/>
      <c r="L78" s="4006"/>
      <c r="M78" s="4006"/>
    </row>
    <row r="79" spans="1:256" s="804" customFormat="1" ht="27" customHeight="1">
      <c r="A79" s="4000" t="s">
        <v>196</v>
      </c>
      <c r="B79" s="4001" t="s">
        <v>197</v>
      </c>
      <c r="C79" s="3927" t="s">
        <v>203</v>
      </c>
      <c r="D79" s="3927" t="s">
        <v>204</v>
      </c>
      <c r="E79" s="3927" t="s">
        <v>205</v>
      </c>
      <c r="F79" s="3724">
        <f>SUM(F80:F81)</f>
        <v>2</v>
      </c>
      <c r="G79" s="12"/>
      <c r="H79" s="3724">
        <f>F79*G79</f>
        <v>0</v>
      </c>
      <c r="I79" s="1368" t="s">
        <v>112</v>
      </c>
      <c r="J79" s="4008"/>
      <c r="K79" s="4003"/>
    </row>
    <row r="80" spans="1:256" s="804" customFormat="1" ht="13.5" customHeight="1">
      <c r="A80" s="4000"/>
      <c r="B80" s="4001"/>
      <c r="C80" s="3927"/>
      <c r="D80" s="3975" t="s">
        <v>206</v>
      </c>
      <c r="E80" s="3927"/>
      <c r="F80" s="3976">
        <v>2</v>
      </c>
      <c r="G80" s="12"/>
      <c r="H80" s="3724"/>
      <c r="I80" s="1368"/>
      <c r="J80" s="4008"/>
    </row>
    <row r="81" spans="1:13" s="804" customFormat="1" ht="27" customHeight="1">
      <c r="A81" s="4000"/>
      <c r="B81" s="4001"/>
      <c r="C81" s="3927"/>
      <c r="D81" s="3975" t="s">
        <v>207</v>
      </c>
      <c r="E81" s="3927"/>
      <c r="F81" s="3976"/>
      <c r="G81" s="12"/>
      <c r="H81" s="3724"/>
      <c r="I81" s="1368"/>
      <c r="J81" s="4003"/>
    </row>
    <row r="82" spans="1:13" s="804" customFormat="1" ht="13.5" customHeight="1">
      <c r="A82" s="4000" t="s">
        <v>202</v>
      </c>
      <c r="B82" s="4001" t="s">
        <v>197</v>
      </c>
      <c r="C82" s="3927">
        <v>213141111</v>
      </c>
      <c r="D82" s="3927" t="s">
        <v>209</v>
      </c>
      <c r="E82" s="3927" t="s">
        <v>163</v>
      </c>
      <c r="F82" s="3724">
        <f>SUM(F83:F83)</f>
        <v>67.400000000000006</v>
      </c>
      <c r="G82" s="12"/>
      <c r="H82" s="3724">
        <f>F82*G82</f>
        <v>0</v>
      </c>
      <c r="I82" s="2228" t="s">
        <v>137</v>
      </c>
      <c r="J82" s="4008"/>
      <c r="K82" s="4003"/>
    </row>
    <row r="83" spans="1:13" s="804" customFormat="1" ht="13.5" customHeight="1">
      <c r="A83" s="4000"/>
      <c r="B83" s="4001"/>
      <c r="C83" s="3927"/>
      <c r="D83" s="3975" t="s">
        <v>210</v>
      </c>
      <c r="E83" s="3927"/>
      <c r="F83" s="3976">
        <f>(168.5)*0.4</f>
        <v>67.400000000000006</v>
      </c>
      <c r="G83" s="12"/>
      <c r="H83" s="3724"/>
      <c r="I83" s="1368"/>
      <c r="J83" s="4008"/>
    </row>
    <row r="84" spans="1:13" s="804" customFormat="1" ht="13.5" customHeight="1">
      <c r="A84" s="4009" t="s">
        <v>208</v>
      </c>
      <c r="B84" s="4010" t="s">
        <v>212</v>
      </c>
      <c r="C84" s="4011">
        <v>69311224</v>
      </c>
      <c r="D84" s="4011" t="s">
        <v>213</v>
      </c>
      <c r="E84" s="4011" t="s">
        <v>163</v>
      </c>
      <c r="F84" s="4012">
        <f>SUM(F85:F85)</f>
        <v>77.510000000000005</v>
      </c>
      <c r="G84" s="4839"/>
      <c r="H84" s="4012">
        <f>F84*G84</f>
        <v>0</v>
      </c>
      <c r="I84" s="3250" t="s">
        <v>137</v>
      </c>
      <c r="J84" s="4008"/>
      <c r="K84" s="4003"/>
    </row>
    <row r="85" spans="1:13" s="804" customFormat="1" ht="27" customHeight="1">
      <c r="A85" s="4009"/>
      <c r="B85" s="4010"/>
      <c r="C85" s="4011"/>
      <c r="D85" s="4013" t="s">
        <v>214</v>
      </c>
      <c r="E85" s="4011"/>
      <c r="F85" s="4014">
        <f>((168.5)*0.4)*1.15</f>
        <v>77.510000000000005</v>
      </c>
      <c r="G85" s="4839"/>
      <c r="H85" s="4012"/>
      <c r="I85" s="4015"/>
      <c r="J85" s="4008"/>
    </row>
    <row r="86" spans="1:13" s="804" customFormat="1" ht="13.5" customHeight="1">
      <c r="A86" s="4000" t="s">
        <v>211</v>
      </c>
      <c r="B86" s="4001" t="s">
        <v>197</v>
      </c>
      <c r="C86" s="3927">
        <v>233211122</v>
      </c>
      <c r="D86" s="3927" t="s">
        <v>215</v>
      </c>
      <c r="E86" s="3927" t="s">
        <v>205</v>
      </c>
      <c r="F86" s="3724">
        <f>SUM(F87:F87)</f>
        <v>6</v>
      </c>
      <c r="G86" s="12"/>
      <c r="H86" s="3724">
        <f>F86*G86</f>
        <v>0</v>
      </c>
      <c r="I86" s="2228" t="s">
        <v>137</v>
      </c>
      <c r="J86" s="4008"/>
      <c r="K86" s="4003"/>
    </row>
    <row r="87" spans="1:13" s="804" customFormat="1" ht="13.5" customHeight="1">
      <c r="A87" s="4000"/>
      <c r="B87" s="4001"/>
      <c r="C87" s="3927"/>
      <c r="D87" s="3975" t="s">
        <v>216</v>
      </c>
      <c r="E87" s="3927"/>
      <c r="F87" s="3976">
        <v>6</v>
      </c>
      <c r="G87" s="12"/>
      <c r="H87" s="3724"/>
      <c r="I87" s="1368"/>
      <c r="J87" s="4008"/>
    </row>
    <row r="88" spans="1:13" s="804" customFormat="1" ht="13.5" customHeight="1">
      <c r="A88" s="4000" t="s">
        <v>884</v>
      </c>
      <c r="B88" s="4001" t="s">
        <v>197</v>
      </c>
      <c r="C88" s="3927">
        <v>233211123</v>
      </c>
      <c r="D88" s="3927" t="s">
        <v>217</v>
      </c>
      <c r="E88" s="3927" t="s">
        <v>205</v>
      </c>
      <c r="F88" s="3724">
        <f>SUM(F89:F89)</f>
        <v>9</v>
      </c>
      <c r="G88" s="12"/>
      <c r="H88" s="3724">
        <f>F88*G88</f>
        <v>0</v>
      </c>
      <c r="I88" s="2228" t="s">
        <v>137</v>
      </c>
      <c r="J88" s="4008"/>
      <c r="K88" s="4003"/>
    </row>
    <row r="89" spans="1:13" s="804" customFormat="1" ht="13.5" customHeight="1">
      <c r="A89" s="4000"/>
      <c r="B89" s="4001"/>
      <c r="C89" s="3927"/>
      <c r="D89" s="3975" t="s">
        <v>218</v>
      </c>
      <c r="E89" s="3927"/>
      <c r="F89" s="3976">
        <v>9</v>
      </c>
      <c r="G89" s="12"/>
      <c r="H89" s="3724"/>
      <c r="I89" s="1368"/>
      <c r="J89" s="4008"/>
    </row>
    <row r="90" spans="1:13" s="804" customFormat="1" ht="13.5" customHeight="1">
      <c r="A90" s="4016">
        <v>23</v>
      </c>
      <c r="B90" s="4001" t="s">
        <v>219</v>
      </c>
      <c r="C90" s="3927" t="s">
        <v>220</v>
      </c>
      <c r="D90" s="3927" t="s">
        <v>221</v>
      </c>
      <c r="E90" s="3927" t="s">
        <v>146</v>
      </c>
      <c r="F90" s="3724">
        <f>SUM(F91:F92)</f>
        <v>7.5444500000000003</v>
      </c>
      <c r="G90" s="12"/>
      <c r="H90" s="3724">
        <f>F90*G90</f>
        <v>0</v>
      </c>
      <c r="I90" s="1368" t="s">
        <v>112</v>
      </c>
      <c r="J90" s="3999"/>
    </row>
    <row r="91" spans="1:13" s="804" customFormat="1" ht="13.5" customHeight="1">
      <c r="A91" s="4016"/>
      <c r="B91" s="4001"/>
      <c r="C91" s="3927"/>
      <c r="D91" s="3975" t="s">
        <v>222</v>
      </c>
      <c r="E91" s="3927"/>
      <c r="F91" s="4017">
        <f>(68.387)*0.1</f>
        <v>6.8387000000000002</v>
      </c>
      <c r="G91" s="12"/>
      <c r="H91" s="3724"/>
      <c r="I91" s="4018"/>
      <c r="J91" s="3999"/>
    </row>
    <row r="92" spans="1:13" s="804" customFormat="1" ht="13.5" customHeight="1">
      <c r="A92" s="4016"/>
      <c r="B92" s="4001"/>
      <c r="C92" s="3927"/>
      <c r="D92" s="3975" t="s">
        <v>223</v>
      </c>
      <c r="E92" s="3927"/>
      <c r="F92" s="4017">
        <f xml:space="preserve"> (2.823)*0.25</f>
        <v>0.70574999999999999</v>
      </c>
      <c r="G92" s="12"/>
      <c r="H92" s="3724"/>
      <c r="I92" s="4018"/>
      <c r="J92" s="3999"/>
    </row>
    <row r="93" spans="1:13" s="4020" customFormat="1" ht="13.5" customHeight="1">
      <c r="A93" s="4016">
        <v>24</v>
      </c>
      <c r="B93" s="4001" t="s">
        <v>219</v>
      </c>
      <c r="C93" s="3927">
        <v>273322511</v>
      </c>
      <c r="D93" s="3927" t="s">
        <v>224</v>
      </c>
      <c r="E93" s="3927" t="s">
        <v>146</v>
      </c>
      <c r="F93" s="4019">
        <f>SUM(F95:F97)</f>
        <v>75.046650000000014</v>
      </c>
      <c r="G93" s="12"/>
      <c r="H93" s="3724">
        <f>G93*F93</f>
        <v>0</v>
      </c>
      <c r="I93" s="2228" t="s">
        <v>137</v>
      </c>
      <c r="J93" s="3999"/>
      <c r="M93" s="4021"/>
    </row>
    <row r="94" spans="1:13" s="4026" customFormat="1" ht="13.5" customHeight="1">
      <c r="A94" s="4022"/>
      <c r="B94" s="4023"/>
      <c r="C94" s="4024"/>
      <c r="D94" s="4024" t="s">
        <v>225</v>
      </c>
      <c r="E94" s="4024"/>
      <c r="F94" s="4017"/>
      <c r="G94" s="13"/>
      <c r="H94" s="4017"/>
      <c r="I94" s="3936"/>
      <c r="J94" s="4025"/>
      <c r="M94" s="4027"/>
    </row>
    <row r="95" spans="1:13" s="4020" customFormat="1" ht="13.5" customHeight="1">
      <c r="A95" s="4016"/>
      <c r="B95" s="4001"/>
      <c r="C95" s="3927"/>
      <c r="D95" s="4024" t="s">
        <v>226</v>
      </c>
      <c r="E95" s="3927"/>
      <c r="F95" s="4017">
        <f>(68.387)*1.05</f>
        <v>71.806350000000009</v>
      </c>
      <c r="G95" s="12"/>
      <c r="H95" s="3724"/>
      <c r="I95" s="4018"/>
      <c r="J95" s="3999"/>
      <c r="M95" s="4021"/>
    </row>
    <row r="96" spans="1:13" s="4020" customFormat="1" ht="13.5" customHeight="1">
      <c r="A96" s="4016"/>
      <c r="B96" s="4001"/>
      <c r="C96" s="3927"/>
      <c r="D96" s="4024" t="s">
        <v>227</v>
      </c>
      <c r="E96" s="3927"/>
      <c r="F96" s="4017">
        <f>(2.823)*1.05</f>
        <v>2.9641500000000001</v>
      </c>
      <c r="G96" s="12"/>
      <c r="H96" s="3724"/>
      <c r="I96" s="4018"/>
      <c r="J96" s="3999"/>
      <c r="M96" s="4021"/>
    </row>
    <row r="97" spans="1:15" s="4020" customFormat="1" ht="13.5" customHeight="1">
      <c r="A97" s="4016"/>
      <c r="B97" s="4001"/>
      <c r="C97" s="3927"/>
      <c r="D97" s="4024" t="s">
        <v>228</v>
      </c>
      <c r="E97" s="3927"/>
      <c r="F97" s="4017">
        <f>(0.263)*1.05</f>
        <v>0.27615000000000001</v>
      </c>
      <c r="G97" s="12"/>
      <c r="H97" s="3724"/>
      <c r="I97" s="4018"/>
      <c r="J97" s="3999"/>
      <c r="M97" s="4021"/>
    </row>
    <row r="98" spans="1:15" s="888" customFormat="1" ht="13.5" customHeight="1">
      <c r="A98" s="3725">
        <v>25</v>
      </c>
      <c r="B98" s="3539" t="s">
        <v>219</v>
      </c>
      <c r="C98" s="3507">
        <v>273351121</v>
      </c>
      <c r="D98" s="3507" t="s">
        <v>229</v>
      </c>
      <c r="E98" s="3507" t="s">
        <v>163</v>
      </c>
      <c r="F98" s="3679">
        <f>SUM(F99:F99)</f>
        <v>0.99329999999999996</v>
      </c>
      <c r="G98" s="5"/>
      <c r="H98" s="3509">
        <f>F98*G98</f>
        <v>0</v>
      </c>
      <c r="I98" s="2228" t="s">
        <v>137</v>
      </c>
      <c r="J98" s="3674"/>
      <c r="K98" s="3133"/>
    </row>
    <row r="99" spans="1:15" s="3209" customFormat="1" ht="13.5" customHeight="1">
      <c r="A99" s="3518"/>
      <c r="B99" s="3514"/>
      <c r="C99" s="3514"/>
      <c r="D99" s="4024" t="s">
        <v>230</v>
      </c>
      <c r="E99" s="3514"/>
      <c r="F99" s="3546">
        <f>(0.946)*1.05</f>
        <v>0.99329999999999996</v>
      </c>
      <c r="G99" s="15"/>
      <c r="H99" s="3546"/>
      <c r="I99" s="3567"/>
      <c r="K99" s="3133"/>
      <c r="O99" s="888"/>
    </row>
    <row r="100" spans="1:15" s="888" customFormat="1" ht="13.5" customHeight="1">
      <c r="A100" s="3725">
        <v>26</v>
      </c>
      <c r="B100" s="3539" t="s">
        <v>219</v>
      </c>
      <c r="C100" s="3507">
        <v>273351122</v>
      </c>
      <c r="D100" s="3507" t="s">
        <v>1844</v>
      </c>
      <c r="E100" s="3507" t="s">
        <v>163</v>
      </c>
      <c r="F100" s="3679">
        <f>F98</f>
        <v>0.99329999999999996</v>
      </c>
      <c r="G100" s="5"/>
      <c r="H100" s="3509">
        <f>F100*G100</f>
        <v>0</v>
      </c>
      <c r="I100" s="2228" t="s">
        <v>137</v>
      </c>
    </row>
    <row r="101" spans="1:15" s="804" customFormat="1" ht="13.5" customHeight="1">
      <c r="A101" s="4016">
        <v>27</v>
      </c>
      <c r="B101" s="4001" t="s">
        <v>232</v>
      </c>
      <c r="C101" s="3927">
        <v>273361821</v>
      </c>
      <c r="D101" s="3927" t="s">
        <v>233</v>
      </c>
      <c r="E101" s="3927" t="s">
        <v>175</v>
      </c>
      <c r="F101" s="3724">
        <f>SUM(F102:F103)</f>
        <v>4.4583619047619045</v>
      </c>
      <c r="G101" s="12"/>
      <c r="H101" s="3724">
        <f>F101*G101</f>
        <v>0</v>
      </c>
      <c r="I101" s="2228" t="s">
        <v>137</v>
      </c>
      <c r="J101" s="3999"/>
    </row>
    <row r="102" spans="1:15" s="4032" customFormat="1" ht="28.5" customHeight="1">
      <c r="A102" s="4028"/>
      <c r="B102" s="4029"/>
      <c r="C102" s="4030"/>
      <c r="D102" s="4024" t="s">
        <v>234</v>
      </c>
      <c r="E102" s="3975"/>
      <c r="F102" s="3976">
        <f>((71.81/1.05))*0.06</f>
        <v>4.1034285714285712</v>
      </c>
      <c r="G102" s="14"/>
      <c r="H102" s="3976"/>
      <c r="I102" s="4031"/>
      <c r="J102" s="3999"/>
      <c r="M102" s="804"/>
    </row>
    <row r="103" spans="1:15" s="4032" customFormat="1" ht="28.5" customHeight="1">
      <c r="A103" s="4028"/>
      <c r="B103" s="4029"/>
      <c r="C103" s="4030"/>
      <c r="D103" s="4024" t="s">
        <v>235</v>
      </c>
      <c r="E103" s="3975"/>
      <c r="F103" s="3976">
        <f>((2.96+0.28/1.05))*0.11</f>
        <v>0.35493333333333332</v>
      </c>
      <c r="G103" s="14"/>
      <c r="H103" s="3976"/>
      <c r="I103" s="4031"/>
      <c r="J103" s="3999"/>
      <c r="M103" s="804"/>
    </row>
    <row r="104" spans="1:15" s="888" customFormat="1" ht="13.5" customHeight="1">
      <c r="A104" s="3725">
        <v>28</v>
      </c>
      <c r="B104" s="3539" t="s">
        <v>219</v>
      </c>
      <c r="C104" s="3507">
        <v>275313811</v>
      </c>
      <c r="D104" s="3507" t="s">
        <v>236</v>
      </c>
      <c r="E104" s="3507" t="s">
        <v>146</v>
      </c>
      <c r="F104" s="3679">
        <f>SUM(F106:F106)</f>
        <v>6.0900000000000003E-2</v>
      </c>
      <c r="G104" s="5"/>
      <c r="H104" s="3509">
        <f>F104*G104</f>
        <v>0</v>
      </c>
      <c r="I104" s="2228" t="s">
        <v>137</v>
      </c>
      <c r="J104" s="3925"/>
    </row>
    <row r="105" spans="1:15" s="4037" customFormat="1" ht="13.5" customHeight="1">
      <c r="A105" s="4033"/>
      <c r="B105" s="2413"/>
      <c r="C105" s="2435"/>
      <c r="D105" s="4024" t="s">
        <v>237</v>
      </c>
      <c r="E105" s="2435"/>
      <c r="F105" s="4034"/>
      <c r="G105" s="4827"/>
      <c r="H105" s="4035"/>
      <c r="I105" s="2436"/>
      <c r="J105" s="4036"/>
    </row>
    <row r="106" spans="1:15" s="888" customFormat="1" ht="13.5" customHeight="1">
      <c r="A106" s="3725"/>
      <c r="B106" s="3507"/>
      <c r="C106" s="3507"/>
      <c r="D106" s="3514" t="s">
        <v>238</v>
      </c>
      <c r="E106" s="3507"/>
      <c r="F106" s="3546">
        <f xml:space="preserve"> (0.058)*1.05</f>
        <v>6.0900000000000003E-2</v>
      </c>
      <c r="G106" s="5"/>
      <c r="H106" s="3509"/>
      <c r="I106" s="3510"/>
    </row>
    <row r="107" spans="1:15" s="888" customFormat="1" ht="27" customHeight="1">
      <c r="A107" s="3782"/>
      <c r="B107" s="3594"/>
      <c r="C107" s="3594"/>
      <c r="D107" s="3514" t="s">
        <v>239</v>
      </c>
      <c r="E107" s="3594"/>
      <c r="F107" s="3808"/>
      <c r="G107" s="16"/>
      <c r="H107" s="3509"/>
      <c r="I107" s="3510"/>
      <c r="K107" s="4038"/>
    </row>
    <row r="108" spans="1:15" s="888" customFormat="1" ht="13.5" customHeight="1">
      <c r="A108" s="3725">
        <v>29</v>
      </c>
      <c r="B108" s="3539" t="s">
        <v>219</v>
      </c>
      <c r="C108" s="3507">
        <v>275351121</v>
      </c>
      <c r="D108" s="3507" t="s">
        <v>240</v>
      </c>
      <c r="E108" s="3507" t="s">
        <v>163</v>
      </c>
      <c r="F108" s="3679">
        <f>SUM(F109:F109)</f>
        <v>0.99329999999999996</v>
      </c>
      <c r="G108" s="5"/>
      <c r="H108" s="3509">
        <f>F108*G108</f>
        <v>0</v>
      </c>
      <c r="I108" s="2228" t="s">
        <v>137</v>
      </c>
      <c r="J108" s="3674"/>
      <c r="K108" s="3133"/>
    </row>
    <row r="109" spans="1:15" s="3209" customFormat="1" ht="13.5" customHeight="1">
      <c r="A109" s="3518"/>
      <c r="B109" s="3514"/>
      <c r="C109" s="3514"/>
      <c r="D109" s="3514" t="s">
        <v>241</v>
      </c>
      <c r="E109" s="3514"/>
      <c r="F109" s="3546">
        <f>(0.946)*1.05</f>
        <v>0.99329999999999996</v>
      </c>
      <c r="G109" s="15"/>
      <c r="H109" s="3546"/>
      <c r="I109" s="3567"/>
      <c r="K109" s="3133"/>
      <c r="O109" s="888"/>
    </row>
    <row r="110" spans="1:15" s="888" customFormat="1" ht="13.5" customHeight="1">
      <c r="A110" s="3725">
        <v>30</v>
      </c>
      <c r="B110" s="3539" t="s">
        <v>219</v>
      </c>
      <c r="C110" s="3507">
        <v>275351122</v>
      </c>
      <c r="D110" s="3507" t="s">
        <v>231</v>
      </c>
      <c r="E110" s="3507" t="s">
        <v>163</v>
      </c>
      <c r="F110" s="3679">
        <f>F108</f>
        <v>0.99329999999999996</v>
      </c>
      <c r="G110" s="5"/>
      <c r="H110" s="3509">
        <f>F110*G110</f>
        <v>0</v>
      </c>
      <c r="I110" s="2228" t="s">
        <v>137</v>
      </c>
    </row>
    <row r="111" spans="1:15" s="888" customFormat="1" ht="13.5" customHeight="1">
      <c r="A111" s="3725">
        <v>31</v>
      </c>
      <c r="B111" s="3539" t="s">
        <v>219</v>
      </c>
      <c r="C111" s="3507">
        <v>279322511</v>
      </c>
      <c r="D111" s="3507" t="s">
        <v>242</v>
      </c>
      <c r="E111" s="3507" t="s">
        <v>146</v>
      </c>
      <c r="F111" s="3679">
        <f>SUM(F113:F113)</f>
        <v>4.28085</v>
      </c>
      <c r="G111" s="5"/>
      <c r="H111" s="3509">
        <f>F111*G111</f>
        <v>0</v>
      </c>
      <c r="I111" s="2228" t="s">
        <v>137</v>
      </c>
      <c r="J111" s="3925"/>
    </row>
    <row r="112" spans="1:15" s="4037" customFormat="1" ht="13.5" customHeight="1">
      <c r="A112" s="4033"/>
      <c r="B112" s="2413"/>
      <c r="C112" s="2435"/>
      <c r="D112" s="4024" t="s">
        <v>225</v>
      </c>
      <c r="E112" s="2435"/>
      <c r="F112" s="4034"/>
      <c r="G112" s="4827"/>
      <c r="H112" s="4035"/>
      <c r="I112" s="2436"/>
      <c r="J112" s="4036"/>
    </row>
    <row r="113" spans="1:15" s="888" customFormat="1" ht="13.5" customHeight="1">
      <c r="A113" s="3725"/>
      <c r="B113" s="3507"/>
      <c r="C113" s="3507"/>
      <c r="D113" s="3514" t="s">
        <v>243</v>
      </c>
      <c r="E113" s="3507"/>
      <c r="F113" s="3546">
        <f>(4.077)*1.05</f>
        <v>4.28085</v>
      </c>
      <c r="G113" s="5"/>
      <c r="H113" s="3509"/>
      <c r="I113" s="3510"/>
    </row>
    <row r="114" spans="1:15" s="888" customFormat="1" ht="27" customHeight="1">
      <c r="A114" s="3782"/>
      <c r="B114" s="3594"/>
      <c r="C114" s="3594"/>
      <c r="D114" s="3514" t="s">
        <v>239</v>
      </c>
      <c r="E114" s="3594"/>
      <c r="F114" s="3808"/>
      <c r="G114" s="16"/>
      <c r="H114" s="3509"/>
      <c r="I114" s="3510"/>
      <c r="K114" s="4038"/>
    </row>
    <row r="115" spans="1:15" s="888" customFormat="1" ht="13.5" customHeight="1">
      <c r="A115" s="3725">
        <v>32</v>
      </c>
      <c r="B115" s="3539" t="s">
        <v>219</v>
      </c>
      <c r="C115" s="3507">
        <v>279351121</v>
      </c>
      <c r="D115" s="3507" t="s">
        <v>244</v>
      </c>
      <c r="E115" s="3507" t="s">
        <v>163</v>
      </c>
      <c r="F115" s="3679">
        <f>SUM(F116:F116)</f>
        <v>58.004100000000001</v>
      </c>
      <c r="G115" s="5"/>
      <c r="H115" s="3509">
        <f>F115*G115</f>
        <v>0</v>
      </c>
      <c r="I115" s="2228" t="s">
        <v>137</v>
      </c>
      <c r="J115" s="3674"/>
      <c r="K115" s="3133"/>
    </row>
    <row r="116" spans="1:15" s="3209" customFormat="1" ht="13.5" customHeight="1">
      <c r="A116" s="3518"/>
      <c r="B116" s="3514"/>
      <c r="C116" s="3514"/>
      <c r="D116" s="3514" t="s">
        <v>245</v>
      </c>
      <c r="E116" s="3514"/>
      <c r="F116" s="3546">
        <f>(55.242)*1.05</f>
        <v>58.004100000000001</v>
      </c>
      <c r="G116" s="15"/>
      <c r="H116" s="3546"/>
      <c r="I116" s="3567"/>
      <c r="K116" s="3133"/>
      <c r="O116" s="888"/>
    </row>
    <row r="117" spans="1:15" s="888" customFormat="1" ht="13.5" customHeight="1">
      <c r="A117" s="3725">
        <v>33</v>
      </c>
      <c r="B117" s="3539" t="s">
        <v>219</v>
      </c>
      <c r="C117" s="3507">
        <v>279351122</v>
      </c>
      <c r="D117" s="3507" t="s">
        <v>246</v>
      </c>
      <c r="E117" s="3507" t="s">
        <v>163</v>
      </c>
      <c r="F117" s="3679">
        <f>F115</f>
        <v>58.004100000000001</v>
      </c>
      <c r="G117" s="5"/>
      <c r="H117" s="3509">
        <f>F117*G117</f>
        <v>0</v>
      </c>
      <c r="I117" s="2228" t="s">
        <v>137</v>
      </c>
    </row>
    <row r="118" spans="1:15" s="888" customFormat="1" ht="13.5" customHeight="1">
      <c r="A118" s="3725">
        <v>34</v>
      </c>
      <c r="B118" s="3539" t="s">
        <v>219</v>
      </c>
      <c r="C118" s="3507">
        <v>279361821</v>
      </c>
      <c r="D118" s="3507" t="s">
        <v>247</v>
      </c>
      <c r="E118" s="3507" t="s">
        <v>175</v>
      </c>
      <c r="F118" s="3679">
        <f>SUM(F119)</f>
        <v>0.44838095238095238</v>
      </c>
      <c r="G118" s="5"/>
      <c r="H118" s="3509">
        <f>F118*G118</f>
        <v>0</v>
      </c>
      <c r="I118" s="2228" t="s">
        <v>137</v>
      </c>
    </row>
    <row r="119" spans="1:15" s="3209" customFormat="1" ht="25.5" customHeight="1">
      <c r="A119" s="3518"/>
      <c r="B119" s="3514"/>
      <c r="C119" s="4030"/>
      <c r="D119" s="3530" t="s">
        <v>248</v>
      </c>
      <c r="E119" s="3514"/>
      <c r="F119" s="3546">
        <f>((4.28)/1.05)*0.11</f>
        <v>0.44838095238095238</v>
      </c>
      <c r="G119" s="15"/>
      <c r="H119" s="3546"/>
      <c r="I119" s="3567"/>
      <c r="J119" s="888"/>
      <c r="K119" s="888"/>
      <c r="L119" s="888"/>
      <c r="M119" s="888"/>
      <c r="N119" s="888"/>
    </row>
    <row r="120" spans="1:15" s="888" customFormat="1" ht="13.5" customHeight="1">
      <c r="A120" s="3501"/>
      <c r="B120" s="3502"/>
      <c r="C120" s="3502">
        <v>3</v>
      </c>
      <c r="D120" s="3502" t="s">
        <v>249</v>
      </c>
      <c r="E120" s="3502"/>
      <c r="F120" s="3634"/>
      <c r="G120" s="19"/>
      <c r="H120" s="3634">
        <f>SUM(H121:H157)</f>
        <v>0</v>
      </c>
      <c r="I120" s="3943"/>
      <c r="J120" s="3592"/>
    </row>
    <row r="121" spans="1:15" s="4021" customFormat="1" ht="13.5" customHeight="1">
      <c r="A121" s="4016">
        <v>35</v>
      </c>
      <c r="B121" s="4001" t="s">
        <v>219</v>
      </c>
      <c r="C121" s="3927">
        <v>311231116</v>
      </c>
      <c r="D121" s="3927" t="s">
        <v>250</v>
      </c>
      <c r="E121" s="3927" t="s">
        <v>146</v>
      </c>
      <c r="F121" s="3724">
        <f>SUM(F123:F125)</f>
        <v>6.7483500000000003</v>
      </c>
      <c r="G121" s="12"/>
      <c r="H121" s="3724">
        <f>G121*F121</f>
        <v>0</v>
      </c>
      <c r="I121" s="4018" t="s">
        <v>137</v>
      </c>
      <c r="J121" s="3999"/>
    </row>
    <row r="122" spans="1:15" s="4021" customFormat="1" ht="13.5" customHeight="1">
      <c r="A122" s="4016"/>
      <c r="B122" s="4001"/>
      <c r="C122" s="3927"/>
      <c r="D122" s="4024" t="s">
        <v>251</v>
      </c>
      <c r="E122" s="3927"/>
      <c r="F122" s="3724"/>
      <c r="G122" s="12"/>
      <c r="H122" s="3724"/>
      <c r="I122" s="4018"/>
      <c r="J122" s="3999"/>
    </row>
    <row r="123" spans="1:15" s="4021" customFormat="1" ht="13.5" customHeight="1">
      <c r="A123" s="4016"/>
      <c r="B123" s="4001"/>
      <c r="C123" s="3927"/>
      <c r="D123" s="4024" t="s">
        <v>252</v>
      </c>
      <c r="E123" s="3927"/>
      <c r="F123" s="4017">
        <f xml:space="preserve"> (2.082)*1.05</f>
        <v>2.1861000000000002</v>
      </c>
      <c r="G123" s="12"/>
      <c r="H123" s="3724"/>
      <c r="I123" s="4018"/>
      <c r="J123" s="4039"/>
    </row>
    <row r="124" spans="1:15" s="4021" customFormat="1" ht="13.5" customHeight="1">
      <c r="A124" s="4016"/>
      <c r="B124" s="4001"/>
      <c r="C124" s="3927"/>
      <c r="D124" s="4024" t="s">
        <v>253</v>
      </c>
      <c r="E124" s="3927"/>
      <c r="F124" s="4017">
        <f>(2.41)*1.05</f>
        <v>2.5305000000000004</v>
      </c>
      <c r="G124" s="12"/>
      <c r="H124" s="3724"/>
      <c r="I124" s="4018"/>
      <c r="J124" s="4039"/>
    </row>
    <row r="125" spans="1:15" s="4021" customFormat="1" ht="13.5" customHeight="1">
      <c r="A125" s="4016"/>
      <c r="B125" s="4001"/>
      <c r="C125" s="3927"/>
      <c r="D125" s="4024" t="s">
        <v>254</v>
      </c>
      <c r="E125" s="3927"/>
      <c r="F125" s="4017">
        <f>(1.935)*1.05</f>
        <v>2.0317500000000002</v>
      </c>
      <c r="G125" s="12"/>
      <c r="H125" s="3724"/>
      <c r="I125" s="4018"/>
      <c r="J125" s="4039"/>
    </row>
    <row r="126" spans="1:15" s="4021" customFormat="1" ht="27" customHeight="1">
      <c r="A126" s="4016">
        <v>36</v>
      </c>
      <c r="B126" s="4001" t="s">
        <v>219</v>
      </c>
      <c r="C126" s="3927">
        <v>311272131</v>
      </c>
      <c r="D126" s="3927" t="s">
        <v>255</v>
      </c>
      <c r="E126" s="3927" t="s">
        <v>163</v>
      </c>
      <c r="F126" s="3724">
        <f>F128</f>
        <v>1.9068000000000001</v>
      </c>
      <c r="G126" s="12"/>
      <c r="H126" s="3724">
        <f>G126*F126</f>
        <v>0</v>
      </c>
      <c r="I126" s="4018" t="s">
        <v>137</v>
      </c>
      <c r="J126" s="3999"/>
    </row>
    <row r="127" spans="1:15" s="4021" customFormat="1" ht="13.5" customHeight="1">
      <c r="A127" s="4016"/>
      <c r="B127" s="4001"/>
      <c r="C127" s="3927"/>
      <c r="D127" s="4024" t="s">
        <v>256</v>
      </c>
      <c r="E127" s="3927"/>
      <c r="F127" s="3724"/>
      <c r="G127" s="12"/>
      <c r="H127" s="3724"/>
      <c r="I127" s="4018"/>
      <c r="J127" s="3999"/>
    </row>
    <row r="128" spans="1:15" s="4021" customFormat="1" ht="13.5" customHeight="1">
      <c r="A128" s="4016"/>
      <c r="B128" s="4001"/>
      <c r="C128" s="3927"/>
      <c r="D128" s="4024" t="s">
        <v>257</v>
      </c>
      <c r="E128" s="3927"/>
      <c r="F128" s="4017">
        <f xml:space="preserve"> (1.816)*1.05</f>
        <v>1.9068000000000001</v>
      </c>
      <c r="G128" s="12"/>
      <c r="H128" s="3724"/>
      <c r="I128" s="4018"/>
      <c r="J128" s="4039"/>
    </row>
    <row r="129" spans="1:15" s="888" customFormat="1" ht="27" customHeight="1">
      <c r="A129" s="3657">
        <v>37</v>
      </c>
      <c r="B129" s="3539" t="s">
        <v>219</v>
      </c>
      <c r="C129" s="3507">
        <v>317142442</v>
      </c>
      <c r="D129" s="3507" t="s">
        <v>258</v>
      </c>
      <c r="E129" s="3507" t="s">
        <v>205</v>
      </c>
      <c r="F129" s="3509">
        <f>F131</f>
        <v>1</v>
      </c>
      <c r="G129" s="5"/>
      <c r="H129" s="3509">
        <f>F129*G129</f>
        <v>0</v>
      </c>
      <c r="I129" s="4018" t="s">
        <v>137</v>
      </c>
      <c r="J129" s="4040"/>
    </row>
    <row r="130" spans="1:15" s="3209" customFormat="1" ht="13.5" customHeight="1">
      <c r="A130" s="3545"/>
      <c r="B130" s="4041"/>
      <c r="C130" s="3514"/>
      <c r="D130" s="3514" t="s">
        <v>259</v>
      </c>
      <c r="E130" s="3514"/>
      <c r="F130" s="4042"/>
      <c r="G130" s="15"/>
      <c r="H130" s="3546"/>
      <c r="I130" s="3567"/>
      <c r="J130" s="4040"/>
      <c r="M130" s="888"/>
    </row>
    <row r="131" spans="1:15" s="3209" customFormat="1" ht="13.5" customHeight="1">
      <c r="A131" s="3545"/>
      <c r="B131" s="4041"/>
      <c r="C131" s="3514"/>
      <c r="D131" s="3514" t="s">
        <v>260</v>
      </c>
      <c r="E131" s="3514"/>
      <c r="F131" s="3546">
        <v>1</v>
      </c>
      <c r="G131" s="15"/>
      <c r="H131" s="3546"/>
      <c r="I131" s="3567"/>
      <c r="J131" s="4040"/>
      <c r="M131" s="888"/>
    </row>
    <row r="132" spans="1:15" s="3209" customFormat="1" ht="13.5" customHeight="1">
      <c r="A132" s="3545"/>
      <c r="B132" s="4041"/>
      <c r="C132" s="3514"/>
      <c r="D132" s="3514" t="s">
        <v>261</v>
      </c>
      <c r="E132" s="3514"/>
      <c r="F132" s="3546"/>
      <c r="G132" s="15"/>
      <c r="H132" s="3546"/>
      <c r="I132" s="3567"/>
      <c r="J132" s="4040"/>
      <c r="M132" s="888"/>
    </row>
    <row r="133" spans="1:15" s="888" customFormat="1" ht="13.5" customHeight="1">
      <c r="A133" s="4043">
        <v>38</v>
      </c>
      <c r="B133" s="3539" t="s">
        <v>219</v>
      </c>
      <c r="C133" s="3507" t="s">
        <v>262</v>
      </c>
      <c r="D133" s="3507" t="s">
        <v>263</v>
      </c>
      <c r="E133" s="3507" t="s">
        <v>205</v>
      </c>
      <c r="F133" s="3509">
        <f>SUM(F135)</f>
        <v>1</v>
      </c>
      <c r="G133" s="5"/>
      <c r="H133" s="3509">
        <f>F133*G133</f>
        <v>0</v>
      </c>
      <c r="I133" s="3510" t="s">
        <v>111</v>
      </c>
      <c r="J133" s="4044"/>
      <c r="N133" s="4045"/>
      <c r="O133" s="4046"/>
    </row>
    <row r="134" spans="1:15" s="888" customFormat="1" ht="25.5" customHeight="1">
      <c r="A134" s="3782"/>
      <c r="B134" s="3594"/>
      <c r="C134" s="3594"/>
      <c r="D134" s="3514" t="s">
        <v>264</v>
      </c>
      <c r="E134" s="3594"/>
      <c r="F134" s="3546"/>
      <c r="G134" s="16"/>
      <c r="H134" s="3509"/>
      <c r="I134" s="3519"/>
      <c r="J134" s="4047"/>
      <c r="K134" s="4048"/>
      <c r="L134" s="4049"/>
    </row>
    <row r="135" spans="1:15" s="3209" customFormat="1" ht="13.5" customHeight="1">
      <c r="A135" s="3518"/>
      <c r="B135" s="3514"/>
      <c r="C135" s="3514"/>
      <c r="D135" s="3514" t="s">
        <v>265</v>
      </c>
      <c r="E135" s="3514"/>
      <c r="F135" s="3546">
        <v>1</v>
      </c>
      <c r="G135" s="15"/>
      <c r="H135" s="3546"/>
      <c r="I135" s="3519"/>
      <c r="J135" s="4047"/>
      <c r="K135" s="4048"/>
      <c r="N135" s="888"/>
    </row>
    <row r="136" spans="1:15" s="888" customFormat="1" ht="40.5" customHeight="1">
      <c r="A136" s="3782"/>
      <c r="B136" s="3594"/>
      <c r="C136" s="3594"/>
      <c r="D136" s="3514" t="s">
        <v>6310</v>
      </c>
      <c r="E136" s="3594"/>
      <c r="F136" s="3546"/>
      <c r="G136" s="16"/>
      <c r="H136" s="4050"/>
      <c r="I136" s="3519"/>
      <c r="J136" s="4051"/>
      <c r="K136" s="4052"/>
      <c r="L136" s="4053"/>
      <c r="M136" s="4053"/>
      <c r="N136" s="4053"/>
      <c r="O136" s="4053"/>
    </row>
    <row r="137" spans="1:15" s="888" customFormat="1" ht="40.5" customHeight="1">
      <c r="A137" s="3807"/>
      <c r="B137" s="4054"/>
      <c r="C137" s="3594"/>
      <c r="D137" s="3514" t="s">
        <v>266</v>
      </c>
      <c r="E137" s="3594"/>
      <c r="F137" s="3546"/>
      <c r="G137" s="16"/>
      <c r="H137" s="3509"/>
      <c r="I137" s="3506"/>
      <c r="J137" s="3921"/>
      <c r="K137" s="4055"/>
      <c r="L137" s="4056"/>
    </row>
    <row r="138" spans="1:15" s="888" customFormat="1" ht="13.5" customHeight="1">
      <c r="A138" s="3657"/>
      <c r="B138" s="3594"/>
      <c r="C138" s="3594"/>
      <c r="D138" s="3761" t="s">
        <v>6309</v>
      </c>
      <c r="E138" s="3594"/>
      <c r="F138" s="3641"/>
      <c r="G138" s="2558"/>
      <c r="H138" s="3509"/>
      <c r="I138" s="3506"/>
    </row>
    <row r="139" spans="1:15" s="4021" customFormat="1" ht="13.5" customHeight="1">
      <c r="A139" s="4016">
        <v>39</v>
      </c>
      <c r="B139" s="4001" t="s">
        <v>219</v>
      </c>
      <c r="C139" s="3927">
        <v>342272225</v>
      </c>
      <c r="D139" s="3927" t="s">
        <v>267</v>
      </c>
      <c r="E139" s="3927" t="s">
        <v>163</v>
      </c>
      <c r="F139" s="3724">
        <f>SUM(F141:F142)</f>
        <v>5.7655500000000002</v>
      </c>
      <c r="G139" s="12"/>
      <c r="H139" s="3724">
        <f>G139*F139</f>
        <v>0</v>
      </c>
      <c r="I139" s="4018" t="s">
        <v>137</v>
      </c>
      <c r="J139" s="3999"/>
    </row>
    <row r="140" spans="1:15" s="4021" customFormat="1" ht="13.5" customHeight="1">
      <c r="A140" s="4016"/>
      <c r="B140" s="4001"/>
      <c r="C140" s="3927"/>
      <c r="D140" s="4024" t="s">
        <v>268</v>
      </c>
      <c r="E140" s="3927"/>
      <c r="F140" s="3724"/>
      <c r="G140" s="12"/>
      <c r="H140" s="3724"/>
      <c r="I140" s="4018"/>
      <c r="J140" s="3999"/>
    </row>
    <row r="141" spans="1:15" s="4021" customFormat="1" ht="13.5" customHeight="1">
      <c r="A141" s="4016"/>
      <c r="B141" s="4001"/>
      <c r="C141" s="3927"/>
      <c r="D141" s="4024" t="s">
        <v>269</v>
      </c>
      <c r="E141" s="3927"/>
      <c r="F141" s="4017">
        <f>(3.528)*1.05</f>
        <v>3.7044000000000001</v>
      </c>
      <c r="G141" s="12"/>
      <c r="H141" s="3724"/>
      <c r="I141" s="4018"/>
      <c r="J141" s="4039"/>
    </row>
    <row r="142" spans="1:15" s="4021" customFormat="1" ht="13.5" customHeight="1">
      <c r="A142" s="4016"/>
      <c r="B142" s="4001"/>
      <c r="C142" s="3927"/>
      <c r="D142" s="4024" t="s">
        <v>270</v>
      </c>
      <c r="E142" s="3927"/>
      <c r="F142" s="4017">
        <f>(1.963)*1.05</f>
        <v>2.06115</v>
      </c>
      <c r="G142" s="12"/>
      <c r="H142" s="3724"/>
      <c r="I142" s="4018"/>
      <c r="J142" s="4039"/>
    </row>
    <row r="143" spans="1:15" s="4021" customFormat="1" ht="13.5" customHeight="1">
      <c r="A143" s="4016">
        <v>40</v>
      </c>
      <c r="B143" s="4001" t="s">
        <v>219</v>
      </c>
      <c r="C143" s="3927">
        <v>342272245</v>
      </c>
      <c r="D143" s="3927" t="s">
        <v>271</v>
      </c>
      <c r="E143" s="3927" t="s">
        <v>163</v>
      </c>
      <c r="F143" s="3724">
        <f>F145</f>
        <v>2.9340000000000002</v>
      </c>
      <c r="G143" s="12"/>
      <c r="H143" s="3724">
        <f>G143*F143</f>
        <v>0</v>
      </c>
      <c r="I143" s="4018" t="s">
        <v>137</v>
      </c>
      <c r="J143" s="3999"/>
    </row>
    <row r="144" spans="1:15" s="4021" customFormat="1" ht="13.5" customHeight="1">
      <c r="A144" s="4016"/>
      <c r="B144" s="4001"/>
      <c r="C144" s="3927"/>
      <c r="D144" s="4024" t="s">
        <v>268</v>
      </c>
      <c r="E144" s="3927"/>
      <c r="F144" s="3724"/>
      <c r="G144" s="12"/>
      <c r="H144" s="3724"/>
      <c r="I144" s="4018"/>
      <c r="J144" s="3999"/>
    </row>
    <row r="145" spans="1:19" s="4021" customFormat="1" ht="13.5" customHeight="1">
      <c r="A145" s="4016"/>
      <c r="B145" s="4001"/>
      <c r="C145" s="3927"/>
      <c r="D145" s="4024" t="s">
        <v>272</v>
      </c>
      <c r="E145" s="3927"/>
      <c r="F145" s="4017">
        <v>2.9340000000000002</v>
      </c>
      <c r="G145" s="12"/>
      <c r="H145" s="3724"/>
      <c r="I145" s="4018"/>
      <c r="J145" s="4039"/>
    </row>
    <row r="146" spans="1:19" s="4021" customFormat="1" ht="13.5" customHeight="1">
      <c r="A146" s="4057">
        <v>41</v>
      </c>
      <c r="B146" s="4001" t="s">
        <v>219</v>
      </c>
      <c r="C146" s="3927" t="s">
        <v>273</v>
      </c>
      <c r="D146" s="3927" t="s">
        <v>274</v>
      </c>
      <c r="E146" s="3927" t="s">
        <v>49</v>
      </c>
      <c r="F146" s="3724">
        <f>SUM(F147:F148)</f>
        <v>1</v>
      </c>
      <c r="G146" s="5180" t="s">
        <v>3512</v>
      </c>
      <c r="H146" s="5181"/>
      <c r="I146" s="4018" t="s">
        <v>275</v>
      </c>
      <c r="J146" s="3999"/>
    </row>
    <row r="147" spans="1:19" s="4027" customFormat="1" ht="13.5" customHeight="1">
      <c r="A147" s="4022"/>
      <c r="B147" s="4023"/>
      <c r="C147" s="4058"/>
      <c r="D147" s="4024" t="s">
        <v>276</v>
      </c>
      <c r="E147" s="4024"/>
      <c r="F147" s="4017"/>
      <c r="G147" s="13"/>
      <c r="H147" s="4017"/>
      <c r="I147" s="4059"/>
      <c r="J147" s="3999"/>
      <c r="L147" s="4021"/>
    </row>
    <row r="148" spans="1:19" s="4027" customFormat="1" ht="13.5" customHeight="1">
      <c r="A148" s="4022"/>
      <c r="B148" s="4023"/>
      <c r="C148" s="4058"/>
      <c r="D148" s="4024" t="s">
        <v>277</v>
      </c>
      <c r="E148" s="4024"/>
      <c r="F148" s="4017">
        <v>1</v>
      </c>
      <c r="G148" s="13"/>
      <c r="H148" s="4017"/>
      <c r="I148" s="4059"/>
      <c r="J148" s="3999"/>
    </row>
    <row r="149" spans="1:19" s="888" customFormat="1" ht="13.5" customHeight="1">
      <c r="A149" s="3974"/>
      <c r="B149" s="3927"/>
      <c r="C149" s="3927"/>
      <c r="D149" s="4024" t="s">
        <v>278</v>
      </c>
      <c r="E149" s="3927"/>
      <c r="F149" s="4060"/>
      <c r="G149" s="24"/>
      <c r="H149" s="3929"/>
      <c r="I149" s="2228"/>
      <c r="J149" s="2656"/>
    </row>
    <row r="150" spans="1:19" s="4021" customFormat="1" ht="13.5" customHeight="1">
      <c r="A150" s="4057" t="s">
        <v>4076</v>
      </c>
      <c r="B150" s="4061" t="s">
        <v>219</v>
      </c>
      <c r="C150" s="4062">
        <v>342291111</v>
      </c>
      <c r="D150" s="4062" t="s">
        <v>4077</v>
      </c>
      <c r="E150" s="4062" t="s">
        <v>141</v>
      </c>
      <c r="F150" s="4063">
        <f>SUM(F152:F153)</f>
        <v>130.89999999999998</v>
      </c>
      <c r="G150" s="256"/>
      <c r="H150" s="4063">
        <f>G150*F150</f>
        <v>0</v>
      </c>
      <c r="I150" s="4064" t="s">
        <v>112</v>
      </c>
      <c r="J150" s="4065"/>
    </row>
    <row r="151" spans="1:19" s="4027" customFormat="1" ht="13.5" customHeight="1">
      <c r="A151" s="4057"/>
      <c r="B151" s="4061"/>
      <c r="C151" s="4066"/>
      <c r="D151" s="4062" t="s">
        <v>276</v>
      </c>
      <c r="E151" s="4062"/>
      <c r="F151" s="4063"/>
      <c r="G151" s="256"/>
      <c r="H151" s="4063"/>
      <c r="I151" s="4067"/>
      <c r="J151" s="3999"/>
      <c r="L151" s="4021"/>
    </row>
    <row r="152" spans="1:19" s="4027" customFormat="1" ht="40.5" customHeight="1">
      <c r="A152" s="4057"/>
      <c r="B152" s="4061"/>
      <c r="C152" s="4066"/>
      <c r="D152" s="4062" t="s">
        <v>4078</v>
      </c>
      <c r="E152" s="4062"/>
      <c r="F152" s="4063">
        <f>2.25+7.6+1.8*3+4.5+10+2.25+3.5+3.5+2.85+2.85+5.9+2.25+0.45+13.9+6.3+2.4+3.8+2.7+1.8+2.2+1.8+4.6+2.3+1.6+6.3</f>
        <v>102.99999999999999</v>
      </c>
      <c r="G152" s="256"/>
      <c r="H152" s="4063"/>
      <c r="I152" s="4067"/>
      <c r="J152" s="3999"/>
    </row>
    <row r="153" spans="1:19" s="4027" customFormat="1" ht="13.5" customHeight="1">
      <c r="A153" s="4057"/>
      <c r="B153" s="4061"/>
      <c r="C153" s="4066"/>
      <c r="D153" s="4062" t="s">
        <v>4079</v>
      </c>
      <c r="E153" s="4062"/>
      <c r="F153" s="4063">
        <f>2.1+1+1.65*2+1.4+3.95+0.6+4.1+4.4*2+2.2+0.45</f>
        <v>27.9</v>
      </c>
      <c r="G153" s="256"/>
      <c r="H153" s="4063"/>
      <c r="I153" s="4067"/>
      <c r="J153" s="3999"/>
    </row>
    <row r="154" spans="1:19" s="4021" customFormat="1" ht="13.5" customHeight="1">
      <c r="A154" s="4057" t="s">
        <v>4080</v>
      </c>
      <c r="B154" s="4061" t="s">
        <v>219</v>
      </c>
      <c r="C154" s="4062">
        <v>342291112</v>
      </c>
      <c r="D154" s="4062" t="s">
        <v>4081</v>
      </c>
      <c r="E154" s="4062" t="s">
        <v>141</v>
      </c>
      <c r="F154" s="4063">
        <f>SUM(F156:F157)</f>
        <v>47.55</v>
      </c>
      <c r="G154" s="256"/>
      <c r="H154" s="4063">
        <f>G154*F154</f>
        <v>0</v>
      </c>
      <c r="I154" s="4064" t="s">
        <v>112</v>
      </c>
      <c r="J154" s="4065"/>
    </row>
    <row r="155" spans="1:19" s="4027" customFormat="1" ht="13.5" customHeight="1">
      <c r="A155" s="4057"/>
      <c r="B155" s="4061"/>
      <c r="C155" s="4066"/>
      <c r="D155" s="4062" t="s">
        <v>276</v>
      </c>
      <c r="E155" s="4062"/>
      <c r="F155" s="4063"/>
      <c r="G155" s="256"/>
      <c r="H155" s="4063"/>
      <c r="I155" s="4067"/>
      <c r="J155" s="3999"/>
      <c r="L155" s="4021"/>
    </row>
    <row r="156" spans="1:19" s="4027" customFormat="1" ht="13.5" customHeight="1">
      <c r="A156" s="4057"/>
      <c r="B156" s="4061"/>
      <c r="C156" s="4066"/>
      <c r="D156" s="4062" t="s">
        <v>4082</v>
      </c>
      <c r="E156" s="4062"/>
      <c r="F156" s="4063">
        <f>1.65+2.1+0.9+1.2+1.8+2.3+2.6+1.55+1.85+0.6+0.9</f>
        <v>17.45</v>
      </c>
      <c r="G156" s="256"/>
      <c r="H156" s="4063"/>
      <c r="I156" s="4067"/>
      <c r="J156" s="3999"/>
    </row>
    <row r="157" spans="1:19" s="4027" customFormat="1" ht="13.5" customHeight="1">
      <c r="A157" s="4057"/>
      <c r="B157" s="4061"/>
      <c r="C157" s="4066"/>
      <c r="D157" s="4062" t="s">
        <v>4083</v>
      </c>
      <c r="E157" s="4062"/>
      <c r="F157" s="4063">
        <f>7.7+1.7+2.6+2.1+1.8+7.7+1.7+1.5+3.3</f>
        <v>30.1</v>
      </c>
      <c r="G157" s="256"/>
      <c r="H157" s="4063"/>
      <c r="I157" s="4067"/>
      <c r="J157" s="3999"/>
    </row>
    <row r="158" spans="1:19" s="804" customFormat="1" ht="13.5" customHeight="1">
      <c r="A158" s="3994"/>
      <c r="B158" s="3995"/>
      <c r="C158" s="3996">
        <v>4</v>
      </c>
      <c r="D158" s="3996" t="s">
        <v>279</v>
      </c>
      <c r="E158" s="3996"/>
      <c r="F158" s="3997"/>
      <c r="G158" s="11"/>
      <c r="H158" s="3997">
        <f>SUM(H159:H172)</f>
        <v>0</v>
      </c>
      <c r="I158" s="3998"/>
      <c r="J158" s="4068"/>
      <c r="K158" s="4069"/>
      <c r="N158" s="4070"/>
    </row>
    <row r="159" spans="1:19" s="888" customFormat="1" ht="13.5" customHeight="1">
      <c r="A159" s="3725">
        <v>42</v>
      </c>
      <c r="B159" s="3539" t="s">
        <v>219</v>
      </c>
      <c r="C159" s="3507" t="s">
        <v>280</v>
      </c>
      <c r="D159" s="3507" t="s">
        <v>281</v>
      </c>
      <c r="E159" s="3507" t="s">
        <v>205</v>
      </c>
      <c r="F159" s="4035">
        <f>ROUND(SUM(F161),3)</f>
        <v>25</v>
      </c>
      <c r="G159" s="5"/>
      <c r="H159" s="2516">
        <f t="shared" ref="H159" si="3">ROUND(F159*G159,2)</f>
        <v>0</v>
      </c>
      <c r="I159" s="3510" t="s">
        <v>111</v>
      </c>
      <c r="J159" s="4071"/>
      <c r="K159" s="4072"/>
      <c r="L159" s="4073"/>
      <c r="M159" s="3586"/>
      <c r="N159" s="4074"/>
      <c r="O159" s="4075"/>
      <c r="P159" s="3663"/>
      <c r="S159" s="4076"/>
    </row>
    <row r="160" spans="1:19" s="888" customFormat="1" ht="27" customHeight="1">
      <c r="A160" s="3725"/>
      <c r="B160" s="3507"/>
      <c r="C160" s="3507"/>
      <c r="D160" s="3514" t="s">
        <v>282</v>
      </c>
      <c r="E160" s="3507"/>
      <c r="F160" s="3622"/>
      <c r="G160" s="5"/>
      <c r="H160" s="3509"/>
      <c r="I160" s="3532"/>
      <c r="J160" s="4077"/>
      <c r="K160" s="4078"/>
      <c r="N160" s="4047"/>
      <c r="O160" s="4075"/>
      <c r="P160" s="3663"/>
      <c r="S160" s="4076"/>
    </row>
    <row r="161" spans="1:19" s="888" customFormat="1" ht="13.5" customHeight="1">
      <c r="A161" s="3640"/>
      <c r="B161" s="3507"/>
      <c r="C161" s="3507"/>
      <c r="D161" s="3514" t="s">
        <v>283</v>
      </c>
      <c r="E161" s="3507"/>
      <c r="F161" s="3546">
        <v>25</v>
      </c>
      <c r="G161" s="5"/>
      <c r="H161" s="3509"/>
      <c r="I161" s="3532"/>
      <c r="J161" s="4071"/>
      <c r="K161" s="4072"/>
      <c r="L161" s="4073"/>
      <c r="M161" s="3586"/>
      <c r="N161" s="4074"/>
      <c r="O161" s="4079"/>
      <c r="P161" s="4080"/>
      <c r="S161" s="4076"/>
    </row>
    <row r="162" spans="1:19" s="888" customFormat="1" ht="13.5" customHeight="1">
      <c r="A162" s="3725"/>
      <c r="B162" s="3507"/>
      <c r="C162" s="3507"/>
      <c r="D162" s="3514" t="s">
        <v>284</v>
      </c>
      <c r="E162" s="3507"/>
      <c r="F162" s="3546"/>
      <c r="G162" s="5"/>
      <c r="H162" s="3509"/>
      <c r="I162" s="3510"/>
      <c r="J162" s="4081"/>
      <c r="K162" s="4081"/>
      <c r="R162" s="3728"/>
    </row>
    <row r="163" spans="1:19" s="888" customFormat="1" ht="13.5" customHeight="1">
      <c r="A163" s="3640"/>
      <c r="B163" s="3507"/>
      <c r="C163" s="3507"/>
      <c r="D163" s="3514" t="s">
        <v>285</v>
      </c>
      <c r="E163" s="3507"/>
      <c r="F163" s="3546"/>
      <c r="G163" s="5"/>
      <c r="H163" s="3509"/>
      <c r="I163" s="3532"/>
      <c r="J163" s="4081"/>
      <c r="K163" s="4081"/>
      <c r="L163" s="4073"/>
      <c r="M163" s="3586"/>
      <c r="N163" s="4074"/>
      <c r="O163" s="4079"/>
      <c r="P163" s="4080"/>
      <c r="S163" s="4076"/>
    </row>
    <row r="164" spans="1:19" s="888" customFormat="1" ht="27" customHeight="1">
      <c r="A164" s="3725"/>
      <c r="B164" s="3507"/>
      <c r="C164" s="3507"/>
      <c r="D164" s="3514" t="s">
        <v>286</v>
      </c>
      <c r="E164" s="3507"/>
      <c r="F164" s="3546"/>
      <c r="G164" s="5"/>
      <c r="H164" s="3509"/>
      <c r="I164" s="3584"/>
      <c r="J164" s="4082"/>
      <c r="K164" s="3534"/>
      <c r="L164" s="4083"/>
      <c r="M164" s="1204"/>
      <c r="N164" s="4079"/>
      <c r="O164" s="4080"/>
      <c r="S164" s="4076"/>
    </row>
    <row r="165" spans="1:19" s="888" customFormat="1" ht="13.5" customHeight="1">
      <c r="A165" s="3725">
        <v>43</v>
      </c>
      <c r="B165" s="3539" t="s">
        <v>219</v>
      </c>
      <c r="C165" s="3507" t="s">
        <v>287</v>
      </c>
      <c r="D165" s="3507" t="s">
        <v>288</v>
      </c>
      <c r="E165" s="3507" t="s">
        <v>141</v>
      </c>
      <c r="F165" s="4035">
        <f>F166</f>
        <v>75</v>
      </c>
      <c r="G165" s="5"/>
      <c r="H165" s="2516">
        <f t="shared" ref="H165" si="4">ROUND(F165*G165,2)</f>
        <v>0</v>
      </c>
      <c r="I165" s="3510" t="s">
        <v>111</v>
      </c>
      <c r="J165" s="4044"/>
      <c r="M165" s="4084"/>
      <c r="N165" s="4084"/>
      <c r="O165" s="4084"/>
      <c r="P165" s="3663"/>
      <c r="S165" s="4076"/>
    </row>
    <row r="166" spans="1:19" s="888" customFormat="1" ht="13.5" customHeight="1">
      <c r="A166" s="3725"/>
      <c r="B166" s="3507"/>
      <c r="C166" s="3507"/>
      <c r="D166" s="3514" t="s">
        <v>289</v>
      </c>
      <c r="E166" s="3507"/>
      <c r="F166" s="3546">
        <v>75</v>
      </c>
      <c r="G166" s="5"/>
      <c r="H166" s="4084"/>
      <c r="I166" s="4084"/>
      <c r="J166" s="4047"/>
      <c r="K166" s="4048"/>
      <c r="L166" s="4049"/>
      <c r="M166" s="4085"/>
      <c r="N166" s="4085"/>
      <c r="O166" s="4085"/>
      <c r="P166" s="3663"/>
      <c r="S166" s="4076"/>
    </row>
    <row r="167" spans="1:19" s="888" customFormat="1" ht="13.5" customHeight="1">
      <c r="A167" s="3640"/>
      <c r="B167" s="3507"/>
      <c r="C167" s="3507"/>
      <c r="D167" s="3514" t="s">
        <v>290</v>
      </c>
      <c r="E167" s="3507"/>
      <c r="F167" s="3546"/>
      <c r="G167" s="5"/>
      <c r="H167" s="3509"/>
      <c r="I167" s="3532"/>
      <c r="J167" s="4047"/>
      <c r="K167" s="4048"/>
      <c r="L167" s="3209"/>
      <c r="M167" s="3209"/>
      <c r="O167" s="3209"/>
      <c r="P167" s="4080"/>
      <c r="S167" s="4076"/>
    </row>
    <row r="168" spans="1:19" s="888" customFormat="1" ht="27" customHeight="1">
      <c r="A168" s="3725"/>
      <c r="B168" s="3507"/>
      <c r="C168" s="3507"/>
      <c r="D168" s="3514" t="s">
        <v>286</v>
      </c>
      <c r="E168" s="3507"/>
      <c r="F168" s="3546"/>
      <c r="G168" s="5"/>
      <c r="H168" s="3509"/>
      <c r="I168" s="3510"/>
      <c r="J168" s="4051"/>
      <c r="K168" s="4052"/>
      <c r="L168" s="5162"/>
      <c r="M168" s="5162"/>
      <c r="N168" s="5162"/>
      <c r="O168" s="4053"/>
      <c r="R168" s="3728"/>
    </row>
    <row r="169" spans="1:19" s="888" customFormat="1" ht="13.5" customHeight="1">
      <c r="A169" s="3725">
        <v>44</v>
      </c>
      <c r="B169" s="3539" t="s">
        <v>219</v>
      </c>
      <c r="C169" s="3507" t="s">
        <v>291</v>
      </c>
      <c r="D169" s="3507" t="s">
        <v>292</v>
      </c>
      <c r="E169" s="3507" t="s">
        <v>146</v>
      </c>
      <c r="F169" s="4035">
        <f>F170</f>
        <v>46.805</v>
      </c>
      <c r="G169" s="5"/>
      <c r="H169" s="2516">
        <f t="shared" ref="H169" si="5">ROUND(F169*G169,2)</f>
        <v>0</v>
      </c>
      <c r="I169" s="3510" t="s">
        <v>111</v>
      </c>
      <c r="J169" s="4086"/>
      <c r="K169" s="4087"/>
      <c r="L169" s="4088"/>
      <c r="M169" s="4088"/>
      <c r="N169" s="4088"/>
      <c r="O169" s="4088"/>
      <c r="P169" s="4088"/>
      <c r="S169" s="4076"/>
    </row>
    <row r="170" spans="1:19" s="888" customFormat="1" ht="13.5" customHeight="1">
      <c r="A170" s="3725"/>
      <c r="B170" s="3507"/>
      <c r="C170" s="3507"/>
      <c r="D170" s="3514" t="s">
        <v>293</v>
      </c>
      <c r="E170" s="3507"/>
      <c r="F170" s="3546">
        <f>(42.55)*1.1</f>
        <v>46.805</v>
      </c>
      <c r="G170" s="5"/>
      <c r="H170" s="4084"/>
      <c r="I170" s="4084"/>
      <c r="J170" s="4088"/>
      <c r="K170" s="4088"/>
      <c r="L170" s="4088"/>
      <c r="M170" s="4088"/>
      <c r="N170" s="4088"/>
      <c r="O170" s="4088"/>
      <c r="P170" s="4088"/>
      <c r="S170" s="4076"/>
    </row>
    <row r="171" spans="1:19" s="888" customFormat="1" ht="13.5" customHeight="1">
      <c r="A171" s="3640"/>
      <c r="B171" s="3507"/>
      <c r="C171" s="3507"/>
      <c r="D171" s="3514" t="s">
        <v>290</v>
      </c>
      <c r="E171" s="3507"/>
      <c r="F171" s="3546"/>
      <c r="G171" s="5"/>
      <c r="H171" s="3509"/>
      <c r="I171" s="3532"/>
      <c r="J171" s="4089"/>
      <c r="K171" s="4087"/>
      <c r="L171" s="4088"/>
      <c r="M171" s="4088"/>
      <c r="N171" s="4088"/>
      <c r="O171" s="4088"/>
      <c r="P171" s="4088"/>
      <c r="S171" s="4076"/>
    </row>
    <row r="172" spans="1:19" s="888" customFormat="1" ht="27" customHeight="1">
      <c r="A172" s="3725"/>
      <c r="B172" s="3507"/>
      <c r="C172" s="3507"/>
      <c r="D172" s="3514" t="s">
        <v>286</v>
      </c>
      <c r="E172" s="3507"/>
      <c r="F172" s="3546"/>
      <c r="G172" s="5"/>
      <c r="H172" s="3509"/>
      <c r="I172" s="3510"/>
      <c r="J172" s="4086"/>
      <c r="K172" s="4087"/>
      <c r="L172" s="4088"/>
      <c r="M172" s="4088"/>
      <c r="N172" s="4088"/>
      <c r="O172" s="4088"/>
      <c r="P172" s="4088"/>
      <c r="R172" s="3728"/>
    </row>
    <row r="173" spans="1:19" s="4091" customFormat="1" ht="13.5" customHeight="1">
      <c r="A173" s="3994"/>
      <c r="B173" s="3995"/>
      <c r="C173" s="3831" t="s">
        <v>130</v>
      </c>
      <c r="D173" s="3831" t="s">
        <v>294</v>
      </c>
      <c r="E173" s="3996"/>
      <c r="F173" s="3997"/>
      <c r="G173" s="11"/>
      <c r="H173" s="3997">
        <f>SUM(H174:H197)</f>
        <v>0</v>
      </c>
      <c r="I173" s="4090"/>
      <c r="J173" s="3999"/>
    </row>
    <row r="174" spans="1:19" s="1423" customFormat="1" ht="13.5" customHeight="1">
      <c r="A174" s="4092">
        <v>45</v>
      </c>
      <c r="B174" s="4001" t="s">
        <v>219</v>
      </c>
      <c r="C174" s="3638" t="s">
        <v>295</v>
      </c>
      <c r="D174" s="3638" t="s">
        <v>296</v>
      </c>
      <c r="E174" s="3638" t="s">
        <v>163</v>
      </c>
      <c r="F174" s="4093">
        <f>SUM(F176:F182)</f>
        <v>2771.1255000000006</v>
      </c>
      <c r="G174" s="3707"/>
      <c r="H174" s="3654">
        <f>G174*F174</f>
        <v>0</v>
      </c>
      <c r="I174" s="4018" t="s">
        <v>112</v>
      </c>
      <c r="J174" s="4094"/>
      <c r="K174" s="4095"/>
      <c r="L174" s="4095"/>
    </row>
    <row r="175" spans="1:19" s="1423" customFormat="1" ht="13.5" customHeight="1">
      <c r="A175" s="4096"/>
      <c r="B175" s="4001"/>
      <c r="C175" s="3638"/>
      <c r="D175" s="3975" t="s">
        <v>297</v>
      </c>
      <c r="E175" s="3638"/>
      <c r="F175" s="3654"/>
      <c r="G175" s="3707"/>
      <c r="H175" s="3654"/>
      <c r="I175" s="4018"/>
      <c r="J175" s="4094"/>
      <c r="K175" s="4095"/>
      <c r="L175" s="4095"/>
    </row>
    <row r="176" spans="1:19" s="1423" customFormat="1" ht="13.5" customHeight="1">
      <c r="A176" s="4096"/>
      <c r="B176" s="3638"/>
      <c r="C176" s="3638"/>
      <c r="D176" s="3975" t="s">
        <v>298</v>
      </c>
      <c r="E176" s="3638"/>
      <c r="F176" s="4097">
        <f>(407.5)*1.1</f>
        <v>448.25000000000006</v>
      </c>
      <c r="G176" s="3707"/>
      <c r="H176" s="3654"/>
      <c r="I176" s="4098"/>
      <c r="J176" s="4094"/>
      <c r="K176" s="4099"/>
      <c r="L176" s="4099"/>
    </row>
    <row r="177" spans="1:15" s="1423" customFormat="1" ht="13.5" customHeight="1">
      <c r="A177" s="4096"/>
      <c r="B177" s="3638"/>
      <c r="C177" s="3638"/>
      <c r="D177" s="3975" t="s">
        <v>299</v>
      </c>
      <c r="E177" s="3638"/>
      <c r="F177" s="4097">
        <f>(17.17)*1.1</f>
        <v>18.887000000000004</v>
      </c>
      <c r="G177" s="3707"/>
      <c r="H177" s="3654"/>
      <c r="I177" s="4098"/>
      <c r="J177" s="4094"/>
      <c r="K177" s="4099"/>
      <c r="L177" s="4099"/>
    </row>
    <row r="178" spans="1:15" s="1423" customFormat="1" ht="13.5" customHeight="1">
      <c r="A178" s="4096"/>
      <c r="B178" s="3638"/>
      <c r="C178" s="3638"/>
      <c r="D178" s="3975" t="s">
        <v>300</v>
      </c>
      <c r="E178" s="3638"/>
      <c r="F178" s="4097">
        <f>(1165.735)*1.1</f>
        <v>1282.3085000000001</v>
      </c>
      <c r="G178" s="3707"/>
      <c r="H178" s="3654"/>
      <c r="I178" s="4098"/>
      <c r="J178" s="4094"/>
      <c r="K178" s="4099"/>
      <c r="L178" s="4099"/>
    </row>
    <row r="179" spans="1:15" s="1423" customFormat="1" ht="13.5" customHeight="1">
      <c r="A179" s="4096"/>
      <c r="B179" s="4001"/>
      <c r="C179" s="3638"/>
      <c r="D179" s="4062" t="s">
        <v>297</v>
      </c>
      <c r="E179" s="4100"/>
      <c r="F179" s="4093"/>
      <c r="G179" s="3707"/>
      <c r="H179" s="3654"/>
      <c r="I179" s="4018"/>
      <c r="J179" s="4094"/>
      <c r="K179" s="4095"/>
      <c r="L179" s="4095"/>
    </row>
    <row r="180" spans="1:15" s="1423" customFormat="1" ht="13.5" customHeight="1">
      <c r="A180" s="4096"/>
      <c r="B180" s="3638"/>
      <c r="C180" s="3638"/>
      <c r="D180" s="4062" t="s">
        <v>4084</v>
      </c>
      <c r="E180" s="4100"/>
      <c r="F180" s="4093">
        <f>(179.3)*1.1</f>
        <v>197.23000000000002</v>
      </c>
      <c r="G180" s="3707"/>
      <c r="H180" s="3654"/>
      <c r="I180" s="4098"/>
      <c r="J180" s="4094"/>
      <c r="K180" s="4099"/>
      <c r="L180" s="4099"/>
    </row>
    <row r="181" spans="1:15" s="1423" customFormat="1" ht="13.5" customHeight="1">
      <c r="A181" s="4096"/>
      <c r="B181" s="3638"/>
      <c r="C181" s="3638"/>
      <c r="D181" s="4062" t="s">
        <v>4085</v>
      </c>
      <c r="E181" s="4100"/>
      <c r="F181" s="4093">
        <f>(67.9)*1.1</f>
        <v>74.690000000000012</v>
      </c>
      <c r="G181" s="3707"/>
      <c r="H181" s="3654"/>
      <c r="I181" s="4098"/>
      <c r="J181" s="4094"/>
      <c r="K181" s="4099"/>
      <c r="L181" s="4099"/>
    </row>
    <row r="182" spans="1:15" s="1423" customFormat="1" ht="13.5" customHeight="1">
      <c r="A182" s="4096"/>
      <c r="B182" s="3638"/>
      <c r="C182" s="3638"/>
      <c r="D182" s="4062" t="s">
        <v>4086</v>
      </c>
      <c r="E182" s="4100"/>
      <c r="F182" s="4093">
        <f>(681.6)*1.1</f>
        <v>749.7600000000001</v>
      </c>
      <c r="G182" s="3707"/>
      <c r="H182" s="3654"/>
      <c r="I182" s="4098"/>
      <c r="J182" s="4094"/>
      <c r="K182" s="4099"/>
      <c r="L182" s="4099"/>
    </row>
    <row r="183" spans="1:15" s="1423" customFormat="1" ht="27" customHeight="1">
      <c r="A183" s="4096"/>
      <c r="B183" s="3638"/>
      <c r="C183" s="3638"/>
      <c r="D183" s="3975" t="s">
        <v>4087</v>
      </c>
      <c r="E183" s="3638"/>
      <c r="F183" s="4097"/>
      <c r="G183" s="3707"/>
      <c r="H183" s="3654"/>
      <c r="I183" s="4098"/>
      <c r="J183" s="4094"/>
      <c r="K183" s="4099"/>
      <c r="L183" s="4099"/>
    </row>
    <row r="184" spans="1:15" s="4106" customFormat="1" ht="13.5" customHeight="1">
      <c r="A184" s="4101">
        <v>46</v>
      </c>
      <c r="B184" s="2577" t="s">
        <v>301</v>
      </c>
      <c r="C184" s="4102" t="s">
        <v>302</v>
      </c>
      <c r="D184" s="2603" t="s">
        <v>303</v>
      </c>
      <c r="E184" s="4103" t="s">
        <v>49</v>
      </c>
      <c r="F184" s="4104">
        <f>SUM(F185)</f>
        <v>1</v>
      </c>
      <c r="G184" s="5176" t="s">
        <v>3512</v>
      </c>
      <c r="H184" s="5177"/>
      <c r="I184" s="4018" t="s">
        <v>112</v>
      </c>
      <c r="J184" s="4105"/>
      <c r="M184" s="4091"/>
    </row>
    <row r="185" spans="1:15" s="4106" customFormat="1" ht="13.5" customHeight="1">
      <c r="A185" s="4107"/>
      <c r="B185" s="2577"/>
      <c r="C185" s="4102"/>
      <c r="D185" s="2582" t="s">
        <v>304</v>
      </c>
      <c r="E185" s="4103"/>
      <c r="F185" s="4108">
        <v>1</v>
      </c>
      <c r="G185" s="17"/>
      <c r="H185" s="2580"/>
      <c r="I185" s="2581"/>
      <c r="J185" s="4044"/>
      <c r="K185" s="888"/>
      <c r="L185" s="888"/>
      <c r="M185" s="888"/>
      <c r="N185" s="4045"/>
      <c r="O185" s="4046"/>
    </row>
    <row r="186" spans="1:15" s="4106" customFormat="1" ht="13.5" customHeight="1">
      <c r="A186" s="4107"/>
      <c r="B186" s="2577"/>
      <c r="C186" s="4102"/>
      <c r="D186" s="2582" t="s">
        <v>305</v>
      </c>
      <c r="E186" s="4103"/>
      <c r="F186" s="4109"/>
      <c r="G186" s="17"/>
      <c r="H186" s="2580"/>
      <c r="I186" s="2581"/>
      <c r="J186" s="4047"/>
      <c r="K186" s="4048"/>
      <c r="L186" s="4049"/>
      <c r="M186" s="888"/>
      <c r="N186" s="888"/>
      <c r="O186" s="888"/>
    </row>
    <row r="187" spans="1:15" s="4106" customFormat="1" ht="13.5" customHeight="1">
      <c r="A187" s="4107"/>
      <c r="B187" s="2577"/>
      <c r="C187" s="4102"/>
      <c r="D187" s="4110" t="s">
        <v>4088</v>
      </c>
      <c r="E187" s="4103"/>
      <c r="F187" s="4109"/>
      <c r="G187" s="17"/>
      <c r="H187" s="2580"/>
      <c r="I187" s="2581"/>
      <c r="J187" s="4047"/>
      <c r="K187" s="4048"/>
      <c r="L187" s="4049"/>
      <c r="M187" s="888"/>
      <c r="N187" s="888"/>
      <c r="O187" s="888"/>
    </row>
    <row r="188" spans="1:15" s="4106" customFormat="1" ht="13.5" customHeight="1">
      <c r="A188" s="4101" t="s">
        <v>6426</v>
      </c>
      <c r="B188" s="4111" t="s">
        <v>301</v>
      </c>
      <c r="C188" s="4112" t="s">
        <v>6479</v>
      </c>
      <c r="D188" s="4110" t="s">
        <v>6480</v>
      </c>
      <c r="E188" s="4113" t="s">
        <v>163</v>
      </c>
      <c r="F188" s="4114">
        <f>SUM(F190:F193)</f>
        <v>224.2</v>
      </c>
      <c r="G188" s="530"/>
      <c r="H188" s="4115">
        <f>F188*G188</f>
        <v>0</v>
      </c>
      <c r="I188" s="4064" t="s">
        <v>112</v>
      </c>
      <c r="J188" s="4105"/>
      <c r="M188" s="4091"/>
    </row>
    <row r="189" spans="1:15" s="4106" customFormat="1" ht="13.5" customHeight="1">
      <c r="A189" s="4101"/>
      <c r="B189" s="4111"/>
      <c r="C189" s="4112"/>
      <c r="D189" s="4110" t="s">
        <v>304</v>
      </c>
      <c r="E189" s="4113"/>
      <c r="F189" s="4116"/>
      <c r="G189" s="530"/>
      <c r="H189" s="4115"/>
      <c r="I189" s="4117"/>
      <c r="J189" s="4044"/>
      <c r="K189" s="888"/>
      <c r="L189" s="888"/>
      <c r="M189" s="888"/>
      <c r="N189" s="4045"/>
      <c r="O189" s="4046"/>
    </row>
    <row r="190" spans="1:15" s="4106" customFormat="1" ht="13.5" customHeight="1">
      <c r="A190" s="4101"/>
      <c r="B190" s="4111"/>
      <c r="C190" s="4112"/>
      <c r="D190" s="4110" t="s">
        <v>6481</v>
      </c>
      <c r="E190" s="4113"/>
      <c r="F190" s="4093">
        <f>(3750)*0.03</f>
        <v>112.5</v>
      </c>
      <c r="G190" s="530"/>
      <c r="H190" s="4115"/>
      <c r="I190" s="4117"/>
      <c r="J190" s="4047"/>
      <c r="K190" s="4048"/>
      <c r="L190" s="4049"/>
      <c r="M190" s="888"/>
      <c r="N190" s="888"/>
      <c r="O190" s="888"/>
    </row>
    <row r="191" spans="1:15" s="4106" customFormat="1" ht="13.5" customHeight="1">
      <c r="A191" s="4101"/>
      <c r="B191" s="4111"/>
      <c r="C191" s="4112"/>
      <c r="D191" s="4110" t="s">
        <v>6482</v>
      </c>
      <c r="E191" s="4113"/>
      <c r="F191" s="4093">
        <f>(1435)*0.07</f>
        <v>100.45</v>
      </c>
      <c r="G191" s="530"/>
      <c r="H191" s="4115"/>
      <c r="I191" s="4117"/>
      <c r="J191" s="4047"/>
      <c r="K191" s="4048"/>
      <c r="L191" s="4049"/>
      <c r="M191" s="888"/>
      <c r="N191" s="888"/>
      <c r="O191" s="888"/>
    </row>
    <row r="192" spans="1:15" s="4106" customFormat="1" ht="13.5" customHeight="1">
      <c r="A192" s="4118"/>
      <c r="B192" s="4119"/>
      <c r="C192" s="4120"/>
      <c r="D192" s="4110" t="s">
        <v>6493</v>
      </c>
      <c r="E192" s="4121"/>
      <c r="F192" s="4093">
        <f>(60)*0.15</f>
        <v>9</v>
      </c>
      <c r="G192" s="531"/>
      <c r="H192" s="4122"/>
      <c r="I192" s="4123"/>
      <c r="J192" s="4047"/>
      <c r="K192" s="4048"/>
      <c r="L192" s="4049"/>
      <c r="M192" s="888"/>
      <c r="N192" s="888"/>
      <c r="O192" s="888"/>
    </row>
    <row r="193" spans="1:19" s="4106" customFormat="1" ht="13.5" customHeight="1">
      <c r="A193" s="4118"/>
      <c r="B193" s="4119"/>
      <c r="C193" s="4120"/>
      <c r="D193" s="4110" t="s">
        <v>6492</v>
      </c>
      <c r="E193" s="4121"/>
      <c r="F193" s="4093">
        <f>(15)*0.15</f>
        <v>2.25</v>
      </c>
      <c r="G193" s="531"/>
      <c r="H193" s="4122"/>
      <c r="I193" s="4123"/>
      <c r="J193" s="4047"/>
      <c r="K193" s="4048"/>
      <c r="L193" s="4049"/>
      <c r="M193" s="888"/>
      <c r="N193" s="888"/>
      <c r="O193" s="888"/>
    </row>
    <row r="194" spans="1:19" s="883" customFormat="1" ht="40.5" customHeight="1">
      <c r="A194" s="4124">
        <v>47</v>
      </c>
      <c r="B194" s="3869" t="s">
        <v>301</v>
      </c>
      <c r="C194" s="2592" t="s">
        <v>306</v>
      </c>
      <c r="D194" s="2592" t="s">
        <v>307</v>
      </c>
      <c r="E194" s="2592" t="s">
        <v>49</v>
      </c>
      <c r="F194" s="4125">
        <f>F195</f>
        <v>1</v>
      </c>
      <c r="G194" s="5178" t="s">
        <v>6485</v>
      </c>
      <c r="H194" s="5179"/>
      <c r="I194" s="4018" t="s">
        <v>112</v>
      </c>
      <c r="J194" s="4047"/>
      <c r="K194" s="4048"/>
      <c r="L194" s="3209"/>
      <c r="M194" s="3209"/>
      <c r="N194" s="888"/>
      <c r="O194" s="3209"/>
    </row>
    <row r="195" spans="1:19" s="883" customFormat="1" ht="27" customHeight="1">
      <c r="A195" s="4126"/>
      <c r="B195" s="3869"/>
      <c r="C195" s="2592"/>
      <c r="D195" s="2599" t="s">
        <v>308</v>
      </c>
      <c r="E195" s="2592"/>
      <c r="F195" s="3872">
        <v>1</v>
      </c>
      <c r="G195" s="18"/>
      <c r="H195" s="4125"/>
      <c r="I195" s="4127"/>
      <c r="J195" s="4051"/>
      <c r="K195" s="4052"/>
      <c r="L195" s="5162"/>
      <c r="M195" s="5162"/>
      <c r="N195" s="5162"/>
      <c r="O195" s="4053"/>
    </row>
    <row r="196" spans="1:19" s="883" customFormat="1" ht="40.5" customHeight="1">
      <c r="A196" s="4126"/>
      <c r="B196" s="3869"/>
      <c r="C196" s="2592"/>
      <c r="D196" s="2599" t="s">
        <v>309</v>
      </c>
      <c r="E196" s="2592"/>
      <c r="F196" s="4125"/>
      <c r="G196" s="18"/>
      <c r="H196" s="4125"/>
      <c r="I196" s="4127"/>
      <c r="J196" s="3921"/>
      <c r="K196" s="4055"/>
      <c r="L196" s="4056"/>
      <c r="M196" s="888"/>
      <c r="N196" s="888"/>
      <c r="O196" s="888"/>
    </row>
    <row r="197" spans="1:19" s="1423" customFormat="1" ht="67.5" customHeight="1">
      <c r="A197" s="3655"/>
      <c r="B197" s="3638"/>
      <c r="C197" s="3638"/>
      <c r="D197" s="2314" t="s">
        <v>310</v>
      </c>
      <c r="E197" s="4128"/>
      <c r="F197" s="4097"/>
      <c r="G197" s="3707"/>
      <c r="H197" s="3654"/>
      <c r="I197" s="4129"/>
      <c r="J197" s="4130"/>
      <c r="L197" s="883"/>
    </row>
    <row r="198" spans="1:19" s="888" customFormat="1" ht="13.5" customHeight="1">
      <c r="A198" s="3501"/>
      <c r="B198" s="3502"/>
      <c r="C198" s="3502" t="s">
        <v>311</v>
      </c>
      <c r="D198" s="3502" t="s">
        <v>312</v>
      </c>
      <c r="E198" s="3502"/>
      <c r="F198" s="3634"/>
      <c r="G198" s="19"/>
      <c r="H198" s="3634">
        <f>SUM(H199:H256)</f>
        <v>0</v>
      </c>
      <c r="I198" s="3943"/>
      <c r="J198" s="4131"/>
      <c r="K198" s="4132"/>
      <c r="L198" s="4133"/>
      <c r="M198" s="4134"/>
      <c r="N198" s="4134"/>
      <c r="O198" s="3124"/>
      <c r="P198" s="4134"/>
      <c r="Q198" s="4135"/>
      <c r="R198" s="4136"/>
      <c r="S198" s="4137"/>
    </row>
    <row r="199" spans="1:19" s="888" customFormat="1" ht="27" customHeight="1">
      <c r="A199" s="3725">
        <v>48</v>
      </c>
      <c r="B199" s="3539" t="s">
        <v>313</v>
      </c>
      <c r="C199" s="3507">
        <v>941111121</v>
      </c>
      <c r="D199" s="3507" t="s">
        <v>314</v>
      </c>
      <c r="E199" s="3507" t="s">
        <v>163</v>
      </c>
      <c r="F199" s="3509">
        <f>SUM(F201:F201)</f>
        <v>1215</v>
      </c>
      <c r="G199" s="5"/>
      <c r="H199" s="3509">
        <f>F199*G199</f>
        <v>0</v>
      </c>
      <c r="I199" s="4018" t="s">
        <v>137</v>
      </c>
      <c r="J199" s="3592"/>
      <c r="K199" s="3133"/>
      <c r="L199" s="3133"/>
      <c r="M199" s="3133"/>
      <c r="N199" s="3133"/>
      <c r="O199" s="3133"/>
      <c r="P199" s="3133"/>
      <c r="Q199" s="3161"/>
    </row>
    <row r="200" spans="1:19" s="888" customFormat="1" ht="27" customHeight="1">
      <c r="A200" s="4138"/>
      <c r="B200" s="4139"/>
      <c r="C200" s="4139"/>
      <c r="D200" s="2230" t="s">
        <v>315</v>
      </c>
      <c r="E200" s="4139"/>
      <c r="F200" s="4140"/>
      <c r="G200" s="24"/>
      <c r="H200" s="3929"/>
      <c r="I200" s="2228"/>
      <c r="J200" s="4141"/>
    </row>
    <row r="201" spans="1:19" s="888" customFormat="1" ht="13.5" customHeight="1">
      <c r="A201" s="3657"/>
      <c r="B201" s="3539"/>
      <c r="C201" s="3507"/>
      <c r="D201" s="3514" t="s">
        <v>316</v>
      </c>
      <c r="E201" s="3507"/>
      <c r="F201" s="3546">
        <f>(135)*9</f>
        <v>1215</v>
      </c>
      <c r="G201" s="5"/>
      <c r="H201" s="3509"/>
      <c r="I201" s="3510"/>
      <c r="J201" s="3939"/>
    </row>
    <row r="202" spans="1:19" s="888" customFormat="1" ht="13.5" customHeight="1">
      <c r="A202" s="3632"/>
      <c r="B202" s="3633"/>
      <c r="C202" s="3502"/>
      <c r="D202" s="3514" t="s">
        <v>317</v>
      </c>
      <c r="E202" s="3502"/>
      <c r="F202" s="3546"/>
      <c r="G202" s="19"/>
      <c r="H202" s="3634"/>
      <c r="I202" s="3506"/>
      <c r="J202" s="3939"/>
    </row>
    <row r="203" spans="1:19" s="888" customFormat="1" ht="27" customHeight="1">
      <c r="A203" s="3657">
        <v>49</v>
      </c>
      <c r="B203" s="3539" t="s">
        <v>313</v>
      </c>
      <c r="C203" s="3507">
        <v>941111221</v>
      </c>
      <c r="D203" s="3507" t="s">
        <v>318</v>
      </c>
      <c r="E203" s="3507" t="s">
        <v>163</v>
      </c>
      <c r="F203" s="3509">
        <f>SUM(F204:F204)</f>
        <v>109350</v>
      </c>
      <c r="G203" s="5165" t="s">
        <v>3512</v>
      </c>
      <c r="H203" s="5166"/>
      <c r="I203" s="4018" t="s">
        <v>137</v>
      </c>
      <c r="J203" s="3133"/>
    </row>
    <row r="204" spans="1:19" s="1204" customFormat="1" ht="13.5" customHeight="1">
      <c r="A204" s="3657"/>
      <c r="B204" s="3539"/>
      <c r="C204" s="3507"/>
      <c r="D204" s="3514" t="s">
        <v>319</v>
      </c>
      <c r="E204" s="3507"/>
      <c r="F204" s="3546">
        <f>((1215)*90)</f>
        <v>109350</v>
      </c>
      <c r="G204" s="5"/>
      <c r="H204" s="3509"/>
      <c r="I204" s="3943"/>
      <c r="J204" s="3533"/>
      <c r="L204" s="888"/>
    </row>
    <row r="205" spans="1:19" s="888" customFormat="1" ht="27" customHeight="1">
      <c r="A205" s="4142" t="s">
        <v>5658</v>
      </c>
      <c r="B205" s="4143" t="s">
        <v>313</v>
      </c>
      <c r="C205" s="3761">
        <v>941111221</v>
      </c>
      <c r="D205" s="3761" t="s">
        <v>6380</v>
      </c>
      <c r="E205" s="3761" t="s">
        <v>163</v>
      </c>
      <c r="F205" s="3763">
        <f>SUM(F206:F206)</f>
        <v>1215</v>
      </c>
      <c r="G205" s="257"/>
      <c r="H205" s="3763">
        <f>F205*G205</f>
        <v>0</v>
      </c>
      <c r="I205" s="4144" t="s">
        <v>2874</v>
      </c>
      <c r="J205" s="3133"/>
    </row>
    <row r="206" spans="1:19" s="1204" customFormat="1" ht="13.5" customHeight="1">
      <c r="A206" s="4142"/>
      <c r="B206" s="4143"/>
      <c r="C206" s="3761"/>
      <c r="D206" s="3761" t="s">
        <v>6377</v>
      </c>
      <c r="E206" s="3761"/>
      <c r="F206" s="3763">
        <f>(1215)</f>
        <v>1215</v>
      </c>
      <c r="G206" s="257"/>
      <c r="H206" s="3763"/>
      <c r="I206" s="4145"/>
      <c r="J206" s="3533"/>
      <c r="L206" s="888"/>
    </row>
    <row r="207" spans="1:19" s="1204" customFormat="1" ht="13.5" customHeight="1">
      <c r="A207" s="4146"/>
      <c r="B207" s="4147"/>
      <c r="C207" s="4148"/>
      <c r="D207" s="4148" t="s">
        <v>6371</v>
      </c>
      <c r="E207" s="4148"/>
      <c r="F207" s="4149"/>
      <c r="G207" s="4823"/>
      <c r="H207" s="4150"/>
      <c r="I207" s="4151"/>
    </row>
    <row r="208" spans="1:19" s="1204" customFormat="1" ht="27" customHeight="1">
      <c r="A208" s="3657">
        <v>50</v>
      </c>
      <c r="B208" s="3539" t="s">
        <v>313</v>
      </c>
      <c r="C208" s="3507">
        <v>941111821</v>
      </c>
      <c r="D208" s="3507" t="s">
        <v>320</v>
      </c>
      <c r="E208" s="3507" t="s">
        <v>163</v>
      </c>
      <c r="F208" s="3509">
        <f>F209</f>
        <v>1215</v>
      </c>
      <c r="G208" s="5"/>
      <c r="H208" s="3509">
        <f>F208*G208</f>
        <v>0</v>
      </c>
      <c r="I208" s="4018" t="s">
        <v>137</v>
      </c>
      <c r="J208" s="3533"/>
      <c r="L208" s="888"/>
    </row>
    <row r="209" spans="1:12" s="1204" customFormat="1" ht="27" customHeight="1">
      <c r="A209" s="3657"/>
      <c r="B209" s="3539"/>
      <c r="C209" s="3507"/>
      <c r="D209" s="3514" t="s">
        <v>321</v>
      </c>
      <c r="E209" s="3507"/>
      <c r="F209" s="3546">
        <f>F201</f>
        <v>1215</v>
      </c>
      <c r="G209" s="5"/>
      <c r="H209" s="3509"/>
      <c r="I209" s="4152"/>
      <c r="J209" s="3533"/>
      <c r="L209" s="888"/>
    </row>
    <row r="210" spans="1:12" s="888" customFormat="1" ht="13.5" customHeight="1">
      <c r="A210" s="3657">
        <v>51</v>
      </c>
      <c r="B210" s="3539" t="s">
        <v>313</v>
      </c>
      <c r="C210" s="3507">
        <v>944511111</v>
      </c>
      <c r="D210" s="3507" t="s">
        <v>322</v>
      </c>
      <c r="E210" s="3507" t="s">
        <v>163</v>
      </c>
      <c r="F210" s="3509">
        <f>SUM(F211:F211)</f>
        <v>1215</v>
      </c>
      <c r="G210" s="5"/>
      <c r="H210" s="3509">
        <f>F210*G210</f>
        <v>0</v>
      </c>
      <c r="I210" s="4018" t="s">
        <v>137</v>
      </c>
      <c r="J210" s="3133"/>
    </row>
    <row r="211" spans="1:12" s="888" customFormat="1" ht="13.5" customHeight="1">
      <c r="A211" s="3632"/>
      <c r="B211" s="3502"/>
      <c r="C211" s="3502"/>
      <c r="D211" s="3530" t="s">
        <v>323</v>
      </c>
      <c r="E211" s="3502"/>
      <c r="F211" s="3546">
        <f>(1215)</f>
        <v>1215</v>
      </c>
      <c r="G211" s="19"/>
      <c r="H211" s="3634"/>
      <c r="I211" s="3506"/>
      <c r="J211" s="3133"/>
    </row>
    <row r="212" spans="1:12" s="888" customFormat="1" ht="13.5" customHeight="1">
      <c r="A212" s="3657">
        <v>52</v>
      </c>
      <c r="B212" s="3539" t="s">
        <v>313</v>
      </c>
      <c r="C212" s="3507">
        <v>944511211</v>
      </c>
      <c r="D212" s="3507" t="s">
        <v>324</v>
      </c>
      <c r="E212" s="3507" t="s">
        <v>163</v>
      </c>
      <c r="F212" s="3509">
        <f>SUM(F213:F213)</f>
        <v>109350</v>
      </c>
      <c r="G212" s="5165" t="s">
        <v>3512</v>
      </c>
      <c r="H212" s="5166"/>
      <c r="I212" s="4018" t="s">
        <v>137</v>
      </c>
      <c r="J212" s="3133"/>
    </row>
    <row r="213" spans="1:12" s="1204" customFormat="1" ht="13.5" customHeight="1">
      <c r="A213" s="3657"/>
      <c r="B213" s="3539"/>
      <c r="C213" s="3507"/>
      <c r="D213" s="3514" t="s">
        <v>325</v>
      </c>
      <c r="E213" s="3507"/>
      <c r="F213" s="3546">
        <f xml:space="preserve"> (1215)*90</f>
        <v>109350</v>
      </c>
      <c r="G213" s="5"/>
      <c r="H213" s="3509"/>
      <c r="I213" s="3943"/>
      <c r="J213" s="3533"/>
      <c r="L213" s="888"/>
    </row>
    <row r="214" spans="1:12" s="888" customFormat="1" ht="13.5" customHeight="1">
      <c r="A214" s="4142" t="s">
        <v>6375</v>
      </c>
      <c r="B214" s="4143" t="s">
        <v>313</v>
      </c>
      <c r="C214" s="3761">
        <v>944511211</v>
      </c>
      <c r="D214" s="3761" t="s">
        <v>6367</v>
      </c>
      <c r="E214" s="3761" t="s">
        <v>163</v>
      </c>
      <c r="F214" s="3763">
        <f>SUM(F215:F215)</f>
        <v>1215</v>
      </c>
      <c r="G214" s="257"/>
      <c r="H214" s="3763">
        <f>F214*G214</f>
        <v>0</v>
      </c>
      <c r="I214" s="4144" t="s">
        <v>2874</v>
      </c>
      <c r="J214" s="3133"/>
    </row>
    <row r="215" spans="1:12" s="1204" customFormat="1" ht="13.5" customHeight="1">
      <c r="A215" s="4142"/>
      <c r="B215" s="4143"/>
      <c r="C215" s="3761"/>
      <c r="D215" s="3761" t="s">
        <v>6378</v>
      </c>
      <c r="E215" s="3761"/>
      <c r="F215" s="3763">
        <f xml:space="preserve"> (1215)</f>
        <v>1215</v>
      </c>
      <c r="G215" s="257"/>
      <c r="H215" s="3763"/>
      <c r="I215" s="4145"/>
      <c r="J215" s="3533"/>
      <c r="L215" s="888"/>
    </row>
    <row r="216" spans="1:12" s="1204" customFormat="1" ht="13.5" customHeight="1">
      <c r="A216" s="4146"/>
      <c r="B216" s="4147"/>
      <c r="C216" s="4148"/>
      <c r="D216" s="4148" t="s">
        <v>6371</v>
      </c>
      <c r="E216" s="4148"/>
      <c r="F216" s="4149"/>
      <c r="G216" s="4823"/>
      <c r="H216" s="4150"/>
      <c r="I216" s="4151"/>
    </row>
    <row r="217" spans="1:12" s="888" customFormat="1" ht="13.5" customHeight="1">
      <c r="A217" s="3657">
        <v>53</v>
      </c>
      <c r="B217" s="3539" t="s">
        <v>313</v>
      </c>
      <c r="C217" s="3507">
        <v>944511811</v>
      </c>
      <c r="D217" s="3507" t="s">
        <v>326</v>
      </c>
      <c r="E217" s="3507" t="s">
        <v>163</v>
      </c>
      <c r="F217" s="3509">
        <f>F218</f>
        <v>1215</v>
      </c>
      <c r="G217" s="5"/>
      <c r="H217" s="3509">
        <f>F217*G217</f>
        <v>0</v>
      </c>
      <c r="I217" s="4018" t="s">
        <v>137</v>
      </c>
      <c r="J217" s="3133"/>
    </row>
    <row r="218" spans="1:12" s="888" customFormat="1" ht="13.5" customHeight="1">
      <c r="A218" s="3657"/>
      <c r="B218" s="3539"/>
      <c r="C218" s="3507"/>
      <c r="D218" s="3530" t="s">
        <v>327</v>
      </c>
      <c r="E218" s="3507"/>
      <c r="F218" s="4153">
        <f>F210</f>
        <v>1215</v>
      </c>
      <c r="G218" s="5"/>
      <c r="H218" s="3509"/>
      <c r="I218" s="4018"/>
      <c r="J218" s="3133"/>
    </row>
    <row r="219" spans="1:12" s="1204" customFormat="1" ht="13.5" customHeight="1">
      <c r="A219" s="3657">
        <v>54</v>
      </c>
      <c r="B219" s="3539" t="s">
        <v>313</v>
      </c>
      <c r="C219" s="3507">
        <v>944711114</v>
      </c>
      <c r="D219" s="3507" t="s">
        <v>328</v>
      </c>
      <c r="E219" s="3507" t="s">
        <v>141</v>
      </c>
      <c r="F219" s="3509">
        <f>F220</f>
        <v>6</v>
      </c>
      <c r="G219" s="5"/>
      <c r="H219" s="3509">
        <f>F219*G219</f>
        <v>0</v>
      </c>
      <c r="I219" s="4018" t="s">
        <v>137</v>
      </c>
      <c r="J219" s="3533"/>
      <c r="L219" s="888"/>
    </row>
    <row r="220" spans="1:12" s="1204" customFormat="1" ht="13.5" customHeight="1">
      <c r="A220" s="3657"/>
      <c r="B220" s="3539"/>
      <c r="C220" s="3507"/>
      <c r="D220" s="3514" t="s">
        <v>329</v>
      </c>
      <c r="E220" s="3507"/>
      <c r="F220" s="3546">
        <v>6</v>
      </c>
      <c r="G220" s="5"/>
      <c r="H220" s="3509"/>
      <c r="I220" s="3943"/>
      <c r="J220" s="3533"/>
      <c r="L220" s="888"/>
    </row>
    <row r="221" spans="1:12" s="888" customFormat="1" ht="13.5" customHeight="1">
      <c r="A221" s="3657">
        <v>55</v>
      </c>
      <c r="B221" s="3539" t="s">
        <v>313</v>
      </c>
      <c r="C221" s="3507">
        <v>944711214</v>
      </c>
      <c r="D221" s="3507" t="s">
        <v>330</v>
      </c>
      <c r="E221" s="3507" t="s">
        <v>141</v>
      </c>
      <c r="F221" s="3509">
        <f>SUM(F222:F222)</f>
        <v>540</v>
      </c>
      <c r="G221" s="5165" t="s">
        <v>3512</v>
      </c>
      <c r="H221" s="5166"/>
      <c r="I221" s="4018" t="s">
        <v>137</v>
      </c>
      <c r="J221" s="3133"/>
    </row>
    <row r="222" spans="1:12" s="1204" customFormat="1" ht="13.5" customHeight="1">
      <c r="A222" s="3657"/>
      <c r="B222" s="3539"/>
      <c r="C222" s="3507"/>
      <c r="D222" s="3514" t="s">
        <v>331</v>
      </c>
      <c r="E222" s="3507"/>
      <c r="F222" s="3546">
        <f>(6)*90</f>
        <v>540</v>
      </c>
      <c r="G222" s="5"/>
      <c r="H222" s="3509"/>
      <c r="I222" s="3943"/>
      <c r="J222" s="3533"/>
      <c r="L222" s="888"/>
    </row>
    <row r="223" spans="1:12" s="888" customFormat="1" ht="27" customHeight="1">
      <c r="A223" s="4142" t="s">
        <v>6376</v>
      </c>
      <c r="B223" s="4143" t="s">
        <v>313</v>
      </c>
      <c r="C223" s="3761">
        <v>944711214</v>
      </c>
      <c r="D223" s="3761" t="s">
        <v>6381</v>
      </c>
      <c r="E223" s="3761" t="s">
        <v>141</v>
      </c>
      <c r="F223" s="3763">
        <f>SUM(F224:F224)</f>
        <v>6</v>
      </c>
      <c r="G223" s="257"/>
      <c r="H223" s="3763">
        <f>F223*G223</f>
        <v>0</v>
      </c>
      <c r="I223" s="4144" t="s">
        <v>2874</v>
      </c>
      <c r="J223" s="3133"/>
    </row>
    <row r="224" spans="1:12" s="1204" customFormat="1" ht="13.5" customHeight="1">
      <c r="A224" s="4142"/>
      <c r="B224" s="4143"/>
      <c r="C224" s="3761"/>
      <c r="D224" s="3761" t="s">
        <v>6379</v>
      </c>
      <c r="E224" s="3761"/>
      <c r="F224" s="3763">
        <f>(6)</f>
        <v>6</v>
      </c>
      <c r="G224" s="257"/>
      <c r="H224" s="3763"/>
      <c r="I224" s="4145"/>
      <c r="J224" s="3533"/>
      <c r="L224" s="888"/>
    </row>
    <row r="225" spans="1:15" s="1204" customFormat="1" ht="13.5" customHeight="1">
      <c r="A225" s="4146"/>
      <c r="B225" s="4147"/>
      <c r="C225" s="4148"/>
      <c r="D225" s="4148" t="s">
        <v>6371</v>
      </c>
      <c r="E225" s="4148"/>
      <c r="F225" s="4149"/>
      <c r="G225" s="4823"/>
      <c r="H225" s="4150"/>
      <c r="I225" s="4151"/>
    </row>
    <row r="226" spans="1:15" s="1204" customFormat="1" ht="13.5" customHeight="1">
      <c r="A226" s="3657">
        <v>56</v>
      </c>
      <c r="B226" s="3539" t="s">
        <v>313</v>
      </c>
      <c r="C226" s="3507">
        <v>944711814</v>
      </c>
      <c r="D226" s="3507" t="s">
        <v>332</v>
      </c>
      <c r="E226" s="3507" t="s">
        <v>141</v>
      </c>
      <c r="F226" s="3509">
        <f>F227</f>
        <v>6</v>
      </c>
      <c r="G226" s="5"/>
      <c r="H226" s="3509">
        <f>F226*G226</f>
        <v>0</v>
      </c>
      <c r="I226" s="4018" t="s">
        <v>137</v>
      </c>
      <c r="J226" s="3533"/>
      <c r="L226" s="888"/>
    </row>
    <row r="227" spans="1:15" s="1204" customFormat="1" ht="13.5" customHeight="1">
      <c r="A227" s="3657"/>
      <c r="B227" s="3539"/>
      <c r="C227" s="3507"/>
      <c r="D227" s="3530" t="s">
        <v>333</v>
      </c>
      <c r="E227" s="3507"/>
      <c r="F227" s="4153">
        <f>F219</f>
        <v>6</v>
      </c>
      <c r="G227" s="5"/>
      <c r="H227" s="3509"/>
      <c r="I227" s="4018"/>
      <c r="J227" s="3533"/>
      <c r="L227" s="888"/>
    </row>
    <row r="228" spans="1:15" s="888" customFormat="1" ht="27" customHeight="1">
      <c r="A228" s="3725">
        <v>57</v>
      </c>
      <c r="B228" s="3539" t="s">
        <v>313</v>
      </c>
      <c r="C228" s="3507">
        <v>949101111</v>
      </c>
      <c r="D228" s="3507" t="s">
        <v>334</v>
      </c>
      <c r="E228" s="3507" t="s">
        <v>163</v>
      </c>
      <c r="F228" s="3509">
        <f>SUM(F230:F231)</f>
        <v>893.96900000000005</v>
      </c>
      <c r="G228" s="5"/>
      <c r="H228" s="3509">
        <f>F228*G228</f>
        <v>0</v>
      </c>
      <c r="I228" s="4018" t="s">
        <v>137</v>
      </c>
      <c r="J228" s="4154"/>
    </row>
    <row r="229" spans="1:15" s="888" customFormat="1" ht="13.5" customHeight="1">
      <c r="A229" s="3725"/>
      <c r="B229" s="3539"/>
      <c r="C229" s="3507"/>
      <c r="D229" s="3514" t="s">
        <v>335</v>
      </c>
      <c r="E229" s="3507"/>
      <c r="F229" s="3509"/>
      <c r="G229" s="5"/>
      <c r="H229" s="3509"/>
      <c r="I229" s="3510"/>
      <c r="J229" s="4154"/>
    </row>
    <row r="230" spans="1:15" s="888" customFormat="1" ht="13.5" customHeight="1">
      <c r="A230" s="3725"/>
      <c r="B230" s="3539"/>
      <c r="C230" s="3507"/>
      <c r="D230" s="3514" t="s">
        <v>336</v>
      </c>
      <c r="E230" s="3507"/>
      <c r="F230" s="3546">
        <f xml:space="preserve"> (16.7+7.98+11.82+1.08+2.17+3.93+5.21+15.55+6.25+20.91+89.06)</f>
        <v>180.66</v>
      </c>
      <c r="G230" s="5"/>
      <c r="H230" s="3509"/>
      <c r="I230" s="3510"/>
    </row>
    <row r="231" spans="1:15" s="888" customFormat="1" ht="54" customHeight="1">
      <c r="A231" s="3725"/>
      <c r="B231" s="3539"/>
      <c r="C231" s="3507"/>
      <c r="D231" s="3514" t="s">
        <v>337</v>
      </c>
      <c r="E231" s="3507"/>
      <c r="F231" s="3546">
        <f>(5.52+7.83+11.25+5.51+32.6+8.11+33.42+18.31+9.47+2.9+4.25+12.8+12.86+3.12+2+1.44+3.36+84.71+192.62+12.28+16.1+7.19+3.879+5.45+3.05+3.29+3.73+6.24+43.03+33.89+17.06+65.26+9.22+23.35+8.21)</f>
        <v>713.30900000000008</v>
      </c>
      <c r="G231" s="5"/>
      <c r="H231" s="3509"/>
      <c r="I231" s="3510"/>
    </row>
    <row r="232" spans="1:15" s="888" customFormat="1" ht="13.5" customHeight="1">
      <c r="A232" s="3501"/>
      <c r="B232" s="3633"/>
      <c r="C232" s="3502"/>
      <c r="D232" s="3514" t="s">
        <v>338</v>
      </c>
      <c r="E232" s="3502"/>
      <c r="F232" s="3546"/>
      <c r="G232" s="19"/>
      <c r="H232" s="3634"/>
      <c r="I232" s="3506"/>
    </row>
    <row r="233" spans="1:15" s="888" customFormat="1" ht="13.5" customHeight="1">
      <c r="A233" s="3501"/>
      <c r="B233" s="3633"/>
      <c r="C233" s="3502"/>
      <c r="D233" s="3514" t="s">
        <v>317</v>
      </c>
      <c r="E233" s="3502"/>
      <c r="F233" s="3546"/>
      <c r="G233" s="19"/>
      <c r="H233" s="3634"/>
      <c r="I233" s="3506"/>
    </row>
    <row r="234" spans="1:15" s="888" customFormat="1" ht="13.5" customHeight="1">
      <c r="A234" s="3725">
        <v>58</v>
      </c>
      <c r="B234" s="3539" t="s">
        <v>219</v>
      </c>
      <c r="C234" s="3507">
        <v>952901111</v>
      </c>
      <c r="D234" s="3507" t="s">
        <v>339</v>
      </c>
      <c r="E234" s="3507" t="s">
        <v>163</v>
      </c>
      <c r="F234" s="3509">
        <f>SUM(F236:F237)</f>
        <v>1105.9000000000001</v>
      </c>
      <c r="G234" s="5"/>
      <c r="H234" s="3509">
        <f>F234*G234</f>
        <v>0</v>
      </c>
      <c r="I234" s="4018" t="s">
        <v>137</v>
      </c>
      <c r="J234" s="3789"/>
      <c r="K234" s="3789"/>
      <c r="L234" s="3789"/>
      <c r="M234" s="3789"/>
      <c r="N234" s="3789"/>
      <c r="O234" s="3789"/>
    </row>
    <row r="235" spans="1:15" s="888" customFormat="1" ht="13.5" customHeight="1">
      <c r="A235" s="3725"/>
      <c r="B235" s="3539"/>
      <c r="C235" s="3507"/>
      <c r="D235" s="3514" t="s">
        <v>340</v>
      </c>
      <c r="E235" s="3507"/>
      <c r="F235" s="3509"/>
      <c r="G235" s="5"/>
      <c r="H235" s="3509"/>
      <c r="I235" s="3510"/>
    </row>
    <row r="236" spans="1:15" s="888" customFormat="1" ht="13.5" customHeight="1">
      <c r="A236" s="3725"/>
      <c r="B236" s="3539"/>
      <c r="C236" s="3507"/>
      <c r="D236" s="3514" t="s">
        <v>341</v>
      </c>
      <c r="E236" s="3507"/>
      <c r="F236" s="3546">
        <f>23.19+77.29+16.17+16.32+24.09+28.89+15.62+5.12+4.62+4.18+2.7+1.49+2.03+17.29+1.85+1.61+20.79+20.71+17.68+17.27+37.19+1.41+11.35+2.11+1.54+3.03</f>
        <v>375.54</v>
      </c>
      <c r="G236" s="5"/>
      <c r="H236" s="3509"/>
      <c r="I236" s="3510"/>
    </row>
    <row r="237" spans="1:15" s="888" customFormat="1" ht="54" customHeight="1">
      <c r="A237" s="3725"/>
      <c r="B237" s="3539"/>
      <c r="C237" s="3507"/>
      <c r="D237" s="3514" t="s">
        <v>342</v>
      </c>
      <c r="E237" s="3507"/>
      <c r="F237" s="3546">
        <f>13.55+76.28+22.41+40.64+22.39+25.39+16.41+16.05+126.39+26.99+24.9+12.41+12.41+12.41+12.41+11.74+23.56+12.02+13.24+11.46+26.49+3.91+3.51+2.93+22.12+11.86+2.91+1.16+1.73+28.52+2.49+2.21+2.1+18.37+49.82+6.64+6.8+3.73</f>
        <v>730.36</v>
      </c>
      <c r="G237" s="5"/>
      <c r="H237" s="3509"/>
      <c r="I237" s="3510"/>
    </row>
    <row r="238" spans="1:15" s="888" customFormat="1" ht="13.5" customHeight="1">
      <c r="A238" s="3725">
        <v>59</v>
      </c>
      <c r="B238" s="3539" t="s">
        <v>135</v>
      </c>
      <c r="C238" s="3507" t="s">
        <v>343</v>
      </c>
      <c r="D238" s="3507" t="s">
        <v>344</v>
      </c>
      <c r="E238" s="3507" t="s">
        <v>163</v>
      </c>
      <c r="F238" s="3509">
        <f>ROUND(SUM(F239:F240),3)</f>
        <v>14.175000000000001</v>
      </c>
      <c r="G238" s="5"/>
      <c r="H238" s="3509">
        <f t="shared" ref="H238" si="6">ROUND(F238*G238,2)</f>
        <v>0</v>
      </c>
      <c r="I238" s="4018" t="s">
        <v>112</v>
      </c>
      <c r="J238" s="3789"/>
      <c r="K238" s="3789"/>
      <c r="L238" s="3789"/>
      <c r="M238" s="3789"/>
      <c r="N238" s="3789"/>
      <c r="O238" s="3789"/>
    </row>
    <row r="239" spans="1:15" s="888" customFormat="1" ht="13.5" customHeight="1">
      <c r="A239" s="3725"/>
      <c r="B239" s="3539"/>
      <c r="C239" s="3507"/>
      <c r="D239" s="3514" t="s">
        <v>345</v>
      </c>
      <c r="E239" s="3507"/>
      <c r="F239" s="3509"/>
      <c r="G239" s="5"/>
      <c r="H239" s="3509"/>
      <c r="I239" s="3510"/>
    </row>
    <row r="240" spans="1:15" s="888" customFormat="1" ht="13.5" customHeight="1">
      <c r="A240" s="3725"/>
      <c r="B240" s="3539"/>
      <c r="C240" s="3507"/>
      <c r="D240" s="3514" t="s">
        <v>346</v>
      </c>
      <c r="E240" s="3507"/>
      <c r="F240" s="3546">
        <f>(13.5)*1.05</f>
        <v>14.175000000000001</v>
      </c>
      <c r="G240" s="5"/>
      <c r="H240" s="3509"/>
      <c r="I240" s="3510"/>
    </row>
    <row r="241" spans="1:12" s="888" customFormat="1" ht="13.5" customHeight="1">
      <c r="A241" s="3725"/>
      <c r="B241" s="3539"/>
      <c r="C241" s="3507"/>
      <c r="D241" s="3514" t="s">
        <v>347</v>
      </c>
      <c r="E241" s="3507"/>
      <c r="F241" s="3509"/>
      <c r="G241" s="5"/>
      <c r="H241" s="3509"/>
      <c r="I241" s="3510"/>
    </row>
    <row r="242" spans="1:12" s="888" customFormat="1" ht="27" customHeight="1">
      <c r="A242" s="3657"/>
      <c r="B242" s="3539"/>
      <c r="C242" s="3507"/>
      <c r="D242" s="3514" t="s">
        <v>348</v>
      </c>
      <c r="E242" s="3507"/>
      <c r="F242" s="3546"/>
      <c r="G242" s="5"/>
      <c r="H242" s="3509"/>
      <c r="I242" s="3943"/>
      <c r="J242" s="4045"/>
    </row>
    <row r="243" spans="1:12" s="888" customFormat="1" ht="13.5" customHeight="1">
      <c r="A243" s="3657"/>
      <c r="B243" s="3539"/>
      <c r="C243" s="3507"/>
      <c r="D243" s="3514" t="s">
        <v>349</v>
      </c>
      <c r="E243" s="3507"/>
      <c r="F243" s="3546"/>
      <c r="G243" s="5"/>
      <c r="H243" s="3509"/>
      <c r="I243" s="3943"/>
      <c r="J243" s="4045"/>
    </row>
    <row r="244" spans="1:12" s="1423" customFormat="1" ht="67.5" customHeight="1">
      <c r="A244" s="3655"/>
      <c r="B244" s="3638"/>
      <c r="C244" s="3638"/>
      <c r="D244" s="1343" t="s">
        <v>310</v>
      </c>
      <c r="E244" s="3638"/>
      <c r="F244" s="4097"/>
      <c r="G244" s="3707"/>
      <c r="H244" s="3654"/>
      <c r="I244" s="4129"/>
      <c r="J244" s="4155"/>
      <c r="K244" s="4156"/>
      <c r="L244" s="3727"/>
    </row>
    <row r="245" spans="1:12" s="888" customFormat="1" ht="13.5" customHeight="1">
      <c r="A245" s="3657">
        <v>60</v>
      </c>
      <c r="B245" s="3539" t="s">
        <v>135</v>
      </c>
      <c r="C245" s="3507" t="s">
        <v>350</v>
      </c>
      <c r="D245" s="3507" t="s">
        <v>351</v>
      </c>
      <c r="E245" s="3507" t="s">
        <v>163</v>
      </c>
      <c r="F245" s="4035">
        <f>ROUND(SUM(F246:F247),3)</f>
        <v>0.63</v>
      </c>
      <c r="G245" s="5"/>
      <c r="H245" s="2516">
        <f t="shared" ref="H245" si="7">ROUND(F245*G245,2)</f>
        <v>0</v>
      </c>
      <c r="I245" s="4018" t="s">
        <v>112</v>
      </c>
      <c r="J245" s="4157"/>
    </row>
    <row r="246" spans="1:12" s="888" customFormat="1" ht="13.5" customHeight="1">
      <c r="A246" s="3657"/>
      <c r="B246" s="3539"/>
      <c r="C246" s="3507"/>
      <c r="D246" s="3514" t="s">
        <v>352</v>
      </c>
      <c r="E246" s="3507"/>
      <c r="F246" s="3546"/>
      <c r="G246" s="5"/>
      <c r="H246" s="3509"/>
      <c r="I246" s="3519"/>
      <c r="J246" s="3519"/>
      <c r="K246" s="4157"/>
      <c r="L246" s="3663"/>
    </row>
    <row r="247" spans="1:12" s="888" customFormat="1" ht="13.5" customHeight="1">
      <c r="A247" s="3657"/>
      <c r="B247" s="3539"/>
      <c r="C247" s="3507"/>
      <c r="D247" s="3514" t="s">
        <v>353</v>
      </c>
      <c r="E247" s="3507"/>
      <c r="F247" s="3546">
        <f>(0.6)*1.05</f>
        <v>0.63</v>
      </c>
      <c r="G247" s="5"/>
      <c r="H247" s="3509"/>
      <c r="I247" s="3519"/>
      <c r="J247" s="3519"/>
      <c r="K247" s="4157"/>
      <c r="L247" s="3663"/>
    </row>
    <row r="248" spans="1:12" s="888" customFormat="1" ht="27" customHeight="1">
      <c r="A248" s="3657"/>
      <c r="B248" s="3539"/>
      <c r="C248" s="3507"/>
      <c r="D248" s="3514" t="s">
        <v>354</v>
      </c>
      <c r="E248" s="3507"/>
      <c r="F248" s="3546"/>
      <c r="G248" s="5"/>
      <c r="H248" s="3509"/>
      <c r="I248" s="3943"/>
      <c r="J248" s="3519"/>
      <c r="K248" s="4045"/>
    </row>
    <row r="249" spans="1:12" s="888" customFormat="1" ht="13.5" customHeight="1">
      <c r="A249" s="3657"/>
      <c r="B249" s="3539"/>
      <c r="C249" s="3507"/>
      <c r="D249" s="3514" t="s">
        <v>355</v>
      </c>
      <c r="E249" s="3507"/>
      <c r="F249" s="3546"/>
      <c r="G249" s="5"/>
      <c r="H249" s="3509"/>
      <c r="I249" s="3943"/>
      <c r="J249" s="4045"/>
      <c r="K249" s="3663"/>
    </row>
    <row r="250" spans="1:12" s="888" customFormat="1" ht="13.5" customHeight="1">
      <c r="A250" s="3657"/>
      <c r="B250" s="3539"/>
      <c r="C250" s="3507"/>
      <c r="D250" s="3514" t="s">
        <v>349</v>
      </c>
      <c r="E250" s="3507"/>
      <c r="F250" s="3546"/>
      <c r="G250" s="5"/>
      <c r="H250" s="3509"/>
      <c r="I250" s="3943"/>
      <c r="J250" s="4045"/>
    </row>
    <row r="251" spans="1:12" s="4159" customFormat="1" ht="13.5" customHeight="1">
      <c r="A251" s="4142" t="s">
        <v>4089</v>
      </c>
      <c r="B251" s="4143" t="s">
        <v>135</v>
      </c>
      <c r="C251" s="3761" t="s">
        <v>4090</v>
      </c>
      <c r="D251" s="3761" t="s">
        <v>4091</v>
      </c>
      <c r="E251" s="3761" t="s">
        <v>163</v>
      </c>
      <c r="F251" s="3763">
        <f>ROUND(SUM(F252:F252),3)</f>
        <v>3.5</v>
      </c>
      <c r="G251" s="257"/>
      <c r="H251" s="3763">
        <f t="shared" ref="H251" si="8">ROUND(F251*G251,2)</f>
        <v>0</v>
      </c>
      <c r="I251" s="4064" t="s">
        <v>112</v>
      </c>
      <c r="J251" s="4065"/>
      <c r="K251" s="4158"/>
    </row>
    <row r="252" spans="1:12" s="4159" customFormat="1" ht="13.5" customHeight="1">
      <c r="A252" s="4142"/>
      <c r="B252" s="4143"/>
      <c r="C252" s="3761"/>
      <c r="D252" s="3761" t="s">
        <v>4092</v>
      </c>
      <c r="E252" s="3761"/>
      <c r="F252" s="3763">
        <v>3.5</v>
      </c>
      <c r="G252" s="257"/>
      <c r="H252" s="3763"/>
      <c r="I252" s="4145"/>
      <c r="J252" s="4160"/>
      <c r="K252" s="4158"/>
    </row>
    <row r="253" spans="1:12" s="888" customFormat="1" ht="27" customHeight="1">
      <c r="A253" s="4142"/>
      <c r="B253" s="4143"/>
      <c r="C253" s="3761"/>
      <c r="D253" s="3761" t="s">
        <v>4093</v>
      </c>
      <c r="E253" s="3761"/>
      <c r="F253" s="3763"/>
      <c r="G253" s="257"/>
      <c r="H253" s="3763"/>
      <c r="I253" s="4145"/>
      <c r="J253" s="3519"/>
      <c r="K253" s="3748"/>
    </row>
    <row r="254" spans="1:12" s="888" customFormat="1" ht="13.5" customHeight="1">
      <c r="A254" s="4142"/>
      <c r="B254" s="4143"/>
      <c r="C254" s="3761"/>
      <c r="D254" s="3761" t="s">
        <v>355</v>
      </c>
      <c r="E254" s="3761"/>
      <c r="F254" s="3763"/>
      <c r="G254" s="257"/>
      <c r="H254" s="3763"/>
      <c r="I254" s="4145"/>
      <c r="J254" s="4046"/>
      <c r="K254" s="3663"/>
    </row>
    <row r="255" spans="1:12" s="888" customFormat="1" ht="13.5" customHeight="1">
      <c r="A255" s="4142"/>
      <c r="B255" s="4143"/>
      <c r="C255" s="3761"/>
      <c r="D255" s="3761" t="s">
        <v>349</v>
      </c>
      <c r="E255" s="3761"/>
      <c r="F255" s="3763"/>
      <c r="G255" s="257"/>
      <c r="H255" s="3763"/>
      <c r="I255" s="4145"/>
      <c r="J255" s="4045"/>
    </row>
    <row r="256" spans="1:12" s="888" customFormat="1" ht="13.5" customHeight="1">
      <c r="A256" s="4142"/>
      <c r="B256" s="4143"/>
      <c r="C256" s="3761"/>
      <c r="D256" s="3761" t="s">
        <v>6290</v>
      </c>
      <c r="E256" s="3761"/>
      <c r="F256" s="3763"/>
      <c r="G256" s="257"/>
      <c r="H256" s="3763"/>
      <c r="I256" s="4145"/>
      <c r="J256" s="4045"/>
    </row>
    <row r="257" spans="1:14" s="4091" customFormat="1" ht="13.5" customHeight="1">
      <c r="A257" s="3994"/>
      <c r="B257" s="3995"/>
      <c r="C257" s="3996" t="s">
        <v>356</v>
      </c>
      <c r="D257" s="3996" t="s">
        <v>357</v>
      </c>
      <c r="E257" s="3996"/>
      <c r="F257" s="3997"/>
      <c r="G257" s="11"/>
      <c r="H257" s="3997">
        <f>SUM(H258:H263)</f>
        <v>0</v>
      </c>
      <c r="I257" s="4161"/>
      <c r="J257" s="3999"/>
    </row>
    <row r="258" spans="1:14" s="3834" customFormat="1" ht="13.5" customHeight="1">
      <c r="A258" s="4162">
        <v>61</v>
      </c>
      <c r="B258" s="4163" t="s">
        <v>219</v>
      </c>
      <c r="C258" s="4164">
        <v>998011002</v>
      </c>
      <c r="D258" s="4164" t="s">
        <v>358</v>
      </c>
      <c r="E258" s="4164" t="s">
        <v>175</v>
      </c>
      <c r="F258" s="4165">
        <f>SUM(F259)</f>
        <v>875.10299999999995</v>
      </c>
      <c r="G258" s="12"/>
      <c r="H258" s="4166">
        <f>F258*G258</f>
        <v>0</v>
      </c>
      <c r="I258" s="4018" t="s">
        <v>137</v>
      </c>
      <c r="J258" s="4167"/>
      <c r="K258" s="4168"/>
      <c r="L258" s="4168"/>
      <c r="M258" s="4091"/>
    </row>
    <row r="259" spans="1:14" s="3834" customFormat="1" ht="13.5" customHeight="1">
      <c r="A259" s="4169"/>
      <c r="B259" s="4163"/>
      <c r="C259" s="4164"/>
      <c r="D259" s="3514" t="s">
        <v>6540</v>
      </c>
      <c r="E259" s="4164"/>
      <c r="F259" s="3763">
        <f>862.548+12.555</f>
        <v>875.10299999999995</v>
      </c>
      <c r="G259" s="12"/>
      <c r="H259" s="4166"/>
      <c r="I259" s="4018"/>
      <c r="J259" s="4167"/>
      <c r="K259" s="4168"/>
      <c r="L259" s="4168"/>
      <c r="M259" s="4091"/>
    </row>
    <row r="260" spans="1:14" s="888" customFormat="1" ht="13.5" customHeight="1">
      <c r="A260" s="4170">
        <v>62</v>
      </c>
      <c r="B260" s="3539" t="s">
        <v>219</v>
      </c>
      <c r="C260" s="3927" t="s">
        <v>359</v>
      </c>
      <c r="D260" s="3507" t="s">
        <v>360</v>
      </c>
      <c r="E260" s="3556" t="s">
        <v>49</v>
      </c>
      <c r="F260" s="4171">
        <f>SUM(F261)</f>
        <v>1</v>
      </c>
      <c r="G260" s="5157" t="s">
        <v>3512</v>
      </c>
      <c r="H260" s="5158"/>
      <c r="I260" s="3510" t="s">
        <v>112</v>
      </c>
      <c r="J260" s="3674"/>
    </row>
    <row r="261" spans="1:14" s="888" customFormat="1" ht="13.5" customHeight="1">
      <c r="A261" s="3555"/>
      <c r="B261" s="3539"/>
      <c r="C261" s="3507"/>
      <c r="D261" s="3514" t="s">
        <v>361</v>
      </c>
      <c r="E261" s="3556"/>
      <c r="F261" s="3546">
        <v>1</v>
      </c>
      <c r="G261" s="5"/>
      <c r="H261" s="4171"/>
      <c r="I261" s="3510"/>
    </row>
    <row r="262" spans="1:14" s="4020" customFormat="1" ht="13.5" customHeight="1">
      <c r="A262" s="4172">
        <v>63</v>
      </c>
      <c r="B262" s="4001" t="s">
        <v>362</v>
      </c>
      <c r="C262" s="3927" t="s">
        <v>363</v>
      </c>
      <c r="D262" s="3927" t="s">
        <v>364</v>
      </c>
      <c r="E262" s="3927" t="s">
        <v>69</v>
      </c>
      <c r="F262" s="4173">
        <f>F263</f>
        <v>80</v>
      </c>
      <c r="G262" s="12"/>
      <c r="H262" s="3724">
        <f>F262*G262</f>
        <v>0</v>
      </c>
      <c r="I262" s="4018" t="s">
        <v>137</v>
      </c>
      <c r="J262" s="3999"/>
      <c r="M262" s="4091"/>
    </row>
    <row r="263" spans="1:14" s="4175" customFormat="1" ht="27" customHeight="1">
      <c r="A263" s="4016"/>
      <c r="B263" s="4001"/>
      <c r="C263" s="3927"/>
      <c r="D263" s="3975" t="s">
        <v>365</v>
      </c>
      <c r="E263" s="3927"/>
      <c r="F263" s="3976">
        <v>80</v>
      </c>
      <c r="G263" s="12"/>
      <c r="H263" s="3724"/>
      <c r="I263" s="1368"/>
      <c r="J263" s="4174"/>
      <c r="M263" s="4091"/>
    </row>
    <row r="264" spans="1:14" s="888" customFormat="1" ht="21" customHeight="1">
      <c r="A264" s="3501"/>
      <c r="B264" s="3502"/>
      <c r="C264" s="3502" t="s">
        <v>366</v>
      </c>
      <c r="D264" s="3502" t="s">
        <v>367</v>
      </c>
      <c r="E264" s="3502"/>
      <c r="F264" s="3634"/>
      <c r="G264" s="19"/>
      <c r="H264" s="3634">
        <f>SUM(H265,H284,H371,H454,H462,H623,H685,H767,H819,H833,H843,H875,H612)</f>
        <v>0</v>
      </c>
      <c r="I264" s="3506"/>
      <c r="L264" s="4176"/>
    </row>
    <row r="265" spans="1:14" s="804" customFormat="1" ht="13.5" customHeight="1">
      <c r="A265" s="3994"/>
      <c r="B265" s="3995"/>
      <c r="C265" s="3996" t="s">
        <v>368</v>
      </c>
      <c r="D265" s="3996" t="s">
        <v>369</v>
      </c>
      <c r="E265" s="3996"/>
      <c r="F265" s="3997"/>
      <c r="G265" s="11"/>
      <c r="H265" s="3997">
        <f>SUM(H266:H269,H272:H275,H278:H283)</f>
        <v>0</v>
      </c>
      <c r="I265" s="4177"/>
      <c r="J265" s="3999"/>
    </row>
    <row r="266" spans="1:14" s="804" customFormat="1" ht="13.5" customHeight="1">
      <c r="A266" s="4016">
        <v>64</v>
      </c>
      <c r="B266" s="4001">
        <v>711</v>
      </c>
      <c r="C266" s="3927">
        <v>711161383</v>
      </c>
      <c r="D266" s="3927" t="s">
        <v>370</v>
      </c>
      <c r="E266" s="3927" t="s">
        <v>141</v>
      </c>
      <c r="F266" s="3724">
        <f>SUM(F267)</f>
        <v>936.1</v>
      </c>
      <c r="G266" s="12"/>
      <c r="H266" s="3724">
        <f>F266*G266</f>
        <v>0</v>
      </c>
      <c r="I266" s="4018" t="s">
        <v>137</v>
      </c>
      <c r="J266" s="3999"/>
    </row>
    <row r="267" spans="1:14" s="804" customFormat="1" ht="13.5" customHeight="1">
      <c r="A267" s="4178"/>
      <c r="B267" s="4179"/>
      <c r="C267" s="4180"/>
      <c r="D267" s="3975" t="s">
        <v>371</v>
      </c>
      <c r="E267" s="4180"/>
      <c r="F267" s="4017">
        <f>(851)*1.1</f>
        <v>936.1</v>
      </c>
      <c r="G267" s="20"/>
      <c r="H267" s="3724"/>
      <c r="I267" s="4177"/>
      <c r="J267" s="3999"/>
    </row>
    <row r="268" spans="1:14" s="804" customFormat="1" ht="13.5" customHeight="1">
      <c r="A268" s="3974">
        <v>65</v>
      </c>
      <c r="B268" s="4001">
        <v>711</v>
      </c>
      <c r="C268" s="3927" t="s">
        <v>372</v>
      </c>
      <c r="D268" s="3927" t="s">
        <v>373</v>
      </c>
      <c r="E268" s="3927" t="s">
        <v>163</v>
      </c>
      <c r="F268" s="3724">
        <f>SUM(F272:F272)</f>
        <v>19.8</v>
      </c>
      <c r="G268" s="3724">
        <f>SUM(H270:H271)/F268</f>
        <v>0</v>
      </c>
      <c r="H268" s="3724">
        <f>F268*G268</f>
        <v>0</v>
      </c>
      <c r="I268" s="1368" t="s">
        <v>111</v>
      </c>
      <c r="J268" s="4182"/>
    </row>
    <row r="269" spans="1:14" s="804" customFormat="1" ht="27" customHeight="1">
      <c r="A269" s="3974"/>
      <c r="B269" s="4001"/>
      <c r="C269" s="3927"/>
      <c r="D269" s="3975" t="s">
        <v>374</v>
      </c>
      <c r="E269" s="3927"/>
      <c r="F269" s="3724"/>
      <c r="G269" s="12"/>
      <c r="H269" s="3724"/>
      <c r="I269" s="1368"/>
      <c r="J269" s="4183"/>
    </row>
    <row r="270" spans="1:14" s="4186" customFormat="1" ht="40.5" customHeight="1">
      <c r="A270" s="4184"/>
      <c r="B270" s="4001"/>
      <c r="C270" s="3927"/>
      <c r="D270" s="3975" t="s">
        <v>375</v>
      </c>
      <c r="E270" s="4062" t="s">
        <v>163</v>
      </c>
      <c r="F270" s="3976">
        <f xml:space="preserve"> (19.8)*1.15</f>
        <v>22.77</v>
      </c>
      <c r="G270" s="4840"/>
      <c r="H270" s="3976">
        <f>F270*G270</f>
        <v>0</v>
      </c>
      <c r="I270" s="4185"/>
      <c r="J270" s="4002"/>
      <c r="K270" s="4069"/>
      <c r="L270" s="4002"/>
      <c r="M270" s="804"/>
    </row>
    <row r="271" spans="1:14" s="804" customFormat="1" ht="27" customHeight="1">
      <c r="A271" s="4184"/>
      <c r="B271" s="4001"/>
      <c r="C271" s="3927"/>
      <c r="D271" s="3975" t="s">
        <v>376</v>
      </c>
      <c r="E271" s="4062" t="s">
        <v>175</v>
      </c>
      <c r="F271" s="3976">
        <f>((19.8*0.4)/1000)*1.1</f>
        <v>8.712000000000001E-3</v>
      </c>
      <c r="G271" s="4840"/>
      <c r="H271" s="4014">
        <f>F271*G271</f>
        <v>0</v>
      </c>
      <c r="I271" s="4187"/>
      <c r="J271" s="4002"/>
      <c r="K271" s="4069"/>
      <c r="L271" s="4002"/>
      <c r="N271" s="4186"/>
    </row>
    <row r="272" spans="1:14" s="804" customFormat="1" ht="13.5" customHeight="1">
      <c r="A272" s="4188"/>
      <c r="B272" s="4180"/>
      <c r="C272" s="4180"/>
      <c r="D272" s="3975" t="s">
        <v>377</v>
      </c>
      <c r="E272" s="4180"/>
      <c r="F272" s="4189">
        <v>19.8</v>
      </c>
      <c r="G272" s="20"/>
      <c r="H272" s="3724"/>
      <c r="I272" s="4190"/>
      <c r="J272" s="4191"/>
      <c r="K272" s="4192"/>
    </row>
    <row r="273" spans="1:15" s="804" customFormat="1" ht="40.5" customHeight="1">
      <c r="A273" s="4000"/>
      <c r="B273" s="4001"/>
      <c r="C273" s="3927"/>
      <c r="D273" s="3975" t="s">
        <v>378</v>
      </c>
      <c r="E273" s="3927"/>
      <c r="F273" s="3976"/>
      <c r="G273" s="12"/>
      <c r="H273" s="3724"/>
      <c r="I273" s="1368"/>
      <c r="J273" s="4193"/>
      <c r="K273" s="4192"/>
      <c r="O273" s="4194"/>
    </row>
    <row r="274" spans="1:15" s="804" customFormat="1" ht="13.5" customHeight="1">
      <c r="A274" s="3974">
        <v>66</v>
      </c>
      <c r="B274" s="4001">
        <v>711</v>
      </c>
      <c r="C274" s="3927" t="s">
        <v>379</v>
      </c>
      <c r="D274" s="3927" t="s">
        <v>380</v>
      </c>
      <c r="E274" s="3927" t="s">
        <v>163</v>
      </c>
      <c r="F274" s="3724">
        <f>SUM(F278:F278)</f>
        <v>20</v>
      </c>
      <c r="G274" s="3724">
        <f>SUM(H276:H277)/F274</f>
        <v>0</v>
      </c>
      <c r="H274" s="3724">
        <f>F274*G274</f>
        <v>0</v>
      </c>
      <c r="I274" s="1368" t="s">
        <v>111</v>
      </c>
      <c r="J274" s="4069"/>
      <c r="K274" s="4192"/>
    </row>
    <row r="275" spans="1:15" s="804" customFormat="1" ht="13.5" customHeight="1">
      <c r="A275" s="3974"/>
      <c r="B275" s="4001"/>
      <c r="C275" s="3927"/>
      <c r="D275" s="3975" t="s">
        <v>381</v>
      </c>
      <c r="E275" s="3927"/>
      <c r="F275" s="3724"/>
      <c r="G275" s="12"/>
      <c r="H275" s="3724"/>
      <c r="I275" s="1368"/>
      <c r="J275" s="4183"/>
      <c r="K275" s="4192"/>
    </row>
    <row r="276" spans="1:15" s="4186" customFormat="1" ht="40.5" customHeight="1">
      <c r="A276" s="4184"/>
      <c r="B276" s="4001"/>
      <c r="C276" s="3927"/>
      <c r="D276" s="3975" t="s">
        <v>382</v>
      </c>
      <c r="E276" s="4062" t="s">
        <v>163</v>
      </c>
      <c r="F276" s="3976">
        <f xml:space="preserve"> (20)*1.1</f>
        <v>22</v>
      </c>
      <c r="G276" s="4840"/>
      <c r="H276" s="3976">
        <f>F276*G276</f>
        <v>0</v>
      </c>
      <c r="I276" s="1368"/>
      <c r="J276" s="4002"/>
      <c r="K276" s="4069"/>
      <c r="L276" s="4002"/>
      <c r="M276" s="804"/>
    </row>
    <row r="277" spans="1:15" s="804" customFormat="1" ht="27" customHeight="1">
      <c r="A277" s="4184"/>
      <c r="B277" s="4001"/>
      <c r="C277" s="3927"/>
      <c r="D277" s="3975" t="s">
        <v>383</v>
      </c>
      <c r="E277" s="4062" t="s">
        <v>175</v>
      </c>
      <c r="F277" s="3976">
        <f>((20*0.4)/1000)*1.1</f>
        <v>8.8000000000000005E-3</v>
      </c>
      <c r="G277" s="4840"/>
      <c r="H277" s="3976">
        <f>F277*G277</f>
        <v>0</v>
      </c>
      <c r="I277" s="1368"/>
      <c r="J277" s="4002"/>
      <c r="L277" s="4002"/>
    </row>
    <row r="278" spans="1:15" s="804" customFormat="1" ht="13.5" customHeight="1">
      <c r="A278" s="4188"/>
      <c r="B278" s="4180"/>
      <c r="C278" s="4180"/>
      <c r="D278" s="3975" t="s">
        <v>384</v>
      </c>
      <c r="E278" s="4180"/>
      <c r="F278" s="4189">
        <v>20</v>
      </c>
      <c r="G278" s="20"/>
      <c r="H278" s="3724"/>
      <c r="I278" s="4177"/>
      <c r="J278" s="5184"/>
      <c r="K278" s="5185"/>
      <c r="L278" s="5185"/>
      <c r="M278" s="5185"/>
      <c r="N278" s="5185"/>
      <c r="O278" s="4191"/>
    </row>
    <row r="279" spans="1:15" s="804" customFormat="1" ht="40.5" customHeight="1">
      <c r="A279" s="4000"/>
      <c r="B279" s="4001"/>
      <c r="C279" s="3927"/>
      <c r="D279" s="3975" t="s">
        <v>378</v>
      </c>
      <c r="E279" s="3927"/>
      <c r="F279" s="3976"/>
      <c r="G279" s="12"/>
      <c r="H279" s="3724"/>
      <c r="I279" s="1368"/>
      <c r="J279" s="4195"/>
    </row>
    <row r="280" spans="1:15" s="804" customFormat="1" ht="13.5" customHeight="1">
      <c r="A280" s="4016">
        <v>67</v>
      </c>
      <c r="B280" s="4001" t="s">
        <v>368</v>
      </c>
      <c r="C280" s="3927">
        <v>998711203</v>
      </c>
      <c r="D280" s="3927" t="s">
        <v>385</v>
      </c>
      <c r="E280" s="3927" t="s">
        <v>10</v>
      </c>
      <c r="F280" s="3724">
        <v>3.42</v>
      </c>
      <c r="G280" s="12"/>
      <c r="H280" s="3724">
        <f>F280*G280</f>
        <v>0</v>
      </c>
      <c r="I280" s="1368" t="s">
        <v>137</v>
      </c>
      <c r="J280" s="4196"/>
      <c r="K280" s="4069"/>
    </row>
    <row r="281" spans="1:15" s="3834" customFormat="1" ht="13.5" customHeight="1">
      <c r="A281" s="4016">
        <v>68</v>
      </c>
      <c r="B281" s="4001" t="s">
        <v>362</v>
      </c>
      <c r="C281" s="3927" t="s">
        <v>387</v>
      </c>
      <c r="D281" s="3927" t="s">
        <v>388</v>
      </c>
      <c r="E281" s="3927" t="s">
        <v>69</v>
      </c>
      <c r="F281" s="3724">
        <f>F282</f>
        <v>20</v>
      </c>
      <c r="G281" s="12"/>
      <c r="H281" s="3724">
        <f>F281*G281</f>
        <v>0</v>
      </c>
      <c r="I281" s="1368" t="s">
        <v>137</v>
      </c>
      <c r="J281" s="4197"/>
      <c r="M281" s="804"/>
    </row>
    <row r="282" spans="1:15" s="804" customFormat="1" ht="13.5" customHeight="1">
      <c r="A282" s="4188"/>
      <c r="B282" s="4180"/>
      <c r="C282" s="4180"/>
      <c r="D282" s="3975" t="s">
        <v>389</v>
      </c>
      <c r="E282" s="4180"/>
      <c r="F282" s="4189">
        <v>20</v>
      </c>
      <c r="G282" s="20"/>
      <c r="H282" s="3724"/>
      <c r="I282" s="4190"/>
      <c r="J282" s="4191"/>
      <c r="K282" s="4192"/>
    </row>
    <row r="283" spans="1:15" s="3834" customFormat="1" ht="13.5" customHeight="1">
      <c r="A283" s="4178"/>
      <c r="B283" s="4179"/>
      <c r="C283" s="4180"/>
      <c r="D283" s="3975" t="s">
        <v>390</v>
      </c>
      <c r="E283" s="4198"/>
      <c r="F283" s="4199"/>
      <c r="G283" s="20"/>
      <c r="H283" s="3724"/>
      <c r="I283" s="4177"/>
      <c r="J283" s="4200"/>
      <c r="M283" s="804"/>
    </row>
    <row r="284" spans="1:15" s="4091" customFormat="1" ht="13.5" customHeight="1">
      <c r="A284" s="3994"/>
      <c r="B284" s="3995"/>
      <c r="C284" s="3996">
        <v>712</v>
      </c>
      <c r="D284" s="3996" t="s">
        <v>391</v>
      </c>
      <c r="E284" s="3996"/>
      <c r="F284" s="3997"/>
      <c r="G284" s="11"/>
      <c r="H284" s="3997">
        <f>SUM(H285:H286,H299:H304,H314:H319,H330:H335,H346:H351,H363:H370)</f>
        <v>0</v>
      </c>
      <c r="I284" s="4161"/>
      <c r="J284" s="3999"/>
    </row>
    <row r="285" spans="1:15" s="4091" customFormat="1" ht="13.5" customHeight="1">
      <c r="A285" s="4211">
        <v>69</v>
      </c>
      <c r="B285" s="4001" t="s">
        <v>392</v>
      </c>
      <c r="C285" s="3927" t="s">
        <v>393</v>
      </c>
      <c r="D285" s="3927" t="s">
        <v>394</v>
      </c>
      <c r="E285" s="3927" t="s">
        <v>163</v>
      </c>
      <c r="F285" s="3724">
        <f>SUM(F299:F299)</f>
        <v>681.5</v>
      </c>
      <c r="G285" s="3724">
        <f>SUM(H287:H298)/F285</f>
        <v>0</v>
      </c>
      <c r="H285" s="3724">
        <f>F285*G285</f>
        <v>0</v>
      </c>
      <c r="I285" s="1368" t="s">
        <v>112</v>
      </c>
      <c r="J285" s="3999"/>
    </row>
    <row r="286" spans="1:15" s="4091" customFormat="1" ht="13.5" customHeight="1">
      <c r="A286" s="4172"/>
      <c r="B286" s="4001"/>
      <c r="C286" s="3927"/>
      <c r="D286" s="3975" t="s">
        <v>395</v>
      </c>
      <c r="E286" s="3927"/>
      <c r="F286" s="3976"/>
      <c r="G286" s="12"/>
      <c r="H286" s="3724"/>
      <c r="I286" s="1368"/>
      <c r="J286" s="3999"/>
    </row>
    <row r="287" spans="1:15" s="4091" customFormat="1" ht="27" customHeight="1">
      <c r="A287" s="4022"/>
      <c r="B287" s="4001"/>
      <c r="C287" s="4058"/>
      <c r="D287" s="3975" t="s">
        <v>396</v>
      </c>
      <c r="E287" s="4201" t="s">
        <v>163</v>
      </c>
      <c r="F287" s="3976">
        <f>(681)*1.15</f>
        <v>783.15</v>
      </c>
      <c r="G287" s="4840"/>
      <c r="H287" s="3976">
        <f t="shared" ref="H287:H298" si="9">G287*F287</f>
        <v>0</v>
      </c>
      <c r="I287" s="1368"/>
      <c r="J287" s="3585"/>
      <c r="K287" s="3133"/>
      <c r="L287" s="3585"/>
      <c r="M287" s="4202"/>
      <c r="N287" s="4203"/>
    </row>
    <row r="288" spans="1:15" s="4091" customFormat="1" ht="27" customHeight="1">
      <c r="A288" s="4022"/>
      <c r="B288" s="4001"/>
      <c r="C288" s="4204"/>
      <c r="D288" s="3975" t="s">
        <v>397</v>
      </c>
      <c r="E288" s="4201" t="s">
        <v>163</v>
      </c>
      <c r="F288" s="3976">
        <f>(681)*1.15</f>
        <v>783.15</v>
      </c>
      <c r="G288" s="4840"/>
      <c r="H288" s="3976">
        <f t="shared" si="9"/>
        <v>0</v>
      </c>
      <c r="I288" s="1368"/>
      <c r="J288" s="3585"/>
      <c r="K288" s="3133"/>
      <c r="L288" s="3585"/>
      <c r="M288" s="4202"/>
      <c r="N288" s="4203"/>
    </row>
    <row r="289" spans="1:17" s="4091" customFormat="1" ht="27" customHeight="1">
      <c r="A289" s="4022"/>
      <c r="B289" s="4001"/>
      <c r="C289" s="4204"/>
      <c r="D289" s="3975" t="s">
        <v>398</v>
      </c>
      <c r="E289" s="4201" t="s">
        <v>163</v>
      </c>
      <c r="F289" s="3976">
        <f>(681)*1.15</f>
        <v>783.15</v>
      </c>
      <c r="G289" s="4840"/>
      <c r="H289" s="3976">
        <f t="shared" si="9"/>
        <v>0</v>
      </c>
      <c r="I289" s="1368"/>
      <c r="J289" s="3585"/>
      <c r="K289" s="3133"/>
      <c r="L289" s="3585"/>
      <c r="M289" s="4202"/>
      <c r="N289" s="4203"/>
      <c r="Q289" s="4205"/>
    </row>
    <row r="290" spans="1:17" s="4091" customFormat="1" ht="13.5" customHeight="1">
      <c r="A290" s="4022"/>
      <c r="B290" s="4001"/>
      <c r="C290" s="4204"/>
      <c r="D290" s="4024" t="s">
        <v>399</v>
      </c>
      <c r="E290" s="4024" t="s">
        <v>163</v>
      </c>
      <c r="F290" s="3976">
        <f>(681)*1.1</f>
        <v>749.1</v>
      </c>
      <c r="G290" s="4840"/>
      <c r="H290" s="3976">
        <f t="shared" si="9"/>
        <v>0</v>
      </c>
      <c r="I290" s="1368"/>
      <c r="J290" s="3585"/>
      <c r="K290" s="3133"/>
      <c r="L290" s="3585"/>
      <c r="M290" s="4202"/>
      <c r="N290" s="4203"/>
      <c r="Q290" s="4205"/>
    </row>
    <row r="291" spans="1:17" s="4091" customFormat="1" ht="27" customHeight="1">
      <c r="A291" s="4022"/>
      <c r="B291" s="4001"/>
      <c r="C291" s="4204"/>
      <c r="D291" s="3975" t="s">
        <v>400</v>
      </c>
      <c r="E291" s="4024" t="s">
        <v>163</v>
      </c>
      <c r="F291" s="3976">
        <f>(681)*1.15</f>
        <v>783.15</v>
      </c>
      <c r="G291" s="4840"/>
      <c r="H291" s="3976">
        <f t="shared" si="9"/>
        <v>0</v>
      </c>
      <c r="I291" s="1368"/>
      <c r="J291" s="3585"/>
      <c r="K291" s="3133"/>
      <c r="L291" s="3585"/>
      <c r="M291" s="4202"/>
      <c r="N291" s="4203"/>
      <c r="Q291" s="4205"/>
    </row>
    <row r="292" spans="1:17" s="4091" customFormat="1" ht="13.5" customHeight="1">
      <c r="A292" s="4022"/>
      <c r="B292" s="4001"/>
      <c r="C292" s="4204"/>
      <c r="D292" s="4024" t="s">
        <v>401</v>
      </c>
      <c r="E292" s="4024" t="s">
        <v>163</v>
      </c>
      <c r="F292" s="3976">
        <f>(681)*1.1</f>
        <v>749.1</v>
      </c>
      <c r="G292" s="4840"/>
      <c r="H292" s="3976">
        <f t="shared" si="9"/>
        <v>0</v>
      </c>
      <c r="I292" s="1368"/>
      <c r="J292" s="3585"/>
      <c r="K292" s="3133"/>
      <c r="L292" s="3585"/>
      <c r="M292" s="4202"/>
      <c r="N292" s="4203"/>
      <c r="Q292" s="4205"/>
    </row>
    <row r="293" spans="1:17" s="4091" customFormat="1" ht="26.25" customHeight="1">
      <c r="A293" s="4022"/>
      <c r="B293" s="4001"/>
      <c r="C293" s="4204"/>
      <c r="D293" s="4024" t="s">
        <v>402</v>
      </c>
      <c r="E293" s="4024" t="s">
        <v>163</v>
      </c>
      <c r="F293" s="3976">
        <f>(681)*1.15</f>
        <v>783.15</v>
      </c>
      <c r="G293" s="4840"/>
      <c r="H293" s="3976">
        <f t="shared" si="9"/>
        <v>0</v>
      </c>
      <c r="I293" s="1368"/>
      <c r="J293" s="3585"/>
      <c r="K293" s="3133"/>
      <c r="L293" s="4206"/>
      <c r="M293" s="4202"/>
      <c r="N293" s="4203"/>
    </row>
    <row r="294" spans="1:17" s="4091" customFormat="1" ht="27" customHeight="1">
      <c r="A294" s="4022"/>
      <c r="B294" s="4001"/>
      <c r="C294" s="3927"/>
      <c r="D294" s="4024" t="s">
        <v>403</v>
      </c>
      <c r="E294" s="4024" t="s">
        <v>163</v>
      </c>
      <c r="F294" s="3976">
        <f>(681)*1.15</f>
        <v>783.15</v>
      </c>
      <c r="G294" s="4840"/>
      <c r="H294" s="3976">
        <f t="shared" si="9"/>
        <v>0</v>
      </c>
      <c r="I294" s="1368"/>
      <c r="J294" s="3585"/>
      <c r="K294" s="3133"/>
      <c r="L294" s="3585"/>
      <c r="M294" s="4202"/>
      <c r="N294" s="4203"/>
    </row>
    <row r="295" spans="1:17" s="4091" customFormat="1" ht="27" customHeight="1">
      <c r="A295" s="4022"/>
      <c r="B295" s="4001"/>
      <c r="C295" s="4204"/>
      <c r="D295" s="4024" t="s">
        <v>6557</v>
      </c>
      <c r="E295" s="4024" t="s">
        <v>146</v>
      </c>
      <c r="F295" s="3976">
        <f>(681.5*0.18)*1.1</f>
        <v>134.93700000000001</v>
      </c>
      <c r="G295" s="4840"/>
      <c r="H295" s="3976">
        <f t="shared" si="9"/>
        <v>0</v>
      </c>
      <c r="I295" s="4090"/>
      <c r="J295" s="3585"/>
      <c r="K295" s="3133"/>
      <c r="L295" s="3585"/>
      <c r="M295" s="4202"/>
      <c r="N295" s="4203"/>
    </row>
    <row r="296" spans="1:17" s="4091" customFormat="1" ht="27" customHeight="1">
      <c r="A296" s="4022"/>
      <c r="B296" s="4001"/>
      <c r="C296" s="4204"/>
      <c r="D296" s="4024" t="s">
        <v>404</v>
      </c>
      <c r="E296" s="4024" t="s">
        <v>163</v>
      </c>
      <c r="F296" s="3976">
        <f>(681.5)*1.1</f>
        <v>749.65000000000009</v>
      </c>
      <c r="G296" s="4840"/>
      <c r="H296" s="3976">
        <f t="shared" si="9"/>
        <v>0</v>
      </c>
      <c r="I296" s="4090"/>
      <c r="J296" s="3585"/>
      <c r="K296" s="3133"/>
      <c r="L296" s="3585"/>
      <c r="M296" s="4202"/>
      <c r="N296" s="4203"/>
    </row>
    <row r="297" spans="1:17" s="4091" customFormat="1" ht="27" customHeight="1">
      <c r="A297" s="4207"/>
      <c r="B297" s="4001"/>
      <c r="C297" s="4204"/>
      <c r="D297" s="4024" t="s">
        <v>405</v>
      </c>
      <c r="E297" s="4024" t="s">
        <v>163</v>
      </c>
      <c r="F297" s="3976">
        <f xml:space="preserve"> (702.9)*1.1</f>
        <v>773.19</v>
      </c>
      <c r="G297" s="4840"/>
      <c r="H297" s="3976">
        <f t="shared" si="9"/>
        <v>0</v>
      </c>
      <c r="I297" s="1368"/>
      <c r="J297" s="3585"/>
      <c r="K297" s="3133"/>
      <c r="L297" s="3585"/>
      <c r="M297" s="4202"/>
      <c r="N297" s="4203"/>
    </row>
    <row r="298" spans="1:17" s="4091" customFormat="1" ht="13.5" customHeight="1">
      <c r="A298" s="4207"/>
      <c r="B298" s="4001"/>
      <c r="C298" s="4204"/>
      <c r="D298" s="4024" t="s">
        <v>406</v>
      </c>
      <c r="E298" s="4024" t="s">
        <v>175</v>
      </c>
      <c r="F298" s="3976">
        <f>((681.5*0.4)/1000)*1.1</f>
        <v>0.29986000000000002</v>
      </c>
      <c r="G298" s="4840"/>
      <c r="H298" s="3976">
        <f t="shared" si="9"/>
        <v>0</v>
      </c>
      <c r="I298" s="1368"/>
      <c r="J298" s="3585"/>
      <c r="K298" s="3133"/>
      <c r="L298" s="3585"/>
      <c r="M298" s="4202"/>
      <c r="N298" s="4203"/>
    </row>
    <row r="299" spans="1:17" s="4175" customFormat="1" ht="13.5" customHeight="1">
      <c r="A299" s="4016"/>
      <c r="B299" s="4001"/>
      <c r="C299" s="4208"/>
      <c r="D299" s="3975" t="s">
        <v>407</v>
      </c>
      <c r="E299" s="3927"/>
      <c r="F299" s="4189">
        <f>(690.5-9)</f>
        <v>681.5</v>
      </c>
      <c r="G299" s="12"/>
      <c r="H299" s="3724"/>
      <c r="I299" s="4209"/>
      <c r="J299" s="804"/>
      <c r="M299" s="4091"/>
    </row>
    <row r="300" spans="1:17" s="4175" customFormat="1" ht="13.5" customHeight="1">
      <c r="A300" s="4016"/>
      <c r="B300" s="4001"/>
      <c r="C300" s="4208"/>
      <c r="D300" s="3975" t="s">
        <v>408</v>
      </c>
      <c r="E300" s="3927"/>
      <c r="F300" s="4189"/>
      <c r="G300" s="12"/>
      <c r="H300" s="3724"/>
      <c r="I300" s="4209"/>
      <c r="J300" s="804"/>
      <c r="M300" s="4091"/>
    </row>
    <row r="301" spans="1:17" s="4175" customFormat="1" ht="27" customHeight="1">
      <c r="A301" s="4016"/>
      <c r="B301" s="4001"/>
      <c r="C301" s="4208"/>
      <c r="D301" s="3975" t="s">
        <v>409</v>
      </c>
      <c r="E301" s="3927"/>
      <c r="F301" s="4189"/>
      <c r="G301" s="12"/>
      <c r="H301" s="3724"/>
      <c r="I301" s="4209"/>
      <c r="J301" s="804"/>
      <c r="M301" s="4091"/>
    </row>
    <row r="302" spans="1:17" s="4091" customFormat="1" ht="39" customHeight="1">
      <c r="A302" s="4022"/>
      <c r="B302" s="4179"/>
      <c r="C302" s="4180"/>
      <c r="D302" s="4210" t="s">
        <v>410</v>
      </c>
      <c r="E302" s="4180"/>
      <c r="F302" s="4181"/>
      <c r="G302" s="20"/>
      <c r="H302" s="3724"/>
      <c r="I302" s="1368"/>
      <c r="J302" s="804"/>
    </row>
    <row r="303" spans="1:17" s="4091" customFormat="1" ht="13.5" customHeight="1">
      <c r="A303" s="4211">
        <v>70</v>
      </c>
      <c r="B303" s="4001" t="s">
        <v>392</v>
      </c>
      <c r="C303" s="3927" t="s">
        <v>393</v>
      </c>
      <c r="D303" s="3927" t="s">
        <v>411</v>
      </c>
      <c r="E303" s="3927" t="s">
        <v>163</v>
      </c>
      <c r="F303" s="3724">
        <f>SUM(F314:F314)</f>
        <v>9</v>
      </c>
      <c r="G303" s="3724">
        <f>SUM(H305:H313)/F303</f>
        <v>0</v>
      </c>
      <c r="H303" s="3724">
        <f>F303*G303</f>
        <v>0</v>
      </c>
      <c r="I303" s="1368" t="s">
        <v>112</v>
      </c>
      <c r="J303" s="3999"/>
    </row>
    <row r="304" spans="1:17" s="4091" customFormat="1" ht="13.5" customHeight="1">
      <c r="A304" s="4172"/>
      <c r="B304" s="4001"/>
      <c r="C304" s="3927"/>
      <c r="D304" s="3975" t="s">
        <v>395</v>
      </c>
      <c r="E304" s="3927"/>
      <c r="F304" s="3976"/>
      <c r="G304" s="12"/>
      <c r="H304" s="3724"/>
      <c r="I304" s="1368"/>
      <c r="J304" s="3999"/>
    </row>
    <row r="305" spans="1:17" s="4091" customFormat="1" ht="13.5" customHeight="1">
      <c r="A305" s="4022"/>
      <c r="B305" s="4001"/>
      <c r="C305" s="4204"/>
      <c r="D305" s="4024" t="s">
        <v>412</v>
      </c>
      <c r="E305" s="4024" t="s">
        <v>163</v>
      </c>
      <c r="F305" s="3976">
        <f>(9)*1.1</f>
        <v>9.9</v>
      </c>
      <c r="G305" s="4840"/>
      <c r="H305" s="3976">
        <f t="shared" ref="H305:H313" si="10">G305*F305</f>
        <v>0</v>
      </c>
      <c r="I305" s="1368"/>
      <c r="J305" s="3585"/>
      <c r="K305" s="3133"/>
      <c r="L305" s="3585"/>
      <c r="M305" s="4202"/>
      <c r="N305" s="4203"/>
      <c r="Q305" s="4205"/>
    </row>
    <row r="306" spans="1:17" s="4091" customFormat="1" ht="27" customHeight="1">
      <c r="A306" s="4022"/>
      <c r="B306" s="4001"/>
      <c r="C306" s="4204"/>
      <c r="D306" s="3975" t="s">
        <v>413</v>
      </c>
      <c r="E306" s="4024" t="s">
        <v>163</v>
      </c>
      <c r="F306" s="3976">
        <f>(9)*1.15</f>
        <v>10.35</v>
      </c>
      <c r="G306" s="4840"/>
      <c r="H306" s="3976">
        <f t="shared" si="10"/>
        <v>0</v>
      </c>
      <c r="I306" s="1368"/>
      <c r="J306" s="3585"/>
      <c r="K306" s="3133"/>
      <c r="L306" s="3585"/>
      <c r="M306" s="4202"/>
      <c r="N306" s="4203"/>
      <c r="Q306" s="4205"/>
    </row>
    <row r="307" spans="1:17" s="4091" customFormat="1" ht="13.5" customHeight="1">
      <c r="A307" s="4022"/>
      <c r="B307" s="4001"/>
      <c r="C307" s="4204"/>
      <c r="D307" s="4024" t="s">
        <v>414</v>
      </c>
      <c r="E307" s="4024" t="s">
        <v>163</v>
      </c>
      <c r="F307" s="3976">
        <f xml:space="preserve"> (9)*1.1</f>
        <v>9.9</v>
      </c>
      <c r="G307" s="4840"/>
      <c r="H307" s="3976">
        <f t="shared" si="10"/>
        <v>0</v>
      </c>
      <c r="I307" s="1368"/>
      <c r="J307" s="3585"/>
      <c r="K307" s="3133"/>
      <c r="L307" s="3585"/>
      <c r="M307" s="4202"/>
      <c r="N307" s="4203"/>
      <c r="Q307" s="4205"/>
    </row>
    <row r="308" spans="1:17" s="4091" customFormat="1" ht="26.25" customHeight="1">
      <c r="A308" s="4022"/>
      <c r="B308" s="4001"/>
      <c r="C308" s="4204"/>
      <c r="D308" s="4024" t="s">
        <v>415</v>
      </c>
      <c r="E308" s="4024" t="s">
        <v>163</v>
      </c>
      <c r="F308" s="3976">
        <f>(9.9)*1.15</f>
        <v>11.385</v>
      </c>
      <c r="G308" s="4840"/>
      <c r="H308" s="3976">
        <f t="shared" si="10"/>
        <v>0</v>
      </c>
      <c r="I308" s="1368"/>
      <c r="J308" s="3585"/>
      <c r="K308" s="3133"/>
      <c r="L308" s="4206"/>
      <c r="M308" s="4202"/>
      <c r="N308" s="4203"/>
    </row>
    <row r="309" spans="1:17" s="4091" customFormat="1" ht="27" customHeight="1">
      <c r="A309" s="4022"/>
      <c r="B309" s="4001"/>
      <c r="C309" s="3927"/>
      <c r="D309" s="4024" t="s">
        <v>416</v>
      </c>
      <c r="E309" s="4024" t="s">
        <v>163</v>
      </c>
      <c r="F309" s="3976">
        <f>(9)*1.15</f>
        <v>10.35</v>
      </c>
      <c r="G309" s="4840"/>
      <c r="H309" s="3976">
        <f t="shared" si="10"/>
        <v>0</v>
      </c>
      <c r="I309" s="1368"/>
      <c r="J309" s="3585"/>
      <c r="K309" s="3133"/>
      <c r="L309" s="3585"/>
      <c r="M309" s="4202"/>
      <c r="N309" s="4203"/>
    </row>
    <row r="310" spans="1:17" s="4091" customFormat="1" ht="27" customHeight="1">
      <c r="A310" s="4022"/>
      <c r="B310" s="4001"/>
      <c r="C310" s="4204"/>
      <c r="D310" s="4024" t="s">
        <v>6558</v>
      </c>
      <c r="E310" s="4024" t="s">
        <v>146</v>
      </c>
      <c r="F310" s="3976">
        <f>(9*0.18)*1.1</f>
        <v>1.782</v>
      </c>
      <c r="G310" s="4840"/>
      <c r="H310" s="3976">
        <f t="shared" si="10"/>
        <v>0</v>
      </c>
      <c r="I310" s="4090"/>
      <c r="J310" s="3585"/>
      <c r="K310" s="3133"/>
      <c r="L310" s="3585"/>
      <c r="M310" s="4202"/>
      <c r="N310" s="4203"/>
    </row>
    <row r="311" spans="1:17" s="4091" customFormat="1" ht="27" customHeight="1">
      <c r="A311" s="4022"/>
      <c r="B311" s="4001"/>
      <c r="C311" s="4204"/>
      <c r="D311" s="4024" t="s">
        <v>417</v>
      </c>
      <c r="E311" s="4024" t="s">
        <v>163</v>
      </c>
      <c r="F311" s="3976">
        <f>(9)*1.1</f>
        <v>9.9</v>
      </c>
      <c r="G311" s="4840"/>
      <c r="H311" s="3976">
        <f t="shared" si="10"/>
        <v>0</v>
      </c>
      <c r="I311" s="4090"/>
      <c r="J311" s="3585"/>
      <c r="K311" s="3133"/>
      <c r="L311" s="3585"/>
      <c r="M311" s="4202"/>
      <c r="N311" s="4203"/>
    </row>
    <row r="312" spans="1:17" s="4091" customFormat="1" ht="27" customHeight="1">
      <c r="A312" s="4207"/>
      <c r="B312" s="4001"/>
      <c r="C312" s="4204"/>
      <c r="D312" s="4024" t="s">
        <v>418</v>
      </c>
      <c r="E312" s="4024" t="s">
        <v>163</v>
      </c>
      <c r="F312" s="3976">
        <f>(9)*1.1</f>
        <v>9.9</v>
      </c>
      <c r="G312" s="4840"/>
      <c r="H312" s="3976">
        <f t="shared" si="10"/>
        <v>0</v>
      </c>
      <c r="I312" s="1368"/>
      <c r="J312" s="3585"/>
      <c r="K312" s="3133"/>
      <c r="L312" s="3585"/>
      <c r="M312" s="4202"/>
      <c r="N312" s="4203"/>
    </row>
    <row r="313" spans="1:17" s="4091" customFormat="1" ht="13.5" customHeight="1">
      <c r="A313" s="4207"/>
      <c r="B313" s="4001"/>
      <c r="C313" s="4204"/>
      <c r="D313" s="4024" t="s">
        <v>419</v>
      </c>
      <c r="E313" s="4024" t="s">
        <v>175</v>
      </c>
      <c r="F313" s="3976">
        <f>((9*0.4)/1000)*1.1</f>
        <v>3.96E-3</v>
      </c>
      <c r="G313" s="4840"/>
      <c r="H313" s="3976">
        <f t="shared" si="10"/>
        <v>0</v>
      </c>
      <c r="I313" s="1368"/>
      <c r="J313" s="3585"/>
      <c r="K313" s="3133"/>
      <c r="L313" s="3585"/>
      <c r="M313" s="4202"/>
      <c r="N313" s="4203"/>
    </row>
    <row r="314" spans="1:17" s="4175" customFormat="1" ht="13.5" customHeight="1">
      <c r="A314" s="4016"/>
      <c r="B314" s="4001"/>
      <c r="C314" s="4208"/>
      <c r="D314" s="3975" t="s">
        <v>420</v>
      </c>
      <c r="E314" s="3927"/>
      <c r="F314" s="4189">
        <v>9</v>
      </c>
      <c r="G314" s="12"/>
      <c r="H314" s="3724"/>
      <c r="I314" s="4209"/>
      <c r="J314" s="804"/>
      <c r="M314" s="4091"/>
    </row>
    <row r="315" spans="1:17" s="4175" customFormat="1" ht="13.5" customHeight="1">
      <c r="A315" s="4016"/>
      <c r="B315" s="4001"/>
      <c r="C315" s="4208"/>
      <c r="D315" s="3975" t="s">
        <v>408</v>
      </c>
      <c r="E315" s="3927"/>
      <c r="F315" s="4189"/>
      <c r="G315" s="12"/>
      <c r="H315" s="3724"/>
      <c r="I315" s="4209"/>
      <c r="J315" s="804"/>
      <c r="M315" s="4091"/>
    </row>
    <row r="316" spans="1:17" s="4175" customFormat="1" ht="27" customHeight="1">
      <c r="A316" s="4016"/>
      <c r="B316" s="4001"/>
      <c r="C316" s="4208"/>
      <c r="D316" s="3975" t="s">
        <v>409</v>
      </c>
      <c r="E316" s="3927"/>
      <c r="F316" s="4189"/>
      <c r="G316" s="12"/>
      <c r="H316" s="3724"/>
      <c r="I316" s="4209"/>
      <c r="J316" s="804"/>
      <c r="M316" s="4091"/>
    </row>
    <row r="317" spans="1:17" s="4091" customFormat="1" ht="39" customHeight="1">
      <c r="A317" s="4022"/>
      <c r="B317" s="4179"/>
      <c r="C317" s="4180"/>
      <c r="D317" s="4210" t="s">
        <v>410</v>
      </c>
      <c r="E317" s="4180"/>
      <c r="F317" s="4181"/>
      <c r="G317" s="20"/>
      <c r="H317" s="3724"/>
      <c r="I317" s="1368"/>
      <c r="J317" s="804"/>
    </row>
    <row r="318" spans="1:17" s="4091" customFormat="1" ht="13.5" customHeight="1">
      <c r="A318" s="4211">
        <v>71</v>
      </c>
      <c r="B318" s="4001" t="s">
        <v>392</v>
      </c>
      <c r="C318" s="3927" t="s">
        <v>421</v>
      </c>
      <c r="D318" s="3927" t="s">
        <v>422</v>
      </c>
      <c r="E318" s="3927" t="s">
        <v>163</v>
      </c>
      <c r="F318" s="3724">
        <f>SUM(F330:F330)</f>
        <v>63.6</v>
      </c>
      <c r="G318" s="3724">
        <f>SUM(H320:H329)/F318</f>
        <v>0</v>
      </c>
      <c r="H318" s="3724">
        <f>F318*G318</f>
        <v>0</v>
      </c>
      <c r="I318" s="1368" t="s">
        <v>112</v>
      </c>
      <c r="J318" s="3999"/>
    </row>
    <row r="319" spans="1:17" s="4091" customFormat="1" ht="13.5" customHeight="1">
      <c r="A319" s="4172"/>
      <c r="B319" s="4001"/>
      <c r="C319" s="3927"/>
      <c r="D319" s="3975" t="s">
        <v>395</v>
      </c>
      <c r="E319" s="3927"/>
      <c r="F319" s="3976"/>
      <c r="G319" s="12"/>
      <c r="H319" s="3724"/>
      <c r="I319" s="1368"/>
      <c r="J319" s="3999"/>
    </row>
    <row r="320" spans="1:17" s="4091" customFormat="1" ht="13.5" customHeight="1">
      <c r="A320" s="4022"/>
      <c r="B320" s="4001"/>
      <c r="C320" s="4058"/>
      <c r="D320" s="3975" t="s">
        <v>6561</v>
      </c>
      <c r="E320" s="4062" t="s">
        <v>175</v>
      </c>
      <c r="F320" s="3976">
        <f>(63.6)*0.1*1.55*1.05</f>
        <v>10.350900000000001</v>
      </c>
      <c r="G320" s="4840"/>
      <c r="H320" s="3976">
        <f t="shared" ref="H320:H329" si="11">G320*F320</f>
        <v>0</v>
      </c>
      <c r="I320" s="1368"/>
      <c r="J320" s="3585"/>
      <c r="K320" s="3133"/>
      <c r="L320" s="3585"/>
      <c r="M320" s="4202"/>
      <c r="N320" s="4203"/>
    </row>
    <row r="321" spans="1:17" s="4091" customFormat="1" ht="27" customHeight="1">
      <c r="A321" s="4022"/>
      <c r="B321" s="4001"/>
      <c r="C321" s="4204"/>
      <c r="D321" s="3975" t="s">
        <v>423</v>
      </c>
      <c r="E321" s="4201" t="s">
        <v>163</v>
      </c>
      <c r="F321" s="3976">
        <f xml:space="preserve"> (63.6)*1.15</f>
        <v>73.14</v>
      </c>
      <c r="G321" s="4840"/>
      <c r="H321" s="3976">
        <f t="shared" si="11"/>
        <v>0</v>
      </c>
      <c r="I321" s="1368"/>
      <c r="J321" s="3585"/>
      <c r="K321" s="3133"/>
      <c r="L321" s="3585"/>
      <c r="M321" s="4202"/>
      <c r="N321" s="4203"/>
      <c r="Q321" s="4205"/>
    </row>
    <row r="322" spans="1:17" s="4091" customFormat="1" ht="13.5" customHeight="1">
      <c r="A322" s="4022"/>
      <c r="B322" s="4001"/>
      <c r="C322" s="4204"/>
      <c r="D322" s="4024" t="s">
        <v>424</v>
      </c>
      <c r="E322" s="4024" t="s">
        <v>163</v>
      </c>
      <c r="F322" s="3976">
        <f>(63.6)*1.1</f>
        <v>69.960000000000008</v>
      </c>
      <c r="G322" s="4840"/>
      <c r="H322" s="3976">
        <f t="shared" si="11"/>
        <v>0</v>
      </c>
      <c r="I322" s="1368"/>
      <c r="J322" s="3585"/>
      <c r="K322" s="3133"/>
      <c r="L322" s="3585"/>
      <c r="M322" s="4202"/>
      <c r="N322" s="4203"/>
      <c r="Q322" s="4205"/>
    </row>
    <row r="323" spans="1:17" s="4091" customFormat="1" ht="27" customHeight="1">
      <c r="A323" s="4022"/>
      <c r="B323" s="4001"/>
      <c r="C323" s="4204"/>
      <c r="D323" s="3975" t="s">
        <v>425</v>
      </c>
      <c r="E323" s="4024" t="s">
        <v>163</v>
      </c>
      <c r="F323" s="3976">
        <f xml:space="preserve"> (63.6)*1.15</f>
        <v>73.14</v>
      </c>
      <c r="G323" s="4840"/>
      <c r="H323" s="3976">
        <f t="shared" si="11"/>
        <v>0</v>
      </c>
      <c r="I323" s="1368"/>
      <c r="J323" s="3585"/>
      <c r="K323" s="3133"/>
      <c r="L323" s="3585"/>
      <c r="M323" s="4202"/>
      <c r="N323" s="4203"/>
      <c r="Q323" s="4205"/>
    </row>
    <row r="324" spans="1:17" s="4091" customFormat="1" ht="26.25" customHeight="1">
      <c r="A324" s="4022"/>
      <c r="B324" s="4001"/>
      <c r="C324" s="4204"/>
      <c r="D324" s="4024" t="s">
        <v>426</v>
      </c>
      <c r="E324" s="4024" t="s">
        <v>163</v>
      </c>
      <c r="F324" s="3976">
        <f xml:space="preserve"> (63.6)*1.15</f>
        <v>73.14</v>
      </c>
      <c r="G324" s="4840"/>
      <c r="H324" s="3976">
        <f t="shared" si="11"/>
        <v>0</v>
      </c>
      <c r="I324" s="1368"/>
      <c r="J324" s="3585"/>
      <c r="K324" s="3133"/>
      <c r="L324" s="4206"/>
      <c r="M324" s="4202"/>
      <c r="N324" s="4203"/>
    </row>
    <row r="325" spans="1:17" s="4091" customFormat="1" ht="27" customHeight="1">
      <c r="A325" s="4022"/>
      <c r="B325" s="4001"/>
      <c r="C325" s="3927"/>
      <c r="D325" s="4024" t="s">
        <v>427</v>
      </c>
      <c r="E325" s="4024" t="s">
        <v>163</v>
      </c>
      <c r="F325" s="3976">
        <f xml:space="preserve"> (63.6)*1.15</f>
        <v>73.14</v>
      </c>
      <c r="G325" s="4840"/>
      <c r="H325" s="3976">
        <f t="shared" si="11"/>
        <v>0</v>
      </c>
      <c r="I325" s="1368"/>
      <c r="J325" s="3585"/>
      <c r="K325" s="3133"/>
      <c r="L325" s="3585"/>
      <c r="M325" s="4202"/>
      <c r="N325" s="4203"/>
    </row>
    <row r="326" spans="1:17" s="4091" customFormat="1" ht="27" customHeight="1">
      <c r="A326" s="4022"/>
      <c r="B326" s="4001"/>
      <c r="C326" s="4204"/>
      <c r="D326" s="4024" t="s">
        <v>6559</v>
      </c>
      <c r="E326" s="4024" t="s">
        <v>146</v>
      </c>
      <c r="F326" s="3976">
        <f>(63.6*0.18)*1.1</f>
        <v>12.592800000000002</v>
      </c>
      <c r="G326" s="4840"/>
      <c r="H326" s="3976">
        <f t="shared" si="11"/>
        <v>0</v>
      </c>
      <c r="I326" s="4090"/>
      <c r="J326" s="3585"/>
      <c r="K326" s="3133"/>
      <c r="L326" s="3585"/>
      <c r="M326" s="4202"/>
      <c r="N326" s="4203"/>
    </row>
    <row r="327" spans="1:17" s="4091" customFormat="1" ht="27" customHeight="1">
      <c r="A327" s="4022"/>
      <c r="B327" s="4001"/>
      <c r="C327" s="4204"/>
      <c r="D327" s="4024" t="s">
        <v>428</v>
      </c>
      <c r="E327" s="4024" t="s">
        <v>163</v>
      </c>
      <c r="F327" s="3976">
        <f>(63.6)*1.1</f>
        <v>69.960000000000008</v>
      </c>
      <c r="G327" s="4840"/>
      <c r="H327" s="3976">
        <f t="shared" si="11"/>
        <v>0</v>
      </c>
      <c r="I327" s="4090"/>
      <c r="J327" s="3585"/>
      <c r="K327" s="3133"/>
      <c r="L327" s="3585"/>
      <c r="M327" s="4202"/>
      <c r="N327" s="4203"/>
    </row>
    <row r="328" spans="1:17" s="4091" customFormat="1" ht="27" customHeight="1">
      <c r="A328" s="4207"/>
      <c r="B328" s="4001"/>
      <c r="C328" s="4204"/>
      <c r="D328" s="4024" t="s">
        <v>429</v>
      </c>
      <c r="E328" s="4024" t="s">
        <v>163</v>
      </c>
      <c r="F328" s="3976">
        <f>(63.6)*1.1</f>
        <v>69.960000000000008</v>
      </c>
      <c r="G328" s="4840"/>
      <c r="H328" s="3976">
        <f t="shared" si="11"/>
        <v>0</v>
      </c>
      <c r="I328" s="1368"/>
      <c r="J328" s="3585"/>
      <c r="K328" s="3133"/>
      <c r="L328" s="3585"/>
      <c r="M328" s="4202"/>
      <c r="N328" s="4203"/>
    </row>
    <row r="329" spans="1:17" s="4091" customFormat="1" ht="13.5" customHeight="1">
      <c r="A329" s="4207"/>
      <c r="B329" s="4001"/>
      <c r="C329" s="4204"/>
      <c r="D329" s="4024" t="s">
        <v>430</v>
      </c>
      <c r="E329" s="4024" t="s">
        <v>175</v>
      </c>
      <c r="F329" s="3976">
        <f>((63.6*0.4)/1000)*1.1</f>
        <v>2.7984000000000002E-2</v>
      </c>
      <c r="G329" s="4840"/>
      <c r="H329" s="3976">
        <f t="shared" si="11"/>
        <v>0</v>
      </c>
      <c r="I329" s="1368"/>
      <c r="J329" s="3585"/>
      <c r="K329" s="3133"/>
      <c r="L329" s="3585"/>
      <c r="M329" s="4202"/>
      <c r="N329" s="4203"/>
    </row>
    <row r="330" spans="1:17" s="4175" customFormat="1" ht="13.5" customHeight="1">
      <c r="A330" s="4016"/>
      <c r="B330" s="4001"/>
      <c r="C330" s="4208"/>
      <c r="D330" s="3975" t="s">
        <v>431</v>
      </c>
      <c r="E330" s="3927"/>
      <c r="F330" s="4189">
        <v>63.6</v>
      </c>
      <c r="G330" s="12"/>
      <c r="H330" s="3724"/>
      <c r="I330" s="4209"/>
      <c r="J330" s="804"/>
      <c r="M330" s="4091"/>
    </row>
    <row r="331" spans="1:17" s="4175" customFormat="1" ht="13.5" customHeight="1">
      <c r="A331" s="4016"/>
      <c r="B331" s="4001"/>
      <c r="C331" s="4208"/>
      <c r="D331" s="3975" t="s">
        <v>408</v>
      </c>
      <c r="E331" s="3927"/>
      <c r="F331" s="4189"/>
      <c r="G331" s="12"/>
      <c r="H331" s="3724"/>
      <c r="I331" s="4209"/>
      <c r="J331" s="804"/>
      <c r="M331" s="4091"/>
    </row>
    <row r="332" spans="1:17" s="4175" customFormat="1" ht="27" customHeight="1">
      <c r="A332" s="4016"/>
      <c r="B332" s="4001"/>
      <c r="C332" s="4208"/>
      <c r="D332" s="3975" t="s">
        <v>409</v>
      </c>
      <c r="E332" s="3927"/>
      <c r="F332" s="4189"/>
      <c r="G332" s="12"/>
      <c r="H332" s="3724"/>
      <c r="I332" s="4209"/>
      <c r="J332" s="804"/>
      <c r="M332" s="4091"/>
    </row>
    <row r="333" spans="1:17" s="4091" customFormat="1" ht="39" customHeight="1">
      <c r="A333" s="4022"/>
      <c r="B333" s="4179"/>
      <c r="C333" s="4180"/>
      <c r="D333" s="4210" t="s">
        <v>410</v>
      </c>
      <c r="E333" s="4180"/>
      <c r="F333" s="4181"/>
      <c r="G333" s="20"/>
      <c r="H333" s="3724"/>
      <c r="I333" s="1368"/>
      <c r="J333" s="804"/>
    </row>
    <row r="334" spans="1:17" s="4091" customFormat="1" ht="13.5" customHeight="1">
      <c r="A334" s="4211">
        <v>72</v>
      </c>
      <c r="B334" s="4001" t="s">
        <v>392</v>
      </c>
      <c r="C334" s="3927" t="s">
        <v>432</v>
      </c>
      <c r="D334" s="3927" t="s">
        <v>433</v>
      </c>
      <c r="E334" s="3927" t="s">
        <v>163</v>
      </c>
      <c r="F334" s="3724">
        <f>SUM(F346:F346)</f>
        <v>96.6</v>
      </c>
      <c r="G334" s="3724">
        <f>SUM(H336:H345)/F334</f>
        <v>0</v>
      </c>
      <c r="H334" s="3724">
        <f>F334*G334</f>
        <v>0</v>
      </c>
      <c r="I334" s="1368" t="s">
        <v>112</v>
      </c>
      <c r="J334" s="3999"/>
    </row>
    <row r="335" spans="1:17" s="4091" customFormat="1" ht="13.5" customHeight="1">
      <c r="A335" s="4172"/>
      <c r="B335" s="4001"/>
      <c r="C335" s="3927"/>
      <c r="D335" s="3975" t="s">
        <v>395</v>
      </c>
      <c r="E335" s="3927"/>
      <c r="F335" s="3976"/>
      <c r="G335" s="12"/>
      <c r="H335" s="3724"/>
      <c r="I335" s="1368"/>
      <c r="J335" s="3999"/>
    </row>
    <row r="336" spans="1:17" s="4091" customFormat="1" ht="13.5" customHeight="1">
      <c r="A336" s="4022"/>
      <c r="B336" s="4001"/>
      <c r="C336" s="4058"/>
      <c r="D336" s="3975" t="s">
        <v>6288</v>
      </c>
      <c r="E336" s="4062" t="s">
        <v>175</v>
      </c>
      <c r="F336" s="3976">
        <f>(96.6)*0.1*1.55*1.05</f>
        <v>15.721650000000002</v>
      </c>
      <c r="G336" s="4840"/>
      <c r="H336" s="3976">
        <f t="shared" ref="H336:H345" si="12">G336*F336</f>
        <v>0</v>
      </c>
      <c r="I336" s="1368"/>
      <c r="J336" s="3925"/>
      <c r="K336" s="3133"/>
      <c r="L336" s="3585"/>
      <c r="M336" s="4202"/>
      <c r="N336" s="4203"/>
    </row>
    <row r="337" spans="1:19" s="4091" customFormat="1" ht="27" customHeight="1">
      <c r="A337" s="4022"/>
      <c r="B337" s="4001"/>
      <c r="C337" s="4204"/>
      <c r="D337" s="3975" t="s">
        <v>434</v>
      </c>
      <c r="E337" s="4201" t="s">
        <v>163</v>
      </c>
      <c r="F337" s="3976">
        <f>(96.6)*1.15</f>
        <v>111.08999999999999</v>
      </c>
      <c r="G337" s="4840"/>
      <c r="H337" s="3976">
        <f t="shared" si="12"/>
        <v>0</v>
      </c>
      <c r="I337" s="1368"/>
      <c r="J337" s="3585"/>
      <c r="K337" s="3133"/>
      <c r="L337" s="3585"/>
      <c r="M337" s="4202"/>
      <c r="N337" s="4203"/>
      <c r="Q337" s="4205"/>
    </row>
    <row r="338" spans="1:19" s="4091" customFormat="1" ht="13.5" customHeight="1">
      <c r="A338" s="4022"/>
      <c r="B338" s="4001"/>
      <c r="C338" s="4204"/>
      <c r="D338" s="4024" t="s">
        <v>435</v>
      </c>
      <c r="E338" s="4024" t="s">
        <v>163</v>
      </c>
      <c r="F338" s="3976">
        <f>(96.6)*1.1</f>
        <v>106.26</v>
      </c>
      <c r="G338" s="4840"/>
      <c r="H338" s="3976">
        <f t="shared" si="12"/>
        <v>0</v>
      </c>
      <c r="I338" s="1368"/>
      <c r="J338" s="3585"/>
      <c r="K338" s="3133"/>
      <c r="L338" s="3585"/>
      <c r="M338" s="4202"/>
      <c r="N338" s="4203"/>
      <c r="Q338" s="4205"/>
    </row>
    <row r="339" spans="1:19" s="4091" customFormat="1" ht="27" customHeight="1">
      <c r="A339" s="4022"/>
      <c r="B339" s="4001"/>
      <c r="C339" s="4204"/>
      <c r="D339" s="3975" t="s">
        <v>436</v>
      </c>
      <c r="E339" s="4024" t="s">
        <v>163</v>
      </c>
      <c r="F339" s="3976">
        <f>(96.6)*1.15</f>
        <v>111.08999999999999</v>
      </c>
      <c r="G339" s="4840"/>
      <c r="H339" s="3976">
        <f t="shared" si="12"/>
        <v>0</v>
      </c>
      <c r="I339" s="1368"/>
      <c r="J339" s="3585"/>
      <c r="K339" s="3133"/>
      <c r="L339" s="3585"/>
      <c r="M339" s="4202"/>
      <c r="N339" s="4203"/>
      <c r="Q339" s="4205"/>
    </row>
    <row r="340" spans="1:19" s="4091" customFormat="1" ht="26.25" customHeight="1">
      <c r="A340" s="4022"/>
      <c r="B340" s="4001"/>
      <c r="C340" s="4204"/>
      <c r="D340" s="4024" t="s">
        <v>437</v>
      </c>
      <c r="E340" s="4024" t="s">
        <v>163</v>
      </c>
      <c r="F340" s="3976">
        <f>(96.6)*1.15</f>
        <v>111.08999999999999</v>
      </c>
      <c r="G340" s="4840"/>
      <c r="H340" s="3976">
        <f t="shared" si="12"/>
        <v>0</v>
      </c>
      <c r="I340" s="1368"/>
      <c r="J340" s="3585"/>
      <c r="K340" s="3133"/>
      <c r="L340" s="4206"/>
      <c r="M340" s="4202"/>
      <c r="N340" s="4203"/>
    </row>
    <row r="341" spans="1:19" s="4091" customFormat="1" ht="27" customHeight="1">
      <c r="A341" s="4022"/>
      <c r="B341" s="4001"/>
      <c r="C341" s="3927"/>
      <c r="D341" s="4024" t="s">
        <v>438</v>
      </c>
      <c r="E341" s="4024" t="s">
        <v>163</v>
      </c>
      <c r="F341" s="3976">
        <f>(96.6)*1.15</f>
        <v>111.08999999999999</v>
      </c>
      <c r="G341" s="4840"/>
      <c r="H341" s="3976">
        <f t="shared" si="12"/>
        <v>0</v>
      </c>
      <c r="I341" s="1368"/>
      <c r="J341" s="3585"/>
      <c r="K341" s="3133"/>
      <c r="L341" s="3585"/>
      <c r="M341" s="4202"/>
      <c r="N341" s="4203"/>
    </row>
    <row r="342" spans="1:19" s="4091" customFormat="1" ht="27" customHeight="1">
      <c r="A342" s="4022"/>
      <c r="B342" s="4001"/>
      <c r="C342" s="4204"/>
      <c r="D342" s="4024" t="s">
        <v>6560</v>
      </c>
      <c r="E342" s="4024" t="s">
        <v>146</v>
      </c>
      <c r="F342" s="3976">
        <f>(96.6*0.18)*1.1</f>
        <v>19.126799999999999</v>
      </c>
      <c r="G342" s="4840"/>
      <c r="H342" s="3976">
        <f t="shared" si="12"/>
        <v>0</v>
      </c>
      <c r="I342" s="4090"/>
      <c r="J342" s="3585"/>
      <c r="K342" s="3133"/>
      <c r="L342" s="3585"/>
      <c r="M342" s="4202"/>
      <c r="N342" s="4203"/>
    </row>
    <row r="343" spans="1:19" s="4091" customFormat="1" ht="27" customHeight="1">
      <c r="A343" s="4022"/>
      <c r="B343" s="4001"/>
      <c r="C343" s="4204"/>
      <c r="D343" s="4024" t="s">
        <v>439</v>
      </c>
      <c r="E343" s="4024" t="s">
        <v>163</v>
      </c>
      <c r="F343" s="3976">
        <f>(96.6)*1.1</f>
        <v>106.26</v>
      </c>
      <c r="G343" s="4840"/>
      <c r="H343" s="3976">
        <f t="shared" si="12"/>
        <v>0</v>
      </c>
      <c r="I343" s="4090"/>
      <c r="J343" s="3585"/>
      <c r="K343" s="3133"/>
      <c r="L343" s="3585"/>
      <c r="M343" s="4202"/>
      <c r="N343" s="4203"/>
    </row>
    <row r="344" spans="1:19" s="4091" customFormat="1" ht="27" customHeight="1">
      <c r="A344" s="4207"/>
      <c r="B344" s="4001"/>
      <c r="C344" s="4204"/>
      <c r="D344" s="4024" t="s">
        <v>440</v>
      </c>
      <c r="E344" s="4024" t="s">
        <v>163</v>
      </c>
      <c r="F344" s="3976">
        <f>(96.6)*1.1</f>
        <v>106.26</v>
      </c>
      <c r="G344" s="4840"/>
      <c r="H344" s="3976">
        <f t="shared" si="12"/>
        <v>0</v>
      </c>
      <c r="I344" s="1368"/>
      <c r="J344" s="3585"/>
      <c r="K344" s="3133"/>
      <c r="L344" s="3585"/>
      <c r="M344" s="4202"/>
      <c r="N344" s="4203"/>
    </row>
    <row r="345" spans="1:19" s="4091" customFormat="1" ht="13.5" customHeight="1">
      <c r="A345" s="4207"/>
      <c r="B345" s="4001"/>
      <c r="C345" s="4204"/>
      <c r="D345" s="4024" t="s">
        <v>441</v>
      </c>
      <c r="E345" s="4024" t="s">
        <v>175</v>
      </c>
      <c r="F345" s="3976">
        <f>((96.6*0.4)/1000)*1.1</f>
        <v>4.2504000000000007E-2</v>
      </c>
      <c r="G345" s="4840"/>
      <c r="H345" s="3976">
        <f t="shared" si="12"/>
        <v>0</v>
      </c>
      <c r="I345" s="1368"/>
      <c r="J345" s="3585"/>
      <c r="K345" s="3133"/>
      <c r="L345" s="3585"/>
      <c r="M345" s="4202"/>
      <c r="N345" s="4203"/>
    </row>
    <row r="346" spans="1:19" s="4175" customFormat="1" ht="13.5" customHeight="1">
      <c r="A346" s="4016"/>
      <c r="B346" s="4001"/>
      <c r="C346" s="4208"/>
      <c r="D346" s="3975" t="s">
        <v>442</v>
      </c>
      <c r="E346" s="3927"/>
      <c r="F346" s="4189">
        <v>96.6</v>
      </c>
      <c r="G346" s="12"/>
      <c r="H346" s="3724"/>
      <c r="I346" s="4209"/>
      <c r="J346" s="804"/>
      <c r="M346" s="4091"/>
    </row>
    <row r="347" spans="1:19" s="4175" customFormat="1" ht="13.5" customHeight="1">
      <c r="A347" s="4016"/>
      <c r="B347" s="4001"/>
      <c r="C347" s="4208"/>
      <c r="D347" s="3975" t="s">
        <v>408</v>
      </c>
      <c r="E347" s="3927"/>
      <c r="F347" s="4189"/>
      <c r="G347" s="12"/>
      <c r="H347" s="3724"/>
      <c r="I347" s="4209"/>
      <c r="J347" s="804"/>
      <c r="M347" s="4091"/>
    </row>
    <row r="348" spans="1:19" s="4175" customFormat="1" ht="27" customHeight="1">
      <c r="A348" s="4016"/>
      <c r="B348" s="4001"/>
      <c r="C348" s="4208"/>
      <c r="D348" s="3975" t="s">
        <v>409</v>
      </c>
      <c r="E348" s="3927"/>
      <c r="F348" s="4189"/>
      <c r="G348" s="12"/>
      <c r="H348" s="3724"/>
      <c r="I348" s="4209"/>
      <c r="J348" s="804"/>
      <c r="M348" s="4091"/>
    </row>
    <row r="349" spans="1:19" s="4091" customFormat="1" ht="39" customHeight="1">
      <c r="A349" s="4022"/>
      <c r="B349" s="4179"/>
      <c r="C349" s="4180"/>
      <c r="D349" s="4210" t="s">
        <v>410</v>
      </c>
      <c r="E349" s="4180"/>
      <c r="F349" s="4181"/>
      <c r="G349" s="20"/>
      <c r="H349" s="3724"/>
      <c r="I349" s="1368"/>
      <c r="J349" s="804"/>
    </row>
    <row r="350" spans="1:19" s="4091" customFormat="1" ht="13.5" customHeight="1">
      <c r="A350" s="4172">
        <v>73</v>
      </c>
      <c r="B350" s="4001" t="s">
        <v>392</v>
      </c>
      <c r="C350" s="3927" t="s">
        <v>443</v>
      </c>
      <c r="D350" s="3927" t="s">
        <v>444</v>
      </c>
      <c r="E350" s="3927" t="s">
        <v>163</v>
      </c>
      <c r="F350" s="3724">
        <f>SUM(F363:F363)</f>
        <v>8.9</v>
      </c>
      <c r="G350" s="3724">
        <f>SUM(H352:H362)/F350</f>
        <v>0</v>
      </c>
      <c r="H350" s="3724">
        <f>F350*G350</f>
        <v>0</v>
      </c>
      <c r="I350" s="1368" t="s">
        <v>112</v>
      </c>
      <c r="J350" s="3999"/>
    </row>
    <row r="351" spans="1:19" s="4091" customFormat="1" ht="13.5" customHeight="1">
      <c r="A351" s="4172"/>
      <c r="B351" s="4001"/>
      <c r="C351" s="3927"/>
      <c r="D351" s="3975" t="s">
        <v>395</v>
      </c>
      <c r="E351" s="3927"/>
      <c r="F351" s="3976"/>
      <c r="G351" s="12"/>
      <c r="H351" s="3724"/>
      <c r="I351" s="1368"/>
      <c r="J351" s="3999"/>
    </row>
    <row r="352" spans="1:19" s="4091" customFormat="1" ht="27" customHeight="1">
      <c r="A352" s="4022"/>
      <c r="B352" s="4001"/>
      <c r="C352" s="4058"/>
      <c r="D352" s="3975" t="s">
        <v>445</v>
      </c>
      <c r="E352" s="4024" t="s">
        <v>163</v>
      </c>
      <c r="F352" s="3976">
        <f>(8.9)*1.1</f>
        <v>9.7900000000000009</v>
      </c>
      <c r="G352" s="4840"/>
      <c r="H352" s="3976">
        <f t="shared" ref="H352:H357" si="13">G352*F352</f>
        <v>0</v>
      </c>
      <c r="I352" s="1368"/>
      <c r="J352" s="3585"/>
      <c r="K352" s="3133"/>
      <c r="L352" s="3585"/>
      <c r="M352" s="4202"/>
      <c r="N352" s="4212"/>
      <c r="O352" s="5190"/>
      <c r="P352" s="5190"/>
      <c r="Q352" s="5190"/>
      <c r="R352" s="5190"/>
      <c r="S352" s="5190"/>
    </row>
    <row r="353" spans="1:21" s="4214" customFormat="1" ht="40.5" customHeight="1">
      <c r="A353" s="4022"/>
      <c r="B353" s="4001"/>
      <c r="C353" s="4204"/>
      <c r="D353" s="3975" t="s">
        <v>446</v>
      </c>
      <c r="E353" s="4024" t="s">
        <v>163</v>
      </c>
      <c r="F353" s="3976">
        <f>(8.9)*1.1</f>
        <v>9.7900000000000009</v>
      </c>
      <c r="G353" s="4840"/>
      <c r="H353" s="3976">
        <f>F353*G353</f>
        <v>0</v>
      </c>
      <c r="I353" s="4185"/>
      <c r="J353" s="3585"/>
      <c r="K353" s="3133"/>
      <c r="L353" s="4213"/>
      <c r="M353" s="4202"/>
      <c r="N353" s="4212"/>
      <c r="O353" s="5191"/>
      <c r="P353" s="5191"/>
      <c r="Q353" s="5191"/>
      <c r="R353" s="5191"/>
      <c r="S353" s="5191"/>
      <c r="T353" s="5191"/>
      <c r="U353" s="5191"/>
    </row>
    <row r="354" spans="1:21" s="4091" customFormat="1" ht="13.5" customHeight="1">
      <c r="A354" s="4022"/>
      <c r="B354" s="4001"/>
      <c r="C354" s="4204"/>
      <c r="D354" s="3975" t="s">
        <v>447</v>
      </c>
      <c r="E354" s="4024" t="s">
        <v>163</v>
      </c>
      <c r="F354" s="3976">
        <f>(8.9)*1.1</f>
        <v>9.7900000000000009</v>
      </c>
      <c r="G354" s="4841"/>
      <c r="H354" s="3976">
        <f t="shared" si="13"/>
        <v>0</v>
      </c>
      <c r="I354" s="1368"/>
      <c r="J354" s="3585"/>
      <c r="K354" s="3133"/>
      <c r="L354" s="3585"/>
      <c r="M354" s="4212"/>
      <c r="N354" s="4212"/>
      <c r="Q354" s="4205"/>
    </row>
    <row r="355" spans="1:21" s="4091" customFormat="1" ht="13.5" customHeight="1">
      <c r="A355" s="4022"/>
      <c r="B355" s="4001"/>
      <c r="C355" s="4204"/>
      <c r="D355" s="3975" t="s">
        <v>448</v>
      </c>
      <c r="E355" s="4024" t="s">
        <v>141</v>
      </c>
      <c r="F355" s="3976">
        <f>(10)*1.1</f>
        <v>11</v>
      </c>
      <c r="G355" s="4840"/>
      <c r="H355" s="3976">
        <f t="shared" si="13"/>
        <v>0</v>
      </c>
      <c r="I355" s="1368"/>
      <c r="J355" s="3585"/>
      <c r="K355" s="3133"/>
      <c r="L355" s="3585"/>
      <c r="M355" s="4202"/>
      <c r="N355" s="4212"/>
      <c r="Q355" s="4205"/>
    </row>
    <row r="356" spans="1:21" s="4091" customFormat="1" ht="27" customHeight="1">
      <c r="A356" s="4022"/>
      <c r="B356" s="4001"/>
      <c r="C356" s="4204"/>
      <c r="D356" s="4024" t="s">
        <v>449</v>
      </c>
      <c r="E356" s="4024" t="s">
        <v>146</v>
      </c>
      <c r="F356" s="3976">
        <f>(8.9*0.06)*1.1</f>
        <v>0.58740000000000003</v>
      </c>
      <c r="G356" s="4840"/>
      <c r="H356" s="3976">
        <f t="shared" si="13"/>
        <v>0</v>
      </c>
      <c r="I356" s="4090"/>
      <c r="J356" s="3585"/>
      <c r="K356" s="3133"/>
      <c r="L356" s="4213"/>
      <c r="M356" s="4202"/>
      <c r="N356" s="4212"/>
    </row>
    <row r="357" spans="1:21" s="4091" customFormat="1" ht="27" customHeight="1">
      <c r="A357" s="4022"/>
      <c r="B357" s="4001"/>
      <c r="C357" s="4204"/>
      <c r="D357" s="4024" t="s">
        <v>450</v>
      </c>
      <c r="E357" s="4024" t="s">
        <v>163</v>
      </c>
      <c r="F357" s="3976">
        <f>(8.9)*1.1</f>
        <v>9.7900000000000009</v>
      </c>
      <c r="G357" s="4840"/>
      <c r="H357" s="3976">
        <f t="shared" si="13"/>
        <v>0</v>
      </c>
      <c r="I357" s="4090"/>
      <c r="J357" s="3585"/>
      <c r="K357" s="3133"/>
      <c r="L357" s="3585"/>
      <c r="M357" s="4202"/>
      <c r="N357" s="4212"/>
    </row>
    <row r="358" spans="1:21" s="4091" customFormat="1" ht="13.5" customHeight="1">
      <c r="A358" s="4022"/>
      <c r="B358" s="4001"/>
      <c r="C358" s="4204"/>
      <c r="D358" s="3975" t="s">
        <v>451</v>
      </c>
      <c r="E358" s="4024"/>
      <c r="F358" s="3976"/>
      <c r="G358" s="14"/>
      <c r="H358" s="3976"/>
      <c r="I358" s="1368"/>
      <c r="J358" s="3585"/>
      <c r="K358" s="3133"/>
      <c r="L358" s="3585"/>
      <c r="M358" s="4202"/>
      <c r="N358" s="4212"/>
      <c r="Q358" s="4205"/>
    </row>
    <row r="359" spans="1:21" s="4091" customFormat="1" ht="27" customHeight="1">
      <c r="A359" s="4022"/>
      <c r="B359" s="4001"/>
      <c r="C359" s="4204"/>
      <c r="D359" s="4024" t="s">
        <v>452</v>
      </c>
      <c r="E359" s="4024" t="s">
        <v>163</v>
      </c>
      <c r="F359" s="3976">
        <f xml:space="preserve"> (8.9)*1.1</f>
        <v>9.7900000000000009</v>
      </c>
      <c r="G359" s="4840"/>
      <c r="H359" s="3976">
        <f t="shared" ref="H359" si="14">G359*F359</f>
        <v>0</v>
      </c>
      <c r="I359" s="4090"/>
      <c r="J359" s="3585"/>
      <c r="K359" s="3133"/>
      <c r="L359" s="3585"/>
      <c r="M359" s="4202"/>
      <c r="N359" s="4212"/>
    </row>
    <row r="360" spans="1:21" s="4214" customFormat="1" ht="40.5" customHeight="1">
      <c r="A360" s="4022"/>
      <c r="B360" s="4001"/>
      <c r="C360" s="4204"/>
      <c r="D360" s="3975" t="s">
        <v>453</v>
      </c>
      <c r="E360" s="4024" t="s">
        <v>163</v>
      </c>
      <c r="F360" s="3976">
        <f xml:space="preserve"> (8.9)*1.15</f>
        <v>10.234999999999999</v>
      </c>
      <c r="G360" s="4840"/>
      <c r="H360" s="3976">
        <f>F360*G360</f>
        <v>0</v>
      </c>
      <c r="I360" s="4185"/>
      <c r="J360" s="3585"/>
      <c r="K360" s="3133"/>
      <c r="L360" s="4215"/>
      <c r="M360" s="4216"/>
      <c r="N360" s="4203"/>
      <c r="O360" s="4217"/>
      <c r="P360" s="4217"/>
      <c r="Q360" s="4217"/>
    </row>
    <row r="361" spans="1:21" s="4214" customFormat="1" ht="40.5" customHeight="1">
      <c r="A361" s="4022"/>
      <c r="B361" s="4001"/>
      <c r="C361" s="4204"/>
      <c r="D361" s="3975" t="s">
        <v>454</v>
      </c>
      <c r="E361" s="4024" t="s">
        <v>163</v>
      </c>
      <c r="F361" s="3976">
        <f xml:space="preserve"> (8.9)*1.1</f>
        <v>9.7900000000000009</v>
      </c>
      <c r="G361" s="4840"/>
      <c r="H361" s="3976">
        <f>F361*G361</f>
        <v>0</v>
      </c>
      <c r="I361" s="4185"/>
      <c r="J361" s="3585"/>
      <c r="K361" s="3133"/>
      <c r="L361" s="4218"/>
      <c r="M361" s="4216"/>
      <c r="N361" s="4219"/>
      <c r="O361" s="4217"/>
      <c r="P361" s="4217"/>
      <c r="Q361" s="4217"/>
    </row>
    <row r="362" spans="1:21" s="4214" customFormat="1" ht="40.5" customHeight="1">
      <c r="A362" s="4022"/>
      <c r="B362" s="4001"/>
      <c r="C362" s="4058"/>
      <c r="D362" s="3975" t="s">
        <v>455</v>
      </c>
      <c r="E362" s="4024" t="s">
        <v>163</v>
      </c>
      <c r="F362" s="3976">
        <f xml:space="preserve"> (8.9)*1.1</f>
        <v>9.7900000000000009</v>
      </c>
      <c r="G362" s="4840"/>
      <c r="H362" s="3976">
        <f>F362*G362</f>
        <v>0</v>
      </c>
      <c r="I362" s="4220"/>
      <c r="J362" s="3585"/>
      <c r="K362" s="3133"/>
      <c r="L362" s="3585"/>
      <c r="M362" s="4202"/>
      <c r="N362" s="4212"/>
    </row>
    <row r="363" spans="1:21" s="4175" customFormat="1" ht="13.5" customHeight="1">
      <c r="A363" s="4016"/>
      <c r="B363" s="4001"/>
      <c r="C363" s="4208"/>
      <c r="D363" s="4024" t="s">
        <v>456</v>
      </c>
      <c r="E363" s="3927"/>
      <c r="F363" s="4189">
        <v>8.9</v>
      </c>
      <c r="G363" s="12"/>
      <c r="H363" s="3724"/>
      <c r="I363" s="4209"/>
      <c r="J363" s="804"/>
      <c r="M363" s="4091"/>
    </row>
    <row r="364" spans="1:21" s="4175" customFormat="1" ht="13.5" customHeight="1">
      <c r="A364" s="4016"/>
      <c r="B364" s="4001"/>
      <c r="C364" s="4208"/>
      <c r="D364" s="3975" t="s">
        <v>457</v>
      </c>
      <c r="E364" s="3927"/>
      <c r="F364" s="4189"/>
      <c r="G364" s="12"/>
      <c r="H364" s="3724"/>
      <c r="I364" s="4209"/>
      <c r="J364" s="804"/>
      <c r="M364" s="4091"/>
    </row>
    <row r="365" spans="1:21" s="4175" customFormat="1" ht="27" customHeight="1">
      <c r="A365" s="4016"/>
      <c r="B365" s="4001"/>
      <c r="C365" s="4208"/>
      <c r="D365" s="3975" t="s">
        <v>409</v>
      </c>
      <c r="E365" s="3927"/>
      <c r="F365" s="4189"/>
      <c r="G365" s="12"/>
      <c r="H365" s="3724"/>
      <c r="I365" s="4209"/>
      <c r="J365" s="804"/>
      <c r="M365" s="4091"/>
    </row>
    <row r="366" spans="1:21" s="4091" customFormat="1" ht="39" customHeight="1">
      <c r="A366" s="4022"/>
      <c r="B366" s="4179"/>
      <c r="C366" s="4180"/>
      <c r="D366" s="4210" t="s">
        <v>410</v>
      </c>
      <c r="E366" s="4180"/>
      <c r="F366" s="4181"/>
      <c r="G366" s="20"/>
      <c r="H366" s="3724"/>
      <c r="I366" s="1368"/>
      <c r="J366" s="804"/>
    </row>
    <row r="367" spans="1:21" s="4091" customFormat="1" ht="13.5" customHeight="1">
      <c r="A367" s="3974">
        <v>74</v>
      </c>
      <c r="B367" s="4001" t="s">
        <v>392</v>
      </c>
      <c r="C367" s="3927">
        <v>998712202</v>
      </c>
      <c r="D367" s="3927" t="s">
        <v>458</v>
      </c>
      <c r="E367" s="3927" t="s">
        <v>10</v>
      </c>
      <c r="F367" s="3724">
        <v>1.73</v>
      </c>
      <c r="G367" s="12"/>
      <c r="H367" s="3724">
        <f>F367*G367</f>
        <v>0</v>
      </c>
      <c r="I367" s="1368" t="s">
        <v>137</v>
      </c>
      <c r="J367" s="4221"/>
      <c r="L367" s="4222"/>
    </row>
    <row r="368" spans="1:21" s="4091" customFormat="1" ht="13.5" customHeight="1">
      <c r="A368" s="3974">
        <v>75</v>
      </c>
      <c r="B368" s="4001" t="s">
        <v>362</v>
      </c>
      <c r="C368" s="3927" t="s">
        <v>387</v>
      </c>
      <c r="D368" s="3927" t="s">
        <v>388</v>
      </c>
      <c r="E368" s="3927" t="s">
        <v>69</v>
      </c>
      <c r="F368" s="3724">
        <f>F369</f>
        <v>40</v>
      </c>
      <c r="G368" s="12"/>
      <c r="H368" s="3724">
        <f>F368*G368</f>
        <v>0</v>
      </c>
      <c r="I368" s="1368" t="s">
        <v>137</v>
      </c>
      <c r="J368" s="4194"/>
      <c r="L368" s="4222"/>
    </row>
    <row r="369" spans="1:21" s="4228" customFormat="1" ht="13.5" customHeight="1">
      <c r="A369" s="4223"/>
      <c r="B369" s="4224"/>
      <c r="C369" s="4225"/>
      <c r="D369" s="2617" t="s">
        <v>459</v>
      </c>
      <c r="E369" s="4225"/>
      <c r="F369" s="3459">
        <v>40</v>
      </c>
      <c r="G369" s="55"/>
      <c r="H369" s="4226"/>
      <c r="I369" s="4227"/>
    </row>
    <row r="370" spans="1:21" s="4228" customFormat="1" ht="13.5" customHeight="1">
      <c r="A370" s="4223"/>
      <c r="B370" s="4224"/>
      <c r="C370" s="4225"/>
      <c r="D370" s="2617" t="s">
        <v>460</v>
      </c>
      <c r="E370" s="4225"/>
      <c r="F370" s="3459"/>
      <c r="G370" s="55"/>
      <c r="H370" s="4226"/>
      <c r="I370" s="4227"/>
    </row>
    <row r="371" spans="1:21" s="4091" customFormat="1" ht="13.5" customHeight="1">
      <c r="A371" s="3994"/>
      <c r="B371" s="3995"/>
      <c r="C371" s="3996">
        <v>713</v>
      </c>
      <c r="D371" s="3996" t="s">
        <v>461</v>
      </c>
      <c r="E371" s="3996"/>
      <c r="F371" s="3997"/>
      <c r="G371" s="11"/>
      <c r="H371" s="3997">
        <f>SUM(H372:H374,H379:H383,H389:H393,H398:H402,H406:H410,H414:H418,H423:H427,H431:H436,H441:H445,H448:H453)</f>
        <v>0</v>
      </c>
      <c r="I371" s="4161"/>
      <c r="J371" s="3999"/>
    </row>
    <row r="372" spans="1:21" s="4214" customFormat="1" ht="27.75" customHeight="1">
      <c r="A372" s="4057">
        <v>76</v>
      </c>
      <c r="B372" s="4001" t="s">
        <v>462</v>
      </c>
      <c r="C372" s="3927" t="s">
        <v>463</v>
      </c>
      <c r="D372" s="3927" t="s">
        <v>464</v>
      </c>
      <c r="E372" s="3927" t="s">
        <v>163</v>
      </c>
      <c r="F372" s="3724">
        <f>SUM(F379:F379)</f>
        <v>479.88000000000005</v>
      </c>
      <c r="G372" s="3724">
        <f>SUM(H375:H378)/F372</f>
        <v>0</v>
      </c>
      <c r="H372" s="3724">
        <f>F372*G372</f>
        <v>0</v>
      </c>
      <c r="I372" s="1368" t="s">
        <v>112</v>
      </c>
      <c r="J372" s="4021"/>
      <c r="K372" s="4229"/>
      <c r="L372" s="4230"/>
      <c r="M372" s="804"/>
    </row>
    <row r="373" spans="1:21" s="4032" customFormat="1" ht="13.5" customHeight="1">
      <c r="A373" s="4028"/>
      <c r="B373" s="3975"/>
      <c r="C373" s="3975"/>
      <c r="D373" s="3975" t="s">
        <v>465</v>
      </c>
      <c r="E373" s="3975"/>
      <c r="F373" s="3976"/>
      <c r="G373" s="14"/>
      <c r="H373" s="3976"/>
      <c r="I373" s="4031"/>
      <c r="J373" s="4021"/>
      <c r="K373" s="4231"/>
      <c r="L373" s="4230"/>
      <c r="M373" s="804"/>
      <c r="N373" s="4214"/>
      <c r="O373" s="4214"/>
      <c r="P373" s="4214"/>
    </row>
    <row r="374" spans="1:21" s="804" customFormat="1" ht="13.5" customHeight="1">
      <c r="A374" s="4172"/>
      <c r="B374" s="4001"/>
      <c r="C374" s="4232"/>
      <c r="D374" s="3975" t="s">
        <v>395</v>
      </c>
      <c r="E374" s="3927"/>
      <c r="F374" s="3976"/>
      <c r="G374" s="12"/>
      <c r="H374" s="3724"/>
      <c r="I374" s="1368"/>
      <c r="J374" s="4021"/>
      <c r="K374" s="4069"/>
      <c r="L374" s="4195"/>
      <c r="P374" s="4233"/>
    </row>
    <row r="375" spans="1:21" s="4214" customFormat="1" ht="40.5" customHeight="1">
      <c r="A375" s="4022"/>
      <c r="B375" s="4001"/>
      <c r="C375" s="4058"/>
      <c r="D375" s="3975" t="s">
        <v>466</v>
      </c>
      <c r="E375" s="4024" t="s">
        <v>163</v>
      </c>
      <c r="F375" s="3976">
        <f>(479.88)*1.1</f>
        <v>527.86800000000005</v>
      </c>
      <c r="G375" s="4840"/>
      <c r="H375" s="3976">
        <f>F375*G375</f>
        <v>0</v>
      </c>
      <c r="I375" s="4220"/>
      <c r="J375" s="3585"/>
      <c r="K375" s="3133"/>
      <c r="L375" s="3585"/>
      <c r="M375" s="4202"/>
      <c r="N375" s="4203"/>
    </row>
    <row r="376" spans="1:21" s="4214" customFormat="1" ht="40.5" customHeight="1">
      <c r="A376" s="4022"/>
      <c r="B376" s="4001"/>
      <c r="C376" s="4204"/>
      <c r="D376" s="3975" t="s">
        <v>467</v>
      </c>
      <c r="E376" s="4024" t="s">
        <v>163</v>
      </c>
      <c r="F376" s="3976">
        <f>(479.88)*1.1</f>
        <v>527.86800000000005</v>
      </c>
      <c r="G376" s="4840"/>
      <c r="H376" s="3976">
        <f>F376*G376</f>
        <v>0</v>
      </c>
      <c r="I376" s="4185"/>
      <c r="J376" s="3585"/>
      <c r="K376" s="3133"/>
      <c r="L376" s="4218"/>
      <c r="M376" s="4216"/>
      <c r="N376" s="4219"/>
      <c r="O376" s="4217"/>
      <c r="P376" s="4217"/>
      <c r="Q376" s="4217"/>
    </row>
    <row r="377" spans="1:21" s="4214" customFormat="1" ht="40.5" customHeight="1">
      <c r="A377" s="4022"/>
      <c r="B377" s="4001"/>
      <c r="C377" s="4204"/>
      <c r="D377" s="3975" t="s">
        <v>468</v>
      </c>
      <c r="E377" s="4024" t="s">
        <v>163</v>
      </c>
      <c r="F377" s="3976">
        <f>(479.88)*1.15</f>
        <v>551.86199999999997</v>
      </c>
      <c r="G377" s="4840"/>
      <c r="H377" s="3976">
        <f>F377*G377</f>
        <v>0</v>
      </c>
      <c r="I377" s="4185"/>
      <c r="J377" s="3585"/>
      <c r="K377" s="3133"/>
      <c r="L377" s="4215"/>
      <c r="M377" s="4216"/>
      <c r="N377" s="4203"/>
      <c r="O377" s="4217"/>
      <c r="P377" s="4217"/>
      <c r="Q377" s="4217"/>
    </row>
    <row r="378" spans="1:21" s="4214" customFormat="1" ht="27" customHeight="1">
      <c r="A378" s="4022"/>
      <c r="B378" s="4001"/>
      <c r="C378" s="4204"/>
      <c r="D378" s="3975" t="s">
        <v>469</v>
      </c>
      <c r="E378" s="4024" t="s">
        <v>163</v>
      </c>
      <c r="F378" s="3976">
        <f>(479.88)*1.1</f>
        <v>527.86800000000005</v>
      </c>
      <c r="G378" s="4840"/>
      <c r="H378" s="3976">
        <f>F378*G378</f>
        <v>0</v>
      </c>
      <c r="I378" s="4234"/>
      <c r="J378" s="3585"/>
      <c r="K378" s="3133"/>
      <c r="L378" s="4235"/>
      <c r="M378" s="4236"/>
      <c r="N378" s="4203"/>
      <c r="O378" s="4237"/>
      <c r="P378" s="4237"/>
      <c r="Q378" s="4237"/>
      <c r="R378" s="4237"/>
      <c r="S378" s="4237"/>
      <c r="T378" s="4237"/>
      <c r="U378" s="4237"/>
    </row>
    <row r="379" spans="1:21" s="4214" customFormat="1" ht="13.5" customHeight="1">
      <c r="A379" s="4016"/>
      <c r="B379" s="4001"/>
      <c r="C379" s="4208"/>
      <c r="D379" s="3975" t="s">
        <v>470</v>
      </c>
      <c r="E379" s="3927"/>
      <c r="F379" s="4189">
        <f xml:space="preserve"> (129*3.72)</f>
        <v>479.88000000000005</v>
      </c>
      <c r="G379" s="12"/>
      <c r="H379" s="3724"/>
      <c r="I379" s="4031"/>
      <c r="J379" s="4238"/>
      <c r="K379" s="4230"/>
      <c r="L379" s="4230"/>
      <c r="M379" s="804"/>
    </row>
    <row r="380" spans="1:21" s="4214" customFormat="1" ht="54" customHeight="1">
      <c r="A380" s="4016"/>
      <c r="B380" s="4001"/>
      <c r="C380" s="3927"/>
      <c r="D380" s="4239" t="s">
        <v>4094</v>
      </c>
      <c r="E380" s="3927"/>
      <c r="F380" s="4181"/>
      <c r="G380" s="12"/>
      <c r="H380" s="3724"/>
      <c r="I380" s="4240"/>
      <c r="J380" s="4241"/>
      <c r="K380" s="4230"/>
      <c r="L380" s="4230"/>
      <c r="M380" s="804"/>
    </row>
    <row r="381" spans="1:21" s="4214" customFormat="1" ht="27.75" customHeight="1">
      <c r="A381" s="4057">
        <v>77</v>
      </c>
      <c r="B381" s="4001" t="s">
        <v>462</v>
      </c>
      <c r="C381" s="3927" t="s">
        <v>471</v>
      </c>
      <c r="D381" s="3927" t="s">
        <v>472</v>
      </c>
      <c r="E381" s="3927" t="s">
        <v>163</v>
      </c>
      <c r="F381" s="3724">
        <f>SUM(F389:F389)</f>
        <v>483.75</v>
      </c>
      <c r="G381" s="3724">
        <f>SUM(H384:H388)/F381</f>
        <v>0</v>
      </c>
      <c r="H381" s="3724">
        <f>F381*G381</f>
        <v>0</v>
      </c>
      <c r="I381" s="1368" t="s">
        <v>112</v>
      </c>
      <c r="J381" s="4021"/>
      <c r="K381" s="4229"/>
      <c r="L381" s="4230"/>
      <c r="M381" s="804"/>
    </row>
    <row r="382" spans="1:21" s="4032" customFormat="1" ht="13.5" customHeight="1">
      <c r="A382" s="4028"/>
      <c r="B382" s="3975"/>
      <c r="C382" s="3975"/>
      <c r="D382" s="3975" t="s">
        <v>465</v>
      </c>
      <c r="E382" s="3975"/>
      <c r="F382" s="3976"/>
      <c r="G382" s="14"/>
      <c r="H382" s="3976"/>
      <c r="I382" s="4031"/>
      <c r="J382" s="4021"/>
      <c r="K382" s="4231"/>
      <c r="L382" s="4230"/>
      <c r="M382" s="804"/>
      <c r="N382" s="4214"/>
      <c r="O382" s="4214"/>
      <c r="P382" s="4214"/>
    </row>
    <row r="383" spans="1:21" s="804" customFormat="1" ht="13.5" customHeight="1">
      <c r="A383" s="4172"/>
      <c r="B383" s="4001"/>
      <c r="C383" s="4232"/>
      <c r="D383" s="3975" t="s">
        <v>395</v>
      </c>
      <c r="E383" s="3927"/>
      <c r="F383" s="3976"/>
      <c r="G383" s="12"/>
      <c r="H383" s="3724"/>
      <c r="I383" s="1368"/>
      <c r="J383" s="4021"/>
      <c r="K383" s="4069"/>
      <c r="L383" s="4195"/>
      <c r="P383" s="4233"/>
    </row>
    <row r="384" spans="1:21" s="4214" customFormat="1" ht="40.5" customHeight="1">
      <c r="A384" s="4022"/>
      <c r="B384" s="4001"/>
      <c r="C384" s="4058"/>
      <c r="D384" s="3975" t="s">
        <v>473</v>
      </c>
      <c r="E384" s="4024" t="s">
        <v>163</v>
      </c>
      <c r="F384" s="3976">
        <f xml:space="preserve"> (483.75)*1.1</f>
        <v>532.125</v>
      </c>
      <c r="G384" s="4840"/>
      <c r="H384" s="3976">
        <f>F384*G384</f>
        <v>0</v>
      </c>
      <c r="I384" s="4220"/>
      <c r="J384" s="3585"/>
      <c r="K384" s="3133"/>
      <c r="L384" s="3585"/>
      <c r="M384" s="4202"/>
      <c r="N384" s="4203"/>
    </row>
    <row r="385" spans="1:21" s="4214" customFormat="1" ht="40.5" customHeight="1">
      <c r="A385" s="4022"/>
      <c r="B385" s="4001"/>
      <c r="C385" s="4204"/>
      <c r="D385" s="3975" t="s">
        <v>474</v>
      </c>
      <c r="E385" s="4024" t="s">
        <v>163</v>
      </c>
      <c r="F385" s="3976">
        <f>(483.75)*1.1</f>
        <v>532.125</v>
      </c>
      <c r="G385" s="4840"/>
      <c r="H385" s="3976">
        <f>F385*G385</f>
        <v>0</v>
      </c>
      <c r="I385" s="4185"/>
      <c r="J385" s="3585"/>
      <c r="K385" s="3133"/>
      <c r="L385" s="4218"/>
      <c r="M385" s="4216"/>
      <c r="N385" s="4219"/>
      <c r="O385" s="4217"/>
      <c r="P385" s="4217"/>
      <c r="Q385" s="4217"/>
    </row>
    <row r="386" spans="1:21" s="4214" customFormat="1" ht="40.5" customHeight="1">
      <c r="A386" s="4022"/>
      <c r="B386" s="4001"/>
      <c r="C386" s="4204"/>
      <c r="D386" s="3975" t="s">
        <v>475</v>
      </c>
      <c r="E386" s="4024" t="s">
        <v>163</v>
      </c>
      <c r="F386" s="3976">
        <f>(483.75)*1.15</f>
        <v>556.3125</v>
      </c>
      <c r="G386" s="4840"/>
      <c r="H386" s="3976">
        <f>F386*G386</f>
        <v>0</v>
      </c>
      <c r="I386" s="4185"/>
      <c r="J386" s="3585"/>
      <c r="K386" s="3133"/>
      <c r="L386" s="4215"/>
      <c r="M386" s="4216"/>
      <c r="N386" s="4203"/>
      <c r="O386" s="4217"/>
      <c r="P386" s="4217"/>
      <c r="Q386" s="4217"/>
    </row>
    <row r="387" spans="1:21" s="4214" customFormat="1" ht="27" customHeight="1">
      <c r="A387" s="4022"/>
      <c r="B387" s="4001"/>
      <c r="C387" s="4204"/>
      <c r="D387" s="3975" t="s">
        <v>476</v>
      </c>
      <c r="E387" s="4024" t="s">
        <v>163</v>
      </c>
      <c r="F387" s="3976">
        <f>(483.75)*1.1</f>
        <v>532.125</v>
      </c>
      <c r="G387" s="4840"/>
      <c r="H387" s="3976">
        <f>F387*G387</f>
        <v>0</v>
      </c>
      <c r="I387" s="4234"/>
      <c r="J387" s="3585"/>
      <c r="K387" s="3133"/>
      <c r="L387" s="4235"/>
      <c r="M387" s="4236"/>
      <c r="N387" s="4203"/>
      <c r="O387" s="4237"/>
      <c r="P387" s="4237"/>
      <c r="Q387" s="4237"/>
      <c r="R387" s="4237"/>
      <c r="S387" s="4237"/>
      <c r="T387" s="4237"/>
      <c r="U387" s="4237"/>
    </row>
    <row r="388" spans="1:21" s="4214" customFormat="1" ht="27" customHeight="1">
      <c r="A388" s="4022"/>
      <c r="B388" s="4001"/>
      <c r="C388" s="4204"/>
      <c r="D388" s="3975" t="s">
        <v>477</v>
      </c>
      <c r="E388" s="4024" t="s">
        <v>163</v>
      </c>
      <c r="F388" s="3976">
        <f>(483.75)*1.1</f>
        <v>532.125</v>
      </c>
      <c r="G388" s="4840"/>
      <c r="H388" s="3976">
        <f>F388*G388</f>
        <v>0</v>
      </c>
      <c r="I388" s="4234"/>
      <c r="J388" s="3585"/>
      <c r="K388" s="3133"/>
      <c r="L388" s="4235"/>
      <c r="M388" s="4236"/>
      <c r="N388" s="4203"/>
      <c r="O388" s="4237"/>
      <c r="P388" s="4237"/>
      <c r="Q388" s="4237"/>
      <c r="R388" s="4237"/>
      <c r="S388" s="4237"/>
      <c r="T388" s="4237"/>
      <c r="U388" s="4237"/>
    </row>
    <row r="389" spans="1:21" s="4214" customFormat="1" ht="13.5" customHeight="1">
      <c r="A389" s="4016"/>
      <c r="B389" s="4001"/>
      <c r="C389" s="4208"/>
      <c r="D389" s="3975" t="s">
        <v>478</v>
      </c>
      <c r="E389" s="3927"/>
      <c r="F389" s="4189">
        <f xml:space="preserve"> (129*3.75)</f>
        <v>483.75</v>
      </c>
      <c r="G389" s="12"/>
      <c r="H389" s="3724"/>
      <c r="I389" s="4031"/>
      <c r="J389" s="4238"/>
      <c r="K389" s="4230"/>
      <c r="L389" s="4230"/>
      <c r="M389" s="804"/>
    </row>
    <row r="390" spans="1:21" s="4214" customFormat="1" ht="54" customHeight="1">
      <c r="A390" s="4016"/>
      <c r="B390" s="4001"/>
      <c r="C390" s="3927"/>
      <c r="D390" s="4239" t="s">
        <v>4094</v>
      </c>
      <c r="E390" s="3927"/>
      <c r="F390" s="4181"/>
      <c r="G390" s="12"/>
      <c r="H390" s="3724"/>
      <c r="I390" s="4240"/>
      <c r="J390" s="4241"/>
      <c r="K390" s="4230"/>
      <c r="L390" s="4230"/>
      <c r="M390" s="804"/>
    </row>
    <row r="391" spans="1:21" s="4214" customFormat="1" ht="27.75" customHeight="1">
      <c r="A391" s="4057">
        <v>78</v>
      </c>
      <c r="B391" s="4001" t="s">
        <v>462</v>
      </c>
      <c r="C391" s="3927" t="s">
        <v>479</v>
      </c>
      <c r="D391" s="3927" t="s">
        <v>480</v>
      </c>
      <c r="E391" s="3927" t="s">
        <v>163</v>
      </c>
      <c r="F391" s="3724">
        <f>F398</f>
        <v>76.42</v>
      </c>
      <c r="G391" s="3724">
        <f>SUM(H394:H397)/F391</f>
        <v>0</v>
      </c>
      <c r="H391" s="3724">
        <f>F391*G391</f>
        <v>0</v>
      </c>
      <c r="I391" s="1368" t="s">
        <v>112</v>
      </c>
      <c r="J391" s="4021"/>
      <c r="K391" s="4229"/>
      <c r="L391" s="4230"/>
      <c r="M391" s="804"/>
    </row>
    <row r="392" spans="1:21" s="4032" customFormat="1" ht="13.5" customHeight="1">
      <c r="A392" s="4028"/>
      <c r="B392" s="3975"/>
      <c r="C392" s="3975"/>
      <c r="D392" s="3975" t="s">
        <v>465</v>
      </c>
      <c r="E392" s="3975"/>
      <c r="F392" s="3976"/>
      <c r="G392" s="14"/>
      <c r="H392" s="3976"/>
      <c r="I392" s="4031"/>
      <c r="J392" s="4021"/>
      <c r="K392" s="4231"/>
      <c r="L392" s="4230"/>
      <c r="M392" s="804"/>
      <c r="N392" s="4214"/>
      <c r="O392" s="4214"/>
      <c r="P392" s="4214"/>
    </row>
    <row r="393" spans="1:21" s="804" customFormat="1" ht="13.5" customHeight="1">
      <c r="A393" s="4172"/>
      <c r="B393" s="4001"/>
      <c r="C393" s="4232"/>
      <c r="D393" s="3975" t="s">
        <v>395</v>
      </c>
      <c r="E393" s="3927"/>
      <c r="F393" s="3976"/>
      <c r="G393" s="12"/>
      <c r="H393" s="3724"/>
      <c r="I393" s="1368"/>
      <c r="J393" s="4021"/>
      <c r="K393" s="4069"/>
      <c r="L393" s="4195"/>
      <c r="P393" s="4233"/>
    </row>
    <row r="394" spans="1:21" s="4214" customFormat="1" ht="40.5" customHeight="1">
      <c r="A394" s="4022"/>
      <c r="B394" s="4001"/>
      <c r="C394" s="4058"/>
      <c r="D394" s="3975" t="s">
        <v>481</v>
      </c>
      <c r="E394" s="4024" t="s">
        <v>163</v>
      </c>
      <c r="F394" s="3976">
        <f xml:space="preserve"> (76.42)*1.1</f>
        <v>84.062000000000012</v>
      </c>
      <c r="G394" s="4840"/>
      <c r="H394" s="3976">
        <f>F394*G394</f>
        <v>0</v>
      </c>
      <c r="I394" s="4220"/>
      <c r="J394" s="3585"/>
      <c r="K394" s="3133"/>
      <c r="L394" s="3585"/>
      <c r="M394" s="4202"/>
      <c r="N394" s="4203"/>
    </row>
    <row r="395" spans="1:21" s="4214" customFormat="1" ht="40.5" customHeight="1">
      <c r="A395" s="4022"/>
      <c r="B395" s="4001"/>
      <c r="C395" s="4204"/>
      <c r="D395" s="3975" t="s">
        <v>482</v>
      </c>
      <c r="E395" s="4024" t="s">
        <v>163</v>
      </c>
      <c r="F395" s="3976">
        <f xml:space="preserve"> (76.42)*1.1</f>
        <v>84.062000000000012</v>
      </c>
      <c r="G395" s="4840"/>
      <c r="H395" s="3976">
        <f>F395*G395</f>
        <v>0</v>
      </c>
      <c r="I395" s="4185"/>
      <c r="J395" s="3585"/>
      <c r="K395" s="3133"/>
      <c r="L395" s="4218"/>
      <c r="M395" s="4216"/>
      <c r="N395" s="4219"/>
      <c r="O395" s="4217"/>
      <c r="P395" s="4217"/>
      <c r="Q395" s="4217"/>
    </row>
    <row r="396" spans="1:21" s="4214" customFormat="1" ht="40.5" customHeight="1">
      <c r="A396" s="4022"/>
      <c r="B396" s="4001"/>
      <c r="C396" s="4204"/>
      <c r="D396" s="3975" t="s">
        <v>483</v>
      </c>
      <c r="E396" s="4024" t="s">
        <v>163</v>
      </c>
      <c r="F396" s="3976">
        <f>(76.42)*1.15</f>
        <v>87.882999999999996</v>
      </c>
      <c r="G396" s="4840"/>
      <c r="H396" s="3976">
        <f>F396*G396</f>
        <v>0</v>
      </c>
      <c r="I396" s="4185"/>
      <c r="J396" s="3585"/>
      <c r="K396" s="3133"/>
      <c r="L396" s="4215"/>
      <c r="M396" s="4216"/>
      <c r="N396" s="4203"/>
      <c r="O396" s="4217"/>
      <c r="P396" s="4217"/>
      <c r="Q396" s="4217"/>
    </row>
    <row r="397" spans="1:21" s="4214" customFormat="1" ht="27" customHeight="1">
      <c r="A397" s="4022"/>
      <c r="B397" s="4001"/>
      <c r="C397" s="4204"/>
      <c r="D397" s="3975" t="s">
        <v>484</v>
      </c>
      <c r="E397" s="4024" t="s">
        <v>163</v>
      </c>
      <c r="F397" s="3976">
        <f>(76.42)*1.1</f>
        <v>84.062000000000012</v>
      </c>
      <c r="G397" s="4840"/>
      <c r="H397" s="3976">
        <f>F397*G397</f>
        <v>0</v>
      </c>
      <c r="I397" s="4234"/>
      <c r="J397" s="3585"/>
      <c r="K397" s="3133"/>
      <c r="L397" s="4235"/>
      <c r="M397" s="4236"/>
      <c r="N397" s="4203"/>
      <c r="O397" s="4237"/>
      <c r="P397" s="4237"/>
      <c r="Q397" s="4237"/>
      <c r="R397" s="4237"/>
      <c r="S397" s="4237"/>
      <c r="T397" s="4237"/>
      <c r="U397" s="4237"/>
    </row>
    <row r="398" spans="1:21" s="4214" customFormat="1" ht="13.5" customHeight="1">
      <c r="A398" s="4016"/>
      <c r="B398" s="4001"/>
      <c r="C398" s="4208"/>
      <c r="D398" s="3975" t="s">
        <v>485</v>
      </c>
      <c r="E398" s="3927"/>
      <c r="F398" s="4189">
        <f xml:space="preserve"> (76.42)</f>
        <v>76.42</v>
      </c>
      <c r="G398" s="12"/>
      <c r="H398" s="3724"/>
      <c r="I398" s="4031"/>
      <c r="J398" s="4238"/>
      <c r="K398" s="4230"/>
      <c r="L398" s="4230"/>
      <c r="M398" s="804"/>
    </row>
    <row r="399" spans="1:21" s="4214" customFormat="1" ht="54" customHeight="1">
      <c r="A399" s="4016"/>
      <c r="B399" s="4001"/>
      <c r="C399" s="3927"/>
      <c r="D399" s="4239" t="s">
        <v>4094</v>
      </c>
      <c r="E399" s="3927"/>
      <c r="F399" s="4181"/>
      <c r="G399" s="12"/>
      <c r="H399" s="3724"/>
      <c r="I399" s="4240"/>
      <c r="J399" s="4241"/>
      <c r="K399" s="4230"/>
      <c r="L399" s="4230"/>
      <c r="M399" s="804"/>
    </row>
    <row r="400" spans="1:21" s="4214" customFormat="1" ht="13.5" customHeight="1">
      <c r="A400" s="4057">
        <v>79</v>
      </c>
      <c r="B400" s="3927">
        <v>713</v>
      </c>
      <c r="C400" s="3927" t="s">
        <v>486</v>
      </c>
      <c r="D400" s="3927" t="s">
        <v>487</v>
      </c>
      <c r="E400" s="3927" t="s">
        <v>163</v>
      </c>
      <c r="F400" s="3724">
        <f>F406</f>
        <v>72.349999999999994</v>
      </c>
      <c r="G400" s="3724">
        <f>SUM(H403:H405)/F400</f>
        <v>0</v>
      </c>
      <c r="H400" s="3724">
        <f>F400*G400</f>
        <v>0</v>
      </c>
      <c r="I400" s="1368" t="s">
        <v>112</v>
      </c>
      <c r="J400" s="4242"/>
      <c r="K400" s="4243"/>
      <c r="L400" s="4243"/>
      <c r="M400" s="804"/>
      <c r="N400" s="4244"/>
    </row>
    <row r="401" spans="1:19" s="4032" customFormat="1" ht="13.5" customHeight="1">
      <c r="A401" s="4028"/>
      <c r="B401" s="3975"/>
      <c r="C401" s="4232"/>
      <c r="D401" s="3975" t="s">
        <v>488</v>
      </c>
      <c r="E401" s="3975"/>
      <c r="F401" s="3976"/>
      <c r="G401" s="14"/>
      <c r="H401" s="3976"/>
      <c r="I401" s="4031"/>
      <c r="J401" s="4021"/>
      <c r="K401" s="4231"/>
      <c r="L401" s="4230"/>
      <c r="M401" s="804"/>
      <c r="N401" s="4214"/>
      <c r="O401" s="4214"/>
      <c r="P401" s="4214"/>
    </row>
    <row r="402" spans="1:19" s="4032" customFormat="1" ht="13.5" customHeight="1">
      <c r="A402" s="4028"/>
      <c r="B402" s="3975"/>
      <c r="C402" s="4232"/>
      <c r="D402" s="3975" t="s">
        <v>395</v>
      </c>
      <c r="E402" s="3975"/>
      <c r="F402" s="3976"/>
      <c r="G402" s="14"/>
      <c r="H402" s="3976"/>
      <c r="I402" s="4031"/>
      <c r="J402" s="4021"/>
      <c r="K402" s="4231"/>
      <c r="L402" s="4230"/>
      <c r="M402" s="804"/>
      <c r="N402" s="4214"/>
      <c r="O402" s="4214"/>
      <c r="P402" s="4214"/>
    </row>
    <row r="403" spans="1:19" s="4214" customFormat="1" ht="27" customHeight="1">
      <c r="A403" s="4022"/>
      <c r="B403" s="4001"/>
      <c r="C403" s="4204"/>
      <c r="D403" s="3975" t="s">
        <v>489</v>
      </c>
      <c r="E403" s="4024" t="s">
        <v>163</v>
      </c>
      <c r="F403" s="3976">
        <f>(72.35)*1.15</f>
        <v>83.202499999999986</v>
      </c>
      <c r="G403" s="4841"/>
      <c r="H403" s="3976">
        <f>G403*F403</f>
        <v>0</v>
      </c>
      <c r="I403" s="4185"/>
      <c r="J403" s="3585"/>
      <c r="K403" s="3133"/>
      <c r="L403" s="4235"/>
      <c r="M403" s="4236"/>
      <c r="N403" s="4203"/>
    </row>
    <row r="404" spans="1:19" s="4214" customFormat="1" ht="13.5" customHeight="1">
      <c r="A404" s="4022"/>
      <c r="B404" s="4001"/>
      <c r="C404" s="4204"/>
      <c r="D404" s="3975" t="s">
        <v>490</v>
      </c>
      <c r="E404" s="4024" t="s">
        <v>163</v>
      </c>
      <c r="F404" s="3976">
        <f>(62.9)*1.1</f>
        <v>69.19</v>
      </c>
      <c r="G404" s="4841"/>
      <c r="H404" s="3976">
        <f>G404*F404</f>
        <v>0</v>
      </c>
      <c r="I404" s="4185"/>
      <c r="J404" s="3585"/>
      <c r="K404" s="3133"/>
      <c r="L404" s="4235"/>
      <c r="M404" s="4236"/>
      <c r="N404" s="4203"/>
    </row>
    <row r="405" spans="1:19" s="4214" customFormat="1" ht="27" customHeight="1">
      <c r="A405" s="4022"/>
      <c r="B405" s="4001"/>
      <c r="C405" s="4058"/>
      <c r="D405" s="3975" t="s">
        <v>491</v>
      </c>
      <c r="E405" s="4024" t="s">
        <v>163</v>
      </c>
      <c r="F405" s="3976">
        <f xml:space="preserve"> (72.35)*1.1</f>
        <v>79.584999999999994</v>
      </c>
      <c r="G405" s="4841"/>
      <c r="H405" s="3976">
        <f>G405*F405</f>
        <v>0</v>
      </c>
      <c r="I405" s="4177"/>
      <c r="J405" s="3585"/>
      <c r="K405" s="3133"/>
      <c r="L405" s="4235"/>
      <c r="M405" s="4236"/>
      <c r="N405" s="4203"/>
      <c r="O405" s="4245"/>
      <c r="P405" s="4245"/>
      <c r="Q405" s="4245"/>
      <c r="R405" s="4245"/>
      <c r="S405" s="4246"/>
    </row>
    <row r="406" spans="1:19" s="4214" customFormat="1" ht="13.5" customHeight="1">
      <c r="A406" s="4016"/>
      <c r="B406" s="4001"/>
      <c r="C406" s="3927"/>
      <c r="D406" s="3975" t="s">
        <v>492</v>
      </c>
      <c r="E406" s="3927"/>
      <c r="F406" s="4017">
        <v>72.349999999999994</v>
      </c>
      <c r="G406" s="12"/>
      <c r="H406" s="3724"/>
      <c r="I406" s="4031"/>
      <c r="J406" s="4238"/>
      <c r="K406" s="4247"/>
      <c r="L406" s="4230"/>
      <c r="M406" s="804"/>
    </row>
    <row r="407" spans="1:19" s="4214" customFormat="1" ht="13.5" customHeight="1">
      <c r="A407" s="4016"/>
      <c r="B407" s="4001"/>
      <c r="C407" s="3927"/>
      <c r="D407" s="3975" t="s">
        <v>4095</v>
      </c>
      <c r="E407" s="3927"/>
      <c r="F407" s="3724"/>
      <c r="G407" s="12"/>
      <c r="H407" s="3724"/>
      <c r="I407" s="4177"/>
      <c r="J407" s="4248"/>
      <c r="K407" s="4249"/>
      <c r="L407" s="4249"/>
      <c r="M407" s="804"/>
      <c r="N407" s="4245"/>
      <c r="O407" s="4245"/>
      <c r="P407" s="4245"/>
      <c r="Q407" s="4245"/>
      <c r="R407" s="4245"/>
      <c r="S407" s="4246"/>
    </row>
    <row r="408" spans="1:19" s="4214" customFormat="1" ht="13.5" customHeight="1">
      <c r="A408" s="4057">
        <v>80</v>
      </c>
      <c r="B408" s="3927">
        <v>713</v>
      </c>
      <c r="C408" s="3927" t="s">
        <v>493</v>
      </c>
      <c r="D408" s="3927" t="s">
        <v>494</v>
      </c>
      <c r="E408" s="3927" t="s">
        <v>163</v>
      </c>
      <c r="F408" s="3724">
        <f>F414</f>
        <v>120</v>
      </c>
      <c r="G408" s="3724">
        <f>SUM(H411:H413)/F408</f>
        <v>0</v>
      </c>
      <c r="H408" s="3724">
        <f>F408*G408</f>
        <v>0</v>
      </c>
      <c r="I408" s="1368" t="s">
        <v>112</v>
      </c>
      <c r="J408" s="4242"/>
      <c r="K408" s="4243"/>
      <c r="L408" s="4243"/>
      <c r="M408" s="804"/>
      <c r="N408" s="4244"/>
    </row>
    <row r="409" spans="1:19" s="4032" customFormat="1" ht="13.5" customHeight="1">
      <c r="A409" s="4028"/>
      <c r="B409" s="3975"/>
      <c r="C409" s="4232"/>
      <c r="D409" s="3975" t="s">
        <v>488</v>
      </c>
      <c r="E409" s="3975"/>
      <c r="F409" s="3976"/>
      <c r="G409" s="14"/>
      <c r="H409" s="3976"/>
      <c r="I409" s="4031"/>
      <c r="J409" s="4021"/>
      <c r="K409" s="4231"/>
      <c r="L409" s="4230"/>
      <c r="M409" s="804"/>
      <c r="N409" s="4214"/>
      <c r="O409" s="4214"/>
      <c r="P409" s="4214"/>
    </row>
    <row r="410" spans="1:19" s="4032" customFormat="1" ht="13.5" customHeight="1">
      <c r="A410" s="4028"/>
      <c r="B410" s="3975"/>
      <c r="C410" s="4232"/>
      <c r="D410" s="3975" t="s">
        <v>395</v>
      </c>
      <c r="E410" s="3975"/>
      <c r="F410" s="3976"/>
      <c r="G410" s="14"/>
      <c r="H410" s="3976"/>
      <c r="I410" s="4031"/>
      <c r="J410" s="4021"/>
      <c r="K410" s="4231"/>
      <c r="L410" s="4230"/>
      <c r="M410" s="804"/>
      <c r="N410" s="4214"/>
      <c r="O410" s="4214"/>
      <c r="P410" s="4214"/>
    </row>
    <row r="411" spans="1:19" s="4214" customFormat="1" ht="27" customHeight="1">
      <c r="A411" s="4022"/>
      <c r="B411" s="4001"/>
      <c r="C411" s="4204"/>
      <c r="D411" s="3975" t="s">
        <v>495</v>
      </c>
      <c r="E411" s="4024" t="s">
        <v>163</v>
      </c>
      <c r="F411" s="3976">
        <f>(120)*1.15</f>
        <v>138</v>
      </c>
      <c r="G411" s="4841"/>
      <c r="H411" s="3976">
        <f>G411*F411</f>
        <v>0</v>
      </c>
      <c r="I411" s="4185"/>
      <c r="J411" s="3585"/>
      <c r="K411" s="3133"/>
      <c r="L411" s="4235"/>
      <c r="M411" s="4236"/>
      <c r="N411" s="4203"/>
    </row>
    <row r="412" spans="1:19" s="4214" customFormat="1" ht="13.5" customHeight="1">
      <c r="A412" s="4022"/>
      <c r="B412" s="4001"/>
      <c r="C412" s="4204"/>
      <c r="D412" s="3975" t="s">
        <v>496</v>
      </c>
      <c r="E412" s="4024" t="s">
        <v>163</v>
      </c>
      <c r="F412" s="3976">
        <f>(120)*1.1</f>
        <v>132</v>
      </c>
      <c r="G412" s="4841"/>
      <c r="H412" s="3976">
        <f>G412*F412</f>
        <v>0</v>
      </c>
      <c r="I412" s="4185"/>
      <c r="J412" s="3585"/>
      <c r="K412" s="3133"/>
      <c r="L412" s="4235"/>
      <c r="M412" s="4236"/>
      <c r="N412" s="4203"/>
    </row>
    <row r="413" spans="1:19" s="4214" customFormat="1" ht="27" customHeight="1">
      <c r="A413" s="4022"/>
      <c r="B413" s="4001"/>
      <c r="C413" s="4058"/>
      <c r="D413" s="3975" t="s">
        <v>497</v>
      </c>
      <c r="E413" s="4024" t="s">
        <v>163</v>
      </c>
      <c r="F413" s="3976">
        <f>(120)*1.1</f>
        <v>132</v>
      </c>
      <c r="G413" s="4841"/>
      <c r="H413" s="3976">
        <f>G413*F413</f>
        <v>0</v>
      </c>
      <c r="I413" s="4177"/>
      <c r="J413" s="3585"/>
      <c r="K413" s="3133"/>
      <c r="L413" s="4235"/>
      <c r="M413" s="4236"/>
      <c r="N413" s="4203"/>
      <c r="O413" s="4245"/>
      <c r="P413" s="4245"/>
      <c r="Q413" s="4245"/>
      <c r="R413" s="4245"/>
      <c r="S413" s="4246"/>
    </row>
    <row r="414" spans="1:19" s="4214" customFormat="1" ht="13.5" customHeight="1">
      <c r="A414" s="4016"/>
      <c r="B414" s="4001"/>
      <c r="C414" s="3927"/>
      <c r="D414" s="3975" t="s">
        <v>498</v>
      </c>
      <c r="E414" s="3927"/>
      <c r="F414" s="4017">
        <v>120</v>
      </c>
      <c r="G414" s="12"/>
      <c r="H414" s="3724"/>
      <c r="I414" s="4031"/>
      <c r="J414" s="4238"/>
      <c r="K414" s="4247"/>
      <c r="L414" s="4230"/>
      <c r="M414" s="804"/>
    </row>
    <row r="415" spans="1:19" s="4214" customFormat="1" ht="13.5" customHeight="1">
      <c r="A415" s="4016"/>
      <c r="B415" s="4001"/>
      <c r="C415" s="3927"/>
      <c r="D415" s="3975" t="s">
        <v>4095</v>
      </c>
      <c r="E415" s="3927"/>
      <c r="F415" s="3724"/>
      <c r="G415" s="12"/>
      <c r="H415" s="3724"/>
      <c r="I415" s="4177"/>
      <c r="J415" s="4248"/>
      <c r="K415" s="4249"/>
      <c r="L415" s="4249"/>
      <c r="M415" s="804"/>
      <c r="N415" s="4245"/>
      <c r="O415" s="4245"/>
      <c r="P415" s="4245"/>
      <c r="Q415" s="4245"/>
      <c r="R415" s="4245"/>
      <c r="S415" s="4246"/>
    </row>
    <row r="416" spans="1:19" s="4214" customFormat="1" ht="27" customHeight="1">
      <c r="A416" s="4057">
        <v>81</v>
      </c>
      <c r="B416" s="4001" t="s">
        <v>462</v>
      </c>
      <c r="C416" s="3927" t="s">
        <v>499</v>
      </c>
      <c r="D416" s="3927" t="s">
        <v>500</v>
      </c>
      <c r="E416" s="3927" t="s">
        <v>163</v>
      </c>
      <c r="F416" s="3724">
        <f>SUM(F423:F423)</f>
        <v>26.700000000000003</v>
      </c>
      <c r="G416" s="3724">
        <f>SUM(H419:H422)/F416</f>
        <v>0</v>
      </c>
      <c r="H416" s="3724">
        <f>F416*G416</f>
        <v>0</v>
      </c>
      <c r="I416" s="1368" t="s">
        <v>112</v>
      </c>
      <c r="J416" s="4021"/>
      <c r="K416" s="4229"/>
      <c r="L416" s="4230"/>
      <c r="M416" s="804"/>
    </row>
    <row r="417" spans="1:21" s="4032" customFormat="1" ht="13.5" customHeight="1">
      <c r="A417" s="4028"/>
      <c r="B417" s="3975"/>
      <c r="C417" s="3975"/>
      <c r="D417" s="3975" t="s">
        <v>465</v>
      </c>
      <c r="E417" s="3975"/>
      <c r="F417" s="3976"/>
      <c r="G417" s="14"/>
      <c r="H417" s="3976"/>
      <c r="I417" s="4031"/>
      <c r="J417" s="4021"/>
      <c r="K417" s="4231"/>
      <c r="L417" s="4230"/>
      <c r="M417" s="804"/>
      <c r="N417" s="4214"/>
      <c r="O417" s="4214"/>
      <c r="P417" s="4214"/>
    </row>
    <row r="418" spans="1:21" s="804" customFormat="1" ht="13.5" customHeight="1">
      <c r="A418" s="4172"/>
      <c r="B418" s="4001"/>
      <c r="C418" s="4232"/>
      <c r="D418" s="3975" t="s">
        <v>395</v>
      </c>
      <c r="E418" s="3927"/>
      <c r="F418" s="3976"/>
      <c r="G418" s="12"/>
      <c r="H418" s="3724"/>
      <c r="I418" s="1368"/>
      <c r="J418" s="4021"/>
      <c r="K418" s="4069"/>
      <c r="L418" s="4195"/>
      <c r="P418" s="4233"/>
    </row>
    <row r="419" spans="1:21" s="4214" customFormat="1" ht="40.5" customHeight="1">
      <c r="A419" s="4022"/>
      <c r="B419" s="4001"/>
      <c r="C419" s="4058"/>
      <c r="D419" s="3975" t="s">
        <v>501</v>
      </c>
      <c r="E419" s="4024" t="s">
        <v>163</v>
      </c>
      <c r="F419" s="3976">
        <f>(26.7)*1.1</f>
        <v>29.37</v>
      </c>
      <c r="G419" s="4840"/>
      <c r="H419" s="3976">
        <f>F419*G419</f>
        <v>0</v>
      </c>
      <c r="I419" s="4220"/>
      <c r="J419" s="3585"/>
      <c r="K419" s="3133"/>
      <c r="L419" s="3585"/>
      <c r="M419" s="4202"/>
      <c r="N419" s="4203"/>
    </row>
    <row r="420" spans="1:21" s="4214" customFormat="1" ht="40.5" customHeight="1">
      <c r="A420" s="4022"/>
      <c r="B420" s="4001"/>
      <c r="C420" s="4204"/>
      <c r="D420" s="3975" t="s">
        <v>502</v>
      </c>
      <c r="E420" s="4024" t="s">
        <v>163</v>
      </c>
      <c r="F420" s="3976">
        <f>(26.7)*1.1</f>
        <v>29.37</v>
      </c>
      <c r="G420" s="4840"/>
      <c r="H420" s="3976">
        <f>F420*G420</f>
        <v>0</v>
      </c>
      <c r="I420" s="4185"/>
      <c r="J420" s="3585"/>
      <c r="K420" s="3133"/>
      <c r="L420" s="4215"/>
      <c r="M420" s="4216"/>
      <c r="N420" s="4219"/>
      <c r="O420" s="4217"/>
      <c r="P420" s="4217"/>
      <c r="Q420" s="4217"/>
    </row>
    <row r="421" spans="1:21" s="4214" customFormat="1" ht="40.5" customHeight="1">
      <c r="A421" s="4022"/>
      <c r="B421" s="4001"/>
      <c r="C421" s="4204"/>
      <c r="D421" s="3975" t="s">
        <v>503</v>
      </c>
      <c r="E421" s="4024" t="s">
        <v>163</v>
      </c>
      <c r="F421" s="3976">
        <f>(26.7)*1.15</f>
        <v>30.704999999999998</v>
      </c>
      <c r="G421" s="4840"/>
      <c r="H421" s="3976">
        <f>F421*G421</f>
        <v>0</v>
      </c>
      <c r="I421" s="4185"/>
      <c r="J421" s="3585"/>
      <c r="K421" s="3133"/>
      <c r="L421" s="4218"/>
      <c r="M421" s="4216"/>
      <c r="N421" s="4203"/>
      <c r="O421" s="4217"/>
      <c r="P421" s="4217"/>
      <c r="Q421" s="4217"/>
    </row>
    <row r="422" spans="1:21" s="4214" customFormat="1" ht="27" customHeight="1">
      <c r="A422" s="4022"/>
      <c r="B422" s="4001"/>
      <c r="C422" s="4058"/>
      <c r="D422" s="3975" t="s">
        <v>504</v>
      </c>
      <c r="E422" s="4024" t="s">
        <v>163</v>
      </c>
      <c r="F422" s="3976">
        <f>(26.7)*1.1</f>
        <v>29.37</v>
      </c>
      <c r="G422" s="4841"/>
      <c r="H422" s="3976">
        <f>G422*F422</f>
        <v>0</v>
      </c>
      <c r="I422" s="4177"/>
      <c r="J422" s="3585"/>
      <c r="K422" s="3133"/>
      <c r="L422" s="4235"/>
      <c r="M422" s="4236"/>
      <c r="N422" s="4203"/>
      <c r="O422" s="4245"/>
      <c r="P422" s="4245"/>
      <c r="Q422" s="4245"/>
      <c r="R422" s="4245"/>
      <c r="S422" s="4246"/>
    </row>
    <row r="423" spans="1:21" s="4214" customFormat="1" ht="13.5" customHeight="1">
      <c r="A423" s="4016"/>
      <c r="B423" s="4001"/>
      <c r="C423" s="4208"/>
      <c r="D423" s="3975" t="s">
        <v>505</v>
      </c>
      <c r="E423" s="3927"/>
      <c r="F423" s="4189">
        <f>(8.9)*3</f>
        <v>26.700000000000003</v>
      </c>
      <c r="G423" s="12"/>
      <c r="H423" s="3724"/>
      <c r="I423" s="4031"/>
      <c r="J423" s="4238"/>
      <c r="K423" s="4230"/>
      <c r="L423" s="4230"/>
      <c r="M423" s="804"/>
    </row>
    <row r="424" spans="1:21" s="4214" customFormat="1" ht="54" customHeight="1">
      <c r="A424" s="4016"/>
      <c r="B424" s="4001"/>
      <c r="C424" s="3927"/>
      <c r="D424" s="4239" t="s">
        <v>4094</v>
      </c>
      <c r="E424" s="3927"/>
      <c r="F424" s="4181"/>
      <c r="G424" s="12"/>
      <c r="H424" s="3724"/>
      <c r="I424" s="4240"/>
      <c r="J424" s="4241"/>
      <c r="K424" s="4230"/>
      <c r="L424" s="4230"/>
      <c r="M424" s="804"/>
    </row>
    <row r="425" spans="1:21" s="4214" customFormat="1" ht="13.5" customHeight="1">
      <c r="A425" s="4016">
        <v>82</v>
      </c>
      <c r="B425" s="4001" t="s">
        <v>462</v>
      </c>
      <c r="C425" s="3927" t="s">
        <v>506</v>
      </c>
      <c r="D425" s="3927" t="s">
        <v>507</v>
      </c>
      <c r="E425" s="3927" t="s">
        <v>163</v>
      </c>
      <c r="F425" s="3724">
        <f>SUM(F431:F432)</f>
        <v>136.273</v>
      </c>
      <c r="G425" s="3724">
        <f>SUM(H428:H430)/F425</f>
        <v>0</v>
      </c>
      <c r="H425" s="3724">
        <f>F425*G425</f>
        <v>0</v>
      </c>
      <c r="I425" s="1368" t="s">
        <v>112</v>
      </c>
      <c r="J425" s="4021"/>
      <c r="K425" s="4229"/>
      <c r="L425" s="4230"/>
      <c r="M425" s="804"/>
    </row>
    <row r="426" spans="1:21" s="4032" customFormat="1" ht="13.5" customHeight="1">
      <c r="A426" s="4028"/>
      <c r="B426" s="3975"/>
      <c r="C426" s="3975"/>
      <c r="D426" s="3975" t="s">
        <v>465</v>
      </c>
      <c r="E426" s="3975"/>
      <c r="F426" s="3976"/>
      <c r="G426" s="14"/>
      <c r="H426" s="3976"/>
      <c r="I426" s="4031"/>
      <c r="J426" s="4021"/>
      <c r="K426" s="4231"/>
      <c r="L426" s="4230"/>
      <c r="M426" s="804"/>
      <c r="N426" s="4214"/>
      <c r="O426" s="4214"/>
      <c r="P426" s="4214"/>
    </row>
    <row r="427" spans="1:21" s="804" customFormat="1" ht="13.5" customHeight="1">
      <c r="A427" s="4172"/>
      <c r="B427" s="4001"/>
      <c r="C427" s="4232"/>
      <c r="D427" s="3975" t="s">
        <v>395</v>
      </c>
      <c r="E427" s="3927"/>
      <c r="F427" s="3976"/>
      <c r="G427" s="12"/>
      <c r="H427" s="3724"/>
      <c r="I427" s="1368"/>
      <c r="J427" s="4021"/>
      <c r="K427" s="4069"/>
      <c r="L427" s="4195"/>
      <c r="P427" s="4233"/>
    </row>
    <row r="428" spans="1:21" s="4214" customFormat="1" ht="27" customHeight="1">
      <c r="A428" s="4022"/>
      <c r="B428" s="4001"/>
      <c r="C428" s="4058"/>
      <c r="D428" s="3975" t="s">
        <v>508</v>
      </c>
      <c r="E428" s="4024" t="s">
        <v>163</v>
      </c>
      <c r="F428" s="3976">
        <f xml:space="preserve"> (136.27)*1.1</f>
        <v>149.89700000000002</v>
      </c>
      <c r="G428" s="4840"/>
      <c r="H428" s="3976">
        <f>F428*G428</f>
        <v>0</v>
      </c>
      <c r="I428" s="4220"/>
      <c r="J428" s="3585"/>
      <c r="K428" s="3133"/>
      <c r="L428" s="3585"/>
      <c r="M428" s="4202"/>
      <c r="N428" s="4203"/>
      <c r="O428" s="5190"/>
      <c r="P428" s="5190"/>
      <c r="Q428" s="5190"/>
      <c r="R428" s="5190"/>
      <c r="S428" s="5190"/>
    </row>
    <row r="429" spans="1:21" s="4214" customFormat="1" ht="40.5" customHeight="1">
      <c r="A429" s="4022"/>
      <c r="B429" s="4001"/>
      <c r="C429" s="4204"/>
      <c r="D429" s="3975" t="s">
        <v>509</v>
      </c>
      <c r="E429" s="4024" t="s">
        <v>163</v>
      </c>
      <c r="F429" s="3976">
        <f>(136.27)*1.1</f>
        <v>149.89700000000002</v>
      </c>
      <c r="G429" s="4840"/>
      <c r="H429" s="3976">
        <f>F429*G429</f>
        <v>0</v>
      </c>
      <c r="I429" s="4185"/>
      <c r="J429" s="3585"/>
      <c r="K429" s="3133"/>
      <c r="L429" s="4213"/>
      <c r="M429" s="4202"/>
      <c r="N429" s="4203"/>
      <c r="O429" s="5191"/>
      <c r="P429" s="5191"/>
      <c r="Q429" s="5191"/>
      <c r="R429" s="5191"/>
      <c r="S429" s="5191"/>
      <c r="T429" s="5191"/>
      <c r="U429" s="5191"/>
    </row>
    <row r="430" spans="1:21" s="4214" customFormat="1" ht="13.5" customHeight="1">
      <c r="A430" s="4022"/>
      <c r="B430" s="4001"/>
      <c r="C430" s="4204"/>
      <c r="D430" s="3975" t="s">
        <v>510</v>
      </c>
      <c r="E430" s="4024" t="s">
        <v>163</v>
      </c>
      <c r="F430" s="3976">
        <f>(136.27)*1.15</f>
        <v>156.7105</v>
      </c>
      <c r="G430" s="4840"/>
      <c r="H430" s="3976">
        <f>F430*G430</f>
        <v>0</v>
      </c>
      <c r="I430" s="4185"/>
      <c r="J430" s="3585"/>
      <c r="K430" s="3133"/>
      <c r="L430" s="4218"/>
      <c r="M430" s="4218"/>
      <c r="N430" s="4203"/>
      <c r="O430" s="4217"/>
      <c r="P430" s="4217"/>
      <c r="Q430" s="4217"/>
    </row>
    <row r="431" spans="1:21" s="4214" customFormat="1" ht="13.5" customHeight="1">
      <c r="A431" s="4016"/>
      <c r="B431" s="4001"/>
      <c r="C431" s="4208"/>
      <c r="D431" s="3975" t="s">
        <v>511</v>
      </c>
      <c r="E431" s="3927"/>
      <c r="F431" s="4189">
        <f>(63.1)*0.83</f>
        <v>52.372999999999998</v>
      </c>
      <c r="G431" s="12"/>
      <c r="H431" s="3724"/>
      <c r="I431" s="4031"/>
      <c r="J431" s="4238"/>
      <c r="K431" s="4230"/>
      <c r="L431" s="4230"/>
      <c r="M431" s="804"/>
    </row>
    <row r="432" spans="1:21" s="4214" customFormat="1" ht="13.5" customHeight="1">
      <c r="A432" s="4016"/>
      <c r="B432" s="4001"/>
      <c r="C432" s="4208"/>
      <c r="D432" s="3975" t="s">
        <v>512</v>
      </c>
      <c r="E432" s="3927"/>
      <c r="F432" s="4189">
        <v>83.9</v>
      </c>
      <c r="G432" s="12"/>
      <c r="H432" s="3724"/>
      <c r="I432" s="4031"/>
      <c r="J432" s="4021"/>
      <c r="K432" s="4230"/>
      <c r="L432" s="4230"/>
      <c r="M432" s="804"/>
    </row>
    <row r="433" spans="1:19" s="4214" customFormat="1" ht="27" customHeight="1">
      <c r="A433" s="4016"/>
      <c r="B433" s="4001"/>
      <c r="C433" s="3927"/>
      <c r="D433" s="4024" t="s">
        <v>513</v>
      </c>
      <c r="E433" s="3927"/>
      <c r="F433" s="4181"/>
      <c r="G433" s="12"/>
      <c r="H433" s="3724"/>
      <c r="I433" s="4240"/>
      <c r="J433" s="4241"/>
      <c r="K433" s="4230"/>
      <c r="L433" s="4230"/>
      <c r="M433" s="804"/>
    </row>
    <row r="434" spans="1:19" s="4214" customFormat="1" ht="27" customHeight="1">
      <c r="A434" s="4057">
        <v>83</v>
      </c>
      <c r="B434" s="4001" t="s">
        <v>462</v>
      </c>
      <c r="C434" s="3927" t="s">
        <v>499</v>
      </c>
      <c r="D434" s="3927" t="s">
        <v>514</v>
      </c>
      <c r="E434" s="3927" t="s">
        <v>163</v>
      </c>
      <c r="F434" s="3724">
        <f>SUM(F441:F441)</f>
        <v>17.700000000000003</v>
      </c>
      <c r="G434" s="3724">
        <f>SUM(H437:H440)/F434</f>
        <v>0</v>
      </c>
      <c r="H434" s="3724">
        <f>F434*G434</f>
        <v>0</v>
      </c>
      <c r="I434" s="1368" t="s">
        <v>112</v>
      </c>
      <c r="J434" s="4021"/>
      <c r="K434" s="4229"/>
      <c r="L434" s="4230"/>
      <c r="M434" s="804"/>
    </row>
    <row r="435" spans="1:19" s="4032" customFormat="1" ht="13.5" customHeight="1">
      <c r="A435" s="4028"/>
      <c r="B435" s="3975"/>
      <c r="C435" s="3975"/>
      <c r="D435" s="3975" t="s">
        <v>515</v>
      </c>
      <c r="E435" s="3975"/>
      <c r="F435" s="3976"/>
      <c r="G435" s="14"/>
      <c r="H435" s="3976"/>
      <c r="I435" s="4031"/>
      <c r="J435" s="4021"/>
      <c r="K435" s="4231"/>
      <c r="L435" s="4230"/>
      <c r="M435" s="804"/>
      <c r="N435" s="4214"/>
      <c r="O435" s="4214"/>
      <c r="P435" s="4214"/>
    </row>
    <row r="436" spans="1:19" s="804" customFormat="1" ht="13.5" customHeight="1">
      <c r="A436" s="4172"/>
      <c r="B436" s="4001"/>
      <c r="C436" s="4232"/>
      <c r="D436" s="3975" t="s">
        <v>395</v>
      </c>
      <c r="E436" s="3927"/>
      <c r="F436" s="3976"/>
      <c r="G436" s="12"/>
      <c r="H436" s="3724"/>
      <c r="I436" s="1368"/>
      <c r="J436" s="4021"/>
      <c r="K436" s="4069"/>
      <c r="L436" s="4195"/>
      <c r="P436" s="4233"/>
    </row>
    <row r="437" spans="1:19" s="4214" customFormat="1" ht="40.5" customHeight="1">
      <c r="A437" s="4022"/>
      <c r="B437" s="4001"/>
      <c r="C437" s="4058"/>
      <c r="D437" s="3975" t="s">
        <v>516</v>
      </c>
      <c r="E437" s="4024" t="s">
        <v>163</v>
      </c>
      <c r="F437" s="3976">
        <f>(17.7)*1.1</f>
        <v>19.470000000000002</v>
      </c>
      <c r="G437" s="4841"/>
      <c r="H437" s="3976">
        <f>G437*F437</f>
        <v>0</v>
      </c>
      <c r="I437" s="4177"/>
      <c r="J437" s="3585"/>
      <c r="K437" s="3133"/>
      <c r="L437" s="4235"/>
      <c r="M437" s="4236"/>
      <c r="N437" s="4203"/>
      <c r="O437" s="4245"/>
      <c r="P437" s="4245"/>
      <c r="Q437" s="4245"/>
      <c r="R437" s="4245"/>
      <c r="S437" s="4246"/>
    </row>
    <row r="438" spans="1:19" s="4214" customFormat="1" ht="40.5" customHeight="1">
      <c r="A438" s="4022"/>
      <c r="B438" s="4001"/>
      <c r="C438" s="4204"/>
      <c r="D438" s="3975" t="s">
        <v>517</v>
      </c>
      <c r="E438" s="4024" t="s">
        <v>163</v>
      </c>
      <c r="F438" s="3976">
        <f>(17.7)*1.15</f>
        <v>20.354999999999997</v>
      </c>
      <c r="G438" s="4840"/>
      <c r="H438" s="3976">
        <f>F438*G438</f>
        <v>0</v>
      </c>
      <c r="I438" s="4185"/>
      <c r="J438" s="3585"/>
      <c r="K438" s="3133"/>
      <c r="L438" s="4218"/>
      <c r="M438" s="4216"/>
      <c r="N438" s="4203"/>
      <c r="O438" s="4217"/>
      <c r="P438" s="4217"/>
      <c r="Q438" s="4217"/>
    </row>
    <row r="439" spans="1:19" s="4214" customFormat="1" ht="40.5" customHeight="1">
      <c r="A439" s="4022"/>
      <c r="B439" s="4001"/>
      <c r="C439" s="4204"/>
      <c r="D439" s="3975" t="s">
        <v>518</v>
      </c>
      <c r="E439" s="4024" t="s">
        <v>163</v>
      </c>
      <c r="F439" s="3976">
        <f>(17.7)*1.1</f>
        <v>19.470000000000002</v>
      </c>
      <c r="G439" s="4840"/>
      <c r="H439" s="3976">
        <f>F439*G439</f>
        <v>0</v>
      </c>
      <c r="I439" s="4185"/>
      <c r="J439" s="3585"/>
      <c r="K439" s="3133"/>
      <c r="L439" s="4215"/>
      <c r="M439" s="4216"/>
      <c r="N439" s="4219"/>
      <c r="O439" s="4217"/>
      <c r="P439" s="4217"/>
      <c r="Q439" s="4217"/>
    </row>
    <row r="440" spans="1:19" s="4214" customFormat="1" ht="40.5" customHeight="1">
      <c r="A440" s="4022"/>
      <c r="B440" s="4001"/>
      <c r="C440" s="4058"/>
      <c r="D440" s="3975" t="s">
        <v>519</v>
      </c>
      <c r="E440" s="4024" t="s">
        <v>163</v>
      </c>
      <c r="F440" s="3976">
        <f>(17.7)*1.1</f>
        <v>19.470000000000002</v>
      </c>
      <c r="G440" s="4840"/>
      <c r="H440" s="3976">
        <f>F440*G440</f>
        <v>0</v>
      </c>
      <c r="I440" s="4220"/>
      <c r="J440" s="3585"/>
      <c r="K440" s="3133"/>
      <c r="L440" s="3585"/>
      <c r="M440" s="4202"/>
      <c r="N440" s="4203"/>
    </row>
    <row r="441" spans="1:19" s="4214" customFormat="1" ht="13.5" customHeight="1">
      <c r="A441" s="4016"/>
      <c r="B441" s="4001"/>
      <c r="C441" s="4208"/>
      <c r="D441" s="3975" t="s">
        <v>520</v>
      </c>
      <c r="E441" s="3927"/>
      <c r="F441" s="4189">
        <f>(9.3+8.4)</f>
        <v>17.700000000000003</v>
      </c>
      <c r="G441" s="12"/>
      <c r="H441" s="3724"/>
      <c r="I441" s="4031"/>
      <c r="J441" s="4238"/>
      <c r="K441" s="4230"/>
      <c r="L441" s="4230"/>
      <c r="M441" s="804"/>
    </row>
    <row r="442" spans="1:19" s="4214" customFormat="1" ht="54" customHeight="1">
      <c r="A442" s="4016"/>
      <c r="B442" s="4001"/>
      <c r="C442" s="3927"/>
      <c r="D442" s="4239" t="s">
        <v>4094</v>
      </c>
      <c r="E442" s="3927"/>
      <c r="F442" s="4181"/>
      <c r="G442" s="12"/>
      <c r="H442" s="3724"/>
      <c r="I442" s="4240"/>
      <c r="J442" s="4241"/>
      <c r="K442" s="4230"/>
      <c r="L442" s="4230"/>
      <c r="M442" s="804"/>
    </row>
    <row r="443" spans="1:19" s="4214" customFormat="1" ht="27" customHeight="1">
      <c r="A443" s="4057">
        <v>84</v>
      </c>
      <c r="B443" s="4001" t="s">
        <v>462</v>
      </c>
      <c r="C443" s="3927" t="s">
        <v>499</v>
      </c>
      <c r="D443" s="3927" t="s">
        <v>514</v>
      </c>
      <c r="E443" s="3927" t="s">
        <v>163</v>
      </c>
      <c r="F443" s="3724">
        <f>SUM(F448:F448)</f>
        <v>168.12</v>
      </c>
      <c r="G443" s="3724">
        <f>SUM(H446:H447)/F443</f>
        <v>0</v>
      </c>
      <c r="H443" s="3724">
        <f>F443*G443</f>
        <v>0</v>
      </c>
      <c r="I443" s="1368" t="s">
        <v>112</v>
      </c>
      <c r="J443" s="4021"/>
      <c r="K443" s="4229"/>
      <c r="L443" s="4230"/>
      <c r="M443" s="804"/>
    </row>
    <row r="444" spans="1:19" s="4032" customFormat="1" ht="13.5" customHeight="1">
      <c r="A444" s="4028"/>
      <c r="B444" s="3975"/>
      <c r="C444" s="3975"/>
      <c r="D444" s="3975" t="s">
        <v>515</v>
      </c>
      <c r="E444" s="3975"/>
      <c r="F444" s="3976"/>
      <c r="G444" s="14"/>
      <c r="H444" s="3976"/>
      <c r="I444" s="4031"/>
      <c r="J444" s="4021"/>
      <c r="K444" s="4231"/>
      <c r="L444" s="4230"/>
      <c r="M444" s="804"/>
      <c r="N444" s="4214"/>
      <c r="O444" s="4214"/>
      <c r="P444" s="4214"/>
    </row>
    <row r="445" spans="1:19" s="804" customFormat="1" ht="13.5" customHeight="1">
      <c r="A445" s="4172"/>
      <c r="B445" s="4001"/>
      <c r="C445" s="4232"/>
      <c r="D445" s="3975" t="s">
        <v>395</v>
      </c>
      <c r="E445" s="3927"/>
      <c r="F445" s="3976"/>
      <c r="G445" s="12"/>
      <c r="H445" s="3724"/>
      <c r="I445" s="1368"/>
      <c r="J445" s="4021"/>
      <c r="K445" s="4069"/>
      <c r="L445" s="4195"/>
      <c r="P445" s="4233"/>
    </row>
    <row r="446" spans="1:19" s="4214" customFormat="1" ht="40.5" customHeight="1">
      <c r="A446" s="4022"/>
      <c r="B446" s="4001"/>
      <c r="C446" s="4058"/>
      <c r="D446" s="3975" t="s">
        <v>521</v>
      </c>
      <c r="E446" s="4024" t="s">
        <v>163</v>
      </c>
      <c r="F446" s="3976">
        <f>(168.12)*1.1</f>
        <v>184.93200000000002</v>
      </c>
      <c r="G446" s="4841"/>
      <c r="H446" s="3976">
        <f>G446*F446</f>
        <v>0</v>
      </c>
      <c r="I446" s="4177"/>
      <c r="J446" s="3585"/>
      <c r="K446" s="3133"/>
      <c r="L446" s="4235"/>
      <c r="M446" s="4236"/>
      <c r="N446" s="4203"/>
      <c r="O446" s="4245"/>
      <c r="P446" s="4245"/>
      <c r="Q446" s="4245"/>
      <c r="R446" s="4245"/>
      <c r="S446" s="4246"/>
    </row>
    <row r="447" spans="1:19" s="4214" customFormat="1" ht="13.5" customHeight="1">
      <c r="A447" s="4022"/>
      <c r="B447" s="4001"/>
      <c r="C447" s="4204"/>
      <c r="D447" s="3975" t="s">
        <v>522</v>
      </c>
      <c r="E447" s="4024" t="s">
        <v>163</v>
      </c>
      <c r="F447" s="3976">
        <f>(168.12)*1.1</f>
        <v>184.93200000000002</v>
      </c>
      <c r="G447" s="4840"/>
      <c r="H447" s="3976">
        <f>F447*G447</f>
        <v>0</v>
      </c>
      <c r="I447" s="4185"/>
      <c r="J447" s="3585"/>
      <c r="K447" s="3133"/>
      <c r="L447" s="4215"/>
      <c r="M447" s="4216"/>
      <c r="N447" s="4203"/>
      <c r="O447" s="4217"/>
      <c r="P447" s="4217"/>
      <c r="Q447" s="4217"/>
    </row>
    <row r="448" spans="1:19" s="4214" customFormat="1" ht="13.5" customHeight="1">
      <c r="A448" s="4016"/>
      <c r="B448" s="4001"/>
      <c r="C448" s="4208"/>
      <c r="D448" s="3975" t="s">
        <v>523</v>
      </c>
      <c r="E448" s="3927"/>
      <c r="F448" s="4189">
        <f>(16.7+7.98+11.82+2.17+3.93+15.55+20.91+89.06)</f>
        <v>168.12</v>
      </c>
      <c r="G448" s="12"/>
      <c r="H448" s="3724"/>
      <c r="I448" s="4031"/>
      <c r="J448" s="4238"/>
      <c r="K448" s="4230"/>
      <c r="L448" s="4230"/>
      <c r="M448" s="804"/>
    </row>
    <row r="449" spans="1:31" s="4214" customFormat="1" ht="54" customHeight="1">
      <c r="A449" s="4016"/>
      <c r="B449" s="4001"/>
      <c r="C449" s="3927"/>
      <c r="D449" s="4239" t="s">
        <v>4094</v>
      </c>
      <c r="E449" s="3927"/>
      <c r="F449" s="4181"/>
      <c r="G449" s="12"/>
      <c r="H449" s="3724"/>
      <c r="I449" s="4240"/>
      <c r="J449" s="4241"/>
      <c r="K449" s="4230"/>
      <c r="L449" s="4230"/>
      <c r="M449" s="804"/>
    </row>
    <row r="450" spans="1:31" s="888" customFormat="1" ht="13.5" customHeight="1">
      <c r="A450" s="3725">
        <v>85</v>
      </c>
      <c r="B450" s="3539" t="s">
        <v>462</v>
      </c>
      <c r="C450" s="3507">
        <v>998713202</v>
      </c>
      <c r="D450" s="3507" t="s">
        <v>524</v>
      </c>
      <c r="E450" s="3507" t="s">
        <v>10</v>
      </c>
      <c r="F450" s="3509">
        <v>1.39</v>
      </c>
      <c r="G450" s="5"/>
      <c r="H450" s="3509">
        <f>F450*G450</f>
        <v>0</v>
      </c>
      <c r="I450" s="3510" t="s">
        <v>137</v>
      </c>
      <c r="J450" s="4250"/>
    </row>
    <row r="451" spans="1:31" s="1204" customFormat="1" ht="13.5" customHeight="1">
      <c r="A451" s="3725">
        <v>86</v>
      </c>
      <c r="B451" s="3507" t="s">
        <v>362</v>
      </c>
      <c r="C451" s="3507" t="s">
        <v>387</v>
      </c>
      <c r="D451" s="3507" t="s">
        <v>388</v>
      </c>
      <c r="E451" s="3507" t="s">
        <v>69</v>
      </c>
      <c r="F451" s="3509">
        <f>F452</f>
        <v>30</v>
      </c>
      <c r="G451" s="5"/>
      <c r="H451" s="3509">
        <f>F451*G451</f>
        <v>0</v>
      </c>
      <c r="I451" s="3510" t="s">
        <v>137</v>
      </c>
      <c r="J451" s="4250"/>
    </row>
    <row r="452" spans="1:31" s="888" customFormat="1" ht="13.5" customHeight="1">
      <c r="A452" s="3782"/>
      <c r="B452" s="3594"/>
      <c r="C452" s="3594"/>
      <c r="D452" s="3514" t="s">
        <v>525</v>
      </c>
      <c r="E452" s="3594"/>
      <c r="F452" s="3546">
        <v>30</v>
      </c>
      <c r="G452" s="16"/>
      <c r="H452" s="3509"/>
      <c r="I452" s="3506"/>
    </row>
    <row r="453" spans="1:31" s="888" customFormat="1" ht="13.5" customHeight="1">
      <c r="A453" s="3782"/>
      <c r="B453" s="3594"/>
      <c r="C453" s="3594"/>
      <c r="D453" s="3514" t="s">
        <v>526</v>
      </c>
      <c r="E453" s="3594"/>
      <c r="F453" s="3546"/>
      <c r="G453" s="16"/>
      <c r="H453" s="3509"/>
      <c r="I453" s="3506"/>
    </row>
    <row r="454" spans="1:31" s="593" customFormat="1" ht="13.5" customHeight="1">
      <c r="A454" s="4251"/>
      <c r="B454" s="4252"/>
      <c r="C454" s="4253">
        <v>714</v>
      </c>
      <c r="D454" s="4253" t="s">
        <v>527</v>
      </c>
      <c r="E454" s="4253"/>
      <c r="F454" s="4254"/>
      <c r="G454" s="4842"/>
      <c r="H454" s="4254">
        <f>SUM(H455:H461)</f>
        <v>0</v>
      </c>
      <c r="I454" s="4255"/>
      <c r="J454" s="2635"/>
    </row>
    <row r="455" spans="1:31" s="593" customFormat="1" ht="13.5" customHeight="1">
      <c r="A455" s="4256">
        <v>87</v>
      </c>
      <c r="B455" s="4257">
        <v>714</v>
      </c>
      <c r="C455" s="4257" t="s">
        <v>528</v>
      </c>
      <c r="D455" s="4257" t="s">
        <v>529</v>
      </c>
      <c r="E455" s="4257" t="s">
        <v>163</v>
      </c>
      <c r="F455" s="2516">
        <f>SUM(F456:F456)</f>
        <v>17.4405</v>
      </c>
      <c r="G455" s="4843"/>
      <c r="H455" s="2516">
        <f>F455*G455</f>
        <v>0</v>
      </c>
      <c r="I455" s="1368" t="s">
        <v>112</v>
      </c>
      <c r="J455" s="4258"/>
      <c r="K455" s="4259"/>
      <c r="L455" s="4259"/>
    </row>
    <row r="456" spans="1:31" s="593" customFormat="1" ht="13.5" customHeight="1">
      <c r="A456" s="4260"/>
      <c r="B456" s="4261"/>
      <c r="C456" s="4261"/>
      <c r="D456" s="4262" t="s">
        <v>530</v>
      </c>
      <c r="E456" s="4261"/>
      <c r="F456" s="4263">
        <f>(15.855)*1.1</f>
        <v>17.4405</v>
      </c>
      <c r="G456" s="4844"/>
      <c r="H456" s="4264"/>
      <c r="I456" s="4265"/>
      <c r="J456" s="4040"/>
    </row>
    <row r="457" spans="1:31" s="593" customFormat="1" ht="27" customHeight="1">
      <c r="A457" s="4260"/>
      <c r="B457" s="4261"/>
      <c r="C457" s="4261"/>
      <c r="D457" s="4266" t="s">
        <v>531</v>
      </c>
      <c r="E457" s="4261"/>
      <c r="F457" s="4263"/>
      <c r="G457" s="4844"/>
      <c r="H457" s="4264"/>
      <c r="I457" s="4265"/>
      <c r="J457" s="3585"/>
      <c r="K457" s="3133"/>
      <c r="L457" s="3133"/>
      <c r="P457" s="4267"/>
    </row>
    <row r="458" spans="1:31" s="4269" customFormat="1" ht="13.5" customHeight="1">
      <c r="A458" s="4256">
        <v>88</v>
      </c>
      <c r="B458" s="4268" t="s">
        <v>532</v>
      </c>
      <c r="C458" s="4257">
        <v>998714202</v>
      </c>
      <c r="D458" s="4257" t="s">
        <v>533</v>
      </c>
      <c r="E458" s="4257" t="s">
        <v>10</v>
      </c>
      <c r="F458" s="2516">
        <v>0.59</v>
      </c>
      <c r="G458" s="4843"/>
      <c r="H458" s="2516">
        <f>F458*G458</f>
        <v>0</v>
      </c>
      <c r="I458" s="3510" t="s">
        <v>137</v>
      </c>
      <c r="J458" s="4250"/>
      <c r="K458" s="888"/>
      <c r="L458" s="888"/>
      <c r="M458" s="888"/>
      <c r="N458" s="888"/>
      <c r="O458" s="888"/>
      <c r="P458" s="888"/>
      <c r="Q458" s="888"/>
      <c r="R458" s="888"/>
      <c r="S458" s="888"/>
      <c r="T458" s="888"/>
      <c r="U458" s="888"/>
      <c r="V458" s="888"/>
      <c r="W458" s="888"/>
      <c r="X458" s="888"/>
      <c r="Y458" s="888"/>
      <c r="Z458" s="888"/>
      <c r="AA458" s="888"/>
      <c r="AB458" s="888"/>
      <c r="AC458" s="888"/>
      <c r="AD458" s="888"/>
      <c r="AE458" s="888"/>
    </row>
    <row r="459" spans="1:31" s="593" customFormat="1" ht="13.5" customHeight="1">
      <c r="A459" s="4256">
        <v>89</v>
      </c>
      <c r="B459" s="4257" t="s">
        <v>362</v>
      </c>
      <c r="C459" s="4257" t="s">
        <v>534</v>
      </c>
      <c r="D459" s="4257" t="s">
        <v>535</v>
      </c>
      <c r="E459" s="4257" t="s">
        <v>69</v>
      </c>
      <c r="F459" s="2516">
        <f>F460</f>
        <v>15</v>
      </c>
      <c r="G459" s="4843"/>
      <c r="H459" s="2516">
        <f>F459*G459</f>
        <v>0</v>
      </c>
      <c r="I459" s="3510" t="s">
        <v>137</v>
      </c>
      <c r="J459" s="2635"/>
    </row>
    <row r="460" spans="1:31" s="593" customFormat="1" ht="13.5" customHeight="1">
      <c r="A460" s="4260"/>
      <c r="B460" s="4261"/>
      <c r="C460" s="4261"/>
      <c r="D460" s="4262" t="s">
        <v>536</v>
      </c>
      <c r="E460" s="4261"/>
      <c r="F460" s="4263">
        <v>15</v>
      </c>
      <c r="G460" s="4844"/>
      <c r="H460" s="4264"/>
      <c r="I460" s="4265"/>
      <c r="J460" s="2635"/>
      <c r="K460" s="4259"/>
      <c r="L460" s="4259"/>
      <c r="M460" s="4259"/>
      <c r="N460" s="4259"/>
      <c r="O460" s="4259"/>
      <c r="P460" s="4259"/>
      <c r="Q460" s="4259"/>
      <c r="R460" s="4259"/>
    </row>
    <row r="461" spans="1:31" s="593" customFormat="1" ht="13.5" customHeight="1">
      <c r="A461" s="4251"/>
      <c r="B461" s="4252"/>
      <c r="C461" s="4252"/>
      <c r="D461" s="4262" t="s">
        <v>526</v>
      </c>
      <c r="E461" s="4270"/>
      <c r="F461" s="4271"/>
      <c r="G461" s="4845"/>
      <c r="H461" s="2516"/>
      <c r="I461" s="4255"/>
      <c r="J461" s="2635"/>
    </row>
    <row r="462" spans="1:31" s="804" customFormat="1" ht="13.5" customHeight="1">
      <c r="A462" s="3994"/>
      <c r="B462" s="3995"/>
      <c r="C462" s="3996">
        <v>763</v>
      </c>
      <c r="D462" s="3996" t="s">
        <v>537</v>
      </c>
      <c r="E462" s="3996"/>
      <c r="F462" s="3997"/>
      <c r="G462" s="11"/>
      <c r="H462" s="3997">
        <f>SUM(H463:H611)</f>
        <v>0</v>
      </c>
      <c r="I462" s="4005"/>
      <c r="J462" s="4272"/>
    </row>
    <row r="463" spans="1:31" s="804" customFormat="1" ht="27" customHeight="1">
      <c r="A463" s="3974">
        <v>90</v>
      </c>
      <c r="B463" s="3927" t="s">
        <v>538</v>
      </c>
      <c r="C463" s="3927">
        <v>763111477</v>
      </c>
      <c r="D463" s="3927" t="s">
        <v>539</v>
      </c>
      <c r="E463" s="3927" t="s">
        <v>163</v>
      </c>
      <c r="F463" s="3724">
        <f>SUM(F467:F468)</f>
        <v>375.35820000000001</v>
      </c>
      <c r="G463" s="12"/>
      <c r="H463" s="3724">
        <f>F463*G463</f>
        <v>0</v>
      </c>
      <c r="I463" s="1368" t="s">
        <v>137</v>
      </c>
      <c r="K463" s="4273"/>
      <c r="L463" s="4273"/>
    </row>
    <row r="464" spans="1:31" s="3834" customFormat="1" ht="13.5" customHeight="1">
      <c r="A464" s="4016"/>
      <c r="B464" s="4179"/>
      <c r="C464" s="4274"/>
      <c r="D464" s="3975" t="s">
        <v>540</v>
      </c>
      <c r="E464" s="4180"/>
      <c r="F464" s="3976"/>
      <c r="G464" s="20"/>
      <c r="H464" s="3724"/>
      <c r="I464" s="4177"/>
      <c r="J464" s="4197"/>
      <c r="M464" s="804"/>
    </row>
    <row r="465" spans="1:13" s="3834" customFormat="1" ht="13.5" customHeight="1">
      <c r="A465" s="4016"/>
      <c r="B465" s="4179"/>
      <c r="C465" s="4275"/>
      <c r="D465" s="3975" t="s">
        <v>541</v>
      </c>
      <c r="E465" s="4180"/>
      <c r="F465" s="3976"/>
      <c r="G465" s="20"/>
      <c r="H465" s="3724"/>
      <c r="I465" s="4177"/>
      <c r="J465" s="4197"/>
      <c r="M465" s="804"/>
    </row>
    <row r="466" spans="1:13" s="3834" customFormat="1" ht="13.5" customHeight="1">
      <c r="A466" s="4016"/>
      <c r="B466" s="4179"/>
      <c r="C466" s="4276"/>
      <c r="D466" s="3975" t="s">
        <v>542</v>
      </c>
      <c r="E466" s="4180"/>
      <c r="F466" s="3976"/>
      <c r="G466" s="20"/>
      <c r="H466" s="3724"/>
      <c r="I466" s="4177"/>
      <c r="J466" s="4197"/>
      <c r="M466" s="804"/>
    </row>
    <row r="467" spans="1:13" s="3834" customFormat="1" ht="13.5" customHeight="1">
      <c r="A467" s="4016"/>
      <c r="B467" s="4001"/>
      <c r="C467" s="3927"/>
      <c r="D467" s="3975" t="s">
        <v>543</v>
      </c>
      <c r="E467" s="3927"/>
      <c r="F467" s="3976">
        <f>(292.43)*1.05</f>
        <v>307.05150000000003</v>
      </c>
      <c r="G467" s="12"/>
      <c r="H467" s="3724"/>
      <c r="I467" s="1368"/>
      <c r="J467" s="4197"/>
      <c r="M467" s="804"/>
    </row>
    <row r="468" spans="1:13" s="3834" customFormat="1" ht="13.5" customHeight="1">
      <c r="A468" s="4016"/>
      <c r="B468" s="4001"/>
      <c r="C468" s="3927"/>
      <c r="D468" s="3975" t="s">
        <v>544</v>
      </c>
      <c r="E468" s="3927"/>
      <c r="F468" s="3976">
        <f>(65.054)*1.05</f>
        <v>68.306700000000006</v>
      </c>
      <c r="G468" s="12"/>
      <c r="H468" s="3724"/>
      <c r="I468" s="1368"/>
      <c r="J468" s="4197"/>
      <c r="M468" s="804"/>
    </row>
    <row r="469" spans="1:13" s="3834" customFormat="1" ht="40.5" customHeight="1">
      <c r="A469" s="4016"/>
      <c r="B469" s="4001"/>
      <c r="C469" s="4277"/>
      <c r="D469" s="3975" t="s">
        <v>545</v>
      </c>
      <c r="E469" s="3927"/>
      <c r="F469" s="4181"/>
      <c r="G469" s="12"/>
      <c r="H469" s="3724"/>
      <c r="I469" s="4177"/>
      <c r="J469" s="4197"/>
      <c r="M469" s="804"/>
    </row>
    <row r="470" spans="1:13" s="3834" customFormat="1" ht="27" customHeight="1">
      <c r="A470" s="4016"/>
      <c r="B470" s="4001"/>
      <c r="C470" s="4277"/>
      <c r="D470" s="3975" t="s">
        <v>546</v>
      </c>
      <c r="E470" s="3927"/>
      <c r="F470" s="4181"/>
      <c r="G470" s="12"/>
      <c r="H470" s="3724"/>
      <c r="I470" s="4177"/>
      <c r="J470" s="4197"/>
      <c r="M470" s="804"/>
    </row>
    <row r="471" spans="1:13" s="3834" customFormat="1" ht="13.5" customHeight="1">
      <c r="A471" s="4016"/>
      <c r="B471" s="4001"/>
      <c r="C471" s="3927"/>
      <c r="D471" s="3975" t="s">
        <v>547</v>
      </c>
      <c r="E471" s="3927"/>
      <c r="F471" s="3976"/>
      <c r="G471" s="12"/>
      <c r="H471" s="3724"/>
      <c r="I471" s="1368"/>
      <c r="J471" s="4197"/>
      <c r="M471" s="804"/>
    </row>
    <row r="472" spans="1:13" s="804" customFormat="1" ht="27" customHeight="1">
      <c r="A472" s="3974">
        <v>91</v>
      </c>
      <c r="B472" s="3927" t="s">
        <v>538</v>
      </c>
      <c r="C472" s="3927">
        <v>763111481</v>
      </c>
      <c r="D472" s="3927" t="s">
        <v>548</v>
      </c>
      <c r="E472" s="3927" t="s">
        <v>163</v>
      </c>
      <c r="F472" s="3724">
        <f>SUM(F476:F477)</f>
        <v>104.04135000000002</v>
      </c>
      <c r="G472" s="12"/>
      <c r="H472" s="3724">
        <f>F472*G472</f>
        <v>0</v>
      </c>
      <c r="I472" s="1368" t="s">
        <v>137</v>
      </c>
      <c r="K472" s="4273"/>
      <c r="L472" s="4273"/>
    </row>
    <row r="473" spans="1:13" s="3834" customFormat="1" ht="13.5" customHeight="1">
      <c r="A473" s="4016"/>
      <c r="B473" s="4179"/>
      <c r="C473" s="4274"/>
      <c r="D473" s="3975" t="s">
        <v>540</v>
      </c>
      <c r="E473" s="4180"/>
      <c r="F473" s="3976"/>
      <c r="G473" s="20"/>
      <c r="H473" s="3724"/>
      <c r="I473" s="4177"/>
      <c r="J473" s="4197"/>
      <c r="M473" s="804"/>
    </row>
    <row r="474" spans="1:13" s="3834" customFormat="1" ht="13.5" customHeight="1">
      <c r="A474" s="4016"/>
      <c r="B474" s="4179"/>
      <c r="C474" s="4275"/>
      <c r="D474" s="3975" t="s">
        <v>541</v>
      </c>
      <c r="E474" s="4180"/>
      <c r="F474" s="3976"/>
      <c r="G474" s="20"/>
      <c r="H474" s="3724"/>
      <c r="I474" s="4177"/>
      <c r="J474" s="4197"/>
      <c r="M474" s="804"/>
    </row>
    <row r="475" spans="1:13" s="3834" customFormat="1" ht="13.5" customHeight="1">
      <c r="A475" s="4016"/>
      <c r="B475" s="4179"/>
      <c r="C475" s="4180"/>
      <c r="D475" s="3975" t="s">
        <v>542</v>
      </c>
      <c r="E475" s="4180"/>
      <c r="F475" s="3976"/>
      <c r="G475" s="20"/>
      <c r="H475" s="3724"/>
      <c r="I475" s="4177"/>
      <c r="J475" s="4197"/>
      <c r="M475" s="804"/>
    </row>
    <row r="476" spans="1:13" s="3834" customFormat="1" ht="13.5" customHeight="1">
      <c r="A476" s="4016"/>
      <c r="B476" s="4001"/>
      <c r="C476" s="4276"/>
      <c r="D476" s="3975" t="s">
        <v>549</v>
      </c>
      <c r="E476" s="3927"/>
      <c r="F476" s="3976">
        <f xml:space="preserve"> (31)*1.05</f>
        <v>32.550000000000004</v>
      </c>
      <c r="G476" s="12"/>
      <c r="H476" s="3724"/>
      <c r="I476" s="1368"/>
      <c r="J476" s="4197"/>
      <c r="M476" s="804"/>
    </row>
    <row r="477" spans="1:13" s="3834" customFormat="1" ht="13.5" customHeight="1">
      <c r="A477" s="4016"/>
      <c r="B477" s="4001"/>
      <c r="C477" s="3927"/>
      <c r="D477" s="3975" t="s">
        <v>550</v>
      </c>
      <c r="E477" s="3927"/>
      <c r="F477" s="3976">
        <f xml:space="preserve"> (68.087)*1.05</f>
        <v>71.491350000000011</v>
      </c>
      <c r="G477" s="12"/>
      <c r="H477" s="3724"/>
      <c r="I477" s="1368"/>
      <c r="J477" s="4197"/>
      <c r="M477" s="804"/>
    </row>
    <row r="478" spans="1:13" s="3834" customFormat="1" ht="40.5" customHeight="1">
      <c r="A478" s="4016"/>
      <c r="B478" s="4001"/>
      <c r="C478" s="4277"/>
      <c r="D478" s="3975" t="s">
        <v>545</v>
      </c>
      <c r="E478" s="3927"/>
      <c r="F478" s="4181"/>
      <c r="G478" s="12"/>
      <c r="H478" s="3724"/>
      <c r="I478" s="4177"/>
      <c r="J478" s="4197"/>
      <c r="M478" s="804"/>
    </row>
    <row r="479" spans="1:13" s="3834" customFormat="1" ht="27" customHeight="1">
      <c r="A479" s="4016"/>
      <c r="B479" s="4001"/>
      <c r="C479" s="4277"/>
      <c r="D479" s="3975" t="s">
        <v>546</v>
      </c>
      <c r="E479" s="3927"/>
      <c r="F479" s="4181"/>
      <c r="G479" s="12"/>
      <c r="H479" s="3724"/>
      <c r="I479" s="4177"/>
      <c r="J479" s="4197"/>
      <c r="M479" s="804"/>
    </row>
    <row r="480" spans="1:13" s="3834" customFormat="1" ht="13.5" customHeight="1">
      <c r="A480" s="4016"/>
      <c r="B480" s="4001"/>
      <c r="C480" s="3927"/>
      <c r="D480" s="3975" t="s">
        <v>547</v>
      </c>
      <c r="E480" s="3927"/>
      <c r="F480" s="3976"/>
      <c r="G480" s="12"/>
      <c r="H480" s="3724"/>
      <c r="I480" s="1368"/>
      <c r="J480" s="4197"/>
      <c r="M480" s="804"/>
    </row>
    <row r="481" spans="1:13" s="804" customFormat="1" ht="27" customHeight="1">
      <c r="A481" s="3974">
        <v>92</v>
      </c>
      <c r="B481" s="3927" t="s">
        <v>538</v>
      </c>
      <c r="C481" s="3927" t="s">
        <v>551</v>
      </c>
      <c r="D481" s="3927" t="s">
        <v>548</v>
      </c>
      <c r="E481" s="3927" t="s">
        <v>163</v>
      </c>
      <c r="F481" s="3724">
        <f>SUM(F485:F485)</f>
        <v>6.4260000000000002</v>
      </c>
      <c r="G481" s="12"/>
      <c r="H481" s="3724">
        <f>F481*G481</f>
        <v>0</v>
      </c>
      <c r="I481" s="1368" t="s">
        <v>111</v>
      </c>
      <c r="K481" s="4273"/>
      <c r="L481" s="4273"/>
    </row>
    <row r="482" spans="1:13" s="3834" customFormat="1" ht="13.5" customHeight="1">
      <c r="A482" s="4016"/>
      <c r="B482" s="4179"/>
      <c r="C482" s="4274"/>
      <c r="D482" s="3975" t="s">
        <v>540</v>
      </c>
      <c r="E482" s="4180"/>
      <c r="F482" s="3976"/>
      <c r="G482" s="20"/>
      <c r="H482" s="3724"/>
      <c r="I482" s="4177"/>
      <c r="J482" s="4197"/>
      <c r="M482" s="804"/>
    </row>
    <row r="483" spans="1:13" s="3834" customFormat="1" ht="13.5" customHeight="1">
      <c r="A483" s="4016"/>
      <c r="B483" s="4179"/>
      <c r="C483" s="4275"/>
      <c r="D483" s="3975" t="s">
        <v>541</v>
      </c>
      <c r="E483" s="4180"/>
      <c r="F483" s="3976"/>
      <c r="G483" s="20"/>
      <c r="H483" s="3724"/>
      <c r="I483" s="4177"/>
      <c r="J483" s="4197"/>
      <c r="M483" s="804"/>
    </row>
    <row r="484" spans="1:13" s="3834" customFormat="1" ht="13.5" customHeight="1">
      <c r="A484" s="4016"/>
      <c r="B484" s="4179"/>
      <c r="C484" s="4276"/>
      <c r="D484" s="3975" t="s">
        <v>542</v>
      </c>
      <c r="E484" s="4180"/>
      <c r="F484" s="3976"/>
      <c r="G484" s="20"/>
      <c r="H484" s="3724"/>
      <c r="I484" s="4177"/>
      <c r="J484" s="4197"/>
      <c r="M484" s="804"/>
    </row>
    <row r="485" spans="1:13" s="3834" customFormat="1" ht="13.5" customHeight="1">
      <c r="A485" s="4016"/>
      <c r="B485" s="4001"/>
      <c r="C485" s="3927"/>
      <c r="D485" s="3975" t="s">
        <v>552</v>
      </c>
      <c r="E485" s="3927"/>
      <c r="F485" s="3976">
        <f xml:space="preserve"> (6.12)*1.05</f>
        <v>6.4260000000000002</v>
      </c>
      <c r="G485" s="12"/>
      <c r="H485" s="3724"/>
      <c r="I485" s="1368"/>
      <c r="J485" s="4197"/>
      <c r="M485" s="804"/>
    </row>
    <row r="486" spans="1:13" s="3834" customFormat="1" ht="40.5" customHeight="1">
      <c r="A486" s="4016"/>
      <c r="B486" s="4001"/>
      <c r="C486" s="4277"/>
      <c r="D486" s="3975" t="s">
        <v>545</v>
      </c>
      <c r="E486" s="3927"/>
      <c r="F486" s="4181"/>
      <c r="G486" s="12"/>
      <c r="H486" s="3724"/>
      <c r="I486" s="4177"/>
      <c r="J486" s="4197"/>
      <c r="M486" s="804"/>
    </row>
    <row r="487" spans="1:13" s="3834" customFormat="1" ht="27" customHeight="1">
      <c r="A487" s="4016"/>
      <c r="B487" s="4001"/>
      <c r="C487" s="4277"/>
      <c r="D487" s="3975" t="s">
        <v>546</v>
      </c>
      <c r="E487" s="3927"/>
      <c r="F487" s="4181"/>
      <c r="G487" s="12"/>
      <c r="H487" s="3724"/>
      <c r="I487" s="4177"/>
      <c r="J487" s="4197"/>
      <c r="M487" s="804"/>
    </row>
    <row r="488" spans="1:13" s="3834" customFormat="1" ht="13.5" customHeight="1">
      <c r="A488" s="4016"/>
      <c r="B488" s="4001"/>
      <c r="C488" s="3927"/>
      <c r="D488" s="3975" t="s">
        <v>547</v>
      </c>
      <c r="E488" s="3927"/>
      <c r="F488" s="3976"/>
      <c r="G488" s="12"/>
      <c r="H488" s="3724"/>
      <c r="I488" s="1368"/>
      <c r="J488" s="4197"/>
      <c r="M488" s="804"/>
    </row>
    <row r="489" spans="1:13" s="4186" customFormat="1" ht="28.5" customHeight="1">
      <c r="A489" s="4016">
        <v>93</v>
      </c>
      <c r="B489" s="4278" t="s">
        <v>538</v>
      </c>
      <c r="C489" s="4279" t="s">
        <v>553</v>
      </c>
      <c r="D489" s="3927" t="s">
        <v>554</v>
      </c>
      <c r="E489" s="4280" t="s">
        <v>163</v>
      </c>
      <c r="F489" s="4281">
        <f>SUM(F494:F499)</f>
        <v>48.250650000000007</v>
      </c>
      <c r="G489" s="21"/>
      <c r="H489" s="3724">
        <f>F489*G489</f>
        <v>0</v>
      </c>
      <c r="I489" s="1368" t="s">
        <v>111</v>
      </c>
      <c r="J489" s="4282"/>
      <c r="M489" s="804"/>
    </row>
    <row r="490" spans="1:13" s="3834" customFormat="1" ht="13.5" customHeight="1">
      <c r="A490" s="4016"/>
      <c r="B490" s="4179"/>
      <c r="C490" s="4274"/>
      <c r="D490" s="3975" t="s">
        <v>555</v>
      </c>
      <c r="E490" s="4180"/>
      <c r="F490" s="3976"/>
      <c r="G490" s="20"/>
      <c r="H490" s="3724"/>
      <c r="I490" s="4177"/>
      <c r="J490" s="4283"/>
      <c r="M490" s="804"/>
    </row>
    <row r="491" spans="1:13" s="3834" customFormat="1" ht="13.5" customHeight="1">
      <c r="A491" s="4016"/>
      <c r="B491" s="4179"/>
      <c r="C491" s="4274"/>
      <c r="D491" s="3975" t="s">
        <v>541</v>
      </c>
      <c r="E491" s="4180"/>
      <c r="F491" s="3976"/>
      <c r="G491" s="20"/>
      <c r="H491" s="3724"/>
      <c r="I491" s="4177"/>
      <c r="J491" s="4283"/>
      <c r="M491" s="804"/>
    </row>
    <row r="492" spans="1:13" s="3834" customFormat="1" ht="13.5" customHeight="1">
      <c r="A492" s="4016"/>
      <c r="B492" s="4179"/>
      <c r="C492" s="4276"/>
      <c r="D492" s="3975" t="s">
        <v>542</v>
      </c>
      <c r="E492" s="4180"/>
      <c r="F492" s="3976"/>
      <c r="G492" s="20"/>
      <c r="H492" s="3724"/>
      <c r="I492" s="4177"/>
      <c r="J492" s="4197"/>
      <c r="M492" s="804"/>
    </row>
    <row r="493" spans="1:13" s="3834" customFormat="1" ht="13.5" customHeight="1">
      <c r="A493" s="4016"/>
      <c r="B493" s="4001"/>
      <c r="C493" s="3927"/>
      <c r="D493" s="3975" t="s">
        <v>556</v>
      </c>
      <c r="E493" s="3927"/>
      <c r="F493" s="3976"/>
      <c r="G493" s="12"/>
      <c r="H493" s="3724"/>
      <c r="I493" s="1368"/>
      <c r="J493" s="4197"/>
      <c r="M493" s="804"/>
    </row>
    <row r="494" spans="1:13" s="3834" customFormat="1" ht="13.5" customHeight="1">
      <c r="A494" s="4016"/>
      <c r="B494" s="4001"/>
      <c r="C494" s="3927"/>
      <c r="D494" s="3975" t="s">
        <v>557</v>
      </c>
      <c r="E494" s="3927"/>
      <c r="F494" s="3976">
        <f>(14.025)*1.05</f>
        <v>14.72625</v>
      </c>
      <c r="G494" s="12"/>
      <c r="H494" s="3724"/>
      <c r="I494" s="1368"/>
      <c r="J494" s="4197"/>
      <c r="M494" s="804"/>
    </row>
    <row r="495" spans="1:13" s="3834" customFormat="1" ht="13.5" customHeight="1">
      <c r="A495" s="4016"/>
      <c r="B495" s="4001"/>
      <c r="C495" s="3927"/>
      <c r="D495" s="3975" t="s">
        <v>558</v>
      </c>
      <c r="E495" s="3927"/>
      <c r="F495" s="3976">
        <f>(21.038)*1.05</f>
        <v>22.0899</v>
      </c>
      <c r="G495" s="12"/>
      <c r="H495" s="3724"/>
      <c r="I495" s="1368"/>
      <c r="J495" s="4197"/>
      <c r="M495" s="804"/>
    </row>
    <row r="496" spans="1:13" s="3834" customFormat="1" ht="13.5" customHeight="1">
      <c r="A496" s="4016"/>
      <c r="B496" s="4001"/>
      <c r="C496" s="3927"/>
      <c r="D496" s="3975" t="s">
        <v>559</v>
      </c>
      <c r="E496" s="3927"/>
      <c r="F496" s="3976"/>
      <c r="G496" s="12"/>
      <c r="H496" s="3724"/>
      <c r="I496" s="1368"/>
      <c r="J496" s="4197"/>
      <c r="M496" s="804"/>
    </row>
    <row r="497" spans="1:13" s="3834" customFormat="1" ht="13.5" customHeight="1">
      <c r="A497" s="4016"/>
      <c r="B497" s="4001"/>
      <c r="C497" s="3927"/>
      <c r="D497" s="3975" t="s">
        <v>560</v>
      </c>
      <c r="E497" s="3927"/>
      <c r="F497" s="3976">
        <f>(5.28)*1.05</f>
        <v>5.5440000000000005</v>
      </c>
      <c r="G497" s="12"/>
      <c r="H497" s="3724"/>
      <c r="I497" s="1368"/>
      <c r="J497" s="4197"/>
      <c r="M497" s="804"/>
    </row>
    <row r="498" spans="1:13" s="3834" customFormat="1" ht="13.5" customHeight="1">
      <c r="A498" s="4016"/>
      <c r="B498" s="4001"/>
      <c r="C498" s="3927"/>
      <c r="D498" s="3975" t="s">
        <v>561</v>
      </c>
      <c r="E498" s="3927"/>
      <c r="F498" s="3976"/>
      <c r="G498" s="12"/>
      <c r="H498" s="3724"/>
      <c r="I498" s="1368"/>
      <c r="J498" s="4197"/>
      <c r="M498" s="804"/>
    </row>
    <row r="499" spans="1:13" s="3834" customFormat="1" ht="13.5" customHeight="1">
      <c r="A499" s="4016"/>
      <c r="B499" s="4001"/>
      <c r="C499" s="3927"/>
      <c r="D499" s="3975" t="s">
        <v>562</v>
      </c>
      <c r="E499" s="3927"/>
      <c r="F499" s="3976">
        <f>(5.61)*1.05</f>
        <v>5.8905000000000003</v>
      </c>
      <c r="G499" s="12"/>
      <c r="H499" s="3724"/>
      <c r="I499" s="1368"/>
      <c r="J499" s="4197"/>
      <c r="M499" s="804"/>
    </row>
    <row r="500" spans="1:13" s="3834" customFormat="1" ht="40.5" customHeight="1">
      <c r="A500" s="4016"/>
      <c r="B500" s="4001"/>
      <c r="C500" s="4277"/>
      <c r="D500" s="3975" t="s">
        <v>545</v>
      </c>
      <c r="E500" s="3927"/>
      <c r="F500" s="4181"/>
      <c r="G500" s="12"/>
      <c r="H500" s="3724"/>
      <c r="I500" s="4177"/>
      <c r="J500" s="4197"/>
      <c r="M500" s="804"/>
    </row>
    <row r="501" spans="1:13" s="3834" customFormat="1" ht="27" customHeight="1">
      <c r="A501" s="4016"/>
      <c r="B501" s="4001"/>
      <c r="C501" s="4277"/>
      <c r="D501" s="3975" t="s">
        <v>546</v>
      </c>
      <c r="E501" s="3927"/>
      <c r="F501" s="4181"/>
      <c r="G501" s="12"/>
      <c r="H501" s="3724"/>
      <c r="I501" s="4177"/>
      <c r="J501" s="4197"/>
      <c r="M501" s="804"/>
    </row>
    <row r="502" spans="1:13" s="3834" customFormat="1" ht="13.5" customHeight="1">
      <c r="A502" s="4016"/>
      <c r="B502" s="4001"/>
      <c r="C502" s="3927"/>
      <c r="D502" s="3975" t="s">
        <v>547</v>
      </c>
      <c r="E502" s="3927"/>
      <c r="F502" s="3976"/>
      <c r="G502" s="12"/>
      <c r="H502" s="3724"/>
      <c r="I502" s="1368"/>
      <c r="J502" s="4197"/>
      <c r="M502" s="804"/>
    </row>
    <row r="503" spans="1:13" s="4186" customFormat="1" ht="13.5" customHeight="1">
      <c r="A503" s="4057" t="s">
        <v>4096</v>
      </c>
      <c r="B503" s="4284" t="s">
        <v>538</v>
      </c>
      <c r="C503" s="4285">
        <v>763111713</v>
      </c>
      <c r="D503" s="4062" t="s">
        <v>4097</v>
      </c>
      <c r="E503" s="4286" t="s">
        <v>141</v>
      </c>
      <c r="F503" s="4287">
        <f>SUM(F505:F506)</f>
        <v>36.58</v>
      </c>
      <c r="G503" s="258"/>
      <c r="H503" s="4063">
        <f>F503*G503</f>
        <v>0</v>
      </c>
      <c r="I503" s="4288" t="s">
        <v>111</v>
      </c>
      <c r="J503" s="4065"/>
      <c r="M503" s="804"/>
    </row>
    <row r="504" spans="1:13" s="3834" customFormat="1" ht="13.5" customHeight="1">
      <c r="A504" s="4057"/>
      <c r="B504" s="4061"/>
      <c r="C504" s="4289"/>
      <c r="D504" s="4062" t="s">
        <v>4098</v>
      </c>
      <c r="E504" s="4062"/>
      <c r="F504" s="4063"/>
      <c r="G504" s="256"/>
      <c r="H504" s="4063"/>
      <c r="I504" s="4290"/>
      <c r="J504" s="4283"/>
      <c r="M504" s="804"/>
    </row>
    <row r="505" spans="1:13" s="3834" customFormat="1" ht="13.5" customHeight="1">
      <c r="A505" s="4057"/>
      <c r="B505" s="4061"/>
      <c r="C505" s="4289"/>
      <c r="D505" s="4062" t="s">
        <v>4099</v>
      </c>
      <c r="E505" s="4062"/>
      <c r="F505" s="4063">
        <v>23.1</v>
      </c>
      <c r="G505" s="256"/>
      <c r="H505" s="4063"/>
      <c r="I505" s="4290"/>
      <c r="J505" s="4283"/>
      <c r="M505" s="804"/>
    </row>
    <row r="506" spans="1:13" s="3834" customFormat="1" ht="13.5" customHeight="1">
      <c r="A506" s="4057"/>
      <c r="B506" s="4061"/>
      <c r="C506" s="4291"/>
      <c r="D506" s="4062" t="s">
        <v>4100</v>
      </c>
      <c r="E506" s="4062"/>
      <c r="F506" s="4063">
        <v>13.48</v>
      </c>
      <c r="G506" s="256"/>
      <c r="H506" s="4063"/>
      <c r="I506" s="4290"/>
      <c r="J506" s="4197"/>
      <c r="M506" s="804"/>
    </row>
    <row r="507" spans="1:13" s="4186" customFormat="1" ht="13.5" customHeight="1">
      <c r="A507" s="4057" t="s">
        <v>4101</v>
      </c>
      <c r="B507" s="4284" t="s">
        <v>538</v>
      </c>
      <c r="C507" s="4285">
        <v>763111714</v>
      </c>
      <c r="D507" s="4062" t="s">
        <v>4102</v>
      </c>
      <c r="E507" s="4286" t="s">
        <v>141</v>
      </c>
      <c r="F507" s="4287">
        <f>SUM(F509:F510)</f>
        <v>43.25</v>
      </c>
      <c r="G507" s="258"/>
      <c r="H507" s="4063">
        <f>F507*G507</f>
        <v>0</v>
      </c>
      <c r="I507" s="4288" t="s">
        <v>111</v>
      </c>
      <c r="J507" s="4065"/>
      <c r="M507" s="804"/>
    </row>
    <row r="508" spans="1:13" s="3834" customFormat="1" ht="13.5" customHeight="1">
      <c r="A508" s="4057"/>
      <c r="B508" s="4061"/>
      <c r="C508" s="4289"/>
      <c r="D508" s="4062" t="s">
        <v>4103</v>
      </c>
      <c r="E508" s="4062"/>
      <c r="F508" s="4063"/>
      <c r="G508" s="256"/>
      <c r="H508" s="4063"/>
      <c r="I508" s="4290"/>
      <c r="J508" s="4283"/>
      <c r="M508" s="804"/>
    </row>
    <row r="509" spans="1:13" s="3834" customFormat="1" ht="13.5" customHeight="1">
      <c r="A509" s="4057"/>
      <c r="B509" s="4061"/>
      <c r="C509" s="4289"/>
      <c r="D509" s="4062" t="s">
        <v>4104</v>
      </c>
      <c r="E509" s="4062"/>
      <c r="F509" s="4063">
        <v>26.4</v>
      </c>
      <c r="G509" s="256"/>
      <c r="H509" s="4063"/>
      <c r="I509" s="4290"/>
      <c r="J509" s="4283"/>
      <c r="M509" s="804"/>
    </row>
    <row r="510" spans="1:13" s="3834" customFormat="1" ht="13.5" customHeight="1">
      <c r="A510" s="4057"/>
      <c r="B510" s="4061"/>
      <c r="C510" s="4291"/>
      <c r="D510" s="4062" t="s">
        <v>4105</v>
      </c>
      <c r="E510" s="4062"/>
      <c r="F510" s="4063">
        <v>16.850000000000001</v>
      </c>
      <c r="G510" s="256"/>
      <c r="H510" s="4063"/>
      <c r="I510" s="4290"/>
      <c r="J510" s="4197"/>
      <c r="M510" s="804"/>
    </row>
    <row r="511" spans="1:13" s="3834" customFormat="1" ht="13.5" customHeight="1">
      <c r="A511" s="4016">
        <v>94</v>
      </c>
      <c r="B511" s="4001" t="s">
        <v>538</v>
      </c>
      <c r="C511" s="3927" t="s">
        <v>563</v>
      </c>
      <c r="D511" s="3927" t="s">
        <v>564</v>
      </c>
      <c r="E511" s="3927" t="s">
        <v>163</v>
      </c>
      <c r="F511" s="3724">
        <f>SUM(F514:F514)</f>
        <v>9.5287500000000005</v>
      </c>
      <c r="G511" s="12"/>
      <c r="H511" s="3724">
        <f>F511*G511</f>
        <v>0</v>
      </c>
      <c r="I511" s="1368" t="s">
        <v>111</v>
      </c>
      <c r="J511" s="4197"/>
      <c r="M511" s="804"/>
    </row>
    <row r="512" spans="1:13" s="3834" customFormat="1" ht="13.5" customHeight="1">
      <c r="A512" s="4016"/>
      <c r="B512" s="4179"/>
      <c r="C512" s="4274"/>
      <c r="D512" s="3975" t="s">
        <v>565</v>
      </c>
      <c r="E512" s="4180"/>
      <c r="F512" s="3976"/>
      <c r="G512" s="20"/>
      <c r="H512" s="3724"/>
      <c r="I512" s="4177"/>
      <c r="J512" s="4282"/>
      <c r="M512" s="804"/>
    </row>
    <row r="513" spans="1:13" s="3834" customFormat="1" ht="13.5" customHeight="1">
      <c r="A513" s="4016"/>
      <c r="B513" s="4179"/>
      <c r="C513" s="4292"/>
      <c r="D513" s="3975" t="s">
        <v>566</v>
      </c>
      <c r="E513" s="4180"/>
      <c r="F513" s="3976"/>
      <c r="G513" s="20"/>
      <c r="H513" s="3724"/>
      <c r="I513" s="4177"/>
      <c r="J513" s="4197"/>
      <c r="M513" s="804"/>
    </row>
    <row r="514" spans="1:13" s="3834" customFormat="1" ht="13.5" customHeight="1">
      <c r="A514" s="4016"/>
      <c r="B514" s="4001"/>
      <c r="C514" s="3927"/>
      <c r="D514" s="3975" t="s">
        <v>567</v>
      </c>
      <c r="E514" s="3927"/>
      <c r="F514" s="3976">
        <f>(9.075)*1.05</f>
        <v>9.5287500000000005</v>
      </c>
      <c r="G514" s="12"/>
      <c r="H514" s="3724"/>
      <c r="I514" s="1368"/>
      <c r="J514" s="4197"/>
      <c r="M514" s="804"/>
    </row>
    <row r="515" spans="1:13" s="3834" customFormat="1" ht="40.5" customHeight="1">
      <c r="A515" s="4016"/>
      <c r="B515" s="4001"/>
      <c r="C515" s="4292"/>
      <c r="D515" s="3975" t="s">
        <v>545</v>
      </c>
      <c r="E515" s="3927"/>
      <c r="F515" s="4181"/>
      <c r="G515" s="12"/>
      <c r="H515" s="3724"/>
      <c r="I515" s="4177"/>
      <c r="J515" s="4197"/>
      <c r="M515" s="804"/>
    </row>
    <row r="516" spans="1:13" s="3834" customFormat="1" ht="13.5" customHeight="1">
      <c r="A516" s="4016"/>
      <c r="B516" s="4001"/>
      <c r="C516" s="4277"/>
      <c r="D516" s="3975" t="s">
        <v>568</v>
      </c>
      <c r="E516" s="3927"/>
      <c r="F516" s="4181"/>
      <c r="G516" s="12"/>
      <c r="H516" s="3724"/>
      <c r="I516" s="4177"/>
      <c r="J516" s="4197"/>
      <c r="M516" s="804"/>
    </row>
    <row r="517" spans="1:13" s="3834" customFormat="1" ht="13.5" customHeight="1">
      <c r="A517" s="4016"/>
      <c r="B517" s="4001"/>
      <c r="C517" s="3927"/>
      <c r="D517" s="3975" t="s">
        <v>547</v>
      </c>
      <c r="E517" s="3927"/>
      <c r="F517" s="3976"/>
      <c r="G517" s="12"/>
      <c r="H517" s="3724"/>
      <c r="I517" s="1368"/>
      <c r="J517" s="4197"/>
      <c r="M517" s="804"/>
    </row>
    <row r="518" spans="1:13" s="3834" customFormat="1" ht="13.5" customHeight="1">
      <c r="A518" s="4016">
        <v>95</v>
      </c>
      <c r="B518" s="4001" t="s">
        <v>538</v>
      </c>
      <c r="C518" s="3927" t="s">
        <v>569</v>
      </c>
      <c r="D518" s="3927" t="s">
        <v>570</v>
      </c>
      <c r="E518" s="3927" t="s">
        <v>163</v>
      </c>
      <c r="F518" s="3724">
        <f>SUM(F521:F521)</f>
        <v>11.088000000000001</v>
      </c>
      <c r="G518" s="12"/>
      <c r="H518" s="3724">
        <f>F518*G518</f>
        <v>0</v>
      </c>
      <c r="I518" s="1368" t="s">
        <v>111</v>
      </c>
      <c r="J518" s="4197"/>
      <c r="M518" s="804"/>
    </row>
    <row r="519" spans="1:13" s="3834" customFormat="1" ht="13.5" customHeight="1">
      <c r="A519" s="4016"/>
      <c r="B519" s="4179"/>
      <c r="C519" s="4274"/>
      <c r="D519" s="3975" t="s">
        <v>565</v>
      </c>
      <c r="E519" s="4180"/>
      <c r="F519" s="3976"/>
      <c r="G519" s="20"/>
      <c r="H519" s="3724"/>
      <c r="I519" s="4177"/>
      <c r="J519" s="4282"/>
      <c r="M519" s="804"/>
    </row>
    <row r="520" spans="1:13" s="3834" customFormat="1" ht="13.5" customHeight="1">
      <c r="A520" s="4016"/>
      <c r="B520" s="4179"/>
      <c r="C520" s="4292"/>
      <c r="D520" s="3975" t="s">
        <v>566</v>
      </c>
      <c r="E520" s="4180"/>
      <c r="F520" s="3976"/>
      <c r="G520" s="20"/>
      <c r="H520" s="3724"/>
      <c r="I520" s="4177"/>
      <c r="J520" s="4197"/>
      <c r="M520" s="804"/>
    </row>
    <row r="521" spans="1:13" s="3834" customFormat="1" ht="13.5" customHeight="1">
      <c r="A521" s="4016"/>
      <c r="B521" s="4001"/>
      <c r="C521" s="3927"/>
      <c r="D521" s="3975" t="s">
        <v>571</v>
      </c>
      <c r="E521" s="3927"/>
      <c r="F521" s="3976">
        <f>(10.56)*1.05</f>
        <v>11.088000000000001</v>
      </c>
      <c r="G521" s="12"/>
      <c r="H521" s="3724"/>
      <c r="I521" s="1368"/>
      <c r="J521" s="4197"/>
      <c r="M521" s="804"/>
    </row>
    <row r="522" spans="1:13" s="3834" customFormat="1" ht="40.5" customHeight="1">
      <c r="A522" s="4016"/>
      <c r="B522" s="4001"/>
      <c r="C522" s="4292"/>
      <c r="D522" s="3975" t="s">
        <v>545</v>
      </c>
      <c r="E522" s="3927"/>
      <c r="F522" s="4181"/>
      <c r="G522" s="12"/>
      <c r="H522" s="3724"/>
      <c r="I522" s="4177"/>
      <c r="J522" s="4197"/>
      <c r="M522" s="804"/>
    </row>
    <row r="523" spans="1:13" s="3834" customFormat="1" ht="13.5" customHeight="1">
      <c r="A523" s="4016"/>
      <c r="B523" s="4001"/>
      <c r="C523" s="4277"/>
      <c r="D523" s="3975" t="s">
        <v>568</v>
      </c>
      <c r="E523" s="3927"/>
      <c r="F523" s="4181"/>
      <c r="G523" s="12"/>
      <c r="H523" s="3724"/>
      <c r="I523" s="4177"/>
      <c r="J523" s="4197"/>
      <c r="M523" s="804"/>
    </row>
    <row r="524" spans="1:13" s="3834" customFormat="1" ht="13.5" customHeight="1">
      <c r="A524" s="4016"/>
      <c r="B524" s="4001"/>
      <c r="C524" s="3927"/>
      <c r="D524" s="3975" t="s">
        <v>547</v>
      </c>
      <c r="E524" s="3927"/>
      <c r="F524" s="3976"/>
      <c r="G524" s="12"/>
      <c r="H524" s="3724"/>
      <c r="I524" s="1368"/>
      <c r="J524" s="4197"/>
      <c r="M524" s="804"/>
    </row>
    <row r="525" spans="1:13" s="3834" customFormat="1" ht="27" customHeight="1">
      <c r="A525" s="4016">
        <v>96</v>
      </c>
      <c r="B525" s="4001" t="s">
        <v>538</v>
      </c>
      <c r="C525" s="3927" t="s">
        <v>572</v>
      </c>
      <c r="D525" s="3927" t="s">
        <v>573</v>
      </c>
      <c r="E525" s="3927" t="s">
        <v>163</v>
      </c>
      <c r="F525" s="3724">
        <f>SUM(F529:F530)</f>
        <v>7.6597500000000007</v>
      </c>
      <c r="G525" s="12"/>
      <c r="H525" s="3724">
        <f>F525*G525</f>
        <v>0</v>
      </c>
      <c r="I525" s="1368" t="s">
        <v>111</v>
      </c>
      <c r="J525" s="4197"/>
      <c r="M525" s="804"/>
    </row>
    <row r="526" spans="1:13" s="3834" customFormat="1" ht="13.5" customHeight="1">
      <c r="A526" s="4016"/>
      <c r="B526" s="4179"/>
      <c r="C526" s="4274"/>
      <c r="D526" s="3975" t="s">
        <v>574</v>
      </c>
      <c r="E526" s="4180"/>
      <c r="F526" s="3976"/>
      <c r="G526" s="20"/>
      <c r="H526" s="3724"/>
      <c r="I526" s="4177"/>
      <c r="J526" s="4282"/>
      <c r="M526" s="804"/>
    </row>
    <row r="527" spans="1:13" s="3834" customFormat="1" ht="13.5" customHeight="1">
      <c r="A527" s="4016"/>
      <c r="B527" s="4179"/>
      <c r="C527" s="4180"/>
      <c r="D527" s="3975" t="s">
        <v>541</v>
      </c>
      <c r="E527" s="4180"/>
      <c r="F527" s="3976"/>
      <c r="G527" s="20"/>
      <c r="H527" s="3724"/>
      <c r="I527" s="4177"/>
      <c r="J527" s="4197"/>
      <c r="M527" s="804"/>
    </row>
    <row r="528" spans="1:13" s="3834" customFormat="1" ht="13.5" customHeight="1">
      <c r="A528" s="4016"/>
      <c r="B528" s="4179"/>
      <c r="C528" s="4276"/>
      <c r="D528" s="3975" t="s">
        <v>542</v>
      </c>
      <c r="E528" s="4180"/>
      <c r="F528" s="3976"/>
      <c r="G528" s="20"/>
      <c r="H528" s="3724"/>
      <c r="I528" s="4177"/>
      <c r="J528" s="4197"/>
      <c r="M528" s="804"/>
    </row>
    <row r="529" spans="1:13" s="3834" customFormat="1" ht="13.5" customHeight="1">
      <c r="A529" s="4016"/>
      <c r="B529" s="4001"/>
      <c r="C529" s="3927"/>
      <c r="D529" s="3975" t="s">
        <v>575</v>
      </c>
      <c r="E529" s="3927"/>
      <c r="F529" s="3976">
        <f>(4.588)*1.05</f>
        <v>4.8174000000000001</v>
      </c>
      <c r="G529" s="12"/>
      <c r="H529" s="3724"/>
      <c r="I529" s="1368"/>
      <c r="J529" s="4197"/>
      <c r="M529" s="804"/>
    </row>
    <row r="530" spans="1:13" s="3834" customFormat="1" ht="13.5" customHeight="1">
      <c r="A530" s="4016"/>
      <c r="B530" s="4001"/>
      <c r="C530" s="3927"/>
      <c r="D530" s="3975" t="s">
        <v>576</v>
      </c>
      <c r="E530" s="3927"/>
      <c r="F530" s="3976">
        <f>(2.707)*1.05</f>
        <v>2.8423500000000002</v>
      </c>
      <c r="G530" s="12"/>
      <c r="H530" s="3724"/>
      <c r="I530" s="1368"/>
      <c r="J530" s="4197"/>
      <c r="M530" s="804"/>
    </row>
    <row r="531" spans="1:13" s="3834" customFormat="1" ht="40.5" customHeight="1">
      <c r="A531" s="4016"/>
      <c r="B531" s="4001"/>
      <c r="C531" s="4292"/>
      <c r="D531" s="3975" t="s">
        <v>545</v>
      </c>
      <c r="E531" s="3927"/>
      <c r="F531" s="4181"/>
      <c r="G531" s="12"/>
      <c r="H531" s="3724"/>
      <c r="I531" s="4177"/>
      <c r="J531" s="4197"/>
      <c r="M531" s="804"/>
    </row>
    <row r="532" spans="1:13" s="3834" customFormat="1" ht="13.5" customHeight="1">
      <c r="A532" s="4016"/>
      <c r="B532" s="4001"/>
      <c r="C532" s="4277"/>
      <c r="D532" s="3975" t="s">
        <v>568</v>
      </c>
      <c r="E532" s="3927"/>
      <c r="F532" s="4181"/>
      <c r="G532" s="12"/>
      <c r="H532" s="3724"/>
      <c r="I532" s="4177"/>
      <c r="J532" s="4197"/>
      <c r="M532" s="804"/>
    </row>
    <row r="533" spans="1:13" s="3834" customFormat="1" ht="13.5" customHeight="1">
      <c r="A533" s="4016"/>
      <c r="B533" s="4001"/>
      <c r="C533" s="3927"/>
      <c r="D533" s="3975" t="s">
        <v>547</v>
      </c>
      <c r="E533" s="3927"/>
      <c r="F533" s="3976"/>
      <c r="G533" s="12"/>
      <c r="H533" s="3724"/>
      <c r="I533" s="1368"/>
      <c r="J533" s="4197"/>
      <c r="M533" s="804"/>
    </row>
    <row r="534" spans="1:13" s="3834" customFormat="1" ht="27" customHeight="1">
      <c r="A534" s="4016">
        <v>97</v>
      </c>
      <c r="B534" s="4001" t="s">
        <v>538</v>
      </c>
      <c r="C534" s="3927" t="s">
        <v>577</v>
      </c>
      <c r="D534" s="3927" t="s">
        <v>578</v>
      </c>
      <c r="E534" s="3927" t="s">
        <v>163</v>
      </c>
      <c r="F534" s="3724">
        <f>SUM(F537:F538)</f>
        <v>11.781000000000001</v>
      </c>
      <c r="G534" s="12"/>
      <c r="H534" s="3724">
        <f>F534*G534</f>
        <v>0</v>
      </c>
      <c r="I534" s="1368" t="s">
        <v>111</v>
      </c>
      <c r="J534" s="4197"/>
      <c r="M534" s="804"/>
    </row>
    <row r="535" spans="1:13" s="3834" customFormat="1" ht="13.5" customHeight="1">
      <c r="A535" s="4016"/>
      <c r="B535" s="4179"/>
      <c r="C535" s="4274"/>
      <c r="D535" s="3975" t="s">
        <v>574</v>
      </c>
      <c r="E535" s="4180"/>
      <c r="F535" s="3976"/>
      <c r="G535" s="20"/>
      <c r="H535" s="3724"/>
      <c r="I535" s="4177"/>
      <c r="J535" s="4282"/>
      <c r="M535" s="804"/>
    </row>
    <row r="536" spans="1:13" s="3834" customFormat="1" ht="13.5" customHeight="1">
      <c r="A536" s="4016"/>
      <c r="B536" s="4179"/>
      <c r="C536" s="4180"/>
      <c r="D536" s="3975" t="s">
        <v>541</v>
      </c>
      <c r="E536" s="4180"/>
      <c r="F536" s="3976"/>
      <c r="G536" s="20"/>
      <c r="H536" s="3724"/>
      <c r="I536" s="4177"/>
      <c r="J536" s="4197"/>
      <c r="M536" s="804"/>
    </row>
    <row r="537" spans="1:13" s="3834" customFormat="1" ht="13.5" customHeight="1">
      <c r="A537" s="4016"/>
      <c r="B537" s="4001"/>
      <c r="C537" s="3927"/>
      <c r="D537" s="3975" t="s">
        <v>542</v>
      </c>
      <c r="E537" s="3927"/>
      <c r="F537" s="3976"/>
      <c r="G537" s="12"/>
      <c r="H537" s="3724"/>
      <c r="I537" s="1368"/>
      <c r="J537" s="4197"/>
      <c r="M537" s="804"/>
    </row>
    <row r="538" spans="1:13" s="3834" customFormat="1" ht="13.5" customHeight="1">
      <c r="A538" s="4016"/>
      <c r="B538" s="4001"/>
      <c r="C538" s="3927"/>
      <c r="D538" s="3975" t="s">
        <v>579</v>
      </c>
      <c r="E538" s="3927"/>
      <c r="F538" s="3976">
        <f>(11.22)*1.05</f>
        <v>11.781000000000001</v>
      </c>
      <c r="G538" s="12"/>
      <c r="H538" s="3724"/>
      <c r="I538" s="1368"/>
      <c r="J538" s="4197"/>
      <c r="M538" s="804"/>
    </row>
    <row r="539" spans="1:13" s="3834" customFormat="1" ht="40.5" customHeight="1">
      <c r="A539" s="4016"/>
      <c r="B539" s="4001"/>
      <c r="C539" s="4292"/>
      <c r="D539" s="3975" t="s">
        <v>545</v>
      </c>
      <c r="E539" s="3927"/>
      <c r="F539" s="4181"/>
      <c r="G539" s="12"/>
      <c r="H539" s="3724"/>
      <c r="I539" s="4177"/>
      <c r="J539" s="4197"/>
      <c r="M539" s="804"/>
    </row>
    <row r="540" spans="1:13" s="3834" customFormat="1" ht="13.5" customHeight="1">
      <c r="A540" s="4016"/>
      <c r="B540" s="4001"/>
      <c r="C540" s="4277"/>
      <c r="D540" s="3975" t="s">
        <v>568</v>
      </c>
      <c r="E540" s="3927"/>
      <c r="F540" s="4181"/>
      <c r="G540" s="12"/>
      <c r="H540" s="3724"/>
      <c r="I540" s="4177"/>
      <c r="J540" s="4197"/>
      <c r="M540" s="804"/>
    </row>
    <row r="541" spans="1:13" s="3834" customFormat="1" ht="13.5" customHeight="1">
      <c r="A541" s="4016"/>
      <c r="B541" s="4001"/>
      <c r="C541" s="3927"/>
      <c r="D541" s="3975" t="s">
        <v>547</v>
      </c>
      <c r="E541" s="3927"/>
      <c r="F541" s="3976"/>
      <c r="G541" s="12"/>
      <c r="H541" s="3724"/>
      <c r="I541" s="1368"/>
      <c r="J541" s="4197"/>
      <c r="M541" s="804"/>
    </row>
    <row r="542" spans="1:13" s="3834" customFormat="1" ht="27" customHeight="1">
      <c r="A542" s="4016">
        <v>98</v>
      </c>
      <c r="B542" s="4001" t="s">
        <v>538</v>
      </c>
      <c r="C542" s="3927" t="s">
        <v>580</v>
      </c>
      <c r="D542" s="3927" t="s">
        <v>581</v>
      </c>
      <c r="E542" s="3927" t="s">
        <v>163</v>
      </c>
      <c r="F542" s="3724">
        <f>SUM(F546:F547)</f>
        <v>41.230350000000001</v>
      </c>
      <c r="G542" s="12"/>
      <c r="H542" s="3724">
        <f>F542*G542</f>
        <v>0</v>
      </c>
      <c r="I542" s="1368" t="s">
        <v>111</v>
      </c>
      <c r="J542" s="4293"/>
      <c r="M542" s="804"/>
    </row>
    <row r="543" spans="1:13" s="3834" customFormat="1" ht="13.5" customHeight="1">
      <c r="A543" s="4016"/>
      <c r="B543" s="4179"/>
      <c r="C543" s="4274"/>
      <c r="D543" s="3975" t="s">
        <v>574</v>
      </c>
      <c r="E543" s="4180"/>
      <c r="F543" s="3976"/>
      <c r="G543" s="20"/>
      <c r="H543" s="3724"/>
      <c r="I543" s="4177"/>
      <c r="J543" s="4282"/>
      <c r="M543" s="804"/>
    </row>
    <row r="544" spans="1:13" s="3834" customFormat="1" ht="13.5" customHeight="1">
      <c r="A544" s="4016"/>
      <c r="B544" s="4179"/>
      <c r="C544" s="4180"/>
      <c r="D544" s="3975" t="s">
        <v>541</v>
      </c>
      <c r="E544" s="4180"/>
      <c r="F544" s="3976"/>
      <c r="G544" s="20"/>
      <c r="H544" s="3724"/>
      <c r="I544" s="4177"/>
      <c r="J544" s="4197"/>
      <c r="M544" s="804"/>
    </row>
    <row r="545" spans="1:13" s="3834" customFormat="1" ht="13.5" customHeight="1">
      <c r="A545" s="4016"/>
      <c r="B545" s="4179"/>
      <c r="C545" s="4292"/>
      <c r="D545" s="3975" t="s">
        <v>542</v>
      </c>
      <c r="E545" s="4180"/>
      <c r="F545" s="3976"/>
      <c r="G545" s="20"/>
      <c r="H545" s="3724"/>
      <c r="I545" s="4177"/>
      <c r="J545" s="4197"/>
      <c r="M545" s="804"/>
    </row>
    <row r="546" spans="1:13" s="3834" customFormat="1" ht="13.5" customHeight="1">
      <c r="A546" s="4016"/>
      <c r="B546" s="4001"/>
      <c r="C546" s="3927"/>
      <c r="D546" s="3975" t="s">
        <v>582</v>
      </c>
      <c r="E546" s="3927"/>
      <c r="F546" s="3976">
        <f>(20.293)*1.05</f>
        <v>21.307649999999999</v>
      </c>
      <c r="G546" s="12"/>
      <c r="H546" s="3724"/>
      <c r="I546" s="1368"/>
      <c r="J546" s="4197"/>
      <c r="M546" s="804"/>
    </row>
    <row r="547" spans="1:13" s="3834" customFormat="1" ht="13.5" customHeight="1">
      <c r="A547" s="4016"/>
      <c r="B547" s="4001"/>
      <c r="C547" s="3927"/>
      <c r="D547" s="3975" t="s">
        <v>583</v>
      </c>
      <c r="E547" s="3927"/>
      <c r="F547" s="3976">
        <f>(18.974)*1.05</f>
        <v>19.922700000000003</v>
      </c>
      <c r="G547" s="12"/>
      <c r="H547" s="3724"/>
      <c r="I547" s="1368"/>
      <c r="J547" s="4197"/>
      <c r="M547" s="804"/>
    </row>
    <row r="548" spans="1:13" s="3834" customFormat="1" ht="40.5" customHeight="1">
      <c r="A548" s="4016"/>
      <c r="B548" s="4001"/>
      <c r="C548" s="4276"/>
      <c r="D548" s="3975" t="s">
        <v>545</v>
      </c>
      <c r="E548" s="3927"/>
      <c r="F548" s="4181"/>
      <c r="G548" s="12"/>
      <c r="H548" s="3724"/>
      <c r="I548" s="4177"/>
      <c r="J548" s="4197"/>
      <c r="M548" s="804"/>
    </row>
    <row r="549" spans="1:13" s="3834" customFormat="1" ht="13.5" customHeight="1">
      <c r="A549" s="4016"/>
      <c r="B549" s="4001"/>
      <c r="C549" s="4277"/>
      <c r="D549" s="3975" t="s">
        <v>568</v>
      </c>
      <c r="E549" s="3927"/>
      <c r="F549" s="4181"/>
      <c r="G549" s="12"/>
      <c r="H549" s="3724"/>
      <c r="I549" s="4177"/>
      <c r="J549" s="4197"/>
      <c r="M549" s="804"/>
    </row>
    <row r="550" spans="1:13" s="3834" customFormat="1" ht="13.5" customHeight="1">
      <c r="A550" s="4016"/>
      <c r="B550" s="4001"/>
      <c r="C550" s="3927"/>
      <c r="D550" s="3975" t="s">
        <v>547</v>
      </c>
      <c r="E550" s="3927"/>
      <c r="F550" s="3976"/>
      <c r="G550" s="12"/>
      <c r="H550" s="3724"/>
      <c r="I550" s="1368"/>
      <c r="J550" s="4197"/>
      <c r="M550" s="804"/>
    </row>
    <row r="551" spans="1:13" s="3834" customFormat="1" ht="13.5" customHeight="1">
      <c r="A551" s="4016">
        <v>99</v>
      </c>
      <c r="B551" s="4001" t="s">
        <v>538</v>
      </c>
      <c r="C551" s="3927">
        <v>763131414</v>
      </c>
      <c r="D551" s="3927" t="s">
        <v>584</v>
      </c>
      <c r="E551" s="3927" t="s">
        <v>163</v>
      </c>
      <c r="F551" s="4181">
        <f>SUM(F552:F554)</f>
        <v>308.4375</v>
      </c>
      <c r="G551" s="12"/>
      <c r="H551" s="3724">
        <f>G551*F551</f>
        <v>0</v>
      </c>
      <c r="I551" s="1368" t="s">
        <v>137</v>
      </c>
      <c r="J551" s="4294"/>
      <c r="M551" s="804"/>
    </row>
    <row r="552" spans="1:13" s="3834" customFormat="1" ht="13.5" customHeight="1">
      <c r="A552" s="4016"/>
      <c r="B552" s="4001"/>
      <c r="C552" s="3927"/>
      <c r="D552" s="3975" t="s">
        <v>585</v>
      </c>
      <c r="E552" s="3927"/>
      <c r="F552" s="3976"/>
      <c r="G552" s="12"/>
      <c r="H552" s="3724"/>
      <c r="I552" s="4177"/>
      <c r="J552" s="4197"/>
      <c r="M552" s="804"/>
    </row>
    <row r="553" spans="1:13" s="3834" customFormat="1" ht="13.5" customHeight="1">
      <c r="A553" s="4016"/>
      <c r="B553" s="4001"/>
      <c r="C553" s="4295"/>
      <c r="D553" s="3975" t="s">
        <v>586</v>
      </c>
      <c r="E553" s="3927"/>
      <c r="F553" s="4017">
        <f>(68.95)*1.05</f>
        <v>72.397500000000008</v>
      </c>
      <c r="G553" s="12"/>
      <c r="H553" s="3724"/>
      <c r="I553" s="4177"/>
      <c r="J553" s="4296"/>
      <c r="M553" s="804"/>
    </row>
    <row r="554" spans="1:13" s="3834" customFormat="1" ht="13.5" customHeight="1">
      <c r="A554" s="4016"/>
      <c r="B554" s="4001"/>
      <c r="C554" s="4295"/>
      <c r="D554" s="3975" t="s">
        <v>587</v>
      </c>
      <c r="E554" s="3927"/>
      <c r="F554" s="4017">
        <f>(224.8)*1.05</f>
        <v>236.04000000000002</v>
      </c>
      <c r="G554" s="12"/>
      <c r="H554" s="3724"/>
      <c r="I554" s="4177"/>
      <c r="J554" s="4296"/>
      <c r="M554" s="804"/>
    </row>
    <row r="555" spans="1:13" s="593" customFormat="1" ht="26.25" customHeight="1">
      <c r="A555" s="3657"/>
      <c r="B555" s="3539"/>
      <c r="C555" s="4297"/>
      <c r="D555" s="3514" t="s">
        <v>588</v>
      </c>
      <c r="E555" s="3507"/>
      <c r="F555" s="3808"/>
      <c r="G555" s="5"/>
      <c r="H555" s="3509"/>
      <c r="I555" s="4298"/>
      <c r="J555" s="4299"/>
      <c r="K555" s="4300"/>
      <c r="L555" s="4300"/>
      <c r="M555" s="4300"/>
    </row>
    <row r="556" spans="1:13" s="3834" customFormat="1" ht="13.5" customHeight="1">
      <c r="A556" s="4016">
        <v>100</v>
      </c>
      <c r="B556" s="4001" t="s">
        <v>538</v>
      </c>
      <c r="C556" s="3927" t="s">
        <v>589</v>
      </c>
      <c r="D556" s="3927" t="s">
        <v>590</v>
      </c>
      <c r="E556" s="3927" t="s">
        <v>163</v>
      </c>
      <c r="F556" s="4181">
        <f>SUM(F557:F558)</f>
        <v>45.57</v>
      </c>
      <c r="G556" s="12"/>
      <c r="H556" s="3724">
        <f>G556*F556</f>
        <v>0</v>
      </c>
      <c r="I556" s="1368" t="s">
        <v>112</v>
      </c>
      <c r="J556" s="4294"/>
      <c r="M556" s="804"/>
    </row>
    <row r="557" spans="1:13" s="3834" customFormat="1" ht="13.5" customHeight="1">
      <c r="A557" s="4016"/>
      <c r="B557" s="4001"/>
      <c r="C557" s="3927"/>
      <c r="D557" s="3975" t="s">
        <v>591</v>
      </c>
      <c r="E557" s="3927"/>
      <c r="F557" s="3976"/>
      <c r="G557" s="12"/>
      <c r="H557" s="3724"/>
      <c r="I557" s="4177"/>
      <c r="J557" s="4197"/>
      <c r="M557" s="804"/>
    </row>
    <row r="558" spans="1:13" s="3834" customFormat="1" ht="13.5" customHeight="1">
      <c r="A558" s="4016"/>
      <c r="B558" s="4001"/>
      <c r="C558" s="4295"/>
      <c r="D558" s="3975" t="s">
        <v>592</v>
      </c>
      <c r="E558" s="3927"/>
      <c r="F558" s="4017">
        <f>(43.4)*1.05</f>
        <v>45.57</v>
      </c>
      <c r="G558" s="12"/>
      <c r="H558" s="3724"/>
      <c r="I558" s="4177"/>
      <c r="J558" s="4296"/>
      <c r="M558" s="804"/>
    </row>
    <row r="559" spans="1:13" s="593" customFormat="1" ht="26.25" customHeight="1">
      <c r="A559" s="3657"/>
      <c r="B559" s="3539"/>
      <c r="C559" s="4297"/>
      <c r="D559" s="3514" t="s">
        <v>588</v>
      </c>
      <c r="E559" s="3507"/>
      <c r="F559" s="3808"/>
      <c r="G559" s="5"/>
      <c r="H559" s="3509"/>
      <c r="I559" s="4298"/>
      <c r="J559" s="4299"/>
      <c r="K559" s="4300"/>
      <c r="L559" s="4300"/>
      <c r="M559" s="4300"/>
    </row>
    <row r="560" spans="1:13" s="3834" customFormat="1" ht="13.5" customHeight="1">
      <c r="A560" s="4016">
        <v>101</v>
      </c>
      <c r="B560" s="4001" t="s">
        <v>538</v>
      </c>
      <c r="C560" s="3927" t="s">
        <v>593</v>
      </c>
      <c r="D560" s="3927" t="s">
        <v>594</v>
      </c>
      <c r="E560" s="3927" t="s">
        <v>163</v>
      </c>
      <c r="F560" s="4181">
        <f>SUM(F562:F563)</f>
        <v>148.66800000000001</v>
      </c>
      <c r="G560" s="12"/>
      <c r="H560" s="3724">
        <f>G560*F560</f>
        <v>0</v>
      </c>
      <c r="I560" s="1368" t="s">
        <v>137</v>
      </c>
      <c r="J560" s="4294"/>
      <c r="M560" s="804"/>
    </row>
    <row r="561" spans="1:13" s="3834" customFormat="1" ht="13.5" customHeight="1">
      <c r="A561" s="4016"/>
      <c r="B561" s="4001"/>
      <c r="C561" s="3927"/>
      <c r="D561" s="3975" t="s">
        <v>595</v>
      </c>
      <c r="E561" s="3927"/>
      <c r="F561" s="3976"/>
      <c r="G561" s="12"/>
      <c r="H561" s="3724"/>
      <c r="I561" s="4177"/>
      <c r="J561" s="3585"/>
      <c r="K561" s="3134"/>
      <c r="L561" s="3134"/>
      <c r="M561" s="804"/>
    </row>
    <row r="562" spans="1:13" s="3834" customFormat="1" ht="13.5" customHeight="1">
      <c r="A562" s="4016"/>
      <c r="B562" s="4001"/>
      <c r="C562" s="4295"/>
      <c r="D562" s="3975" t="s">
        <v>596</v>
      </c>
      <c r="E562" s="3927"/>
      <c r="F562" s="4017">
        <f>(74.069)*1.3</f>
        <v>96.289700000000011</v>
      </c>
      <c r="G562" s="12"/>
      <c r="H562" s="3724"/>
      <c r="I562" s="4177"/>
      <c r="J562" s="4301"/>
      <c r="K562" s="3134"/>
      <c r="M562" s="804"/>
    </row>
    <row r="563" spans="1:13" s="3834" customFormat="1" ht="13.5" customHeight="1">
      <c r="A563" s="4016"/>
      <c r="B563" s="4001"/>
      <c r="C563" s="4295"/>
      <c r="D563" s="3975" t="s">
        <v>597</v>
      </c>
      <c r="E563" s="3927"/>
      <c r="F563" s="4017">
        <f>(40.291)*1.3</f>
        <v>52.378299999999996</v>
      </c>
      <c r="G563" s="12"/>
      <c r="H563" s="3724"/>
      <c r="I563" s="4177"/>
      <c r="J563" s="4301"/>
      <c r="K563" s="3134"/>
      <c r="M563" s="804"/>
    </row>
    <row r="564" spans="1:13" s="593" customFormat="1" ht="13.5" customHeight="1">
      <c r="A564" s="3657"/>
      <c r="B564" s="3539"/>
      <c r="C564" s="4302"/>
      <c r="D564" s="3514" t="s">
        <v>598</v>
      </c>
      <c r="E564" s="3507"/>
      <c r="F564" s="3808"/>
      <c r="G564" s="5"/>
      <c r="H564" s="3509"/>
      <c r="I564" s="3506"/>
      <c r="J564" s="4303"/>
      <c r="M564" s="888"/>
    </row>
    <row r="565" spans="1:13" s="593" customFormat="1" ht="26.25" customHeight="1">
      <c r="A565" s="3657"/>
      <c r="B565" s="3539"/>
      <c r="C565" s="4297"/>
      <c r="D565" s="3514" t="s">
        <v>599</v>
      </c>
      <c r="E565" s="3507"/>
      <c r="F565" s="3808"/>
      <c r="G565" s="5"/>
      <c r="H565" s="3509"/>
      <c r="I565" s="4298"/>
      <c r="J565" s="4299"/>
      <c r="K565" s="4300"/>
      <c r="L565" s="4300"/>
      <c r="M565" s="4300"/>
    </row>
    <row r="566" spans="1:13" s="3834" customFormat="1" ht="13.5" customHeight="1">
      <c r="A566" s="4016">
        <v>102</v>
      </c>
      <c r="B566" s="4001" t="s">
        <v>538</v>
      </c>
      <c r="C566" s="3927" t="s">
        <v>600</v>
      </c>
      <c r="D566" s="3927" t="s">
        <v>601</v>
      </c>
      <c r="E566" s="3927" t="s">
        <v>163</v>
      </c>
      <c r="F566" s="4181">
        <f>SUM(F568:F569)</f>
        <v>55.848000000000006</v>
      </c>
      <c r="G566" s="12"/>
      <c r="H566" s="3724">
        <f>G566*F566</f>
        <v>0</v>
      </c>
      <c r="I566" s="1368" t="s">
        <v>137</v>
      </c>
      <c r="J566" s="4294"/>
      <c r="M566" s="804"/>
    </row>
    <row r="567" spans="1:13" s="3834" customFormat="1" ht="13.5" customHeight="1">
      <c r="A567" s="4016"/>
      <c r="B567" s="4001"/>
      <c r="C567" s="3927"/>
      <c r="D567" s="3975" t="s">
        <v>602</v>
      </c>
      <c r="E567" s="3927"/>
      <c r="F567" s="3976"/>
      <c r="G567" s="12"/>
      <c r="H567" s="3724"/>
      <c r="I567" s="4177"/>
      <c r="J567" s="3585"/>
      <c r="K567" s="3134"/>
      <c r="L567" s="3134"/>
      <c r="M567" s="804"/>
    </row>
    <row r="568" spans="1:13" s="3834" customFormat="1" ht="13.5" customHeight="1">
      <c r="A568" s="4016"/>
      <c r="B568" s="4001"/>
      <c r="C568" s="4295"/>
      <c r="D568" s="3975" t="s">
        <v>603</v>
      </c>
      <c r="E568" s="3927"/>
      <c r="F568" s="4017">
        <f>(3.36)*1.3</f>
        <v>4.3680000000000003</v>
      </c>
      <c r="G568" s="12"/>
      <c r="H568" s="3724"/>
      <c r="I568" s="4177"/>
      <c r="J568" s="4301"/>
      <c r="K568" s="3134"/>
      <c r="M568" s="804"/>
    </row>
    <row r="569" spans="1:13" s="3834" customFormat="1" ht="13.5" customHeight="1">
      <c r="A569" s="4016"/>
      <c r="B569" s="4001"/>
      <c r="C569" s="4295"/>
      <c r="D569" s="3975" t="s">
        <v>604</v>
      </c>
      <c r="E569" s="3927"/>
      <c r="F569" s="4017">
        <f>(39.6)*1.3</f>
        <v>51.480000000000004</v>
      </c>
      <c r="G569" s="12"/>
      <c r="H569" s="3724"/>
      <c r="I569" s="4177"/>
      <c r="J569" s="4301"/>
      <c r="K569" s="3134"/>
      <c r="M569" s="804"/>
    </row>
    <row r="570" spans="1:13" s="593" customFormat="1" ht="13.5" customHeight="1">
      <c r="A570" s="3657"/>
      <c r="B570" s="3539"/>
      <c r="C570" s="4302"/>
      <c r="D570" s="3514" t="s">
        <v>598</v>
      </c>
      <c r="E570" s="3507"/>
      <c r="F570" s="3808"/>
      <c r="G570" s="5"/>
      <c r="H570" s="3509"/>
      <c r="I570" s="3506"/>
      <c r="J570" s="4303"/>
      <c r="M570" s="888"/>
    </row>
    <row r="571" spans="1:13" s="593" customFormat="1" ht="26.25" customHeight="1">
      <c r="A571" s="3657"/>
      <c r="B571" s="3539"/>
      <c r="C571" s="4297"/>
      <c r="D571" s="3514" t="s">
        <v>599</v>
      </c>
      <c r="E571" s="3507"/>
      <c r="F571" s="3808"/>
      <c r="G571" s="5"/>
      <c r="H571" s="3509"/>
      <c r="I571" s="4298"/>
      <c r="J571" s="4299"/>
      <c r="K571" s="4300"/>
      <c r="L571" s="4300"/>
      <c r="M571" s="4300"/>
    </row>
    <row r="572" spans="1:13" s="3834" customFormat="1" ht="13.5" customHeight="1">
      <c r="A572" s="4016">
        <v>103</v>
      </c>
      <c r="B572" s="4001" t="s">
        <v>538</v>
      </c>
      <c r="C572" s="3927" t="s">
        <v>872</v>
      </c>
      <c r="D572" s="3927" t="s">
        <v>605</v>
      </c>
      <c r="E572" s="3927" t="s">
        <v>163</v>
      </c>
      <c r="F572" s="4181">
        <f>SUM(F574:F575)</f>
        <v>287.15180000000004</v>
      </c>
      <c r="G572" s="12"/>
      <c r="H572" s="3724">
        <f>G572*F572</f>
        <v>0</v>
      </c>
      <c r="I572" s="1368" t="s">
        <v>137</v>
      </c>
      <c r="J572" s="4294"/>
      <c r="M572" s="804"/>
    </row>
    <row r="573" spans="1:13" s="3834" customFormat="1" ht="13.5" customHeight="1">
      <c r="A573" s="4016"/>
      <c r="B573" s="4001"/>
      <c r="C573" s="3927"/>
      <c r="D573" s="3975" t="s">
        <v>606</v>
      </c>
      <c r="E573" s="3927"/>
      <c r="F573" s="3976"/>
      <c r="G573" s="12"/>
      <c r="H573" s="3724"/>
      <c r="I573" s="4177"/>
      <c r="J573" s="3585"/>
      <c r="K573" s="3134"/>
      <c r="L573" s="3134"/>
      <c r="M573" s="804"/>
    </row>
    <row r="574" spans="1:13" s="3834" customFormat="1" ht="13.5" customHeight="1">
      <c r="A574" s="4016"/>
      <c r="B574" s="4001"/>
      <c r="C574" s="4295"/>
      <c r="D574" s="3975" t="s">
        <v>607</v>
      </c>
      <c r="E574" s="3927"/>
      <c r="F574" s="4017">
        <f>(156.276)*1.3</f>
        <v>203.15880000000001</v>
      </c>
      <c r="G574" s="12"/>
      <c r="H574" s="3724"/>
      <c r="I574" s="4177"/>
      <c r="J574" s="4301"/>
      <c r="K574" s="3134"/>
      <c r="M574" s="804"/>
    </row>
    <row r="575" spans="1:13" s="3834" customFormat="1" ht="13.5" customHeight="1">
      <c r="A575" s="4016"/>
      <c r="B575" s="4001"/>
      <c r="C575" s="4295"/>
      <c r="D575" s="3975" t="s">
        <v>608</v>
      </c>
      <c r="E575" s="3927"/>
      <c r="F575" s="4017">
        <f>(64.61)*1.3</f>
        <v>83.993000000000009</v>
      </c>
      <c r="G575" s="12"/>
      <c r="H575" s="3724"/>
      <c r="I575" s="4177"/>
      <c r="J575" s="4301"/>
      <c r="K575" s="3134"/>
      <c r="M575" s="804"/>
    </row>
    <row r="576" spans="1:13" s="593" customFormat="1" ht="13.5" customHeight="1">
      <c r="A576" s="3657"/>
      <c r="B576" s="3539"/>
      <c r="C576" s="4302"/>
      <c r="D576" s="3514" t="s">
        <v>609</v>
      </c>
      <c r="E576" s="3507"/>
      <c r="F576" s="3808"/>
      <c r="G576" s="5"/>
      <c r="H576" s="3509"/>
      <c r="I576" s="3506"/>
      <c r="J576" s="4303"/>
      <c r="M576" s="888"/>
    </row>
    <row r="577" spans="1:13" s="593" customFormat="1" ht="26.25" customHeight="1">
      <c r="A577" s="3657"/>
      <c r="B577" s="3539"/>
      <c r="C577" s="4297"/>
      <c r="D577" s="3514" t="s">
        <v>599</v>
      </c>
      <c r="E577" s="3507"/>
      <c r="F577" s="3808"/>
      <c r="G577" s="5"/>
      <c r="H577" s="3509"/>
      <c r="I577" s="4298"/>
      <c r="J577" s="4299"/>
      <c r="K577" s="4300"/>
      <c r="L577" s="4300"/>
      <c r="M577" s="4300"/>
    </row>
    <row r="578" spans="1:13" s="3834" customFormat="1" ht="13.5" customHeight="1">
      <c r="A578" s="4016">
        <v>104</v>
      </c>
      <c r="B578" s="4001" t="s">
        <v>538</v>
      </c>
      <c r="C578" s="3927" t="s">
        <v>873</v>
      </c>
      <c r="D578" s="3927" t="s">
        <v>610</v>
      </c>
      <c r="E578" s="3927" t="s">
        <v>163</v>
      </c>
      <c r="F578" s="4181">
        <f>SUM(F580:F581)</f>
        <v>464.97100000000006</v>
      </c>
      <c r="G578" s="12"/>
      <c r="H578" s="3724">
        <f>G578*F578</f>
        <v>0</v>
      </c>
      <c r="I578" s="1368" t="s">
        <v>137</v>
      </c>
      <c r="J578" s="4294"/>
      <c r="M578" s="804"/>
    </row>
    <row r="579" spans="1:13" s="3834" customFormat="1" ht="13.5" customHeight="1">
      <c r="A579" s="4016"/>
      <c r="B579" s="4001"/>
      <c r="C579" s="3927"/>
      <c r="D579" s="3975" t="s">
        <v>606</v>
      </c>
      <c r="E579" s="3927"/>
      <c r="F579" s="3976"/>
      <c r="G579" s="12"/>
      <c r="H579" s="3724"/>
      <c r="I579" s="4177"/>
      <c r="J579" s="3585"/>
      <c r="K579" s="3134"/>
      <c r="L579" s="3134"/>
      <c r="M579" s="804"/>
    </row>
    <row r="580" spans="1:13" s="3834" customFormat="1" ht="13.5" customHeight="1">
      <c r="A580" s="4016"/>
      <c r="B580" s="4001"/>
      <c r="C580" s="4295"/>
      <c r="D580" s="3975" t="s">
        <v>611</v>
      </c>
      <c r="E580" s="3927"/>
      <c r="F580" s="4017">
        <f>(25.92)*1.3</f>
        <v>33.696000000000005</v>
      </c>
      <c r="G580" s="12"/>
      <c r="H580" s="3724"/>
      <c r="I580" s="4177"/>
      <c r="J580" s="4301"/>
      <c r="K580" s="3134"/>
      <c r="M580" s="804"/>
    </row>
    <row r="581" spans="1:13" s="3834" customFormat="1" ht="13.5" customHeight="1">
      <c r="A581" s="4016"/>
      <c r="B581" s="4001"/>
      <c r="C581" s="4295"/>
      <c r="D581" s="3975" t="s">
        <v>612</v>
      </c>
      <c r="E581" s="3927"/>
      <c r="F581" s="4017">
        <f>(331.75)*1.3</f>
        <v>431.27500000000003</v>
      </c>
      <c r="G581" s="12"/>
      <c r="H581" s="3724"/>
      <c r="I581" s="4177"/>
      <c r="J581" s="4301"/>
      <c r="K581" s="3134"/>
      <c r="M581" s="804"/>
    </row>
    <row r="582" spans="1:13" s="593" customFormat="1" ht="13.5" customHeight="1">
      <c r="A582" s="3657"/>
      <c r="B582" s="3539"/>
      <c r="C582" s="4302"/>
      <c r="D582" s="3514" t="s">
        <v>613</v>
      </c>
      <c r="E582" s="3507"/>
      <c r="F582" s="3808"/>
      <c r="G582" s="5"/>
      <c r="H582" s="3509"/>
      <c r="I582" s="3506"/>
      <c r="J582" s="4303"/>
      <c r="M582" s="888"/>
    </row>
    <row r="583" spans="1:13" s="593" customFormat="1" ht="26.25" customHeight="1">
      <c r="A583" s="3657"/>
      <c r="B583" s="3539"/>
      <c r="C583" s="4297"/>
      <c r="D583" s="3514" t="s">
        <v>599</v>
      </c>
      <c r="E583" s="3507"/>
      <c r="F583" s="3808"/>
      <c r="G583" s="5"/>
      <c r="H583" s="3509"/>
      <c r="I583" s="4298"/>
      <c r="J583" s="4299"/>
      <c r="K583" s="4300"/>
      <c r="L583" s="4300"/>
      <c r="M583" s="4300"/>
    </row>
    <row r="584" spans="1:13" s="3834" customFormat="1" ht="13.5" customHeight="1">
      <c r="A584" s="4016">
        <v>105</v>
      </c>
      <c r="B584" s="4001" t="s">
        <v>538</v>
      </c>
      <c r="C584" s="3927" t="s">
        <v>874</v>
      </c>
      <c r="D584" s="3927" t="s">
        <v>614</v>
      </c>
      <c r="E584" s="3927" t="s">
        <v>163</v>
      </c>
      <c r="F584" s="4181">
        <f>SUM(F586:F586)</f>
        <v>248.93050000000002</v>
      </c>
      <c r="G584" s="12"/>
      <c r="H584" s="3724">
        <f>G584*F584</f>
        <v>0</v>
      </c>
      <c r="I584" s="1368" t="s">
        <v>137</v>
      </c>
      <c r="J584" s="4294"/>
      <c r="M584" s="804"/>
    </row>
    <row r="585" spans="1:13" s="3834" customFormat="1" ht="13.5" customHeight="1">
      <c r="A585" s="4016"/>
      <c r="B585" s="4001"/>
      <c r="C585" s="3927"/>
      <c r="D585" s="3975" t="s">
        <v>606</v>
      </c>
      <c r="E585" s="3927"/>
      <c r="F585" s="3976"/>
      <c r="G585" s="12"/>
      <c r="H585" s="3724"/>
      <c r="I585" s="4177"/>
      <c r="J585" s="3585"/>
      <c r="K585" s="3134"/>
      <c r="L585" s="3134"/>
      <c r="M585" s="804"/>
    </row>
    <row r="586" spans="1:13" s="3834" customFormat="1" ht="13.5" customHeight="1">
      <c r="A586" s="4016"/>
      <c r="B586" s="4001"/>
      <c r="C586" s="4295"/>
      <c r="D586" s="3975" t="s">
        <v>615</v>
      </c>
      <c r="E586" s="3927"/>
      <c r="F586" s="4017">
        <f>(191.485)*1.3</f>
        <v>248.93050000000002</v>
      </c>
      <c r="G586" s="12"/>
      <c r="H586" s="3724"/>
      <c r="I586" s="4177"/>
      <c r="J586" s="4301"/>
      <c r="K586" s="3134"/>
      <c r="M586" s="804"/>
    </row>
    <row r="587" spans="1:13" s="593" customFormat="1" ht="13.5" customHeight="1">
      <c r="A587" s="3657"/>
      <c r="B587" s="3539"/>
      <c r="C587" s="4302"/>
      <c r="D587" s="3514" t="s">
        <v>598</v>
      </c>
      <c r="E587" s="3507"/>
      <c r="F587" s="3808"/>
      <c r="G587" s="5"/>
      <c r="H587" s="3509"/>
      <c r="I587" s="3506"/>
      <c r="J587" s="4303"/>
      <c r="M587" s="888"/>
    </row>
    <row r="588" spans="1:13" s="593" customFormat="1" ht="26.25" customHeight="1">
      <c r="A588" s="3657"/>
      <c r="B588" s="3539"/>
      <c r="C588" s="4297"/>
      <c r="D588" s="3514" t="s">
        <v>599</v>
      </c>
      <c r="E588" s="3507"/>
      <c r="F588" s="3808"/>
      <c r="G588" s="5"/>
      <c r="H588" s="3509"/>
      <c r="I588" s="4298"/>
      <c r="J588" s="4299"/>
      <c r="K588" s="4300"/>
      <c r="L588" s="4300"/>
      <c r="M588" s="4300"/>
    </row>
    <row r="589" spans="1:13" s="3834" customFormat="1" ht="13.5" customHeight="1">
      <c r="A589" s="4016">
        <v>106</v>
      </c>
      <c r="B589" s="4001" t="s">
        <v>538</v>
      </c>
      <c r="C589" s="3927" t="s">
        <v>875</v>
      </c>
      <c r="D589" s="3927" t="s">
        <v>616</v>
      </c>
      <c r="E589" s="3927" t="s">
        <v>163</v>
      </c>
      <c r="F589" s="4181">
        <f>SUM(F591:F591)</f>
        <v>126.36000000000001</v>
      </c>
      <c r="G589" s="12"/>
      <c r="H589" s="3724">
        <f>G589*F589</f>
        <v>0</v>
      </c>
      <c r="I589" s="1368" t="s">
        <v>137</v>
      </c>
      <c r="J589" s="4294"/>
      <c r="M589" s="804"/>
    </row>
    <row r="590" spans="1:13" s="3834" customFormat="1" ht="13.5" customHeight="1">
      <c r="A590" s="4016"/>
      <c r="B590" s="4001"/>
      <c r="C590" s="3927"/>
      <c r="D590" s="3975" t="s">
        <v>606</v>
      </c>
      <c r="E590" s="3927"/>
      <c r="F590" s="3976"/>
      <c r="G590" s="12"/>
      <c r="H590" s="3724"/>
      <c r="I590" s="4177"/>
      <c r="J590" s="3585"/>
      <c r="K590" s="3134"/>
      <c r="L590" s="3134"/>
      <c r="M590" s="804"/>
    </row>
    <row r="591" spans="1:13" s="3834" customFormat="1" ht="13.5" customHeight="1">
      <c r="A591" s="4016"/>
      <c r="B591" s="4001"/>
      <c r="C591" s="4295"/>
      <c r="D591" s="3975" t="s">
        <v>617</v>
      </c>
      <c r="E591" s="3927"/>
      <c r="F591" s="4017">
        <f>(97.2)*1.3</f>
        <v>126.36000000000001</v>
      </c>
      <c r="G591" s="12"/>
      <c r="H591" s="3724"/>
      <c r="I591" s="4177"/>
      <c r="J591" s="4301"/>
      <c r="K591" s="3134"/>
      <c r="M591" s="804"/>
    </row>
    <row r="592" spans="1:13" s="593" customFormat="1" ht="13.5" customHeight="1">
      <c r="A592" s="3657"/>
      <c r="B592" s="3539"/>
      <c r="C592" s="4302"/>
      <c r="D592" s="3514" t="s">
        <v>598</v>
      </c>
      <c r="E592" s="3507"/>
      <c r="F592" s="3808"/>
      <c r="G592" s="5"/>
      <c r="H592" s="3509"/>
      <c r="I592" s="3506"/>
      <c r="J592" s="4303"/>
      <c r="M592" s="888"/>
    </row>
    <row r="593" spans="1:13" s="593" customFormat="1" ht="26.25" customHeight="1">
      <c r="A593" s="3657"/>
      <c r="B593" s="3539"/>
      <c r="C593" s="4297"/>
      <c r="D593" s="3514" t="s">
        <v>599</v>
      </c>
      <c r="E593" s="3507"/>
      <c r="F593" s="3808"/>
      <c r="G593" s="5"/>
      <c r="H593" s="3509"/>
      <c r="I593" s="4298"/>
      <c r="J593" s="4299"/>
      <c r="K593" s="4300"/>
      <c r="L593" s="4300"/>
      <c r="M593" s="4300"/>
    </row>
    <row r="594" spans="1:13" s="593" customFormat="1" ht="27" customHeight="1">
      <c r="A594" s="3725">
        <v>107</v>
      </c>
      <c r="B594" s="3507" t="s">
        <v>538</v>
      </c>
      <c r="C594" s="3507" t="s">
        <v>876</v>
      </c>
      <c r="D594" s="3507" t="s">
        <v>618</v>
      </c>
      <c r="E594" s="3507" t="s">
        <v>163</v>
      </c>
      <c r="F594" s="3509">
        <f>SUM(F596:F598)</f>
        <v>37.801500000000004</v>
      </c>
      <c r="G594" s="5"/>
      <c r="H594" s="3509">
        <f>F594*G594</f>
        <v>0</v>
      </c>
      <c r="I594" s="3510" t="s">
        <v>112</v>
      </c>
      <c r="J594" s="3631"/>
      <c r="L594" s="4304"/>
    </row>
    <row r="595" spans="1:13" s="593" customFormat="1" ht="13.5" customHeight="1">
      <c r="A595" s="3725"/>
      <c r="B595" s="3539"/>
      <c r="C595" s="3507"/>
      <c r="D595" s="3514" t="s">
        <v>619</v>
      </c>
      <c r="E595" s="3507"/>
      <c r="F595" s="3808"/>
      <c r="G595" s="5"/>
      <c r="H595" s="3509"/>
      <c r="I595" s="3506"/>
      <c r="J595" s="3631"/>
      <c r="K595" s="3631"/>
    </row>
    <row r="596" spans="1:13" s="593" customFormat="1" ht="13.5" customHeight="1">
      <c r="A596" s="3725"/>
      <c r="B596" s="3539"/>
      <c r="C596" s="3507"/>
      <c r="D596" s="3514" t="s">
        <v>620</v>
      </c>
      <c r="E596" s="3507"/>
      <c r="F596" s="3546">
        <f>(5*2.25)</f>
        <v>11.25</v>
      </c>
      <c r="G596" s="5"/>
      <c r="H596" s="3509"/>
      <c r="I596" s="3510"/>
    </row>
    <row r="597" spans="1:13" s="593" customFormat="1" ht="13.5" customHeight="1">
      <c r="A597" s="3725"/>
      <c r="B597" s="3539"/>
      <c r="C597" s="3507"/>
      <c r="D597" s="3514" t="s">
        <v>621</v>
      </c>
      <c r="E597" s="3507"/>
      <c r="F597" s="3546">
        <f>(3.87*2.4)</f>
        <v>9.2880000000000003</v>
      </c>
      <c r="G597" s="5"/>
      <c r="H597" s="3509"/>
      <c r="I597" s="3510"/>
    </row>
    <row r="598" spans="1:13" s="593" customFormat="1" ht="13.5" customHeight="1">
      <c r="A598" s="3725"/>
      <c r="B598" s="3539"/>
      <c r="C598" s="3507"/>
      <c r="D598" s="3514" t="s">
        <v>622</v>
      </c>
      <c r="E598" s="3507"/>
      <c r="F598" s="3546">
        <f xml:space="preserve"> (0.65*17.85+2.22*2.55)</f>
        <v>17.263500000000001</v>
      </c>
      <c r="G598" s="5"/>
      <c r="H598" s="3509"/>
      <c r="I598" s="3510"/>
    </row>
    <row r="599" spans="1:13" s="593" customFormat="1" ht="13.5" customHeight="1">
      <c r="A599" s="3725">
        <v>108</v>
      </c>
      <c r="B599" s="3507" t="s">
        <v>538</v>
      </c>
      <c r="C599" s="3507" t="s">
        <v>877</v>
      </c>
      <c r="D599" s="3507" t="s">
        <v>878</v>
      </c>
      <c r="E599" s="3507" t="s">
        <v>205</v>
      </c>
      <c r="F599" s="3509">
        <f>F600</f>
        <v>45</v>
      </c>
      <c r="G599" s="5"/>
      <c r="H599" s="3509">
        <f>F599*G599</f>
        <v>0</v>
      </c>
      <c r="I599" s="3510" t="s">
        <v>112</v>
      </c>
      <c r="J599" s="3631"/>
      <c r="L599" s="4304"/>
    </row>
    <row r="600" spans="1:13" s="593" customFormat="1" ht="13.5" customHeight="1">
      <c r="A600" s="3725"/>
      <c r="B600" s="3539"/>
      <c r="C600" s="3507"/>
      <c r="D600" s="3514" t="s">
        <v>879</v>
      </c>
      <c r="E600" s="3507"/>
      <c r="F600" s="3808">
        <v>45</v>
      </c>
      <c r="G600" s="5"/>
      <c r="H600" s="3509"/>
      <c r="I600" s="3506"/>
      <c r="J600" s="3631"/>
      <c r="K600" s="3631"/>
    </row>
    <row r="601" spans="1:13" s="593" customFormat="1" ht="13.5" customHeight="1">
      <c r="A601" s="3725"/>
      <c r="B601" s="3539"/>
      <c r="C601" s="3507"/>
      <c r="D601" s="3514" t="s">
        <v>881</v>
      </c>
      <c r="E601" s="3507"/>
      <c r="F601" s="3808"/>
      <c r="G601" s="5"/>
      <c r="H601" s="3509"/>
      <c r="I601" s="3506"/>
      <c r="J601" s="3631"/>
      <c r="K601" s="3631"/>
    </row>
    <row r="602" spans="1:13" s="593" customFormat="1" ht="13.5" customHeight="1">
      <c r="A602" s="3725"/>
      <c r="B602" s="3539"/>
      <c r="C602" s="3507"/>
      <c r="D602" s="3514" t="s">
        <v>880</v>
      </c>
      <c r="E602" s="3507"/>
      <c r="F602" s="3546"/>
      <c r="G602" s="5"/>
      <c r="H602" s="3509"/>
      <c r="I602" s="3510"/>
    </row>
    <row r="603" spans="1:13" s="804" customFormat="1" ht="13.5" customHeight="1">
      <c r="A603" s="4016">
        <v>109</v>
      </c>
      <c r="B603" s="4001" t="s">
        <v>538</v>
      </c>
      <c r="C603" s="3927">
        <v>763131721</v>
      </c>
      <c r="D603" s="3927" t="s">
        <v>623</v>
      </c>
      <c r="E603" s="3927" t="s">
        <v>141</v>
      </c>
      <c r="F603" s="3724">
        <f>SUM(F604:F605)</f>
        <v>64.199999999999989</v>
      </c>
      <c r="G603" s="12"/>
      <c r="H603" s="3724">
        <f>F603*G603</f>
        <v>0</v>
      </c>
      <c r="I603" s="1368" t="s">
        <v>137</v>
      </c>
      <c r="J603" s="3999"/>
    </row>
    <row r="604" spans="1:13" s="3834" customFormat="1" ht="13.5" customHeight="1">
      <c r="A604" s="4016"/>
      <c r="B604" s="4001"/>
      <c r="C604" s="3927"/>
      <c r="D604" s="3975" t="s">
        <v>624</v>
      </c>
      <c r="E604" s="3927"/>
      <c r="F604" s="3976">
        <f xml:space="preserve"> (15.9)</f>
        <v>15.9</v>
      </c>
      <c r="G604" s="12"/>
      <c r="H604" s="3724"/>
      <c r="I604" s="4177"/>
      <c r="J604" s="4197"/>
      <c r="M604" s="804"/>
    </row>
    <row r="605" spans="1:13" s="3834" customFormat="1" ht="13.5" customHeight="1">
      <c r="A605" s="4016"/>
      <c r="B605" s="4001"/>
      <c r="C605" s="3927"/>
      <c r="D605" s="3975" t="s">
        <v>625</v>
      </c>
      <c r="E605" s="3927"/>
      <c r="F605" s="3976">
        <f>12.6+8.7+17.3+7.15+2.55</f>
        <v>48.29999999999999</v>
      </c>
      <c r="G605" s="12"/>
      <c r="H605" s="3724"/>
      <c r="I605" s="4177"/>
      <c r="J605" s="4197"/>
      <c r="M605" s="804"/>
    </row>
    <row r="606" spans="1:13" s="804" customFormat="1" ht="13.5" customHeight="1">
      <c r="A606" s="4016">
        <v>110</v>
      </c>
      <c r="B606" s="4001" t="s">
        <v>538</v>
      </c>
      <c r="C606" s="3927">
        <v>763131722</v>
      </c>
      <c r="D606" s="3927" t="s">
        <v>626</v>
      </c>
      <c r="E606" s="3927" t="s">
        <v>141</v>
      </c>
      <c r="F606" s="3724">
        <f>SUM(F607:F607)</f>
        <v>19.5</v>
      </c>
      <c r="G606" s="12"/>
      <c r="H606" s="3724">
        <f>F606*G606</f>
        <v>0</v>
      </c>
      <c r="I606" s="1368" t="s">
        <v>137</v>
      </c>
      <c r="J606" s="3999"/>
    </row>
    <row r="607" spans="1:13" s="3834" customFormat="1" ht="13.5" customHeight="1">
      <c r="A607" s="4016"/>
      <c r="B607" s="4001"/>
      <c r="C607" s="3927"/>
      <c r="D607" s="3975" t="s">
        <v>627</v>
      </c>
      <c r="E607" s="3927"/>
      <c r="F607" s="3976">
        <f>(19.5)</f>
        <v>19.5</v>
      </c>
      <c r="G607" s="12"/>
      <c r="H607" s="3724"/>
      <c r="I607" s="4177"/>
      <c r="J607" s="4197"/>
      <c r="M607" s="804"/>
    </row>
    <row r="608" spans="1:13" s="804" customFormat="1" ht="13.5" customHeight="1">
      <c r="A608" s="4016">
        <v>111</v>
      </c>
      <c r="B608" s="4001" t="s">
        <v>538</v>
      </c>
      <c r="C608" s="3927">
        <v>998763402</v>
      </c>
      <c r="D608" s="3927" t="s">
        <v>628</v>
      </c>
      <c r="E608" s="3927" t="s">
        <v>10</v>
      </c>
      <c r="F608" s="3724">
        <v>0.84</v>
      </c>
      <c r="G608" s="12"/>
      <c r="H608" s="3724">
        <f>F608*G608</f>
        <v>0</v>
      </c>
      <c r="I608" s="1368" t="s">
        <v>137</v>
      </c>
      <c r="J608" s="4305"/>
      <c r="K608" s="4306"/>
    </row>
    <row r="609" spans="1:13" s="4214" customFormat="1" ht="13.5" customHeight="1">
      <c r="A609" s="4016">
        <v>112</v>
      </c>
      <c r="B609" s="4001" t="s">
        <v>362</v>
      </c>
      <c r="C609" s="3927" t="s">
        <v>629</v>
      </c>
      <c r="D609" s="3927" t="s">
        <v>630</v>
      </c>
      <c r="E609" s="3927" t="s">
        <v>69</v>
      </c>
      <c r="F609" s="3724">
        <f>F610</f>
        <v>30</v>
      </c>
      <c r="G609" s="12"/>
      <c r="H609" s="3724">
        <f>F609*G609</f>
        <v>0</v>
      </c>
      <c r="I609" s="1368" t="s">
        <v>137</v>
      </c>
      <c r="J609" s="4174"/>
      <c r="M609" s="804"/>
    </row>
    <row r="610" spans="1:13" s="804" customFormat="1" ht="13.5" customHeight="1">
      <c r="A610" s="4178"/>
      <c r="B610" s="4179"/>
      <c r="C610" s="4180"/>
      <c r="D610" s="3975" t="s">
        <v>631</v>
      </c>
      <c r="E610" s="4180"/>
      <c r="F610" s="3976">
        <v>30</v>
      </c>
      <c r="G610" s="20"/>
      <c r="H610" s="3724"/>
      <c r="I610" s="4177"/>
      <c r="J610" s="3999"/>
    </row>
    <row r="611" spans="1:13" s="804" customFormat="1" ht="13.5" customHeight="1">
      <c r="A611" s="4178"/>
      <c r="B611" s="4179"/>
      <c r="C611" s="4180"/>
      <c r="D611" s="3975" t="s">
        <v>526</v>
      </c>
      <c r="E611" s="4180"/>
      <c r="F611" s="3976"/>
      <c r="G611" s="20"/>
      <c r="H611" s="3724"/>
      <c r="I611" s="4177"/>
      <c r="J611" s="3999"/>
    </row>
    <row r="612" spans="1:13" s="888" customFormat="1" ht="13.5" customHeight="1">
      <c r="A612" s="4307"/>
      <c r="B612" s="4308"/>
      <c r="C612" s="4308">
        <v>766</v>
      </c>
      <c r="D612" s="4308" t="s">
        <v>1015</v>
      </c>
      <c r="E612" s="4308"/>
      <c r="F612" s="4309"/>
      <c r="G612" s="259"/>
      <c r="H612" s="4309">
        <f>SUM(H613:H620)</f>
        <v>0</v>
      </c>
      <c r="I612" s="4310"/>
      <c r="J612" s="4065"/>
      <c r="L612" s="4311"/>
    </row>
    <row r="613" spans="1:13" s="804" customFormat="1" ht="13.5" customHeight="1">
      <c r="A613" s="4057" t="s">
        <v>4106</v>
      </c>
      <c r="B613" s="4061" t="s">
        <v>887</v>
      </c>
      <c r="C613" s="4062" t="s">
        <v>4107</v>
      </c>
      <c r="D613" s="4062" t="s">
        <v>4108</v>
      </c>
      <c r="E613" s="4062" t="s">
        <v>163</v>
      </c>
      <c r="F613" s="4063">
        <f>SUM(F614:F614)</f>
        <v>3.08</v>
      </c>
      <c r="G613" s="256"/>
      <c r="H613" s="4063">
        <f>F613*G613</f>
        <v>0</v>
      </c>
      <c r="I613" s="4288" t="s">
        <v>112</v>
      </c>
      <c r="J613" s="3999"/>
    </row>
    <row r="614" spans="1:13" s="3834" customFormat="1" ht="13.5" customHeight="1">
      <c r="A614" s="4057"/>
      <c r="B614" s="4061"/>
      <c r="C614" s="4062"/>
      <c r="D614" s="4062" t="s">
        <v>4109</v>
      </c>
      <c r="E614" s="4062"/>
      <c r="F614" s="4063">
        <f>(2.8*1.1)</f>
        <v>3.08</v>
      </c>
      <c r="G614" s="256"/>
      <c r="H614" s="4063"/>
      <c r="I614" s="4290"/>
      <c r="J614" s="4197"/>
      <c r="M614" s="804"/>
    </row>
    <row r="615" spans="1:13" s="3834" customFormat="1" ht="27" customHeight="1">
      <c r="A615" s="4057"/>
      <c r="B615" s="4061"/>
      <c r="C615" s="4062"/>
      <c r="D615" s="4062" t="s">
        <v>4110</v>
      </c>
      <c r="E615" s="4062"/>
      <c r="F615" s="4063"/>
      <c r="G615" s="256"/>
      <c r="H615" s="4063"/>
      <c r="I615" s="4290"/>
      <c r="J615" s="4197"/>
      <c r="M615" s="804"/>
    </row>
    <row r="616" spans="1:13" s="804" customFormat="1" ht="13.5" customHeight="1">
      <c r="A616" s="4057" t="s">
        <v>4111</v>
      </c>
      <c r="B616" s="4061" t="s">
        <v>887</v>
      </c>
      <c r="C616" s="4062">
        <v>766663916</v>
      </c>
      <c r="D616" s="4062" t="s">
        <v>4112</v>
      </c>
      <c r="E616" s="4062" t="s">
        <v>205</v>
      </c>
      <c r="F616" s="4063">
        <f>SUM(F618:F618)</f>
        <v>2</v>
      </c>
      <c r="G616" s="256"/>
      <c r="H616" s="4063">
        <f>F616*G616</f>
        <v>0</v>
      </c>
      <c r="I616" s="4288" t="s">
        <v>112</v>
      </c>
      <c r="J616" s="3999"/>
    </row>
    <row r="617" spans="1:13" s="804" customFormat="1" ht="13.5" customHeight="1">
      <c r="A617" s="4057"/>
      <c r="B617" s="4061"/>
      <c r="C617" s="4062"/>
      <c r="D617" s="4062" t="s">
        <v>4113</v>
      </c>
      <c r="E617" s="4062"/>
      <c r="F617" s="4063"/>
      <c r="G617" s="256"/>
      <c r="H617" s="4063"/>
      <c r="I617" s="4288"/>
      <c r="J617" s="3999"/>
    </row>
    <row r="618" spans="1:13" s="3834" customFormat="1" ht="13.5" customHeight="1">
      <c r="A618" s="4057"/>
      <c r="B618" s="4061"/>
      <c r="C618" s="4062"/>
      <c r="D618" s="4062" t="s">
        <v>4114</v>
      </c>
      <c r="E618" s="4062"/>
      <c r="F618" s="4063">
        <v>2</v>
      </c>
      <c r="G618" s="256"/>
      <c r="H618" s="4063"/>
      <c r="I618" s="4290"/>
      <c r="J618" s="4197"/>
      <c r="M618" s="804"/>
    </row>
    <row r="619" spans="1:13" s="804" customFormat="1" ht="13.5" customHeight="1">
      <c r="A619" s="4057" t="s">
        <v>4115</v>
      </c>
      <c r="B619" s="4061" t="s">
        <v>887</v>
      </c>
      <c r="C619" s="4062">
        <v>998766202</v>
      </c>
      <c r="D619" s="4062" t="s">
        <v>1070</v>
      </c>
      <c r="E619" s="4062" t="s">
        <v>10</v>
      </c>
      <c r="F619" s="4063">
        <v>0.59</v>
      </c>
      <c r="G619" s="256"/>
      <c r="H619" s="4063">
        <f>F619*G619</f>
        <v>0</v>
      </c>
      <c r="I619" s="4288" t="s">
        <v>137</v>
      </c>
      <c r="J619" s="4312"/>
    </row>
    <row r="620" spans="1:13" s="804" customFormat="1" ht="13.5" customHeight="1">
      <c r="A620" s="4057" t="s">
        <v>4116</v>
      </c>
      <c r="B620" s="4061" t="s">
        <v>362</v>
      </c>
      <c r="C620" s="4062" t="s">
        <v>1009</v>
      </c>
      <c r="D620" s="4062" t="s">
        <v>1010</v>
      </c>
      <c r="E620" s="4062" t="s">
        <v>69</v>
      </c>
      <c r="F620" s="4063">
        <f>F621</f>
        <v>1</v>
      </c>
      <c r="G620" s="256"/>
      <c r="H620" s="4063">
        <f>F620*G620</f>
        <v>0</v>
      </c>
      <c r="I620" s="4288" t="s">
        <v>137</v>
      </c>
      <c r="J620" s="3999"/>
    </row>
    <row r="621" spans="1:13" s="804" customFormat="1" ht="13.5" customHeight="1">
      <c r="A621" s="4178"/>
      <c r="B621" s="4179"/>
      <c r="C621" s="4180"/>
      <c r="D621" s="4062" t="s">
        <v>4117</v>
      </c>
      <c r="E621" s="4180"/>
      <c r="F621" s="4063">
        <v>1</v>
      </c>
      <c r="G621" s="20"/>
      <c r="H621" s="3724"/>
      <c r="I621" s="4177"/>
      <c r="J621" s="3999"/>
    </row>
    <row r="622" spans="1:13" s="804" customFormat="1" ht="13.5" customHeight="1">
      <c r="A622" s="4178"/>
      <c r="B622" s="4179"/>
      <c r="C622" s="4180"/>
      <c r="D622" s="4062" t="s">
        <v>526</v>
      </c>
      <c r="E622" s="4180"/>
      <c r="F622" s="3976"/>
      <c r="G622" s="20"/>
      <c r="H622" s="3724"/>
      <c r="I622" s="4177"/>
      <c r="J622" s="3999"/>
    </row>
    <row r="623" spans="1:13" s="888" customFormat="1" ht="13.5" customHeight="1">
      <c r="A623" s="3501"/>
      <c r="B623" s="3502"/>
      <c r="C623" s="3502">
        <v>771</v>
      </c>
      <c r="D623" s="3502" t="s">
        <v>632</v>
      </c>
      <c r="E623" s="3502"/>
      <c r="F623" s="3634"/>
      <c r="G623" s="19"/>
      <c r="H623" s="3634">
        <f>SUM(H624:H626,H632:H638,H643:H649,H655:H661,H665:H671,H677:H684)</f>
        <v>0</v>
      </c>
      <c r="I623" s="3635"/>
      <c r="J623" s="3663"/>
      <c r="L623" s="4311"/>
    </row>
    <row r="624" spans="1:13" s="888" customFormat="1" ht="27" customHeight="1">
      <c r="A624" s="3725">
        <v>113</v>
      </c>
      <c r="B624" s="3507">
        <v>771</v>
      </c>
      <c r="C624" s="3507" t="s">
        <v>633</v>
      </c>
      <c r="D624" s="3507" t="s">
        <v>634</v>
      </c>
      <c r="E624" s="3507" t="s">
        <v>163</v>
      </c>
      <c r="F624" s="3509">
        <f>SUM(F632)</f>
        <v>63.85</v>
      </c>
      <c r="G624" s="3509">
        <f>SUM(H627:H631)/F624</f>
        <v>0</v>
      </c>
      <c r="H624" s="3509">
        <f>F624*G624</f>
        <v>0</v>
      </c>
      <c r="I624" s="3510" t="s">
        <v>112</v>
      </c>
      <c r="K624" s="3684"/>
      <c r="L624" s="3684"/>
    </row>
    <row r="625" spans="1:23" s="888" customFormat="1" ht="13.5" customHeight="1">
      <c r="A625" s="3725"/>
      <c r="B625" s="3507"/>
      <c r="C625" s="3507"/>
      <c r="D625" s="3514" t="s">
        <v>635</v>
      </c>
      <c r="E625" s="3507"/>
      <c r="F625" s="3509"/>
      <c r="G625" s="5"/>
      <c r="H625" s="3509"/>
      <c r="I625" s="3510"/>
      <c r="K625" s="3684"/>
      <c r="L625" s="3684"/>
    </row>
    <row r="626" spans="1:23" s="888" customFormat="1" ht="13.5" customHeight="1">
      <c r="A626" s="3782"/>
      <c r="B626" s="3594"/>
      <c r="C626" s="3594"/>
      <c r="D626" s="3514" t="s">
        <v>636</v>
      </c>
      <c r="E626" s="4313"/>
      <c r="F626" s="3546"/>
      <c r="G626" s="16"/>
      <c r="H626" s="3509"/>
      <c r="I626" s="3506"/>
    </row>
    <row r="627" spans="1:23" s="888" customFormat="1" ht="13.5" customHeight="1">
      <c r="A627" s="3640"/>
      <c r="B627" s="3594"/>
      <c r="C627" s="3594"/>
      <c r="D627" s="3514" t="s">
        <v>637</v>
      </c>
      <c r="E627" s="3530" t="s">
        <v>163</v>
      </c>
      <c r="F627" s="3546">
        <f>(63.85)*1.1</f>
        <v>70.235000000000014</v>
      </c>
      <c r="G627" s="22"/>
      <c r="H627" s="3546">
        <f>F627*G627</f>
        <v>0</v>
      </c>
      <c r="I627" s="3506"/>
      <c r="J627" s="4314"/>
      <c r="L627" s="4315"/>
      <c r="M627" s="4316"/>
      <c r="N627" s="4317"/>
      <c r="Q627" s="3674"/>
    </row>
    <row r="628" spans="1:23" s="888" customFormat="1" ht="13.5" customHeight="1">
      <c r="A628" s="3640"/>
      <c r="B628" s="3594"/>
      <c r="C628" s="3594"/>
      <c r="D628" s="3514" t="s">
        <v>638</v>
      </c>
      <c r="E628" s="3530" t="s">
        <v>163</v>
      </c>
      <c r="F628" s="3546">
        <f>(63.85)*1.05</f>
        <v>67.042500000000004</v>
      </c>
      <c r="G628" s="22"/>
      <c r="H628" s="3546">
        <f>F628*G628</f>
        <v>0</v>
      </c>
      <c r="I628" s="3506"/>
      <c r="J628" s="4314"/>
      <c r="L628" s="4318"/>
      <c r="M628" s="4316"/>
      <c r="N628" s="4316"/>
      <c r="O628" s="4316"/>
      <c r="P628" s="4316"/>
      <c r="Q628" s="4316"/>
      <c r="R628" s="4316"/>
      <c r="S628" s="4316"/>
      <c r="T628" s="4316"/>
      <c r="U628" s="4318"/>
      <c r="V628" s="4316"/>
      <c r="W628" s="4319"/>
    </row>
    <row r="629" spans="1:23" s="888" customFormat="1" ht="27" customHeight="1">
      <c r="A629" s="3640"/>
      <c r="B629" s="4320"/>
      <c r="C629" s="3530"/>
      <c r="D629" s="3514" t="s">
        <v>639</v>
      </c>
      <c r="E629" s="3530" t="s">
        <v>163</v>
      </c>
      <c r="F629" s="3546">
        <f>(63.85)*1.05</f>
        <v>67.042500000000004</v>
      </c>
      <c r="G629" s="22"/>
      <c r="H629" s="3546">
        <f>F629*G629</f>
        <v>0</v>
      </c>
      <c r="I629" s="2532"/>
      <c r="J629" s="3585"/>
      <c r="K629" s="3133"/>
      <c r="L629" s="4235"/>
      <c r="M629" s="4236"/>
      <c r="N629" s="4203"/>
      <c r="U629" s="1204"/>
      <c r="W629" s="3134"/>
    </row>
    <row r="630" spans="1:23" s="888" customFormat="1" ht="13.5" customHeight="1">
      <c r="A630" s="3640"/>
      <c r="B630" s="4320"/>
      <c r="C630" s="3530"/>
      <c r="D630" s="3514" t="s">
        <v>640</v>
      </c>
      <c r="E630" s="3530" t="s">
        <v>163</v>
      </c>
      <c r="F630" s="3546">
        <f>(63.85)*1.15</f>
        <v>73.427499999999995</v>
      </c>
      <c r="G630" s="22"/>
      <c r="H630" s="3546">
        <f>F630*G630</f>
        <v>0</v>
      </c>
      <c r="I630" s="2532"/>
      <c r="J630" s="3585"/>
      <c r="K630" s="3133"/>
      <c r="L630" s="3134"/>
      <c r="M630" s="3133"/>
      <c r="N630" s="3133"/>
      <c r="W630" s="2748"/>
    </row>
    <row r="631" spans="1:23" s="888" customFormat="1" ht="27" customHeight="1">
      <c r="A631" s="3640"/>
      <c r="B631" s="3594"/>
      <c r="C631" s="3594"/>
      <c r="D631" s="3514" t="s">
        <v>641</v>
      </c>
      <c r="E631" s="3530" t="s">
        <v>163</v>
      </c>
      <c r="F631" s="3546">
        <f>(63.85)*1.1</f>
        <v>70.235000000000014</v>
      </c>
      <c r="G631" s="22"/>
      <c r="H631" s="3546">
        <f>F631*G631</f>
        <v>0</v>
      </c>
      <c r="I631" s="3506"/>
      <c r="J631" s="3585"/>
      <c r="K631" s="3133"/>
      <c r="L631" s="4235"/>
      <c r="M631" s="4202"/>
      <c r="N631" s="4203"/>
      <c r="W631" s="2748"/>
    </row>
    <row r="632" spans="1:23" s="888" customFormat="1" ht="27" customHeight="1">
      <c r="A632" s="3782"/>
      <c r="B632" s="3594"/>
      <c r="C632" s="3594"/>
      <c r="D632" s="3514" t="s">
        <v>642</v>
      </c>
      <c r="E632" s="3594"/>
      <c r="F632" s="3546">
        <f>(5.52+7.83+11.25+13.05+0.55+3.89+5.45+3.05+3.29+3.73+6.24)</f>
        <v>63.85</v>
      </c>
      <c r="G632" s="16"/>
      <c r="H632" s="3509"/>
      <c r="I632" s="3506"/>
      <c r="J632" s="3919"/>
      <c r="L632" s="2748"/>
      <c r="R632" s="3663"/>
    </row>
    <row r="633" spans="1:23" s="4324" customFormat="1" ht="27" customHeight="1">
      <c r="A633" s="3518"/>
      <c r="B633" s="4041"/>
      <c r="C633" s="3514"/>
      <c r="D633" s="3514" t="s">
        <v>643</v>
      </c>
      <c r="E633" s="3530"/>
      <c r="F633" s="3546"/>
      <c r="G633" s="15"/>
      <c r="H633" s="3546"/>
      <c r="I633" s="4321"/>
      <c r="J633" s="1204"/>
      <c r="K633" s="888"/>
      <c r="L633" s="4322"/>
      <c r="M633" s="4323"/>
      <c r="N633" s="4323"/>
    </row>
    <row r="634" spans="1:23" s="4324" customFormat="1" ht="39" customHeight="1">
      <c r="A634" s="3518"/>
      <c r="B634" s="4041"/>
      <c r="C634" s="3514"/>
      <c r="D634" s="3514" t="s">
        <v>644</v>
      </c>
      <c r="E634" s="3530"/>
      <c r="F634" s="3546"/>
      <c r="G634" s="15"/>
      <c r="H634" s="3546"/>
      <c r="I634" s="4321"/>
      <c r="J634" s="2636"/>
      <c r="K634" s="4323"/>
      <c r="L634" s="4322"/>
      <c r="M634" s="4323"/>
      <c r="N634" s="4323"/>
    </row>
    <row r="635" spans="1:23" s="1204" customFormat="1" ht="14.25" customHeight="1">
      <c r="A635" s="3782"/>
      <c r="B635" s="4054"/>
      <c r="C635" s="3594"/>
      <c r="D635" s="3514" t="s">
        <v>645</v>
      </c>
      <c r="E635" s="3594"/>
      <c r="F635" s="3808"/>
      <c r="G635" s="16"/>
      <c r="H635" s="3509"/>
      <c r="I635" s="3943"/>
    </row>
    <row r="636" spans="1:23" s="888" customFormat="1" ht="27" customHeight="1">
      <c r="A636" s="3725">
        <v>114</v>
      </c>
      <c r="B636" s="3507">
        <v>771</v>
      </c>
      <c r="C636" s="3507" t="s">
        <v>646</v>
      </c>
      <c r="D636" s="3507" t="s">
        <v>647</v>
      </c>
      <c r="E636" s="3507" t="s">
        <v>163</v>
      </c>
      <c r="F636" s="3509">
        <f>SUM(F643)</f>
        <v>86.45</v>
      </c>
      <c r="G636" s="3509">
        <f>SUM(H639:H642)/F636</f>
        <v>0</v>
      </c>
      <c r="H636" s="3509">
        <f>F636*G636</f>
        <v>0</v>
      </c>
      <c r="I636" s="3510" t="s">
        <v>112</v>
      </c>
      <c r="K636" s="3684"/>
      <c r="L636" s="3684"/>
    </row>
    <row r="637" spans="1:23" s="888" customFormat="1" ht="13.5" customHeight="1">
      <c r="A637" s="3725"/>
      <c r="B637" s="3507"/>
      <c r="C637" s="3507"/>
      <c r="D637" s="3514" t="s">
        <v>648</v>
      </c>
      <c r="E637" s="3507"/>
      <c r="F637" s="3509"/>
      <c r="G637" s="5"/>
      <c r="H637" s="3509"/>
      <c r="I637" s="3510"/>
      <c r="K637" s="3684"/>
      <c r="L637" s="3684"/>
    </row>
    <row r="638" spans="1:23" s="888" customFormat="1" ht="13.5" customHeight="1">
      <c r="A638" s="3782"/>
      <c r="B638" s="3594"/>
      <c r="C638" s="3594"/>
      <c r="D638" s="3514" t="s">
        <v>636</v>
      </c>
      <c r="E638" s="4313"/>
      <c r="F638" s="3546"/>
      <c r="G638" s="16"/>
      <c r="H638" s="3509"/>
      <c r="I638" s="3506"/>
    </row>
    <row r="639" spans="1:23" s="888" customFormat="1" ht="13.5" customHeight="1">
      <c r="A639" s="3640"/>
      <c r="B639" s="3594"/>
      <c r="C639" s="3594"/>
      <c r="D639" s="3514" t="s">
        <v>649</v>
      </c>
      <c r="E639" s="3530" t="s">
        <v>163</v>
      </c>
      <c r="F639" s="3546">
        <f>(86.45)*1.1</f>
        <v>95.095000000000013</v>
      </c>
      <c r="G639" s="22"/>
      <c r="H639" s="3546">
        <f>F639*G639</f>
        <v>0</v>
      </c>
      <c r="I639" s="3506"/>
      <c r="J639" s="4314"/>
      <c r="L639" s="4315"/>
      <c r="M639" s="4316"/>
      <c r="N639" s="4317"/>
      <c r="Q639" s="3674"/>
    </row>
    <row r="640" spans="1:23" s="888" customFormat="1" ht="27" customHeight="1">
      <c r="A640" s="3640"/>
      <c r="B640" s="4320"/>
      <c r="C640" s="3530"/>
      <c r="D640" s="3514" t="s">
        <v>650</v>
      </c>
      <c r="E640" s="3530" t="s">
        <v>163</v>
      </c>
      <c r="F640" s="3546">
        <f>(86.45)*1.05</f>
        <v>90.772500000000008</v>
      </c>
      <c r="G640" s="22"/>
      <c r="H640" s="3546">
        <f>F640*G640</f>
        <v>0</v>
      </c>
      <c r="I640" s="2532"/>
      <c r="J640" s="3585"/>
      <c r="K640" s="3133"/>
      <c r="L640" s="4235"/>
      <c r="M640" s="4236"/>
      <c r="N640" s="4203"/>
      <c r="U640" s="1204"/>
      <c r="W640" s="3134"/>
    </row>
    <row r="641" spans="1:23" s="888" customFormat="1" ht="13.5" customHeight="1">
      <c r="A641" s="3640"/>
      <c r="B641" s="4320"/>
      <c r="C641" s="3530"/>
      <c r="D641" s="3514" t="s">
        <v>651</v>
      </c>
      <c r="E641" s="3530" t="s">
        <v>163</v>
      </c>
      <c r="F641" s="3546">
        <f>(86.45)*1.15</f>
        <v>99.41749999999999</v>
      </c>
      <c r="G641" s="22"/>
      <c r="H641" s="3546">
        <f>F641*G641</f>
        <v>0</v>
      </c>
      <c r="I641" s="2532"/>
      <c r="J641" s="3585"/>
      <c r="K641" s="3133"/>
      <c r="L641" s="3134"/>
      <c r="M641" s="3133"/>
      <c r="N641" s="3133"/>
      <c r="W641" s="2748"/>
    </row>
    <row r="642" spans="1:23" s="888" customFormat="1" ht="27" customHeight="1">
      <c r="A642" s="3640"/>
      <c r="B642" s="3594"/>
      <c r="C642" s="3594"/>
      <c r="D642" s="3514" t="s">
        <v>652</v>
      </c>
      <c r="E642" s="3530" t="s">
        <v>163</v>
      </c>
      <c r="F642" s="3546">
        <f>(86.45)*1.1</f>
        <v>95.095000000000013</v>
      </c>
      <c r="G642" s="22"/>
      <c r="H642" s="3546">
        <f>F642*G642</f>
        <v>0</v>
      </c>
      <c r="I642" s="3506"/>
      <c r="J642" s="3585"/>
      <c r="K642" s="3133"/>
      <c r="L642" s="4235"/>
      <c r="M642" s="4236"/>
      <c r="N642" s="4203"/>
      <c r="W642" s="2748"/>
    </row>
    <row r="643" spans="1:23" s="888" customFormat="1" ht="27" customHeight="1">
      <c r="A643" s="3782"/>
      <c r="B643" s="3594"/>
      <c r="C643" s="3594"/>
      <c r="D643" s="3514" t="s">
        <v>653</v>
      </c>
      <c r="E643" s="3594"/>
      <c r="F643" s="3546">
        <f>(19.55+32.87+16.22+8.11+2.9+2+1.44+3.36)</f>
        <v>86.45</v>
      </c>
      <c r="G643" s="16"/>
      <c r="H643" s="3509"/>
      <c r="I643" s="3506"/>
      <c r="J643" s="3919"/>
      <c r="L643" s="2748"/>
      <c r="R643" s="3663"/>
    </row>
    <row r="644" spans="1:23" s="4324" customFormat="1" ht="27" customHeight="1">
      <c r="A644" s="3518"/>
      <c r="B644" s="4041"/>
      <c r="C644" s="3514"/>
      <c r="D644" s="3514" t="s">
        <v>643</v>
      </c>
      <c r="E644" s="3530"/>
      <c r="F644" s="3546"/>
      <c r="G644" s="15"/>
      <c r="H644" s="3546"/>
      <c r="I644" s="4321"/>
      <c r="J644" s="1204"/>
      <c r="K644" s="888"/>
      <c r="L644" s="4322"/>
      <c r="M644" s="4323"/>
      <c r="N644" s="4323"/>
    </row>
    <row r="645" spans="1:23" s="4324" customFormat="1" ht="39" customHeight="1">
      <c r="A645" s="3518"/>
      <c r="B645" s="4041"/>
      <c r="C645" s="3514"/>
      <c r="D645" s="3514" t="s">
        <v>644</v>
      </c>
      <c r="E645" s="3530"/>
      <c r="F645" s="3546"/>
      <c r="G645" s="15"/>
      <c r="H645" s="3546"/>
      <c r="I645" s="4321"/>
      <c r="J645" s="2636"/>
      <c r="K645" s="4323"/>
      <c r="L645" s="4322"/>
      <c r="M645" s="4323"/>
      <c r="N645" s="4323"/>
    </row>
    <row r="646" spans="1:23" s="1204" customFormat="1" ht="14.25" customHeight="1">
      <c r="A646" s="3782"/>
      <c r="B646" s="4054"/>
      <c r="C646" s="3594"/>
      <c r="D646" s="3514" t="s">
        <v>645</v>
      </c>
      <c r="E646" s="3594"/>
      <c r="F646" s="3808"/>
      <c r="G646" s="16"/>
      <c r="H646" s="3509"/>
      <c r="I646" s="3943"/>
    </row>
    <row r="647" spans="1:23" s="888" customFormat="1" ht="27" customHeight="1">
      <c r="A647" s="3725">
        <v>115</v>
      </c>
      <c r="B647" s="3507">
        <v>771</v>
      </c>
      <c r="C647" s="3507" t="s">
        <v>654</v>
      </c>
      <c r="D647" s="3507" t="s">
        <v>655</v>
      </c>
      <c r="E647" s="3507" t="s">
        <v>163</v>
      </c>
      <c r="F647" s="3509">
        <f>SUM(F655)</f>
        <v>84.71</v>
      </c>
      <c r="G647" s="3509">
        <f>SUM(H650:H654)/F647</f>
        <v>0</v>
      </c>
      <c r="H647" s="3509">
        <f>F647*G647</f>
        <v>0</v>
      </c>
      <c r="I647" s="3510" t="s">
        <v>112</v>
      </c>
      <c r="K647" s="3684"/>
      <c r="L647" s="3684"/>
    </row>
    <row r="648" spans="1:23" s="888" customFormat="1" ht="13.5" customHeight="1">
      <c r="A648" s="3725"/>
      <c r="B648" s="3507"/>
      <c r="C648" s="3507"/>
      <c r="D648" s="3514" t="s">
        <v>648</v>
      </c>
      <c r="E648" s="3507"/>
      <c r="F648" s="3509"/>
      <c r="G648" s="5"/>
      <c r="H648" s="3509"/>
      <c r="I648" s="3510"/>
      <c r="K648" s="3684"/>
      <c r="L648" s="3684"/>
    </row>
    <row r="649" spans="1:23" s="888" customFormat="1" ht="13.5" customHeight="1">
      <c r="A649" s="3782"/>
      <c r="B649" s="3594"/>
      <c r="C649" s="3594"/>
      <c r="D649" s="3514" t="s">
        <v>636</v>
      </c>
      <c r="E649" s="4313"/>
      <c r="F649" s="3546"/>
      <c r="G649" s="16"/>
      <c r="H649" s="3509"/>
      <c r="I649" s="3506"/>
    </row>
    <row r="650" spans="1:23" s="888" customFormat="1" ht="13.5" customHeight="1">
      <c r="A650" s="3640"/>
      <c r="B650" s="3594"/>
      <c r="C650" s="3594"/>
      <c r="D650" s="3514" t="s">
        <v>656</v>
      </c>
      <c r="E650" s="3530" t="s">
        <v>163</v>
      </c>
      <c r="F650" s="3546">
        <f>(84.71)*1.1</f>
        <v>93.180999999999997</v>
      </c>
      <c r="G650" s="22"/>
      <c r="H650" s="3546">
        <f>F650*G650</f>
        <v>0</v>
      </c>
      <c r="I650" s="3506"/>
      <c r="J650" s="4314"/>
      <c r="L650" s="4315"/>
      <c r="M650" s="4316"/>
      <c r="N650" s="4317"/>
      <c r="Q650" s="3674"/>
    </row>
    <row r="651" spans="1:23" s="888" customFormat="1" ht="13.5" customHeight="1">
      <c r="A651" s="3640"/>
      <c r="B651" s="4320"/>
      <c r="C651" s="3530"/>
      <c r="D651" s="3514" t="s">
        <v>657</v>
      </c>
      <c r="E651" s="3530" t="s">
        <v>163</v>
      </c>
      <c r="F651" s="3546">
        <f>(84.71)*1.1</f>
        <v>93.180999999999997</v>
      </c>
      <c r="G651" s="22"/>
      <c r="H651" s="3546">
        <f>F651*G651</f>
        <v>0</v>
      </c>
      <c r="I651" s="2532"/>
      <c r="J651" s="3585"/>
      <c r="K651" s="3133"/>
      <c r="L651" s="3134"/>
      <c r="M651" s="3133"/>
      <c r="N651" s="3133"/>
      <c r="W651" s="2748"/>
    </row>
    <row r="652" spans="1:23" s="888" customFormat="1" ht="27" customHeight="1">
      <c r="A652" s="3640"/>
      <c r="B652" s="4320"/>
      <c r="C652" s="3530"/>
      <c r="D652" s="3514" t="s">
        <v>658</v>
      </c>
      <c r="E652" s="3530" t="s">
        <v>146</v>
      </c>
      <c r="F652" s="3546">
        <f>(84.71*0.11)*1.1</f>
        <v>10.24991</v>
      </c>
      <c r="G652" s="22"/>
      <c r="H652" s="3546">
        <f>F652*G652</f>
        <v>0</v>
      </c>
      <c r="I652" s="2532"/>
      <c r="J652" s="3585"/>
      <c r="K652" s="3133"/>
      <c r="L652" s="4235"/>
      <c r="M652" s="4236"/>
      <c r="N652" s="4203"/>
      <c r="U652" s="1204"/>
      <c r="W652" s="3134"/>
    </row>
    <row r="653" spans="1:23" s="888" customFormat="1" ht="13.5" customHeight="1">
      <c r="A653" s="3640"/>
      <c r="B653" s="4320"/>
      <c r="C653" s="3530"/>
      <c r="D653" s="3514" t="s">
        <v>659</v>
      </c>
      <c r="E653" s="3530" t="s">
        <v>163</v>
      </c>
      <c r="F653" s="3546">
        <f>(84.71)*1.15</f>
        <v>97.416499999999985</v>
      </c>
      <c r="G653" s="22"/>
      <c r="H653" s="3546">
        <f>F653*G653</f>
        <v>0</v>
      </c>
      <c r="I653" s="2532"/>
      <c r="J653" s="3585"/>
      <c r="K653" s="3133"/>
      <c r="L653" s="3134"/>
      <c r="M653" s="3133"/>
      <c r="N653" s="3133"/>
      <c r="W653" s="2748"/>
    </row>
    <row r="654" spans="1:23" s="888" customFormat="1" ht="27" customHeight="1">
      <c r="A654" s="3640"/>
      <c r="B654" s="3594"/>
      <c r="C654" s="3594"/>
      <c r="D654" s="3514" t="s">
        <v>652</v>
      </c>
      <c r="E654" s="3530" t="s">
        <v>163</v>
      </c>
      <c r="F654" s="3546">
        <f>(86.45)*1.1</f>
        <v>95.095000000000013</v>
      </c>
      <c r="G654" s="22"/>
      <c r="H654" s="3546">
        <f>F654*G654</f>
        <v>0</v>
      </c>
      <c r="I654" s="3506"/>
      <c r="J654" s="3585"/>
      <c r="K654" s="3133"/>
      <c r="L654" s="4235"/>
      <c r="M654" s="4236"/>
      <c r="N654" s="4203"/>
      <c r="W654" s="2748"/>
    </row>
    <row r="655" spans="1:23" s="888" customFormat="1" ht="13.5" customHeight="1">
      <c r="A655" s="3782"/>
      <c r="B655" s="3594"/>
      <c r="C655" s="3594"/>
      <c r="D655" s="3514" t="s">
        <v>660</v>
      </c>
      <c r="E655" s="3594"/>
      <c r="F655" s="3546">
        <f>(84.71)</f>
        <v>84.71</v>
      </c>
      <c r="G655" s="16"/>
      <c r="H655" s="3509"/>
      <c r="I655" s="3506"/>
      <c r="J655" s="3919"/>
      <c r="L655" s="2748"/>
      <c r="R655" s="3663"/>
    </row>
    <row r="656" spans="1:23" s="4324" customFormat="1" ht="27" customHeight="1">
      <c r="A656" s="3518"/>
      <c r="B656" s="4041"/>
      <c r="C656" s="3514"/>
      <c r="D656" s="3514" t="s">
        <v>643</v>
      </c>
      <c r="E656" s="3530"/>
      <c r="F656" s="3546"/>
      <c r="G656" s="15"/>
      <c r="H656" s="3546"/>
      <c r="I656" s="4321"/>
      <c r="J656" s="1204"/>
      <c r="K656" s="888"/>
      <c r="L656" s="4322"/>
      <c r="M656" s="4323"/>
      <c r="N656" s="4323"/>
    </row>
    <row r="657" spans="1:23" s="4324" customFormat="1" ht="39" customHeight="1">
      <c r="A657" s="3518"/>
      <c r="B657" s="4041"/>
      <c r="C657" s="3514"/>
      <c r="D657" s="3514" t="s">
        <v>644</v>
      </c>
      <c r="E657" s="3530"/>
      <c r="F657" s="3546"/>
      <c r="G657" s="15"/>
      <c r="H657" s="3546"/>
      <c r="I657" s="4321"/>
      <c r="J657" s="1204"/>
      <c r="K657" s="888"/>
      <c r="L657" s="4322"/>
      <c r="M657" s="4323"/>
      <c r="N657" s="4323"/>
    </row>
    <row r="658" spans="1:23" s="1204" customFormat="1" ht="14.25" customHeight="1">
      <c r="A658" s="3782"/>
      <c r="B658" s="4054"/>
      <c r="C658" s="3594"/>
      <c r="D658" s="3514" t="s">
        <v>645</v>
      </c>
      <c r="E658" s="3594"/>
      <c r="F658" s="3808"/>
      <c r="G658" s="16"/>
      <c r="H658" s="3509"/>
      <c r="I658" s="3943"/>
    </row>
    <row r="659" spans="1:23" s="888" customFormat="1" ht="27" customHeight="1">
      <c r="A659" s="3725">
        <v>116</v>
      </c>
      <c r="B659" s="3507">
        <v>771</v>
      </c>
      <c r="C659" s="3507" t="s">
        <v>661</v>
      </c>
      <c r="D659" s="3507" t="s">
        <v>662</v>
      </c>
      <c r="E659" s="3507" t="s">
        <v>163</v>
      </c>
      <c r="F659" s="3509">
        <f>SUM(F665)</f>
        <v>10.37</v>
      </c>
      <c r="G659" s="3509">
        <f>SUM(H662:H664)/F659</f>
        <v>0</v>
      </c>
      <c r="H659" s="3509">
        <f>F659*G659</f>
        <v>0</v>
      </c>
      <c r="I659" s="3510" t="s">
        <v>112</v>
      </c>
      <c r="K659" s="3684"/>
      <c r="L659" s="3684"/>
    </row>
    <row r="660" spans="1:23" s="888" customFormat="1" ht="13.5" customHeight="1">
      <c r="A660" s="3725"/>
      <c r="B660" s="3507"/>
      <c r="C660" s="3507"/>
      <c r="D660" s="3514" t="s">
        <v>635</v>
      </c>
      <c r="E660" s="3507"/>
      <c r="F660" s="3509"/>
      <c r="G660" s="5"/>
      <c r="H660" s="3509"/>
      <c r="I660" s="3510"/>
      <c r="K660" s="3684"/>
      <c r="L660" s="3684"/>
    </row>
    <row r="661" spans="1:23" s="888" customFormat="1" ht="13.5" customHeight="1">
      <c r="A661" s="3782"/>
      <c r="B661" s="3594"/>
      <c r="C661" s="3594"/>
      <c r="D661" s="3514" t="s">
        <v>636</v>
      </c>
      <c r="E661" s="4313"/>
      <c r="F661" s="3546"/>
      <c r="G661" s="16"/>
      <c r="H661" s="3509"/>
      <c r="I661" s="3506"/>
    </row>
    <row r="662" spans="1:23" s="888" customFormat="1" ht="13.5" customHeight="1">
      <c r="A662" s="3640"/>
      <c r="B662" s="3594"/>
      <c r="C662" s="3594"/>
      <c r="D662" s="3514" t="s">
        <v>663</v>
      </c>
      <c r="E662" s="3530" t="s">
        <v>163</v>
      </c>
      <c r="F662" s="3546">
        <f>(10.37)*1.15</f>
        <v>11.925499999999998</v>
      </c>
      <c r="G662" s="22"/>
      <c r="H662" s="3546">
        <f>F662*G662</f>
        <v>0</v>
      </c>
      <c r="I662" s="3506"/>
      <c r="J662" s="4314"/>
      <c r="L662" s="4315"/>
      <c r="M662" s="4316"/>
      <c r="N662" s="4317"/>
      <c r="Q662" s="3674"/>
    </row>
    <row r="663" spans="1:23" s="888" customFormat="1" ht="13.5" customHeight="1">
      <c r="A663" s="3640"/>
      <c r="B663" s="3594"/>
      <c r="C663" s="3594"/>
      <c r="D663" s="3514" t="s">
        <v>664</v>
      </c>
      <c r="E663" s="3530" t="s">
        <v>163</v>
      </c>
      <c r="F663" s="3546">
        <f>(10.37)*1.05</f>
        <v>10.888500000000001</v>
      </c>
      <c r="G663" s="22"/>
      <c r="H663" s="3546">
        <f>F663*G663</f>
        <v>0</v>
      </c>
      <c r="I663" s="3506"/>
      <c r="J663" s="4314"/>
      <c r="L663" s="4318"/>
      <c r="M663" s="4316"/>
      <c r="N663" s="4316"/>
      <c r="O663" s="4316"/>
      <c r="P663" s="4316"/>
      <c r="Q663" s="4316"/>
      <c r="R663" s="4316"/>
      <c r="S663" s="4316"/>
      <c r="T663" s="4316"/>
      <c r="U663" s="4318"/>
      <c r="V663" s="4316"/>
      <c r="W663" s="4319"/>
    </row>
    <row r="664" spans="1:23" s="888" customFormat="1" ht="13.5" customHeight="1">
      <c r="A664" s="3640"/>
      <c r="B664" s="4320"/>
      <c r="C664" s="3530"/>
      <c r="D664" s="3514" t="s">
        <v>665</v>
      </c>
      <c r="E664" s="3530" t="s">
        <v>163</v>
      </c>
      <c r="F664" s="3546">
        <f>(10.37)*1.1</f>
        <v>11.407</v>
      </c>
      <c r="G664" s="22"/>
      <c r="H664" s="3546">
        <f>F664*G664</f>
        <v>0</v>
      </c>
      <c r="I664" s="2532"/>
      <c r="J664" s="3585"/>
      <c r="K664" s="3133"/>
      <c r="L664" s="3134"/>
      <c r="M664" s="3133"/>
      <c r="N664" s="3133"/>
      <c r="W664" s="2748"/>
    </row>
    <row r="665" spans="1:23" s="888" customFormat="1" ht="13.5" customHeight="1">
      <c r="A665" s="3782"/>
      <c r="B665" s="3594"/>
      <c r="C665" s="3594"/>
      <c r="D665" s="3514" t="s">
        <v>666</v>
      </c>
      <c r="E665" s="3594"/>
      <c r="F665" s="3546">
        <v>10.37</v>
      </c>
      <c r="G665" s="16"/>
      <c r="H665" s="3509"/>
      <c r="I665" s="3506"/>
      <c r="J665" s="3919"/>
      <c r="L665" s="2748"/>
      <c r="R665" s="3663"/>
    </row>
    <row r="666" spans="1:23" s="4324" customFormat="1" ht="27" customHeight="1">
      <c r="A666" s="3518"/>
      <c r="B666" s="4041"/>
      <c r="C666" s="3514"/>
      <c r="D666" s="3514" t="s">
        <v>643</v>
      </c>
      <c r="E666" s="3530"/>
      <c r="F666" s="3546"/>
      <c r="G666" s="15"/>
      <c r="H666" s="3546"/>
      <c r="I666" s="4321"/>
      <c r="J666" s="1204"/>
      <c r="K666" s="888"/>
      <c r="L666" s="4322"/>
      <c r="M666" s="4323"/>
      <c r="N666" s="4323"/>
    </row>
    <row r="667" spans="1:23" s="4324" customFormat="1" ht="39" customHeight="1">
      <c r="A667" s="3518"/>
      <c r="B667" s="4041"/>
      <c r="C667" s="3514"/>
      <c r="D667" s="3514" t="s">
        <v>644</v>
      </c>
      <c r="E667" s="3530"/>
      <c r="F667" s="3546"/>
      <c r="G667" s="15"/>
      <c r="H667" s="3546"/>
      <c r="I667" s="4321"/>
      <c r="J667" s="1204"/>
      <c r="K667" s="888"/>
      <c r="L667" s="4322"/>
      <c r="M667" s="4323"/>
      <c r="N667" s="4323"/>
    </row>
    <row r="668" spans="1:23" s="1204" customFormat="1" ht="14.25" customHeight="1">
      <c r="A668" s="3782"/>
      <c r="B668" s="4054"/>
      <c r="C668" s="3594"/>
      <c r="D668" s="3514" t="s">
        <v>645</v>
      </c>
      <c r="E668" s="3594"/>
      <c r="F668" s="3808"/>
      <c r="G668" s="16"/>
      <c r="H668" s="3509"/>
      <c r="I668" s="3943"/>
    </row>
    <row r="669" spans="1:23" s="888" customFormat="1" ht="27" customHeight="1">
      <c r="A669" s="3725">
        <v>117</v>
      </c>
      <c r="B669" s="3507">
        <v>771</v>
      </c>
      <c r="C669" s="3507" t="s">
        <v>667</v>
      </c>
      <c r="D669" s="3507" t="s">
        <v>668</v>
      </c>
      <c r="E669" s="3507" t="s">
        <v>163</v>
      </c>
      <c r="F669" s="3509">
        <f>SUM(F677)</f>
        <v>40.15</v>
      </c>
      <c r="G669" s="3509">
        <f>SUM(H672:H676)/F669</f>
        <v>0</v>
      </c>
      <c r="H669" s="3509">
        <f>F669*G669</f>
        <v>0</v>
      </c>
      <c r="I669" s="3510" t="s">
        <v>112</v>
      </c>
      <c r="K669" s="3684"/>
      <c r="L669" s="3684"/>
    </row>
    <row r="670" spans="1:23" s="888" customFormat="1" ht="13.5" customHeight="1">
      <c r="A670" s="3725"/>
      <c r="B670" s="3507"/>
      <c r="C670" s="3507"/>
      <c r="D670" s="3514" t="s">
        <v>635</v>
      </c>
      <c r="E670" s="3507"/>
      <c r="F670" s="3509"/>
      <c r="G670" s="5"/>
      <c r="H670" s="3509"/>
      <c r="I670" s="3510"/>
      <c r="K670" s="3684"/>
      <c r="L670" s="3684"/>
    </row>
    <row r="671" spans="1:23" s="888" customFormat="1" ht="13.5" customHeight="1">
      <c r="A671" s="3782"/>
      <c r="B671" s="3594"/>
      <c r="C671" s="3594"/>
      <c r="D671" s="3514" t="s">
        <v>636</v>
      </c>
      <c r="E671" s="4313"/>
      <c r="F671" s="3546"/>
      <c r="G671" s="16"/>
      <c r="H671" s="3509"/>
      <c r="I671" s="3506"/>
    </row>
    <row r="672" spans="1:23" s="888" customFormat="1" ht="13.5" customHeight="1">
      <c r="A672" s="3640"/>
      <c r="B672" s="3594"/>
      <c r="C672" s="3594"/>
      <c r="D672" s="3514" t="s">
        <v>669</v>
      </c>
      <c r="E672" s="3530" t="s">
        <v>163</v>
      </c>
      <c r="F672" s="3546">
        <f>(40.15)*1.1</f>
        <v>44.164999999999999</v>
      </c>
      <c r="G672" s="22"/>
      <c r="H672" s="3546">
        <f>F672*G672</f>
        <v>0</v>
      </c>
      <c r="I672" s="3506"/>
      <c r="J672" s="4314"/>
      <c r="L672" s="4315"/>
      <c r="M672" s="4316"/>
      <c r="N672" s="4317"/>
      <c r="Q672" s="3674"/>
    </row>
    <row r="673" spans="1:23" s="888" customFormat="1" ht="13.5" customHeight="1">
      <c r="A673" s="3640"/>
      <c r="B673" s="4320"/>
      <c r="C673" s="3530"/>
      <c r="D673" s="3514" t="s">
        <v>670</v>
      </c>
      <c r="E673" s="3530" t="s">
        <v>163</v>
      </c>
      <c r="F673" s="3546">
        <f>(40.15)*1.1</f>
        <v>44.164999999999999</v>
      </c>
      <c r="G673" s="22"/>
      <c r="H673" s="3546">
        <f>F673*G673</f>
        <v>0</v>
      </c>
      <c r="I673" s="2532"/>
      <c r="J673" s="3585"/>
      <c r="K673" s="3133"/>
      <c r="L673" s="3134"/>
      <c r="M673" s="4236"/>
      <c r="N673" s="3133"/>
      <c r="W673" s="2748"/>
    </row>
    <row r="674" spans="1:23" s="888" customFormat="1" ht="27" customHeight="1">
      <c r="A674" s="3640"/>
      <c r="B674" s="4320"/>
      <c r="C674" s="3530"/>
      <c r="D674" s="3514" t="s">
        <v>671</v>
      </c>
      <c r="E674" s="3530" t="s">
        <v>163</v>
      </c>
      <c r="F674" s="3546">
        <f>(40.15)*1.1</f>
        <v>44.164999999999999</v>
      </c>
      <c r="G674" s="22"/>
      <c r="H674" s="3546">
        <f>F674*G674</f>
        <v>0</v>
      </c>
      <c r="I674" s="2532"/>
      <c r="J674" s="3585"/>
      <c r="K674" s="3133"/>
      <c r="L674" s="4235"/>
      <c r="M674" s="4236"/>
      <c r="N674" s="4203"/>
      <c r="U674" s="1204"/>
      <c r="W674" s="3134"/>
    </row>
    <row r="675" spans="1:23" s="888" customFormat="1" ht="27" customHeight="1">
      <c r="A675" s="3640"/>
      <c r="B675" s="3594"/>
      <c r="C675" s="3594"/>
      <c r="D675" s="3514" t="s">
        <v>641</v>
      </c>
      <c r="E675" s="3530" t="s">
        <v>163</v>
      </c>
      <c r="F675" s="3546">
        <f>(63.85)*1.1</f>
        <v>70.235000000000014</v>
      </c>
      <c r="G675" s="22"/>
      <c r="H675" s="3546">
        <f>F675*G675</f>
        <v>0</v>
      </c>
      <c r="I675" s="3506"/>
      <c r="J675" s="3585"/>
      <c r="K675" s="3133"/>
      <c r="L675" s="4235"/>
      <c r="M675" s="4236"/>
      <c r="N675" s="4203"/>
      <c r="W675" s="2748"/>
    </row>
    <row r="676" spans="1:23" s="888" customFormat="1" ht="13.5" customHeight="1">
      <c r="A676" s="3640"/>
      <c r="B676" s="3594"/>
      <c r="C676" s="3594"/>
      <c r="D676" s="3514" t="s">
        <v>672</v>
      </c>
      <c r="E676" s="3530" t="s">
        <v>163</v>
      </c>
      <c r="F676" s="3546">
        <f>(40.15)*1.1</f>
        <v>44.164999999999999</v>
      </c>
      <c r="G676" s="22"/>
      <c r="H676" s="3546">
        <f>F676*G676</f>
        <v>0</v>
      </c>
      <c r="I676" s="3506"/>
      <c r="J676" s="3585"/>
      <c r="K676" s="3133"/>
      <c r="L676" s="4235"/>
      <c r="M676" s="4236"/>
      <c r="N676" s="4203"/>
      <c r="W676" s="2748"/>
    </row>
    <row r="677" spans="1:23" s="888" customFormat="1" ht="27" customHeight="1">
      <c r="A677" s="3782"/>
      <c r="B677" s="3594"/>
      <c r="C677" s="3594"/>
      <c r="D677" s="3514" t="s">
        <v>673</v>
      </c>
      <c r="E677" s="3594"/>
      <c r="F677" s="3546">
        <f>(2.79+6.72+5.8+1.64+5.96+4.86+3.76+2.72+2.17+3.73)</f>
        <v>40.15</v>
      </c>
      <c r="G677" s="16"/>
      <c r="H677" s="3509"/>
      <c r="I677" s="3506"/>
      <c r="J677" s="3919"/>
      <c r="L677" s="2748"/>
      <c r="R677" s="3663"/>
    </row>
    <row r="678" spans="1:23" s="4324" customFormat="1" ht="27" customHeight="1">
      <c r="A678" s="3518"/>
      <c r="B678" s="4041"/>
      <c r="C678" s="3514"/>
      <c r="D678" s="3514" t="s">
        <v>643</v>
      </c>
      <c r="E678" s="3530"/>
      <c r="F678" s="3546"/>
      <c r="G678" s="15"/>
      <c r="H678" s="3546"/>
      <c r="I678" s="4321"/>
      <c r="J678" s="1204"/>
      <c r="K678" s="888"/>
      <c r="L678" s="4322"/>
      <c r="M678" s="4323"/>
      <c r="N678" s="4323"/>
    </row>
    <row r="679" spans="1:23" s="4324" customFormat="1" ht="39" customHeight="1">
      <c r="A679" s="3518"/>
      <c r="B679" s="4041"/>
      <c r="C679" s="3514"/>
      <c r="D679" s="3514" t="s">
        <v>674</v>
      </c>
      <c r="E679" s="3530"/>
      <c r="F679" s="3546"/>
      <c r="G679" s="15"/>
      <c r="H679" s="3546"/>
      <c r="I679" s="4321"/>
      <c r="J679" s="1204"/>
      <c r="K679" s="888"/>
      <c r="L679" s="4322"/>
      <c r="M679" s="4323"/>
      <c r="N679" s="4323"/>
    </row>
    <row r="680" spans="1:23" s="1204" customFormat="1" ht="14.25" customHeight="1">
      <c r="A680" s="3782"/>
      <c r="B680" s="4054"/>
      <c r="C680" s="3594"/>
      <c r="D680" s="3514" t="s">
        <v>645</v>
      </c>
      <c r="E680" s="3594"/>
      <c r="F680" s="3808"/>
      <c r="G680" s="16"/>
      <c r="H680" s="3509"/>
      <c r="I680" s="3943"/>
    </row>
    <row r="681" spans="1:23" s="888" customFormat="1" ht="13.5" customHeight="1">
      <c r="A681" s="3725">
        <v>118</v>
      </c>
      <c r="B681" s="3507">
        <v>771</v>
      </c>
      <c r="C681" s="3507">
        <v>998771202</v>
      </c>
      <c r="D681" s="3507" t="s">
        <v>675</v>
      </c>
      <c r="E681" s="3507" t="s">
        <v>10</v>
      </c>
      <c r="F681" s="3509">
        <v>3.62</v>
      </c>
      <c r="G681" s="5"/>
      <c r="H681" s="3509">
        <f>F681*G681</f>
        <v>0</v>
      </c>
      <c r="I681" s="3510" t="s">
        <v>137</v>
      </c>
      <c r="J681" s="4325"/>
      <c r="K681" s="1204"/>
    </row>
    <row r="682" spans="1:23" s="1204" customFormat="1" ht="13.5" customHeight="1">
      <c r="A682" s="3725">
        <v>119</v>
      </c>
      <c r="B682" s="3507" t="s">
        <v>362</v>
      </c>
      <c r="C682" s="3507" t="s">
        <v>676</v>
      </c>
      <c r="D682" s="3507" t="s">
        <v>677</v>
      </c>
      <c r="E682" s="3507" t="s">
        <v>69</v>
      </c>
      <c r="F682" s="3509">
        <f>F683</f>
        <v>15</v>
      </c>
      <c r="G682" s="5"/>
      <c r="H682" s="3509">
        <f>F682*G682</f>
        <v>0</v>
      </c>
      <c r="I682" s="3510" t="s">
        <v>137</v>
      </c>
    </row>
    <row r="683" spans="1:23" s="888" customFormat="1" ht="13.5" customHeight="1">
      <c r="A683" s="3782"/>
      <c r="B683" s="3594"/>
      <c r="C683" s="3594"/>
      <c r="D683" s="3514" t="s">
        <v>678</v>
      </c>
      <c r="E683" s="3594"/>
      <c r="F683" s="3546">
        <v>15</v>
      </c>
      <c r="G683" s="16"/>
      <c r="H683" s="3509"/>
      <c r="I683" s="4326"/>
    </row>
    <row r="684" spans="1:23" s="888" customFormat="1" ht="27" customHeight="1">
      <c r="A684" s="3782"/>
      <c r="B684" s="3594"/>
      <c r="C684" s="3594"/>
      <c r="D684" s="3514" t="s">
        <v>679</v>
      </c>
      <c r="E684" s="3594"/>
      <c r="F684" s="3546"/>
      <c r="G684" s="16"/>
      <c r="H684" s="3509"/>
      <c r="I684" s="3506"/>
    </row>
    <row r="685" spans="1:23" s="647" customFormat="1" ht="13.5" customHeight="1">
      <c r="A685" s="4327"/>
      <c r="B685" s="2274"/>
      <c r="C685" s="2274">
        <v>776</v>
      </c>
      <c r="D685" s="2274" t="s">
        <v>680</v>
      </c>
      <c r="E685" s="2274"/>
      <c r="F685" s="4328"/>
      <c r="G685" s="23"/>
      <c r="H685" s="4328">
        <f>SUM(H686:H688,H693:H698,H703:H708,H714:H719,H721:H726,H729:H734,H740:H745,H750:H755,H760:H766)</f>
        <v>0</v>
      </c>
      <c r="I685" s="4329"/>
      <c r="J685" s="2249"/>
      <c r="K685" s="4330"/>
      <c r="M685" s="4331"/>
    </row>
    <row r="686" spans="1:23" s="888" customFormat="1" ht="27" customHeight="1">
      <c r="A686" s="3725">
        <v>120</v>
      </c>
      <c r="B686" s="3507">
        <v>776</v>
      </c>
      <c r="C686" s="3507" t="s">
        <v>681</v>
      </c>
      <c r="D686" s="3507" t="s">
        <v>682</v>
      </c>
      <c r="E686" s="3507" t="s">
        <v>163</v>
      </c>
      <c r="F686" s="3509">
        <f>SUM(F693:F693)</f>
        <v>117.09</v>
      </c>
      <c r="G686" s="3509">
        <f>SUM(H689:H692)/F686</f>
        <v>0</v>
      </c>
      <c r="H686" s="3509">
        <f>F686*G686</f>
        <v>0</v>
      </c>
      <c r="I686" s="3510" t="s">
        <v>112</v>
      </c>
      <c r="K686" s="3684"/>
      <c r="L686" s="3684"/>
    </row>
    <row r="687" spans="1:23" s="888" customFormat="1" ht="13.5" customHeight="1">
      <c r="A687" s="3725"/>
      <c r="B687" s="3507"/>
      <c r="C687" s="3507"/>
      <c r="D687" s="3514" t="s">
        <v>683</v>
      </c>
      <c r="E687" s="3507"/>
      <c r="F687" s="3509"/>
      <c r="G687" s="5"/>
      <c r="H687" s="3509"/>
      <c r="I687" s="3510"/>
      <c r="K687" s="3684"/>
      <c r="L687" s="3684"/>
    </row>
    <row r="688" spans="1:23" s="888" customFormat="1" ht="13.5" customHeight="1">
      <c r="A688" s="3782"/>
      <c r="B688" s="3594"/>
      <c r="C688" s="3594"/>
      <c r="D688" s="3514" t="s">
        <v>636</v>
      </c>
      <c r="E688" s="4313"/>
      <c r="F688" s="3546"/>
      <c r="G688" s="16"/>
      <c r="H688" s="3509"/>
      <c r="I688" s="3506"/>
      <c r="J688" s="4314"/>
      <c r="L688" s="4315"/>
      <c r="M688" s="4316"/>
      <c r="N688" s="4317"/>
    </row>
    <row r="689" spans="1:23" s="888" customFormat="1" ht="13.5" customHeight="1">
      <c r="A689" s="3640"/>
      <c r="B689" s="3594"/>
      <c r="C689" s="3594"/>
      <c r="D689" s="3514" t="s">
        <v>684</v>
      </c>
      <c r="E689" s="3530" t="s">
        <v>163</v>
      </c>
      <c r="F689" s="3546">
        <f>(117.09)*1.1</f>
        <v>128.79900000000001</v>
      </c>
      <c r="G689" s="22"/>
      <c r="H689" s="3546">
        <f>F689*G689</f>
        <v>0</v>
      </c>
      <c r="I689" s="3506"/>
      <c r="J689" s="4314"/>
      <c r="L689" s="4315"/>
      <c r="M689" s="4316"/>
      <c r="N689" s="4317"/>
      <c r="Q689" s="3674"/>
    </row>
    <row r="690" spans="1:23" s="888" customFormat="1" ht="27" customHeight="1">
      <c r="A690" s="3640"/>
      <c r="B690" s="4320"/>
      <c r="C690" s="3530"/>
      <c r="D690" s="3514" t="s">
        <v>685</v>
      </c>
      <c r="E690" s="3530" t="s">
        <v>163</v>
      </c>
      <c r="F690" s="3546">
        <f>(117.09)*1.05</f>
        <v>122.94450000000001</v>
      </c>
      <c r="G690" s="22"/>
      <c r="H690" s="3546">
        <f>F690*G690</f>
        <v>0</v>
      </c>
      <c r="I690" s="2532"/>
      <c r="J690" s="3585"/>
      <c r="K690" s="3133"/>
      <c r="L690" s="4235"/>
      <c r="M690" s="4236"/>
      <c r="N690" s="4203"/>
      <c r="U690" s="1204"/>
      <c r="W690" s="3134"/>
    </row>
    <row r="691" spans="1:23" s="888" customFormat="1" ht="13.5" customHeight="1">
      <c r="A691" s="3640"/>
      <c r="B691" s="4320"/>
      <c r="C691" s="3530"/>
      <c r="D691" s="3514" t="s">
        <v>686</v>
      </c>
      <c r="E691" s="3530" t="s">
        <v>163</v>
      </c>
      <c r="F691" s="3546">
        <f>(117.09)*1.15</f>
        <v>134.65349999999998</v>
      </c>
      <c r="G691" s="22"/>
      <c r="H691" s="3546">
        <f>F691*G691</f>
        <v>0</v>
      </c>
      <c r="I691" s="2532"/>
      <c r="J691" s="3585"/>
      <c r="K691" s="3133"/>
      <c r="L691" s="2748"/>
      <c r="W691" s="2748"/>
    </row>
    <row r="692" spans="1:23" s="888" customFormat="1" ht="27" customHeight="1">
      <c r="A692" s="3640"/>
      <c r="B692" s="3594"/>
      <c r="C692" s="3594"/>
      <c r="D692" s="3514" t="s">
        <v>687</v>
      </c>
      <c r="E692" s="3530" t="s">
        <v>163</v>
      </c>
      <c r="F692" s="3546">
        <f>(117.09)*1.1</f>
        <v>128.79900000000001</v>
      </c>
      <c r="G692" s="22"/>
      <c r="H692" s="3546">
        <f>F692*G692</f>
        <v>0</v>
      </c>
      <c r="I692" s="3506"/>
      <c r="J692" s="3585"/>
      <c r="K692" s="3133"/>
      <c r="L692" s="4235"/>
      <c r="M692" s="4202"/>
      <c r="N692" s="4203"/>
      <c r="W692" s="2748"/>
    </row>
    <row r="693" spans="1:23" s="888" customFormat="1" ht="13.5" customHeight="1">
      <c r="A693" s="3782"/>
      <c r="B693" s="3594"/>
      <c r="C693" s="3594"/>
      <c r="D693" s="3514" t="s">
        <v>688</v>
      </c>
      <c r="E693" s="3594"/>
      <c r="F693" s="3546">
        <f>(43.03+33.89+7.6+9.22+23.35)</f>
        <v>117.09</v>
      </c>
      <c r="G693" s="16"/>
      <c r="H693" s="3509"/>
      <c r="I693" s="3506"/>
      <c r="J693" s="3919"/>
      <c r="L693" s="2748"/>
      <c r="R693" s="3663"/>
    </row>
    <row r="694" spans="1:23" s="4324" customFormat="1" ht="27" customHeight="1">
      <c r="A694" s="3518"/>
      <c r="B694" s="4041"/>
      <c r="C694" s="3514"/>
      <c r="D694" s="3514" t="s">
        <v>689</v>
      </c>
      <c r="E694" s="3530"/>
      <c r="F694" s="3546"/>
      <c r="G694" s="15"/>
      <c r="H694" s="3546"/>
      <c r="I694" s="4321"/>
      <c r="J694" s="1204"/>
      <c r="K694" s="888"/>
      <c r="L694" s="4322"/>
      <c r="M694" s="4323"/>
      <c r="N694" s="4323"/>
    </row>
    <row r="695" spans="1:23" s="4324" customFormat="1" ht="40.5" customHeight="1">
      <c r="A695" s="3518"/>
      <c r="B695" s="4041"/>
      <c r="C695" s="3514"/>
      <c r="D695" s="3514" t="s">
        <v>690</v>
      </c>
      <c r="E695" s="3530"/>
      <c r="F695" s="3546"/>
      <c r="G695" s="15"/>
      <c r="H695" s="3546"/>
      <c r="I695" s="4321"/>
      <c r="J695" s="2636"/>
      <c r="K695" s="4323"/>
      <c r="L695" s="4322"/>
      <c r="M695" s="4323"/>
      <c r="N695" s="4323"/>
    </row>
    <row r="696" spans="1:23" s="888" customFormat="1" ht="27" customHeight="1">
      <c r="A696" s="3725">
        <v>121</v>
      </c>
      <c r="B696" s="3507">
        <v>776</v>
      </c>
      <c r="C696" s="3507" t="s">
        <v>691</v>
      </c>
      <c r="D696" s="3507" t="s">
        <v>692</v>
      </c>
      <c r="E696" s="3507" t="s">
        <v>163</v>
      </c>
      <c r="F696" s="3509">
        <f>SUM(F703:F703)</f>
        <v>277.86</v>
      </c>
      <c r="G696" s="3509">
        <f>SUM(H699:H702)/F696</f>
        <v>0</v>
      </c>
      <c r="H696" s="3509">
        <f>F696*G696</f>
        <v>0</v>
      </c>
      <c r="I696" s="3510" t="s">
        <v>112</v>
      </c>
      <c r="K696" s="3684"/>
      <c r="L696" s="3684"/>
    </row>
    <row r="697" spans="1:23" s="888" customFormat="1" ht="13.5" customHeight="1">
      <c r="A697" s="3725"/>
      <c r="B697" s="3507"/>
      <c r="C697" s="3507"/>
      <c r="D697" s="3514" t="s">
        <v>693</v>
      </c>
      <c r="E697" s="3507"/>
      <c r="F697" s="3509"/>
      <c r="G697" s="5"/>
      <c r="H697" s="3509"/>
      <c r="I697" s="3510"/>
      <c r="K697" s="3684"/>
      <c r="L697" s="3684"/>
    </row>
    <row r="698" spans="1:23" s="888" customFormat="1" ht="13.5" customHeight="1">
      <c r="A698" s="3782"/>
      <c r="B698" s="3594"/>
      <c r="C698" s="3594"/>
      <c r="D698" s="3514" t="s">
        <v>636</v>
      </c>
      <c r="E698" s="4313"/>
      <c r="F698" s="3546"/>
      <c r="G698" s="16"/>
      <c r="H698" s="3509"/>
      <c r="I698" s="3506"/>
      <c r="J698" s="4314"/>
      <c r="L698" s="4315"/>
      <c r="M698" s="4316"/>
      <c r="N698" s="4317"/>
    </row>
    <row r="699" spans="1:23" s="888" customFormat="1" ht="13.5" customHeight="1">
      <c r="A699" s="3640"/>
      <c r="B699" s="3594"/>
      <c r="C699" s="3594"/>
      <c r="D699" s="3514" t="s">
        <v>694</v>
      </c>
      <c r="E699" s="3530" t="s">
        <v>163</v>
      </c>
      <c r="F699" s="3546">
        <f>(277.86)*1.1</f>
        <v>305.64600000000002</v>
      </c>
      <c r="G699" s="22"/>
      <c r="H699" s="3546">
        <f>F699*G699</f>
        <v>0</v>
      </c>
      <c r="I699" s="3506"/>
      <c r="J699" s="4314"/>
      <c r="L699" s="4315"/>
      <c r="M699" s="4316"/>
      <c r="N699" s="4317"/>
      <c r="Q699" s="3674"/>
    </row>
    <row r="700" spans="1:23" s="888" customFormat="1" ht="27" customHeight="1">
      <c r="A700" s="3640"/>
      <c r="B700" s="4320"/>
      <c r="C700" s="3530"/>
      <c r="D700" s="3514" t="s">
        <v>695</v>
      </c>
      <c r="E700" s="3530" t="s">
        <v>163</v>
      </c>
      <c r="F700" s="3546">
        <f>(277.86)*1.05</f>
        <v>291.75300000000004</v>
      </c>
      <c r="G700" s="22"/>
      <c r="H700" s="3546">
        <f>F700*G700</f>
        <v>0</v>
      </c>
      <c r="I700" s="2532"/>
      <c r="J700" s="3585"/>
      <c r="K700" s="3133"/>
      <c r="L700" s="4235"/>
      <c r="M700" s="4236"/>
      <c r="N700" s="4203"/>
      <c r="U700" s="1204"/>
      <c r="W700" s="3134"/>
    </row>
    <row r="701" spans="1:23" s="888" customFormat="1" ht="13.5" customHeight="1">
      <c r="A701" s="3640"/>
      <c r="B701" s="4320"/>
      <c r="C701" s="3530"/>
      <c r="D701" s="3514" t="s">
        <v>696</v>
      </c>
      <c r="E701" s="3530" t="s">
        <v>163</v>
      </c>
      <c r="F701" s="3546">
        <f>(277.86)*1.15</f>
        <v>319.53899999999999</v>
      </c>
      <c r="G701" s="22"/>
      <c r="H701" s="3546">
        <f>F701*G701</f>
        <v>0</v>
      </c>
      <c r="I701" s="2532"/>
      <c r="J701" s="3585"/>
      <c r="K701" s="3133"/>
      <c r="L701" s="2748"/>
      <c r="W701" s="2748"/>
    </row>
    <row r="702" spans="1:23" s="888" customFormat="1" ht="27" customHeight="1">
      <c r="A702" s="3640"/>
      <c r="B702" s="3594"/>
      <c r="C702" s="3594"/>
      <c r="D702" s="3514" t="s">
        <v>697</v>
      </c>
      <c r="E702" s="3530" t="s">
        <v>163</v>
      </c>
      <c r="F702" s="3546">
        <f>(277.86)*1.1</f>
        <v>305.64600000000002</v>
      </c>
      <c r="G702" s="22"/>
      <c r="H702" s="3546">
        <f>F702*G702</f>
        <v>0</v>
      </c>
      <c r="I702" s="3506"/>
      <c r="J702" s="3585"/>
      <c r="K702" s="3133"/>
      <c r="L702" s="4235"/>
      <c r="M702" s="4236"/>
      <c r="N702" s="4203"/>
      <c r="W702" s="2748"/>
    </row>
    <row r="703" spans="1:23" s="888" customFormat="1" ht="13.5" customHeight="1">
      <c r="A703" s="3782"/>
      <c r="B703" s="3594"/>
      <c r="C703" s="3594"/>
      <c r="D703" s="3514" t="s">
        <v>698</v>
      </c>
      <c r="E703" s="3594"/>
      <c r="F703" s="3546">
        <f>(4.25+12.8+12.86+3.12+190.95+53.88)</f>
        <v>277.86</v>
      </c>
      <c r="G703" s="16"/>
      <c r="H703" s="3509"/>
      <c r="I703" s="3506"/>
      <c r="J703" s="3919"/>
      <c r="L703" s="2748"/>
      <c r="R703" s="3663"/>
    </row>
    <row r="704" spans="1:23" s="4324" customFormat="1" ht="27" customHeight="1">
      <c r="A704" s="3518"/>
      <c r="B704" s="4041"/>
      <c r="C704" s="3514"/>
      <c r="D704" s="3514" t="s">
        <v>689</v>
      </c>
      <c r="E704" s="3530"/>
      <c r="F704" s="3546"/>
      <c r="G704" s="15"/>
      <c r="H704" s="3546"/>
      <c r="I704" s="4321"/>
      <c r="J704" s="1204"/>
      <c r="K704" s="888"/>
      <c r="L704" s="4322"/>
      <c r="M704" s="4323"/>
      <c r="N704" s="4323"/>
    </row>
    <row r="705" spans="1:23" s="4324" customFormat="1" ht="40.5" customHeight="1">
      <c r="A705" s="3518"/>
      <c r="B705" s="4041"/>
      <c r="C705" s="3514"/>
      <c r="D705" s="3514" t="s">
        <v>690</v>
      </c>
      <c r="E705" s="3530"/>
      <c r="F705" s="3546"/>
      <c r="G705" s="15"/>
      <c r="H705" s="3546"/>
      <c r="I705" s="4321"/>
      <c r="J705" s="2636"/>
      <c r="K705" s="4323"/>
      <c r="L705" s="4322"/>
      <c r="M705" s="4323"/>
      <c r="N705" s="4323"/>
    </row>
    <row r="706" spans="1:23" s="888" customFormat="1" ht="27" customHeight="1">
      <c r="A706" s="3725">
        <v>122</v>
      </c>
      <c r="B706" s="3507">
        <v>776</v>
      </c>
      <c r="C706" s="3507" t="s">
        <v>699</v>
      </c>
      <c r="D706" s="3507" t="s">
        <v>700</v>
      </c>
      <c r="E706" s="3507" t="s">
        <v>163</v>
      </c>
      <c r="F706" s="3509">
        <f>SUM(F714:F714)</f>
        <v>12.33</v>
      </c>
      <c r="G706" s="3509">
        <f>SUM(H709:H713)/F706</f>
        <v>0</v>
      </c>
      <c r="H706" s="3509">
        <f>F706*G706</f>
        <v>0</v>
      </c>
      <c r="I706" s="3510" t="s">
        <v>112</v>
      </c>
      <c r="K706" s="3684"/>
      <c r="L706" s="3684"/>
    </row>
    <row r="707" spans="1:23" s="888" customFormat="1" ht="13.5" customHeight="1">
      <c r="A707" s="3725"/>
      <c r="B707" s="3507"/>
      <c r="C707" s="3507"/>
      <c r="D707" s="3514" t="s">
        <v>693</v>
      </c>
      <c r="E707" s="3507"/>
      <c r="F707" s="3509"/>
      <c r="G707" s="5"/>
      <c r="H707" s="3509"/>
      <c r="I707" s="3510"/>
      <c r="K707" s="3684"/>
      <c r="L707" s="3684"/>
    </row>
    <row r="708" spans="1:23" s="888" customFormat="1" ht="13.5" customHeight="1">
      <c r="A708" s="3782"/>
      <c r="B708" s="3594"/>
      <c r="C708" s="3594"/>
      <c r="D708" s="3514" t="s">
        <v>636</v>
      </c>
      <c r="E708" s="4313"/>
      <c r="F708" s="3546"/>
      <c r="G708" s="16"/>
      <c r="H708" s="3509"/>
      <c r="I708" s="3506"/>
      <c r="J708" s="4314"/>
      <c r="L708" s="4315"/>
      <c r="M708" s="4316"/>
      <c r="N708" s="4317"/>
    </row>
    <row r="709" spans="1:23" s="888" customFormat="1" ht="13.5" customHeight="1">
      <c r="A709" s="3640"/>
      <c r="B709" s="3594"/>
      <c r="C709" s="3594"/>
      <c r="D709" s="3514" t="s">
        <v>701</v>
      </c>
      <c r="E709" s="3530" t="s">
        <v>163</v>
      </c>
      <c r="F709" s="3546">
        <f>(12.33)*1.1</f>
        <v>13.563000000000001</v>
      </c>
      <c r="G709" s="22"/>
      <c r="H709" s="3546">
        <f>F709*G709</f>
        <v>0</v>
      </c>
      <c r="I709" s="3506"/>
      <c r="J709" s="4314"/>
      <c r="L709" s="4315"/>
      <c r="M709" s="4316"/>
      <c r="N709" s="4317"/>
      <c r="Q709" s="3674"/>
    </row>
    <row r="710" spans="1:23" s="888" customFormat="1" ht="13.5" customHeight="1">
      <c r="A710" s="3640"/>
      <c r="B710" s="4320"/>
      <c r="C710" s="3530"/>
      <c r="D710" s="3514" t="s">
        <v>702</v>
      </c>
      <c r="E710" s="3530" t="s">
        <v>163</v>
      </c>
      <c r="F710" s="3546">
        <f>(12.33)*1.1</f>
        <v>13.563000000000001</v>
      </c>
      <c r="G710" s="22"/>
      <c r="H710" s="3546">
        <f>F710*G710</f>
        <v>0</v>
      </c>
      <c r="I710" s="2532"/>
      <c r="J710" s="3585"/>
      <c r="K710" s="3133"/>
      <c r="L710" s="3134"/>
      <c r="M710" s="3133"/>
      <c r="N710" s="3133"/>
      <c r="W710" s="2748"/>
    </row>
    <row r="711" spans="1:23" s="888" customFormat="1" ht="27" customHeight="1">
      <c r="A711" s="3640"/>
      <c r="B711" s="4320"/>
      <c r="C711" s="3530"/>
      <c r="D711" s="3514" t="s">
        <v>703</v>
      </c>
      <c r="E711" s="3530" t="s">
        <v>146</v>
      </c>
      <c r="F711" s="3546">
        <f>(12.33*0.11)*1.1</f>
        <v>1.4919300000000002</v>
      </c>
      <c r="G711" s="22"/>
      <c r="H711" s="3546">
        <f>F711*G711</f>
        <v>0</v>
      </c>
      <c r="I711" s="2532"/>
      <c r="J711" s="3585"/>
      <c r="K711" s="3133"/>
      <c r="L711" s="4235"/>
      <c r="M711" s="4236"/>
      <c r="N711" s="4203"/>
      <c r="U711" s="1204"/>
      <c r="W711" s="3134"/>
    </row>
    <row r="712" spans="1:23" s="888" customFormat="1" ht="13.5" customHeight="1">
      <c r="A712" s="3640"/>
      <c r="B712" s="4320"/>
      <c r="C712" s="3530"/>
      <c r="D712" s="3514" t="s">
        <v>704</v>
      </c>
      <c r="E712" s="3530" t="s">
        <v>163</v>
      </c>
      <c r="F712" s="3546">
        <f>(12.33)*1.15</f>
        <v>14.179499999999999</v>
      </c>
      <c r="G712" s="22"/>
      <c r="H712" s="3546">
        <f>F712*G712</f>
        <v>0</v>
      </c>
      <c r="I712" s="2532"/>
      <c r="J712" s="3585"/>
      <c r="K712" s="3133"/>
      <c r="L712" s="2748"/>
      <c r="W712" s="2748"/>
    </row>
    <row r="713" spans="1:23" s="888" customFormat="1" ht="27" customHeight="1">
      <c r="A713" s="3640"/>
      <c r="B713" s="3594"/>
      <c r="C713" s="3594"/>
      <c r="D713" s="3514" t="s">
        <v>705</v>
      </c>
      <c r="E713" s="3530" t="s">
        <v>163</v>
      </c>
      <c r="F713" s="3546">
        <f>(12.33)*1.1</f>
        <v>13.563000000000001</v>
      </c>
      <c r="G713" s="22"/>
      <c r="H713" s="3546">
        <f>F713*G713</f>
        <v>0</v>
      </c>
      <c r="I713" s="3506"/>
      <c r="J713" s="3585"/>
      <c r="K713" s="3133"/>
      <c r="L713" s="4235"/>
      <c r="M713" s="4236"/>
      <c r="N713" s="4203"/>
      <c r="W713" s="2748"/>
    </row>
    <row r="714" spans="1:23" s="888" customFormat="1" ht="13.5" customHeight="1">
      <c r="A714" s="3782"/>
      <c r="B714" s="3594"/>
      <c r="C714" s="3594"/>
      <c r="D714" s="3514" t="s">
        <v>706</v>
      </c>
      <c r="E714" s="3594"/>
      <c r="F714" s="3546">
        <v>12.33</v>
      </c>
      <c r="G714" s="16"/>
      <c r="H714" s="3509"/>
      <c r="I714" s="3506"/>
      <c r="J714" s="3919"/>
      <c r="L714" s="2748"/>
      <c r="R714" s="3663"/>
    </row>
    <row r="715" spans="1:23" s="4324" customFormat="1" ht="27" customHeight="1">
      <c r="A715" s="3518"/>
      <c r="B715" s="4041"/>
      <c r="C715" s="3514"/>
      <c r="D715" s="3514" t="s">
        <v>689</v>
      </c>
      <c r="E715" s="3530"/>
      <c r="F715" s="3546"/>
      <c r="G715" s="15"/>
      <c r="H715" s="3546"/>
      <c r="I715" s="4321"/>
      <c r="J715" s="1204"/>
      <c r="K715" s="888"/>
      <c r="L715" s="4322"/>
      <c r="M715" s="4323"/>
      <c r="N715" s="4323"/>
    </row>
    <row r="716" spans="1:23" s="4324" customFormat="1" ht="40.5" customHeight="1">
      <c r="A716" s="3518"/>
      <c r="B716" s="4041"/>
      <c r="C716" s="3514"/>
      <c r="D716" s="3514" t="s">
        <v>690</v>
      </c>
      <c r="E716" s="3530"/>
      <c r="F716" s="3546"/>
      <c r="G716" s="15"/>
      <c r="H716" s="3546"/>
      <c r="I716" s="4321"/>
      <c r="J716" s="2636"/>
      <c r="K716" s="4323"/>
      <c r="L716" s="4322"/>
      <c r="M716" s="4323"/>
      <c r="N716" s="4323"/>
    </row>
    <row r="717" spans="1:23" s="888" customFormat="1" ht="27" customHeight="1">
      <c r="A717" s="3725">
        <v>123</v>
      </c>
      <c r="B717" s="3507">
        <v>776</v>
      </c>
      <c r="C717" s="3507" t="s">
        <v>707</v>
      </c>
      <c r="D717" s="3507" t="s">
        <v>708</v>
      </c>
      <c r="E717" s="3507" t="s">
        <v>163</v>
      </c>
      <c r="F717" s="3509">
        <f>SUM(F721:F721)</f>
        <v>55.930000000000007</v>
      </c>
      <c r="G717" s="3509">
        <f>SUM(H720:H720)/F717</f>
        <v>0</v>
      </c>
      <c r="H717" s="3509">
        <f>F717*G717</f>
        <v>0</v>
      </c>
      <c r="I717" s="3510" t="s">
        <v>112</v>
      </c>
      <c r="K717" s="3684"/>
      <c r="L717" s="3684"/>
    </row>
    <row r="718" spans="1:23" s="888" customFormat="1" ht="13.5" customHeight="1">
      <c r="A718" s="3725"/>
      <c r="B718" s="3507"/>
      <c r="C718" s="3507"/>
      <c r="D718" s="3514" t="s">
        <v>709</v>
      </c>
      <c r="E718" s="3507"/>
      <c r="F718" s="3509"/>
      <c r="G718" s="5"/>
      <c r="H718" s="3509"/>
      <c r="I718" s="3510"/>
      <c r="K718" s="3684"/>
      <c r="L718" s="3684"/>
    </row>
    <row r="719" spans="1:23" s="888" customFormat="1" ht="13.5" customHeight="1">
      <c r="A719" s="3782"/>
      <c r="B719" s="3594"/>
      <c r="C719" s="3594"/>
      <c r="D719" s="3514" t="s">
        <v>636</v>
      </c>
      <c r="E719" s="4313"/>
      <c r="F719" s="3546"/>
      <c r="G719" s="16"/>
      <c r="H719" s="3509"/>
      <c r="I719" s="3506"/>
      <c r="J719" s="4314"/>
      <c r="L719" s="4315"/>
      <c r="M719" s="4316"/>
      <c r="N719" s="4317"/>
    </row>
    <row r="720" spans="1:23" s="888" customFormat="1" ht="13.5" customHeight="1">
      <c r="A720" s="3640"/>
      <c r="B720" s="3594"/>
      <c r="C720" s="3594"/>
      <c r="D720" s="3514" t="s">
        <v>710</v>
      </c>
      <c r="E720" s="3530" t="s">
        <v>163</v>
      </c>
      <c r="F720" s="3546">
        <f xml:space="preserve"> (55.93)*1.1</f>
        <v>61.523000000000003</v>
      </c>
      <c r="G720" s="22"/>
      <c r="H720" s="3546">
        <f>F720*G720</f>
        <v>0</v>
      </c>
      <c r="I720" s="3506"/>
      <c r="J720" s="4314"/>
      <c r="L720" s="4315"/>
      <c r="M720" s="4316"/>
      <c r="N720" s="4317"/>
      <c r="Q720" s="3674"/>
    </row>
    <row r="721" spans="1:23" s="888" customFormat="1" ht="13.5" customHeight="1">
      <c r="A721" s="3782"/>
      <c r="B721" s="3594"/>
      <c r="C721" s="3594"/>
      <c r="D721" s="3514" t="s">
        <v>711</v>
      </c>
      <c r="E721" s="3594"/>
      <c r="F721" s="3546">
        <f>(3.78+23.35+5.86+22.94)</f>
        <v>55.930000000000007</v>
      </c>
      <c r="G721" s="16"/>
      <c r="H721" s="3509"/>
      <c r="I721" s="3506"/>
      <c r="J721" s="3919"/>
      <c r="L721" s="2748"/>
      <c r="R721" s="3663"/>
    </row>
    <row r="722" spans="1:23" s="4324" customFormat="1" ht="27" customHeight="1">
      <c r="A722" s="3518"/>
      <c r="B722" s="4041"/>
      <c r="C722" s="3514"/>
      <c r="D722" s="3514" t="s">
        <v>689</v>
      </c>
      <c r="E722" s="3530"/>
      <c r="F722" s="3546"/>
      <c r="G722" s="15"/>
      <c r="H722" s="3546"/>
      <c r="I722" s="4321"/>
      <c r="J722" s="1204"/>
      <c r="K722" s="888"/>
      <c r="L722" s="4322"/>
      <c r="M722" s="4323"/>
      <c r="N722" s="4323"/>
    </row>
    <row r="723" spans="1:23" s="4324" customFormat="1" ht="40.5" customHeight="1">
      <c r="A723" s="3518"/>
      <c r="B723" s="4041"/>
      <c r="C723" s="3514"/>
      <c r="D723" s="3514" t="s">
        <v>690</v>
      </c>
      <c r="E723" s="3530"/>
      <c r="F723" s="3546"/>
      <c r="G723" s="15"/>
      <c r="H723" s="3546"/>
      <c r="I723" s="4321"/>
      <c r="J723" s="2636"/>
      <c r="K723" s="4323"/>
      <c r="L723" s="4322"/>
      <c r="M723" s="4323"/>
      <c r="N723" s="4323"/>
    </row>
    <row r="724" spans="1:23" s="888" customFormat="1" ht="27" customHeight="1">
      <c r="A724" s="3725">
        <v>124</v>
      </c>
      <c r="B724" s="3507">
        <v>776</v>
      </c>
      <c r="C724" s="3507" t="s">
        <v>712</v>
      </c>
      <c r="D724" s="3507" t="s">
        <v>713</v>
      </c>
      <c r="E724" s="3507" t="s">
        <v>163</v>
      </c>
      <c r="F724" s="3509">
        <f>SUM(F729:F729)</f>
        <v>645.95999999999992</v>
      </c>
      <c r="G724" s="3509">
        <f>SUM(H727:H728)/F724</f>
        <v>0</v>
      </c>
      <c r="H724" s="3509">
        <f>F724*G724</f>
        <v>0</v>
      </c>
      <c r="I724" s="3510" t="s">
        <v>112</v>
      </c>
      <c r="K724" s="3684"/>
      <c r="L724" s="3684"/>
    </row>
    <row r="725" spans="1:23" s="888" customFormat="1" ht="13.5" customHeight="1">
      <c r="A725" s="3725"/>
      <c r="B725" s="3507"/>
      <c r="C725" s="3507"/>
      <c r="D725" s="3514" t="s">
        <v>709</v>
      </c>
      <c r="E725" s="3507"/>
      <c r="F725" s="3509"/>
      <c r="G725" s="5"/>
      <c r="H725" s="3509"/>
      <c r="I725" s="3510"/>
      <c r="K725" s="3684"/>
      <c r="L725" s="3684"/>
    </row>
    <row r="726" spans="1:23" s="888" customFormat="1" ht="13.5" customHeight="1">
      <c r="A726" s="3782"/>
      <c r="B726" s="3594"/>
      <c r="C726" s="3594"/>
      <c r="D726" s="3514" t="s">
        <v>636</v>
      </c>
      <c r="E726" s="4313"/>
      <c r="F726" s="3546"/>
      <c r="G726" s="16"/>
      <c r="H726" s="3509"/>
      <c r="I726" s="3506"/>
      <c r="J726" s="4314"/>
      <c r="L726" s="4315"/>
      <c r="M726" s="4316"/>
      <c r="N726" s="4317"/>
    </row>
    <row r="727" spans="1:23" s="888" customFormat="1" ht="13.5" customHeight="1">
      <c r="A727" s="3640"/>
      <c r="B727" s="3594"/>
      <c r="C727" s="3594"/>
      <c r="D727" s="3514" t="s">
        <v>714</v>
      </c>
      <c r="E727" s="3530" t="s">
        <v>163</v>
      </c>
      <c r="F727" s="3546">
        <f>(645.96)*1.1</f>
        <v>710.55600000000015</v>
      </c>
      <c r="G727" s="22"/>
      <c r="H727" s="3546">
        <f>F727*G727</f>
        <v>0</v>
      </c>
      <c r="I727" s="3506"/>
      <c r="J727" s="4314"/>
      <c r="L727" s="4315"/>
      <c r="M727" s="4316"/>
      <c r="N727" s="4317"/>
      <c r="Q727" s="3674"/>
    </row>
    <row r="728" spans="1:23" s="888" customFormat="1" ht="13.5" customHeight="1">
      <c r="A728" s="3640"/>
      <c r="B728" s="4320"/>
      <c r="C728" s="3530"/>
      <c r="D728" s="3514" t="s">
        <v>715</v>
      </c>
      <c r="E728" s="3530" t="s">
        <v>163</v>
      </c>
      <c r="F728" s="3546">
        <f>(645.96)*1.1</f>
        <v>710.55600000000015</v>
      </c>
      <c r="G728" s="22"/>
      <c r="H728" s="3546">
        <f>F728*G728</f>
        <v>0</v>
      </c>
      <c r="I728" s="2532"/>
      <c r="J728" s="3585"/>
      <c r="K728" s="3133"/>
      <c r="L728" s="3134"/>
      <c r="M728" s="3133"/>
      <c r="N728" s="3133"/>
      <c r="W728" s="2748"/>
    </row>
    <row r="729" spans="1:23" s="888" customFormat="1" ht="27" customHeight="1">
      <c r="A729" s="3782"/>
      <c r="B729" s="3594"/>
      <c r="C729" s="3594"/>
      <c r="D729" s="3514" t="s">
        <v>716</v>
      </c>
      <c r="E729" s="3594"/>
      <c r="F729" s="3546">
        <f>(87.71+22.35+64.22+77.07+22.94+29.24+66.71+12.71+10.2+58.71+66.71+57.04+70.35)</f>
        <v>645.95999999999992</v>
      </c>
      <c r="G729" s="16"/>
      <c r="H729" s="3509"/>
      <c r="I729" s="3506"/>
      <c r="J729" s="3919"/>
      <c r="L729" s="2748"/>
      <c r="R729" s="3663"/>
    </row>
    <row r="730" spans="1:23" s="4324" customFormat="1" ht="27" customHeight="1">
      <c r="A730" s="3518"/>
      <c r="B730" s="4041"/>
      <c r="C730" s="3514"/>
      <c r="D730" s="3514" t="s">
        <v>689</v>
      </c>
      <c r="E730" s="3530"/>
      <c r="F730" s="3546"/>
      <c r="G730" s="15"/>
      <c r="H730" s="3546"/>
      <c r="I730" s="4321"/>
      <c r="J730" s="1204"/>
      <c r="K730" s="888"/>
      <c r="L730" s="4322"/>
      <c r="M730" s="4323"/>
      <c r="N730" s="4323"/>
    </row>
    <row r="731" spans="1:23" s="4324" customFormat="1" ht="40.5" customHeight="1">
      <c r="A731" s="3518"/>
      <c r="B731" s="4041"/>
      <c r="C731" s="3514"/>
      <c r="D731" s="3514" t="s">
        <v>690</v>
      </c>
      <c r="E731" s="3530"/>
      <c r="F731" s="3546"/>
      <c r="G731" s="15"/>
      <c r="H731" s="3546"/>
      <c r="I731" s="4321"/>
      <c r="J731" s="2636"/>
      <c r="K731" s="4323"/>
      <c r="L731" s="4322"/>
      <c r="M731" s="4323"/>
      <c r="N731" s="4323"/>
    </row>
    <row r="732" spans="1:23" s="888" customFormat="1" ht="27" customHeight="1">
      <c r="A732" s="3725">
        <v>125</v>
      </c>
      <c r="B732" s="3507">
        <v>776</v>
      </c>
      <c r="C732" s="3507" t="s">
        <v>717</v>
      </c>
      <c r="D732" s="3507" t="s">
        <v>718</v>
      </c>
      <c r="E732" s="3507" t="s">
        <v>163</v>
      </c>
      <c r="F732" s="3509">
        <f>SUM(F740:F740)</f>
        <v>14.52</v>
      </c>
      <c r="G732" s="3509">
        <f>SUM(H735:H739)/F732</f>
        <v>0</v>
      </c>
      <c r="H732" s="3509">
        <f>F732*G732</f>
        <v>0</v>
      </c>
      <c r="I732" s="3510" t="s">
        <v>112</v>
      </c>
      <c r="K732" s="3684"/>
      <c r="L732" s="3684"/>
    </row>
    <row r="733" spans="1:23" s="888" customFormat="1" ht="13.5" customHeight="1">
      <c r="A733" s="3725"/>
      <c r="B733" s="3507"/>
      <c r="C733" s="3507"/>
      <c r="D733" s="3514" t="s">
        <v>709</v>
      </c>
      <c r="E733" s="3507"/>
      <c r="F733" s="3509"/>
      <c r="G733" s="5"/>
      <c r="H733" s="3509"/>
      <c r="I733" s="3510"/>
      <c r="K733" s="3684"/>
      <c r="L733" s="3684"/>
    </row>
    <row r="734" spans="1:23" s="888" customFormat="1" ht="13.5" customHeight="1">
      <c r="A734" s="3782"/>
      <c r="B734" s="3594"/>
      <c r="C734" s="3594"/>
      <c r="D734" s="3514" t="s">
        <v>636</v>
      </c>
      <c r="E734" s="4313"/>
      <c r="F734" s="3546"/>
      <c r="G734" s="16"/>
      <c r="H734" s="3509"/>
      <c r="I734" s="3506"/>
      <c r="J734" s="4314"/>
      <c r="L734" s="4315"/>
      <c r="M734" s="4316"/>
      <c r="N734" s="4317"/>
    </row>
    <row r="735" spans="1:23" s="888" customFormat="1" ht="13.5" customHeight="1">
      <c r="A735" s="3640"/>
      <c r="B735" s="3594"/>
      <c r="C735" s="3594"/>
      <c r="D735" s="3514" t="s">
        <v>719</v>
      </c>
      <c r="E735" s="3530" t="s">
        <v>163</v>
      </c>
      <c r="F735" s="3546">
        <f>(14.52)*1.1</f>
        <v>15.972000000000001</v>
      </c>
      <c r="G735" s="22"/>
      <c r="H735" s="3546">
        <f>F735*G735</f>
        <v>0</v>
      </c>
      <c r="I735" s="3506"/>
      <c r="J735" s="4314"/>
      <c r="L735" s="4315"/>
      <c r="M735" s="4316"/>
      <c r="N735" s="4317"/>
      <c r="Q735" s="3674"/>
    </row>
    <row r="736" spans="1:23" s="888" customFormat="1" ht="13.5" customHeight="1">
      <c r="A736" s="3640"/>
      <c r="B736" s="4320"/>
      <c r="C736" s="3530"/>
      <c r="D736" s="3514" t="s">
        <v>720</v>
      </c>
      <c r="E736" s="3530" t="s">
        <v>163</v>
      </c>
      <c r="F736" s="3546">
        <f>(14.52)*1.1</f>
        <v>15.972000000000001</v>
      </c>
      <c r="G736" s="22"/>
      <c r="H736" s="3546">
        <f>F736*G736</f>
        <v>0</v>
      </c>
      <c r="I736" s="2532"/>
      <c r="J736" s="3585"/>
      <c r="K736" s="3133"/>
      <c r="L736" s="3134"/>
      <c r="M736" s="4236"/>
      <c r="N736" s="3133"/>
      <c r="W736" s="2748"/>
    </row>
    <row r="737" spans="1:23" s="888" customFormat="1" ht="27" customHeight="1">
      <c r="A737" s="3640"/>
      <c r="B737" s="4320"/>
      <c r="C737" s="3530"/>
      <c r="D737" s="3514" t="s">
        <v>721</v>
      </c>
      <c r="E737" s="3530" t="s">
        <v>163</v>
      </c>
      <c r="F737" s="3546">
        <f xml:space="preserve"> (14.52)*1.1</f>
        <v>15.972000000000001</v>
      </c>
      <c r="G737" s="22"/>
      <c r="H737" s="3546">
        <f>F737*G737</f>
        <v>0</v>
      </c>
      <c r="I737" s="2532"/>
      <c r="J737" s="3585"/>
      <c r="K737" s="3133"/>
      <c r="L737" s="4235"/>
      <c r="M737" s="4236"/>
      <c r="N737" s="4203"/>
      <c r="U737" s="1204"/>
      <c r="W737" s="3134"/>
    </row>
    <row r="738" spans="1:23" s="888" customFormat="1" ht="27" customHeight="1">
      <c r="A738" s="3640"/>
      <c r="B738" s="3594"/>
      <c r="C738" s="3594"/>
      <c r="D738" s="3514" t="s">
        <v>722</v>
      </c>
      <c r="E738" s="3530" t="s">
        <v>163</v>
      </c>
      <c r="F738" s="3546">
        <f>(14.52)*1.1</f>
        <v>15.972000000000001</v>
      </c>
      <c r="G738" s="22"/>
      <c r="H738" s="3546">
        <f>F738*G738</f>
        <v>0</v>
      </c>
      <c r="I738" s="3506"/>
      <c r="J738" s="3585"/>
      <c r="K738" s="3133"/>
      <c r="L738" s="4235"/>
      <c r="M738" s="4236"/>
      <c r="N738" s="4203"/>
      <c r="W738" s="2748"/>
    </row>
    <row r="739" spans="1:23" s="888" customFormat="1" ht="13.5" customHeight="1">
      <c r="A739" s="3640"/>
      <c r="B739" s="3594"/>
      <c r="C739" s="3594"/>
      <c r="D739" s="3514" t="s">
        <v>723</v>
      </c>
      <c r="E739" s="3530" t="s">
        <v>163</v>
      </c>
      <c r="F739" s="3546">
        <f>(14.52)*1.1</f>
        <v>15.972000000000001</v>
      </c>
      <c r="G739" s="22"/>
      <c r="H739" s="3546">
        <f>F739*G739</f>
        <v>0</v>
      </c>
      <c r="I739" s="3506"/>
      <c r="J739" s="3585"/>
      <c r="K739" s="3133"/>
      <c r="L739" s="4235"/>
      <c r="M739" s="4236"/>
      <c r="N739" s="4203"/>
      <c r="W739" s="2748"/>
    </row>
    <row r="740" spans="1:23" s="888" customFormat="1" ht="13.5" customHeight="1">
      <c r="A740" s="3782"/>
      <c r="B740" s="3594"/>
      <c r="C740" s="3594"/>
      <c r="D740" s="3514" t="s">
        <v>724</v>
      </c>
      <c r="E740" s="3594"/>
      <c r="F740" s="3546">
        <f xml:space="preserve"> (11.73+2.79)</f>
        <v>14.52</v>
      </c>
      <c r="G740" s="16"/>
      <c r="H740" s="3509"/>
      <c r="I740" s="3506"/>
      <c r="J740" s="3919"/>
      <c r="L740" s="2748"/>
      <c r="R740" s="3663"/>
    </row>
    <row r="741" spans="1:23" s="4324" customFormat="1" ht="27" customHeight="1">
      <c r="A741" s="3518"/>
      <c r="B741" s="4041"/>
      <c r="C741" s="3514"/>
      <c r="D741" s="3514" t="s">
        <v>689</v>
      </c>
      <c r="E741" s="3530"/>
      <c r="F741" s="3546"/>
      <c r="G741" s="15"/>
      <c r="H741" s="3546"/>
      <c r="I741" s="4321"/>
      <c r="J741" s="1204"/>
      <c r="K741" s="888"/>
      <c r="L741" s="4322"/>
      <c r="M741" s="4323"/>
      <c r="N741" s="4323"/>
    </row>
    <row r="742" spans="1:23" s="4324" customFormat="1" ht="40.5" customHeight="1">
      <c r="A742" s="3518"/>
      <c r="B742" s="4041"/>
      <c r="C742" s="3514"/>
      <c r="D742" s="3514" t="s">
        <v>690</v>
      </c>
      <c r="E742" s="3530"/>
      <c r="F742" s="3546"/>
      <c r="G742" s="15"/>
      <c r="H742" s="3546"/>
      <c r="I742" s="4321"/>
      <c r="J742" s="2636"/>
      <c r="K742" s="4323"/>
      <c r="L742" s="4322"/>
      <c r="M742" s="4323"/>
      <c r="N742" s="4323"/>
    </row>
    <row r="743" spans="1:23" s="888" customFormat="1" ht="27" customHeight="1">
      <c r="A743" s="3725">
        <v>126</v>
      </c>
      <c r="B743" s="3507">
        <v>776</v>
      </c>
      <c r="C743" s="3507" t="s">
        <v>725</v>
      </c>
      <c r="D743" s="3507" t="s">
        <v>726</v>
      </c>
      <c r="E743" s="3507" t="s">
        <v>163</v>
      </c>
      <c r="F743" s="3509">
        <f>SUM(F750:F750)</f>
        <v>17.059999999999999</v>
      </c>
      <c r="G743" s="3509">
        <f>SUM(H747:H749)/F743</f>
        <v>0</v>
      </c>
      <c r="H743" s="3509">
        <f>F743*G743</f>
        <v>0</v>
      </c>
      <c r="I743" s="3510" t="s">
        <v>112</v>
      </c>
      <c r="K743" s="3684"/>
      <c r="L743" s="3684"/>
      <c r="M743" s="2656"/>
    </row>
    <row r="744" spans="1:23" s="888" customFormat="1" ht="13.5" customHeight="1">
      <c r="A744" s="3725"/>
      <c r="B744" s="3507"/>
      <c r="C744" s="3507"/>
      <c r="D744" s="3514" t="s">
        <v>727</v>
      </c>
      <c r="E744" s="3507"/>
      <c r="F744" s="3509"/>
      <c r="G744" s="3509"/>
      <c r="H744" s="3509"/>
      <c r="I744" s="3510"/>
      <c r="J744" s="3789"/>
      <c r="K744" s="3684"/>
      <c r="L744" s="3684"/>
    </row>
    <row r="745" spans="1:23" s="888" customFormat="1" ht="13.5" customHeight="1">
      <c r="A745" s="3782"/>
      <c r="B745" s="3594"/>
      <c r="C745" s="3594"/>
      <c r="D745" s="3514" t="s">
        <v>636</v>
      </c>
      <c r="E745" s="4313"/>
      <c r="F745" s="3546"/>
      <c r="G745" s="3808"/>
      <c r="H745" s="3509"/>
      <c r="I745" s="3506"/>
    </row>
    <row r="746" spans="1:23" s="888" customFormat="1" ht="27" customHeight="1">
      <c r="A746" s="3640"/>
      <c r="B746" s="3594"/>
      <c r="C746" s="3594"/>
      <c r="D746" s="3514" t="s">
        <v>728</v>
      </c>
      <c r="E746" s="3530"/>
      <c r="F746" s="3546"/>
      <c r="G746" s="5186" t="s">
        <v>729</v>
      </c>
      <c r="H746" s="5187"/>
      <c r="I746" s="3506"/>
      <c r="J746" s="3663"/>
      <c r="M746" s="3133"/>
      <c r="Q746" s="3674"/>
    </row>
    <row r="747" spans="1:23" s="888" customFormat="1" ht="27" customHeight="1">
      <c r="A747" s="3640"/>
      <c r="B747" s="4320"/>
      <c r="C747" s="3530"/>
      <c r="D747" s="3514" t="s">
        <v>730</v>
      </c>
      <c r="E747" s="3530" t="s">
        <v>163</v>
      </c>
      <c r="F747" s="3546">
        <f>(17.06)*1.05</f>
        <v>17.913</v>
      </c>
      <c r="G747" s="22"/>
      <c r="H747" s="3546">
        <f>F747*G747</f>
        <v>0</v>
      </c>
      <c r="I747" s="2532"/>
      <c r="J747" s="3585"/>
      <c r="K747" s="3133"/>
      <c r="L747" s="4235"/>
      <c r="M747" s="4236"/>
      <c r="N747" s="4203"/>
      <c r="U747" s="1204"/>
      <c r="W747" s="3134"/>
    </row>
    <row r="748" spans="1:23" s="888" customFormat="1" ht="13.5" customHeight="1">
      <c r="A748" s="3640"/>
      <c r="B748" s="4320"/>
      <c r="C748" s="3530"/>
      <c r="D748" s="3514" t="s">
        <v>731</v>
      </c>
      <c r="E748" s="3530" t="s">
        <v>163</v>
      </c>
      <c r="F748" s="3546">
        <f xml:space="preserve"> (17.06)*1.15</f>
        <v>19.618999999999996</v>
      </c>
      <c r="G748" s="22"/>
      <c r="H748" s="3546">
        <f>F748*G748</f>
        <v>0</v>
      </c>
      <c r="I748" s="2532"/>
      <c r="J748" s="3585"/>
      <c r="K748" s="3133"/>
      <c r="L748" s="2748"/>
      <c r="W748" s="2748"/>
    </row>
    <row r="749" spans="1:23" s="888" customFormat="1" ht="27" customHeight="1">
      <c r="A749" s="3640"/>
      <c r="B749" s="3594"/>
      <c r="C749" s="3594"/>
      <c r="D749" s="3514" t="s">
        <v>732</v>
      </c>
      <c r="E749" s="3530" t="s">
        <v>163</v>
      </c>
      <c r="F749" s="3546">
        <f>(17.06)*1.1</f>
        <v>18.766000000000002</v>
      </c>
      <c r="G749" s="22"/>
      <c r="H749" s="3546">
        <f>F749*G749</f>
        <v>0</v>
      </c>
      <c r="I749" s="3506"/>
      <c r="J749" s="3585"/>
      <c r="K749" s="3133"/>
      <c r="L749" s="4235"/>
      <c r="M749" s="4202"/>
      <c r="N749" s="4203"/>
      <c r="W749" s="2748"/>
    </row>
    <row r="750" spans="1:23" s="888" customFormat="1" ht="13.5" customHeight="1">
      <c r="A750" s="3782"/>
      <c r="B750" s="3594"/>
      <c r="C750" s="3594"/>
      <c r="D750" s="3514" t="s">
        <v>733</v>
      </c>
      <c r="E750" s="3594"/>
      <c r="F750" s="3546">
        <f>(17.06)</f>
        <v>17.059999999999999</v>
      </c>
      <c r="G750" s="16"/>
      <c r="H750" s="3509"/>
      <c r="I750" s="3506"/>
      <c r="J750" s="3919"/>
      <c r="L750" s="2748"/>
      <c r="R750" s="3663"/>
    </row>
    <row r="751" spans="1:23" s="4324" customFormat="1" ht="27" customHeight="1">
      <c r="A751" s="3518"/>
      <c r="B751" s="4041"/>
      <c r="C751" s="3514"/>
      <c r="D751" s="3514" t="s">
        <v>734</v>
      </c>
      <c r="E751" s="3530"/>
      <c r="F751" s="3546"/>
      <c r="G751" s="15"/>
      <c r="H751" s="3546"/>
      <c r="I751" s="4321"/>
      <c r="J751" s="1204"/>
      <c r="K751" s="888"/>
      <c r="L751" s="4322"/>
      <c r="M751" s="4323"/>
      <c r="N751" s="4323"/>
    </row>
    <row r="752" spans="1:23" s="4324" customFormat="1" ht="40.5" customHeight="1">
      <c r="A752" s="3518"/>
      <c r="B752" s="4041"/>
      <c r="C752" s="3514"/>
      <c r="D752" s="3514" t="s">
        <v>644</v>
      </c>
      <c r="E752" s="3530"/>
      <c r="F752" s="3546"/>
      <c r="G752" s="15"/>
      <c r="H752" s="3546"/>
      <c r="I752" s="4321"/>
      <c r="J752" s="2636"/>
      <c r="K752" s="4323"/>
      <c r="L752" s="4322"/>
      <c r="M752" s="4323"/>
      <c r="N752" s="4323"/>
    </row>
    <row r="753" spans="1:23" s="888" customFormat="1" ht="27" customHeight="1">
      <c r="A753" s="3725">
        <v>127</v>
      </c>
      <c r="B753" s="3507">
        <v>776</v>
      </c>
      <c r="C753" s="3507" t="s">
        <v>735</v>
      </c>
      <c r="D753" s="3507" t="s">
        <v>736</v>
      </c>
      <c r="E753" s="3507" t="s">
        <v>163</v>
      </c>
      <c r="F753" s="3509">
        <f>SUM(F760:F760)</f>
        <v>2.31</v>
      </c>
      <c r="G753" s="3509">
        <f>SUM(H757:H759)/F753</f>
        <v>0</v>
      </c>
      <c r="H753" s="3509">
        <f>F753*G753</f>
        <v>0</v>
      </c>
      <c r="I753" s="3510" t="s">
        <v>112</v>
      </c>
      <c r="K753" s="3684"/>
      <c r="L753" s="3684"/>
      <c r="M753" s="2656"/>
    </row>
    <row r="754" spans="1:23" s="888" customFormat="1" ht="13.5" customHeight="1">
      <c r="A754" s="3725"/>
      <c r="B754" s="3507"/>
      <c r="C754" s="3507"/>
      <c r="D754" s="3514" t="s">
        <v>737</v>
      </c>
      <c r="E754" s="3507"/>
      <c r="F754" s="3509"/>
      <c r="G754" s="3509"/>
      <c r="H754" s="3509"/>
      <c r="I754" s="3510"/>
      <c r="J754" s="3789"/>
      <c r="K754" s="3684"/>
      <c r="L754" s="3684"/>
    </row>
    <row r="755" spans="1:23" s="888" customFormat="1" ht="13.5" customHeight="1">
      <c r="A755" s="3782"/>
      <c r="B755" s="3594"/>
      <c r="C755" s="3594"/>
      <c r="D755" s="3514" t="s">
        <v>636</v>
      </c>
      <c r="E755" s="4313"/>
      <c r="F755" s="3546"/>
      <c r="G755" s="3808"/>
      <c r="H755" s="3509"/>
      <c r="I755" s="3506"/>
    </row>
    <row r="756" spans="1:23" s="888" customFormat="1" ht="27" customHeight="1">
      <c r="A756" s="3640"/>
      <c r="B756" s="3594"/>
      <c r="C756" s="3594"/>
      <c r="D756" s="3514" t="s">
        <v>728</v>
      </c>
      <c r="E756" s="3530"/>
      <c r="F756" s="3546"/>
      <c r="G756" s="5186" t="s">
        <v>729</v>
      </c>
      <c r="H756" s="5187"/>
      <c r="I756" s="3506"/>
      <c r="J756" s="3663"/>
      <c r="M756" s="3133"/>
      <c r="Q756" s="3674"/>
    </row>
    <row r="757" spans="1:23" s="888" customFormat="1" ht="27" customHeight="1">
      <c r="A757" s="3640"/>
      <c r="B757" s="4320"/>
      <c r="C757" s="3530"/>
      <c r="D757" s="3514" t="s">
        <v>738</v>
      </c>
      <c r="E757" s="3530" t="s">
        <v>163</v>
      </c>
      <c r="F757" s="3546">
        <f>(2.31)*1.05</f>
        <v>2.4255</v>
      </c>
      <c r="G757" s="22"/>
      <c r="H757" s="3546">
        <f>F757*G757</f>
        <v>0</v>
      </c>
      <c r="I757" s="2532"/>
      <c r="J757" s="3585"/>
      <c r="K757" s="3133"/>
      <c r="L757" s="4235"/>
      <c r="M757" s="4236"/>
      <c r="N757" s="4203"/>
      <c r="U757" s="1204"/>
      <c r="W757" s="3134"/>
    </row>
    <row r="758" spans="1:23" s="888" customFormat="1" ht="13.5" customHeight="1">
      <c r="A758" s="3640"/>
      <c r="B758" s="4320"/>
      <c r="C758" s="3530"/>
      <c r="D758" s="3514" t="s">
        <v>739</v>
      </c>
      <c r="E758" s="3530" t="s">
        <v>163</v>
      </c>
      <c r="F758" s="3546">
        <f>(2.31)*1.15</f>
        <v>2.6564999999999999</v>
      </c>
      <c r="G758" s="22"/>
      <c r="H758" s="3546">
        <f>F758*G758</f>
        <v>0</v>
      </c>
      <c r="I758" s="2532"/>
      <c r="J758" s="3585"/>
      <c r="K758" s="3133"/>
      <c r="L758" s="2748"/>
      <c r="W758" s="2748"/>
    </row>
    <row r="759" spans="1:23" s="888" customFormat="1" ht="27" customHeight="1">
      <c r="A759" s="3640"/>
      <c r="B759" s="3594"/>
      <c r="C759" s="3594"/>
      <c r="D759" s="3514" t="s">
        <v>740</v>
      </c>
      <c r="E759" s="3530" t="s">
        <v>163</v>
      </c>
      <c r="F759" s="3546">
        <f>(2.31)*1.1</f>
        <v>2.5410000000000004</v>
      </c>
      <c r="G759" s="22"/>
      <c r="H759" s="3546">
        <f>F759*G759</f>
        <v>0</v>
      </c>
      <c r="I759" s="3506"/>
      <c r="J759" s="3585"/>
      <c r="K759" s="3133"/>
      <c r="L759" s="4235"/>
      <c r="M759" s="4202"/>
      <c r="N759" s="4203"/>
      <c r="W759" s="2748"/>
    </row>
    <row r="760" spans="1:23" s="888" customFormat="1" ht="13.5" customHeight="1">
      <c r="A760" s="3782"/>
      <c r="B760" s="3594"/>
      <c r="C760" s="3594"/>
      <c r="D760" s="3514" t="s">
        <v>741</v>
      </c>
      <c r="E760" s="3594"/>
      <c r="F760" s="3546">
        <f>(2.31)</f>
        <v>2.31</v>
      </c>
      <c r="G760" s="16"/>
      <c r="H760" s="3509"/>
      <c r="I760" s="3506"/>
      <c r="J760" s="3919"/>
      <c r="L760" s="2748"/>
      <c r="R760" s="3663"/>
    </row>
    <row r="761" spans="1:23" s="4324" customFormat="1" ht="27" customHeight="1">
      <c r="A761" s="3518"/>
      <c r="B761" s="4041"/>
      <c r="C761" s="3514"/>
      <c r="D761" s="3514" t="s">
        <v>734</v>
      </c>
      <c r="E761" s="3530"/>
      <c r="F761" s="3546"/>
      <c r="G761" s="15"/>
      <c r="H761" s="3546"/>
      <c r="I761" s="4321"/>
      <c r="J761" s="1204"/>
      <c r="K761" s="888"/>
      <c r="L761" s="4322"/>
      <c r="M761" s="4323"/>
      <c r="N761" s="4323"/>
    </row>
    <row r="762" spans="1:23" s="4324" customFormat="1" ht="40.5" customHeight="1">
      <c r="A762" s="3518"/>
      <c r="B762" s="4041"/>
      <c r="C762" s="3514"/>
      <c r="D762" s="3514" t="s">
        <v>690</v>
      </c>
      <c r="E762" s="3530"/>
      <c r="F762" s="3546"/>
      <c r="G762" s="15"/>
      <c r="H762" s="3546"/>
      <c r="I762" s="4321"/>
      <c r="J762" s="2636"/>
      <c r="K762" s="4323"/>
      <c r="L762" s="4322"/>
      <c r="M762" s="4323"/>
      <c r="N762" s="4323"/>
    </row>
    <row r="763" spans="1:23" s="647" customFormat="1" ht="13.5" customHeight="1">
      <c r="A763" s="4332">
        <v>128</v>
      </c>
      <c r="B763" s="2264">
        <v>776</v>
      </c>
      <c r="C763" s="2264">
        <v>998776203</v>
      </c>
      <c r="D763" s="2264" t="s">
        <v>742</v>
      </c>
      <c r="E763" s="2264" t="s">
        <v>10</v>
      </c>
      <c r="F763" s="3929">
        <v>0.4</v>
      </c>
      <c r="G763" s="24"/>
      <c r="H763" s="3929">
        <f>F763*G763</f>
        <v>0</v>
      </c>
      <c r="I763" s="4333" t="s">
        <v>137</v>
      </c>
      <c r="J763" s="4334"/>
      <c r="K763" s="4335"/>
      <c r="L763" s="4335"/>
    </row>
    <row r="764" spans="1:23" s="911" customFormat="1" ht="13.5" customHeight="1">
      <c r="A764" s="4332">
        <v>129</v>
      </c>
      <c r="B764" s="2264" t="s">
        <v>362</v>
      </c>
      <c r="C764" s="2264" t="s">
        <v>676</v>
      </c>
      <c r="D764" s="2264" t="s">
        <v>677</v>
      </c>
      <c r="E764" s="2264" t="s">
        <v>69</v>
      </c>
      <c r="F764" s="3929">
        <f>F765</f>
        <v>50</v>
      </c>
      <c r="G764" s="24"/>
      <c r="H764" s="3929">
        <f>F764*G764</f>
        <v>0</v>
      </c>
      <c r="I764" s="4333" t="s">
        <v>137</v>
      </c>
    </row>
    <row r="765" spans="1:23" s="647" customFormat="1" ht="13.5" customHeight="1">
      <c r="A765" s="4336"/>
      <c r="B765" s="4337"/>
      <c r="C765" s="4337"/>
      <c r="D765" s="2269" t="s">
        <v>743</v>
      </c>
      <c r="E765" s="4337"/>
      <c r="F765" s="4140">
        <v>50</v>
      </c>
      <c r="G765" s="25"/>
      <c r="H765" s="3929"/>
      <c r="I765" s="4329"/>
    </row>
    <row r="766" spans="1:23" s="647" customFormat="1" ht="27" customHeight="1">
      <c r="A766" s="4336"/>
      <c r="B766" s="4337"/>
      <c r="C766" s="4337"/>
      <c r="D766" s="2269" t="s">
        <v>744</v>
      </c>
      <c r="E766" s="4337"/>
      <c r="F766" s="4140"/>
      <c r="G766" s="25"/>
      <c r="H766" s="3929"/>
      <c r="I766" s="4329"/>
      <c r="J766" s="638"/>
      <c r="K766" s="4338"/>
      <c r="L766" s="4338"/>
      <c r="M766" s="4338"/>
    </row>
    <row r="767" spans="1:23" s="647" customFormat="1" ht="13.5" customHeight="1">
      <c r="A767" s="4327"/>
      <c r="B767" s="2274"/>
      <c r="C767" s="2274">
        <v>777</v>
      </c>
      <c r="D767" s="2274" t="s">
        <v>745</v>
      </c>
      <c r="E767" s="2274"/>
      <c r="F767" s="4328"/>
      <c r="G767" s="23"/>
      <c r="H767" s="4328">
        <f>SUM(H768:H770,H773:H778,H781:H786,H793:H798,H800:H805,H812:H818)</f>
        <v>0</v>
      </c>
      <c r="I767" s="4329"/>
      <c r="J767" s="2249"/>
      <c r="K767" s="4330"/>
      <c r="M767" s="4331"/>
    </row>
    <row r="768" spans="1:23" s="888" customFormat="1" ht="27" customHeight="1">
      <c r="A768" s="3725">
        <v>130</v>
      </c>
      <c r="B768" s="2264">
        <v>777</v>
      </c>
      <c r="C768" s="2264" t="s">
        <v>746</v>
      </c>
      <c r="D768" s="3507" t="s">
        <v>747</v>
      </c>
      <c r="E768" s="3507" t="s">
        <v>163</v>
      </c>
      <c r="F768" s="3509">
        <f>SUM(F773:F773)</f>
        <v>180.66</v>
      </c>
      <c r="G768" s="3509">
        <f>SUM(H771:H772)/F768</f>
        <v>0</v>
      </c>
      <c r="H768" s="3509">
        <f>F768*G768</f>
        <v>0</v>
      </c>
      <c r="I768" s="3510" t="s">
        <v>112</v>
      </c>
      <c r="K768" s="3684"/>
      <c r="L768" s="3684"/>
    </row>
    <row r="769" spans="1:18" s="888" customFormat="1" ht="13.5" customHeight="1">
      <c r="A769" s="3725"/>
      <c r="B769" s="3507"/>
      <c r="C769" s="3507"/>
      <c r="D769" s="3514" t="s">
        <v>748</v>
      </c>
      <c r="E769" s="3507"/>
      <c r="F769" s="3509"/>
      <c r="G769" s="5"/>
      <c r="H769" s="3509"/>
      <c r="I769" s="3510"/>
      <c r="J769" s="4048"/>
      <c r="K769" s="4048"/>
      <c r="L769" s="4048"/>
      <c r="M769" s="4048"/>
      <c r="N769" s="4339"/>
    </row>
    <row r="770" spans="1:18" s="888" customFormat="1" ht="13.5" customHeight="1">
      <c r="A770" s="3782"/>
      <c r="B770" s="3594"/>
      <c r="C770" s="3594"/>
      <c r="D770" s="3514" t="s">
        <v>636</v>
      </c>
      <c r="E770" s="4313"/>
      <c r="F770" s="3546"/>
      <c r="G770" s="16"/>
      <c r="H770" s="3509"/>
      <c r="I770" s="3506"/>
      <c r="J770" s="4048"/>
      <c r="K770" s="4048"/>
      <c r="L770" s="4048"/>
      <c r="M770" s="4048"/>
      <c r="N770" s="4339"/>
    </row>
    <row r="771" spans="1:18" s="1204" customFormat="1" ht="13.5" customHeight="1">
      <c r="A771" s="4340"/>
      <c r="B771" s="3539"/>
      <c r="C771" s="3530"/>
      <c r="D771" s="3530" t="s">
        <v>749</v>
      </c>
      <c r="E771" s="3530" t="s">
        <v>163</v>
      </c>
      <c r="F771" s="3546">
        <f>(180.66)*1.05</f>
        <v>189.69300000000001</v>
      </c>
      <c r="G771" s="22"/>
      <c r="H771" s="3546">
        <f>F771*G771</f>
        <v>0</v>
      </c>
      <c r="I771" s="2532"/>
      <c r="J771" s="3585"/>
      <c r="K771" s="3133"/>
      <c r="L771" s="4235"/>
      <c r="M771" s="4236"/>
      <c r="N771" s="4203"/>
      <c r="O771" s="4048"/>
    </row>
    <row r="772" spans="1:18" s="1204" customFormat="1" ht="13.5" customHeight="1">
      <c r="A772" s="4340"/>
      <c r="B772" s="3539"/>
      <c r="C772" s="3530"/>
      <c r="D772" s="3530" t="s">
        <v>750</v>
      </c>
      <c r="E772" s="3530" t="s">
        <v>163</v>
      </c>
      <c r="F772" s="3546">
        <f>(180.66)*1.05</f>
        <v>189.69300000000001</v>
      </c>
      <c r="G772" s="22"/>
      <c r="H772" s="3546">
        <f>F772*G772</f>
        <v>0</v>
      </c>
      <c r="I772" s="2532"/>
      <c r="J772" s="3585"/>
      <c r="K772" s="3133"/>
      <c r="L772" s="4235"/>
      <c r="M772" s="4202"/>
      <c r="N772" s="4203"/>
      <c r="O772" s="4048"/>
      <c r="Q772" s="2748"/>
    </row>
    <row r="773" spans="1:18" s="888" customFormat="1" ht="27" customHeight="1">
      <c r="A773" s="3782"/>
      <c r="B773" s="3594"/>
      <c r="C773" s="3594"/>
      <c r="D773" s="3514" t="s">
        <v>751</v>
      </c>
      <c r="E773" s="3594"/>
      <c r="F773" s="3546">
        <f>(16.7+7.98+11.82+1.08+2.17+3.93+5.21+15.55+6.25+20.91+89.06)</f>
        <v>180.66</v>
      </c>
      <c r="G773" s="16"/>
      <c r="H773" s="3509"/>
      <c r="I773" s="3506"/>
      <c r="J773" s="3919"/>
      <c r="L773" s="2748"/>
      <c r="R773" s="3663"/>
    </row>
    <row r="774" spans="1:18" s="4324" customFormat="1" ht="27" customHeight="1">
      <c r="A774" s="3518"/>
      <c r="B774" s="4041"/>
      <c r="C774" s="3514"/>
      <c r="D774" s="3514" t="s">
        <v>734</v>
      </c>
      <c r="E774" s="3530"/>
      <c r="F774" s="3546"/>
      <c r="G774" s="15"/>
      <c r="H774" s="3546"/>
      <c r="I774" s="4321"/>
      <c r="J774" s="1204"/>
      <c r="K774" s="888"/>
      <c r="L774" s="4322"/>
      <c r="M774" s="4323"/>
      <c r="N774" s="4323"/>
    </row>
    <row r="775" spans="1:18" s="4324" customFormat="1" ht="40.5" customHeight="1">
      <c r="A775" s="3518"/>
      <c r="B775" s="4041"/>
      <c r="C775" s="3514"/>
      <c r="D775" s="3514" t="s">
        <v>752</v>
      </c>
      <c r="E775" s="3530"/>
      <c r="F775" s="3546"/>
      <c r="G775" s="15"/>
      <c r="H775" s="3546"/>
      <c r="I775" s="4321"/>
      <c r="J775" s="2636"/>
      <c r="K775" s="4323"/>
      <c r="L775" s="4322"/>
      <c r="M775" s="4323"/>
      <c r="N775" s="4323"/>
    </row>
    <row r="776" spans="1:18" s="888" customFormat="1" ht="27" customHeight="1">
      <c r="A776" s="3725">
        <v>131</v>
      </c>
      <c r="B776" s="2264">
        <v>777</v>
      </c>
      <c r="C776" s="2264" t="s">
        <v>753</v>
      </c>
      <c r="D776" s="3507" t="s">
        <v>754</v>
      </c>
      <c r="E776" s="3507" t="s">
        <v>163</v>
      </c>
      <c r="F776" s="3509">
        <f>SUM(F781:F781)</f>
        <v>7.38</v>
      </c>
      <c r="G776" s="3509">
        <f>SUM(H779:H780)/F776</f>
        <v>0</v>
      </c>
      <c r="H776" s="3509">
        <f>F776*G776</f>
        <v>0</v>
      </c>
      <c r="I776" s="3510" t="s">
        <v>112</v>
      </c>
      <c r="K776" s="3684"/>
      <c r="L776" s="3684"/>
    </row>
    <row r="777" spans="1:18" s="888" customFormat="1" ht="13.5" customHeight="1">
      <c r="A777" s="3725"/>
      <c r="B777" s="3507"/>
      <c r="C777" s="3507"/>
      <c r="D777" s="3514" t="s">
        <v>748</v>
      </c>
      <c r="E777" s="3507"/>
      <c r="F777" s="3509"/>
      <c r="G777" s="5"/>
      <c r="H777" s="3509"/>
      <c r="I777" s="3510"/>
      <c r="J777" s="4048"/>
      <c r="K777" s="4048"/>
      <c r="L777" s="4048"/>
      <c r="M777" s="4048"/>
      <c r="N777" s="4339"/>
    </row>
    <row r="778" spans="1:18" s="888" customFormat="1" ht="13.5" customHeight="1">
      <c r="A778" s="3782"/>
      <c r="B778" s="3594"/>
      <c r="C778" s="3594"/>
      <c r="D778" s="3514" t="s">
        <v>636</v>
      </c>
      <c r="E778" s="4313"/>
      <c r="F778" s="3546"/>
      <c r="G778" s="16"/>
      <c r="H778" s="3509"/>
      <c r="I778" s="3506"/>
      <c r="J778" s="4048"/>
      <c r="K778" s="4048"/>
      <c r="L778" s="4048"/>
      <c r="M778" s="4048"/>
      <c r="N778" s="4339"/>
    </row>
    <row r="779" spans="1:18" s="1204" customFormat="1" ht="13.5" customHeight="1">
      <c r="A779" s="4340"/>
      <c r="B779" s="3539"/>
      <c r="C779" s="3530"/>
      <c r="D779" s="3530" t="s">
        <v>755</v>
      </c>
      <c r="E779" s="3530" t="s">
        <v>163</v>
      </c>
      <c r="F779" s="3546">
        <f xml:space="preserve"> (7.38)*1.05</f>
        <v>7.7490000000000006</v>
      </c>
      <c r="G779" s="22"/>
      <c r="H779" s="3546">
        <f>F779*G779</f>
        <v>0</v>
      </c>
      <c r="I779" s="2532"/>
      <c r="J779" s="3585"/>
      <c r="K779" s="3133"/>
      <c r="L779" s="4235"/>
      <c r="M779" s="4236"/>
      <c r="N779" s="4203"/>
      <c r="O779" s="4048"/>
    </row>
    <row r="780" spans="1:18" s="1204" customFormat="1" ht="13.5" customHeight="1">
      <c r="A780" s="4340"/>
      <c r="B780" s="3539"/>
      <c r="C780" s="3530"/>
      <c r="D780" s="3530" t="s">
        <v>756</v>
      </c>
      <c r="E780" s="3530" t="s">
        <v>163</v>
      </c>
      <c r="F780" s="3546">
        <f>(7.38)*1.05</f>
        <v>7.7490000000000006</v>
      </c>
      <c r="G780" s="22"/>
      <c r="H780" s="3546">
        <f>F780*G780</f>
        <v>0</v>
      </c>
      <c r="I780" s="2532"/>
      <c r="J780" s="3585"/>
      <c r="K780" s="3133"/>
      <c r="L780" s="4235"/>
      <c r="M780" s="4202"/>
      <c r="N780" s="4203"/>
      <c r="O780" s="4048"/>
      <c r="Q780" s="2748"/>
    </row>
    <row r="781" spans="1:18" s="888" customFormat="1" ht="13.5" customHeight="1">
      <c r="A781" s="3782"/>
      <c r="B781" s="3594"/>
      <c r="C781" s="3594"/>
      <c r="D781" s="3514" t="s">
        <v>757</v>
      </c>
      <c r="E781" s="3594"/>
      <c r="F781" s="3546">
        <f>(2.17+5.21)</f>
        <v>7.38</v>
      </c>
      <c r="G781" s="16"/>
      <c r="H781" s="3509"/>
      <c r="I781" s="3506"/>
      <c r="J781" s="3919"/>
      <c r="L781" s="2748"/>
      <c r="R781" s="3663"/>
    </row>
    <row r="782" spans="1:18" s="4324" customFormat="1" ht="27" customHeight="1">
      <c r="A782" s="3518"/>
      <c r="B782" s="4041"/>
      <c r="C782" s="3514"/>
      <c r="D782" s="3514" t="s">
        <v>734</v>
      </c>
      <c r="E782" s="3530"/>
      <c r="F782" s="3546"/>
      <c r="G782" s="15"/>
      <c r="H782" s="3546"/>
      <c r="I782" s="4321"/>
      <c r="J782" s="1204"/>
      <c r="K782" s="888"/>
      <c r="L782" s="4322"/>
      <c r="M782" s="4323"/>
      <c r="N782" s="4323"/>
    </row>
    <row r="783" spans="1:18" s="4324" customFormat="1" ht="40.5" customHeight="1">
      <c r="A783" s="3518"/>
      <c r="B783" s="4041"/>
      <c r="C783" s="3514"/>
      <c r="D783" s="3514" t="s">
        <v>752</v>
      </c>
      <c r="E783" s="3530"/>
      <c r="F783" s="3546"/>
      <c r="G783" s="15"/>
      <c r="H783" s="3546"/>
      <c r="I783" s="4321"/>
      <c r="J783" s="2636"/>
      <c r="K783" s="4323"/>
      <c r="L783" s="4322"/>
      <c r="M783" s="4323"/>
      <c r="N783" s="4323"/>
    </row>
    <row r="784" spans="1:18" s="888" customFormat="1" ht="27" customHeight="1">
      <c r="A784" s="3725">
        <v>132</v>
      </c>
      <c r="B784" s="2264">
        <v>777</v>
      </c>
      <c r="C784" s="2264" t="s">
        <v>758</v>
      </c>
      <c r="D784" s="3507" t="s">
        <v>759</v>
      </c>
      <c r="E784" s="3507" t="s">
        <v>163</v>
      </c>
      <c r="F784" s="3509">
        <f>SUM(F793:F793)</f>
        <v>16.100000000000001</v>
      </c>
      <c r="G784" s="3509">
        <f>SUM(H787:H792)/F784</f>
        <v>0</v>
      </c>
      <c r="H784" s="3509">
        <f>F784*G784</f>
        <v>0</v>
      </c>
      <c r="I784" s="3510" t="s">
        <v>112</v>
      </c>
      <c r="K784" s="3684"/>
      <c r="L784" s="3684"/>
    </row>
    <row r="785" spans="1:23" s="888" customFormat="1" ht="13.5" customHeight="1">
      <c r="A785" s="3725"/>
      <c r="B785" s="3507"/>
      <c r="C785" s="3507"/>
      <c r="D785" s="3514" t="s">
        <v>760</v>
      </c>
      <c r="E785" s="3507"/>
      <c r="F785" s="3509"/>
      <c r="G785" s="5"/>
      <c r="H785" s="3509"/>
      <c r="I785" s="3510"/>
      <c r="J785" s="4048"/>
      <c r="K785" s="4048"/>
      <c r="L785" s="4048"/>
      <c r="M785" s="4048"/>
      <c r="N785" s="4339"/>
    </row>
    <row r="786" spans="1:23" s="888" customFormat="1" ht="13.5" customHeight="1">
      <c r="A786" s="3782"/>
      <c r="B786" s="3594"/>
      <c r="C786" s="3594"/>
      <c r="D786" s="3514" t="s">
        <v>636</v>
      </c>
      <c r="E786" s="4313"/>
      <c r="F786" s="3546"/>
      <c r="G786" s="16"/>
      <c r="H786" s="3509"/>
      <c r="I786" s="3506"/>
      <c r="J786" s="4048"/>
      <c r="K786" s="4048"/>
      <c r="L786" s="4048"/>
      <c r="M786" s="4048"/>
      <c r="N786" s="4339"/>
    </row>
    <row r="787" spans="1:23" s="1204" customFormat="1" ht="13.5" customHeight="1">
      <c r="A787" s="4340"/>
      <c r="B787" s="3539"/>
      <c r="C787" s="3530"/>
      <c r="D787" s="3530" t="s">
        <v>761</v>
      </c>
      <c r="E787" s="3530" t="s">
        <v>163</v>
      </c>
      <c r="F787" s="3546">
        <f>(16.1)*1.05</f>
        <v>16.905000000000001</v>
      </c>
      <c r="G787" s="22"/>
      <c r="H787" s="3546">
        <f t="shared" ref="H787:H792" si="15">F787*G787</f>
        <v>0</v>
      </c>
      <c r="I787" s="2532"/>
      <c r="J787" s="3585"/>
      <c r="K787" s="3133"/>
      <c r="L787" s="4235"/>
      <c r="M787" s="4236"/>
      <c r="N787" s="4203"/>
      <c r="O787" s="4048"/>
    </row>
    <row r="788" spans="1:23" s="1204" customFormat="1" ht="13.5" customHeight="1">
      <c r="A788" s="4340"/>
      <c r="B788" s="3539"/>
      <c r="C788" s="3530"/>
      <c r="D788" s="3530" t="s">
        <v>762</v>
      </c>
      <c r="E788" s="3530" t="s">
        <v>163</v>
      </c>
      <c r="F788" s="3546">
        <f>(16.1)*1.05</f>
        <v>16.905000000000001</v>
      </c>
      <c r="G788" s="22"/>
      <c r="H788" s="3546">
        <f t="shared" si="15"/>
        <v>0</v>
      </c>
      <c r="I788" s="2532"/>
      <c r="J788" s="3585"/>
      <c r="K788" s="3133"/>
      <c r="L788" s="4235"/>
      <c r="M788" s="4202"/>
      <c r="N788" s="4203"/>
      <c r="O788" s="4048"/>
      <c r="Q788" s="2748"/>
    </row>
    <row r="789" spans="1:23" s="888" customFormat="1" ht="13.5" customHeight="1">
      <c r="A789" s="3640"/>
      <c r="B789" s="4320"/>
      <c r="C789" s="3530"/>
      <c r="D789" s="3514" t="s">
        <v>763</v>
      </c>
      <c r="E789" s="3530" t="s">
        <v>163</v>
      </c>
      <c r="F789" s="3546">
        <f>(16.1)*1.1</f>
        <v>17.710000000000004</v>
      </c>
      <c r="G789" s="22"/>
      <c r="H789" s="3546">
        <f t="shared" si="15"/>
        <v>0</v>
      </c>
      <c r="I789" s="2532"/>
      <c r="J789" s="3585"/>
      <c r="K789" s="3133"/>
      <c r="L789" s="3134"/>
      <c r="M789" s="3133"/>
      <c r="N789" s="3133"/>
      <c r="W789" s="2748"/>
    </row>
    <row r="790" spans="1:23" s="888" customFormat="1" ht="27" customHeight="1">
      <c r="A790" s="3640"/>
      <c r="B790" s="4320"/>
      <c r="C790" s="3530"/>
      <c r="D790" s="3514" t="s">
        <v>764</v>
      </c>
      <c r="E790" s="3530" t="s">
        <v>146</v>
      </c>
      <c r="F790" s="3546">
        <f>(16.1*0.11)*1.1</f>
        <v>1.9481000000000004</v>
      </c>
      <c r="G790" s="22"/>
      <c r="H790" s="3546">
        <f t="shared" si="15"/>
        <v>0</v>
      </c>
      <c r="I790" s="2532"/>
      <c r="J790" s="3585"/>
      <c r="K790" s="3133"/>
      <c r="L790" s="4235"/>
      <c r="M790" s="4236"/>
      <c r="N790" s="4203"/>
      <c r="U790" s="1204"/>
      <c r="W790" s="3134"/>
    </row>
    <row r="791" spans="1:23" s="888" customFormat="1" ht="13.5" customHeight="1">
      <c r="A791" s="3640"/>
      <c r="B791" s="4320"/>
      <c r="C791" s="3530"/>
      <c r="D791" s="3514" t="s">
        <v>765</v>
      </c>
      <c r="E791" s="3530" t="s">
        <v>163</v>
      </c>
      <c r="F791" s="3546">
        <f xml:space="preserve"> (16.1)*1.15</f>
        <v>18.515000000000001</v>
      </c>
      <c r="G791" s="22"/>
      <c r="H791" s="3546">
        <f t="shared" si="15"/>
        <v>0</v>
      </c>
      <c r="I791" s="2532"/>
      <c r="J791" s="3585"/>
      <c r="K791" s="3133"/>
      <c r="L791" s="2748"/>
      <c r="W791" s="2748"/>
    </row>
    <row r="792" spans="1:23" s="888" customFormat="1" ht="27" customHeight="1">
      <c r="A792" s="3640"/>
      <c r="B792" s="3594"/>
      <c r="C792" s="3594"/>
      <c r="D792" s="3514" t="s">
        <v>766</v>
      </c>
      <c r="E792" s="3530" t="s">
        <v>163</v>
      </c>
      <c r="F792" s="3546">
        <f xml:space="preserve"> (16.1)*1.1</f>
        <v>17.710000000000004</v>
      </c>
      <c r="G792" s="22"/>
      <c r="H792" s="3546">
        <f t="shared" si="15"/>
        <v>0</v>
      </c>
      <c r="I792" s="3506"/>
      <c r="J792" s="3585"/>
      <c r="K792" s="3133"/>
      <c r="L792" s="4235"/>
      <c r="M792" s="4236"/>
      <c r="N792" s="4203"/>
      <c r="W792" s="2748"/>
    </row>
    <row r="793" spans="1:23" s="888" customFormat="1" ht="13.5" customHeight="1">
      <c r="A793" s="3782"/>
      <c r="B793" s="3594"/>
      <c r="C793" s="3594"/>
      <c r="D793" s="3514" t="s">
        <v>767</v>
      </c>
      <c r="E793" s="3594"/>
      <c r="F793" s="3546">
        <v>16.100000000000001</v>
      </c>
      <c r="G793" s="16"/>
      <c r="H793" s="3509"/>
      <c r="I793" s="3506"/>
      <c r="J793" s="3919"/>
      <c r="L793" s="2748"/>
      <c r="R793" s="3663"/>
    </row>
    <row r="794" spans="1:23" s="4324" customFormat="1" ht="27" customHeight="1">
      <c r="A794" s="3518"/>
      <c r="B794" s="4041"/>
      <c r="C794" s="3514"/>
      <c r="D794" s="3514" t="s">
        <v>734</v>
      </c>
      <c r="E794" s="3530"/>
      <c r="F794" s="3546"/>
      <c r="G794" s="15"/>
      <c r="H794" s="3546"/>
      <c r="I794" s="4321"/>
      <c r="J794" s="1204"/>
      <c r="K794" s="888"/>
      <c r="L794" s="4322"/>
      <c r="M794" s="4323"/>
      <c r="N794" s="4323"/>
    </row>
    <row r="795" spans="1:23" s="4324" customFormat="1" ht="40.5" customHeight="1">
      <c r="A795" s="3518"/>
      <c r="B795" s="4041"/>
      <c r="C795" s="3514"/>
      <c r="D795" s="3514" t="s">
        <v>752</v>
      </c>
      <c r="E795" s="3530"/>
      <c r="F795" s="3546"/>
      <c r="G795" s="15"/>
      <c r="H795" s="3546"/>
      <c r="I795" s="4321"/>
      <c r="J795" s="2636"/>
      <c r="K795" s="4323"/>
      <c r="L795" s="4322"/>
      <c r="M795" s="4323"/>
      <c r="N795" s="4323"/>
    </row>
    <row r="796" spans="1:23" s="888" customFormat="1" ht="27" customHeight="1">
      <c r="A796" s="3725">
        <v>133</v>
      </c>
      <c r="B796" s="2264">
        <v>777</v>
      </c>
      <c r="C796" s="2264" t="s">
        <v>768</v>
      </c>
      <c r="D796" s="3507" t="s">
        <v>769</v>
      </c>
      <c r="E796" s="3507" t="s">
        <v>163</v>
      </c>
      <c r="F796" s="3509">
        <f>SUM(F800:F800)</f>
        <v>9.4700000000000006</v>
      </c>
      <c r="G796" s="3509">
        <f>SUM(H799:H799)/F796</f>
        <v>0</v>
      </c>
      <c r="H796" s="3509">
        <f>F796*G796</f>
        <v>0</v>
      </c>
      <c r="I796" s="3510" t="s">
        <v>112</v>
      </c>
      <c r="K796" s="3684"/>
      <c r="L796" s="3684"/>
    </row>
    <row r="797" spans="1:23" s="888" customFormat="1" ht="13.5" customHeight="1">
      <c r="A797" s="3725"/>
      <c r="B797" s="3507"/>
      <c r="C797" s="3507"/>
      <c r="D797" s="3514" t="s">
        <v>748</v>
      </c>
      <c r="E797" s="3507"/>
      <c r="F797" s="3509"/>
      <c r="G797" s="5"/>
      <c r="H797" s="3509"/>
      <c r="I797" s="3510"/>
      <c r="J797" s="4048"/>
      <c r="K797" s="4048"/>
      <c r="L797" s="4048"/>
      <c r="M797" s="4048"/>
      <c r="N797" s="4339"/>
    </row>
    <row r="798" spans="1:23" s="888" customFormat="1" ht="13.5" customHeight="1">
      <c r="A798" s="3782"/>
      <c r="B798" s="3594"/>
      <c r="C798" s="3594"/>
      <c r="D798" s="3514" t="s">
        <v>636</v>
      </c>
      <c r="E798" s="4313"/>
      <c r="F798" s="3546"/>
      <c r="G798" s="16"/>
      <c r="H798" s="3509"/>
      <c r="I798" s="3506"/>
      <c r="J798" s="4048"/>
      <c r="K798" s="4048"/>
      <c r="L798" s="4048"/>
      <c r="M798" s="4048"/>
      <c r="N798" s="4339"/>
    </row>
    <row r="799" spans="1:23" s="888" customFormat="1" ht="27" customHeight="1">
      <c r="A799" s="3640"/>
      <c r="B799" s="4320"/>
      <c r="C799" s="3530"/>
      <c r="D799" s="3514" t="s">
        <v>770</v>
      </c>
      <c r="E799" s="3530" t="s">
        <v>146</v>
      </c>
      <c r="F799" s="3546">
        <f>(9.47*0.12)*1.1</f>
        <v>1.2500400000000003</v>
      </c>
      <c r="G799" s="22"/>
      <c r="H799" s="3546">
        <f>F799*G799</f>
        <v>0</v>
      </c>
      <c r="I799" s="2532"/>
      <c r="J799" s="3585"/>
      <c r="K799" s="3133"/>
      <c r="L799" s="4235"/>
      <c r="M799" s="4236"/>
      <c r="N799" s="4203"/>
      <c r="U799" s="1204"/>
      <c r="W799" s="3134"/>
    </row>
    <row r="800" spans="1:23" s="888" customFormat="1" ht="13.5" customHeight="1">
      <c r="A800" s="3782"/>
      <c r="B800" s="3594"/>
      <c r="C800" s="3594"/>
      <c r="D800" s="3514" t="s">
        <v>771</v>
      </c>
      <c r="E800" s="3594"/>
      <c r="F800" s="3546">
        <v>9.4700000000000006</v>
      </c>
      <c r="G800" s="16"/>
      <c r="H800" s="3509"/>
      <c r="I800" s="3506"/>
      <c r="J800" s="3585"/>
      <c r="K800" s="3133"/>
      <c r="L800" s="2748"/>
      <c r="R800" s="3663"/>
    </row>
    <row r="801" spans="1:23" s="4324" customFormat="1" ht="27" customHeight="1">
      <c r="A801" s="3518"/>
      <c r="B801" s="4041"/>
      <c r="C801" s="3514"/>
      <c r="D801" s="3514" t="s">
        <v>734</v>
      </c>
      <c r="E801" s="3530"/>
      <c r="F801" s="3546"/>
      <c r="G801" s="15"/>
      <c r="H801" s="3546"/>
      <c r="I801" s="4321"/>
      <c r="J801" s="1204"/>
      <c r="K801" s="888"/>
      <c r="L801" s="4322"/>
      <c r="M801" s="4323"/>
      <c r="N801" s="4323"/>
    </row>
    <row r="802" spans="1:23" s="4324" customFormat="1" ht="40.5" customHeight="1">
      <c r="A802" s="3518"/>
      <c r="B802" s="4041"/>
      <c r="C802" s="3514"/>
      <c r="D802" s="3514" t="s">
        <v>752</v>
      </c>
      <c r="E802" s="3530"/>
      <c r="F802" s="3546"/>
      <c r="G802" s="15"/>
      <c r="H802" s="3546"/>
      <c r="I802" s="4321"/>
      <c r="J802" s="2636"/>
      <c r="K802" s="4323"/>
      <c r="L802" s="4322"/>
      <c r="M802" s="4323"/>
      <c r="N802" s="4323"/>
    </row>
    <row r="803" spans="1:23" s="888" customFormat="1" ht="27" customHeight="1">
      <c r="A803" s="3725">
        <v>134</v>
      </c>
      <c r="B803" s="2264">
        <v>777</v>
      </c>
      <c r="C803" s="2264" t="s">
        <v>772</v>
      </c>
      <c r="D803" s="3507" t="s">
        <v>773</v>
      </c>
      <c r="E803" s="3507" t="s">
        <v>163</v>
      </c>
      <c r="F803" s="3509">
        <f>SUM(F812:F812)</f>
        <v>7.19</v>
      </c>
      <c r="G803" s="3509">
        <f>SUM(H806:H811)/F803</f>
        <v>0</v>
      </c>
      <c r="H803" s="3509">
        <f>F803*G803</f>
        <v>0</v>
      </c>
      <c r="I803" s="3510" t="s">
        <v>112</v>
      </c>
      <c r="K803" s="3684"/>
      <c r="L803" s="3684"/>
    </row>
    <row r="804" spans="1:23" s="888" customFormat="1" ht="13.5" customHeight="1">
      <c r="A804" s="3725"/>
      <c r="B804" s="3507"/>
      <c r="C804" s="3507"/>
      <c r="D804" s="3514" t="s">
        <v>748</v>
      </c>
      <c r="E804" s="3507"/>
      <c r="F804" s="3509"/>
      <c r="G804" s="5"/>
      <c r="H804" s="3509"/>
      <c r="I804" s="3510"/>
      <c r="J804" s="4048"/>
      <c r="K804" s="4048"/>
      <c r="L804" s="4048"/>
      <c r="M804" s="4048"/>
      <c r="N804" s="4339"/>
    </row>
    <row r="805" spans="1:23" s="888" customFormat="1" ht="13.5" customHeight="1">
      <c r="A805" s="3782"/>
      <c r="B805" s="3594"/>
      <c r="C805" s="3594"/>
      <c r="D805" s="3514" t="s">
        <v>636</v>
      </c>
      <c r="E805" s="4313"/>
      <c r="F805" s="3546"/>
      <c r="G805" s="16"/>
      <c r="H805" s="3509"/>
      <c r="I805" s="3506"/>
      <c r="J805" s="4048"/>
      <c r="K805" s="4048"/>
      <c r="L805" s="4048"/>
      <c r="M805" s="4048"/>
      <c r="N805" s="4339"/>
    </row>
    <row r="806" spans="1:23" s="1204" customFormat="1" ht="27" customHeight="1">
      <c r="A806" s="4340"/>
      <c r="B806" s="3539"/>
      <c r="C806" s="3530"/>
      <c r="D806" s="3530" t="s">
        <v>774</v>
      </c>
      <c r="E806" s="3530" t="s">
        <v>163</v>
      </c>
      <c r="F806" s="3546">
        <f>(7.19)*1.05</f>
        <v>7.549500000000001</v>
      </c>
      <c r="G806" s="22"/>
      <c r="H806" s="3546">
        <f t="shared" ref="H806:H811" si="16">F806*G806</f>
        <v>0</v>
      </c>
      <c r="I806" s="2532"/>
      <c r="J806" s="3585"/>
      <c r="K806" s="3133"/>
      <c r="L806" s="4235"/>
      <c r="M806" s="4236"/>
      <c r="N806" s="4203"/>
      <c r="O806" s="4048"/>
    </row>
    <row r="807" spans="1:23" s="1204" customFormat="1" ht="13.5" customHeight="1">
      <c r="A807" s="4340"/>
      <c r="B807" s="3539"/>
      <c r="C807" s="3530"/>
      <c r="D807" s="3530" t="s">
        <v>775</v>
      </c>
      <c r="E807" s="3530" t="s">
        <v>163</v>
      </c>
      <c r="F807" s="3546">
        <f>(7.19)*1.05</f>
        <v>7.549500000000001</v>
      </c>
      <c r="G807" s="22"/>
      <c r="H807" s="3546">
        <f t="shared" si="16"/>
        <v>0</v>
      </c>
      <c r="I807" s="2532"/>
      <c r="J807" s="3585"/>
      <c r="K807" s="3133"/>
      <c r="L807" s="4235"/>
      <c r="M807" s="4202"/>
      <c r="N807" s="4203"/>
      <c r="O807" s="4048"/>
      <c r="Q807" s="2748"/>
    </row>
    <row r="808" spans="1:23" s="888" customFormat="1" ht="13.5" customHeight="1">
      <c r="A808" s="3640"/>
      <c r="B808" s="4320"/>
      <c r="C808" s="3530"/>
      <c r="D808" s="3514" t="s">
        <v>776</v>
      </c>
      <c r="E808" s="3530" t="s">
        <v>163</v>
      </c>
      <c r="F808" s="3546">
        <f>(7.19)*1.1</f>
        <v>7.9090000000000007</v>
      </c>
      <c r="G808" s="22"/>
      <c r="H808" s="3546">
        <f t="shared" si="16"/>
        <v>0</v>
      </c>
      <c r="I808" s="2532"/>
      <c r="J808" s="3585"/>
      <c r="K808" s="3133"/>
      <c r="L808" s="3134"/>
      <c r="M808" s="3133"/>
      <c r="N808" s="3133"/>
      <c r="W808" s="2748"/>
    </row>
    <row r="809" spans="1:23" s="888" customFormat="1" ht="27" customHeight="1">
      <c r="A809" s="3640"/>
      <c r="B809" s="4320"/>
      <c r="C809" s="3530"/>
      <c r="D809" s="3514" t="s">
        <v>777</v>
      </c>
      <c r="E809" s="3530" t="s">
        <v>146</v>
      </c>
      <c r="F809" s="3546">
        <f>(7.19*0.11)*1.1</f>
        <v>0.86999000000000015</v>
      </c>
      <c r="G809" s="22"/>
      <c r="H809" s="3546">
        <f t="shared" si="16"/>
        <v>0</v>
      </c>
      <c r="I809" s="2532"/>
      <c r="J809" s="3585"/>
      <c r="K809" s="3133"/>
      <c r="L809" s="4235"/>
      <c r="M809" s="4236"/>
      <c r="N809" s="4203"/>
      <c r="U809" s="1204"/>
      <c r="W809" s="3134"/>
    </row>
    <row r="810" spans="1:23" s="888" customFormat="1" ht="13.5" customHeight="1">
      <c r="A810" s="3640"/>
      <c r="B810" s="4320"/>
      <c r="C810" s="3530"/>
      <c r="D810" s="3514" t="s">
        <v>778</v>
      </c>
      <c r="E810" s="3530" t="s">
        <v>163</v>
      </c>
      <c r="F810" s="3546">
        <f xml:space="preserve"> (7.19)*1.15</f>
        <v>8.2684999999999995</v>
      </c>
      <c r="G810" s="22"/>
      <c r="H810" s="3546">
        <f t="shared" si="16"/>
        <v>0</v>
      </c>
      <c r="I810" s="2532"/>
      <c r="J810" s="3585"/>
      <c r="K810" s="3133"/>
      <c r="L810" s="2748"/>
      <c r="W810" s="2748"/>
    </row>
    <row r="811" spans="1:23" s="888" customFormat="1" ht="27" customHeight="1">
      <c r="A811" s="3640"/>
      <c r="B811" s="3594"/>
      <c r="C811" s="3594"/>
      <c r="D811" s="3514" t="s">
        <v>779</v>
      </c>
      <c r="E811" s="3530" t="s">
        <v>163</v>
      </c>
      <c r="F811" s="3546">
        <f xml:space="preserve"> (7.19)*1.1</f>
        <v>7.9090000000000007</v>
      </c>
      <c r="G811" s="22"/>
      <c r="H811" s="3546">
        <f t="shared" si="16"/>
        <v>0</v>
      </c>
      <c r="I811" s="3506"/>
      <c r="J811" s="3585"/>
      <c r="K811" s="3133"/>
      <c r="L811" s="4235"/>
      <c r="M811" s="4236"/>
      <c r="N811" s="4203"/>
      <c r="W811" s="2748"/>
    </row>
    <row r="812" spans="1:23" s="888" customFormat="1" ht="13.5" customHeight="1">
      <c r="A812" s="3782"/>
      <c r="B812" s="3594"/>
      <c r="C812" s="3594"/>
      <c r="D812" s="3514" t="s">
        <v>780</v>
      </c>
      <c r="E812" s="3594"/>
      <c r="F812" s="3546">
        <v>7.19</v>
      </c>
      <c r="G812" s="16"/>
      <c r="H812" s="3509"/>
      <c r="I812" s="3506"/>
      <c r="J812" s="3919"/>
      <c r="L812" s="2748"/>
      <c r="R812" s="3663"/>
    </row>
    <row r="813" spans="1:23" s="4324" customFormat="1" ht="27" customHeight="1">
      <c r="A813" s="3518"/>
      <c r="B813" s="4041"/>
      <c r="C813" s="3514"/>
      <c r="D813" s="3514" t="s">
        <v>734</v>
      </c>
      <c r="E813" s="3530"/>
      <c r="F813" s="3546"/>
      <c r="G813" s="15"/>
      <c r="H813" s="3546"/>
      <c r="I813" s="4321"/>
      <c r="J813" s="1204"/>
      <c r="K813" s="888"/>
      <c r="L813" s="4322"/>
      <c r="M813" s="4323"/>
      <c r="N813" s="4323"/>
    </row>
    <row r="814" spans="1:23" s="4324" customFormat="1" ht="40.5" customHeight="1">
      <c r="A814" s="3518"/>
      <c r="B814" s="4041"/>
      <c r="C814" s="3514"/>
      <c r="D814" s="3514" t="s">
        <v>752</v>
      </c>
      <c r="E814" s="3530"/>
      <c r="F814" s="3546"/>
      <c r="G814" s="15"/>
      <c r="H814" s="3546"/>
      <c r="I814" s="4321"/>
      <c r="J814" s="2636"/>
      <c r="K814" s="4323"/>
      <c r="L814" s="4322"/>
      <c r="M814" s="4323"/>
      <c r="N814" s="4323"/>
    </row>
    <row r="815" spans="1:23" s="647" customFormat="1" ht="13.5" customHeight="1">
      <c r="A815" s="4341">
        <v>135</v>
      </c>
      <c r="B815" s="2264">
        <v>777</v>
      </c>
      <c r="C815" s="2264">
        <v>998777203</v>
      </c>
      <c r="D815" s="2264" t="s">
        <v>781</v>
      </c>
      <c r="E815" s="2264" t="s">
        <v>10</v>
      </c>
      <c r="F815" s="3929">
        <v>0.84</v>
      </c>
      <c r="G815" s="24"/>
      <c r="H815" s="3929">
        <f>F815*G815</f>
        <v>0</v>
      </c>
      <c r="I815" s="4333" t="s">
        <v>137</v>
      </c>
      <c r="J815" s="4342"/>
    </row>
    <row r="816" spans="1:23" s="911" customFormat="1" ht="13.5" customHeight="1">
      <c r="A816" s="4341">
        <v>136</v>
      </c>
      <c r="B816" s="2608" t="s">
        <v>362</v>
      </c>
      <c r="C816" s="2264" t="s">
        <v>676</v>
      </c>
      <c r="D816" s="2264" t="s">
        <v>677</v>
      </c>
      <c r="E816" s="2264" t="s">
        <v>69</v>
      </c>
      <c r="F816" s="3929">
        <f>F817</f>
        <v>20</v>
      </c>
      <c r="G816" s="24"/>
      <c r="H816" s="3929">
        <f>F816*G816</f>
        <v>0</v>
      </c>
      <c r="I816" s="4333" t="s">
        <v>137</v>
      </c>
    </row>
    <row r="817" spans="1:17" s="647" customFormat="1" ht="13.5" customHeight="1">
      <c r="A817" s="4343"/>
      <c r="B817" s="4337"/>
      <c r="C817" s="4337"/>
      <c r="D817" s="2269" t="s">
        <v>782</v>
      </c>
      <c r="E817" s="4337"/>
      <c r="F817" s="4140">
        <v>20</v>
      </c>
      <c r="G817" s="25"/>
      <c r="H817" s="3929"/>
      <c r="I817" s="4329"/>
    </row>
    <row r="818" spans="1:17" s="647" customFormat="1" ht="24.75" customHeight="1">
      <c r="A818" s="4343"/>
      <c r="B818" s="4337"/>
      <c r="C818" s="4337"/>
      <c r="D818" s="2269" t="s">
        <v>744</v>
      </c>
      <c r="E818" s="4337"/>
      <c r="F818" s="4140"/>
      <c r="G818" s="25"/>
      <c r="H818" s="3929"/>
      <c r="I818" s="4329"/>
    </row>
    <row r="819" spans="1:17" s="804" customFormat="1" ht="13.5" customHeight="1">
      <c r="A819" s="3994"/>
      <c r="B819" s="3995"/>
      <c r="C819" s="3996" t="s">
        <v>783</v>
      </c>
      <c r="D819" s="3996" t="s">
        <v>784</v>
      </c>
      <c r="E819" s="3996"/>
      <c r="F819" s="3997"/>
      <c r="G819" s="11"/>
      <c r="H819" s="3997">
        <f>SUM(H820:H823,H826:H832)</f>
        <v>0</v>
      </c>
      <c r="I819" s="4177"/>
      <c r="J819" s="3999"/>
    </row>
    <row r="820" spans="1:17" s="804" customFormat="1" ht="13.5" customHeight="1">
      <c r="A820" s="4016">
        <v>137</v>
      </c>
      <c r="B820" s="4001" t="s">
        <v>783</v>
      </c>
      <c r="C820" s="3927" t="s">
        <v>785</v>
      </c>
      <c r="D820" s="3927" t="s">
        <v>786</v>
      </c>
      <c r="E820" s="3927" t="s">
        <v>163</v>
      </c>
      <c r="F820" s="3724">
        <f>SUM(F821:F821)</f>
        <v>194.23499999999999</v>
      </c>
      <c r="G820" s="12"/>
      <c r="H820" s="3724">
        <f>F820*G820</f>
        <v>0</v>
      </c>
      <c r="I820" s="1368" t="s">
        <v>111</v>
      </c>
      <c r="J820" s="3999"/>
    </row>
    <row r="821" spans="1:17" s="804" customFormat="1" ht="13.5" customHeight="1">
      <c r="A821" s="4178"/>
      <c r="B821" s="4179"/>
      <c r="C821" s="4180"/>
      <c r="D821" s="3975" t="s">
        <v>787</v>
      </c>
      <c r="E821" s="4180"/>
      <c r="F821" s="4017">
        <f>(168.9)*1.15</f>
        <v>194.23499999999999</v>
      </c>
      <c r="G821" s="20"/>
      <c r="H821" s="3724"/>
      <c r="I821" s="4177"/>
      <c r="J821" s="3999"/>
    </row>
    <row r="822" spans="1:17" s="4345" customFormat="1" ht="13.5" customHeight="1">
      <c r="A822" s="4016">
        <v>138</v>
      </c>
      <c r="B822" s="3927" t="s">
        <v>783</v>
      </c>
      <c r="C822" s="3927" t="s">
        <v>788</v>
      </c>
      <c r="D822" s="3927" t="s">
        <v>789</v>
      </c>
      <c r="E822" s="3927" t="s">
        <v>163</v>
      </c>
      <c r="F822" s="3724">
        <f>SUM(F826:F826)</f>
        <v>168.9</v>
      </c>
      <c r="G822" s="3724">
        <f>SUM(H824:H825)/F822</f>
        <v>0</v>
      </c>
      <c r="H822" s="3724">
        <f>F822*G822</f>
        <v>0</v>
      </c>
      <c r="I822" s="1368" t="s">
        <v>111</v>
      </c>
      <c r="J822" s="4344"/>
      <c r="K822" s="4195"/>
      <c r="L822" s="4195"/>
      <c r="Q822" s="4346"/>
    </row>
    <row r="823" spans="1:17" s="804" customFormat="1" ht="13.5" customHeight="1">
      <c r="A823" s="4016"/>
      <c r="B823" s="4001"/>
      <c r="C823" s="4347"/>
      <c r="D823" s="4024" t="s">
        <v>790</v>
      </c>
      <c r="E823" s="3927"/>
      <c r="F823" s="3724"/>
      <c r="G823" s="12"/>
      <c r="H823" s="3724"/>
      <c r="I823" s="4018"/>
      <c r="J823" s="3999"/>
    </row>
    <row r="824" spans="1:17" s="4214" customFormat="1" ht="13.5" customHeight="1">
      <c r="A824" s="4022"/>
      <c r="B824" s="4001"/>
      <c r="C824" s="4204"/>
      <c r="D824" s="3975" t="s">
        <v>791</v>
      </c>
      <c r="E824" s="4024" t="s">
        <v>163</v>
      </c>
      <c r="F824" s="4017">
        <f>F822</f>
        <v>168.9</v>
      </c>
      <c r="G824" s="4841"/>
      <c r="H824" s="4017">
        <f>F824*G824</f>
        <v>0</v>
      </c>
      <c r="I824" s="4185"/>
      <c r="J824" s="4348"/>
      <c r="K824" s="4349"/>
      <c r="L824" s="4230"/>
      <c r="M824" s="804"/>
    </row>
    <row r="825" spans="1:17" s="4214" customFormat="1" ht="13.5" customHeight="1">
      <c r="A825" s="4350"/>
      <c r="B825" s="4010"/>
      <c r="C825" s="4351"/>
      <c r="D825" s="4013" t="s">
        <v>792</v>
      </c>
      <c r="E825" s="4201" t="s">
        <v>163</v>
      </c>
      <c r="F825" s="4352">
        <f>(168.9)*1.1</f>
        <v>185.79000000000002</v>
      </c>
      <c r="G825" s="4846"/>
      <c r="H825" s="4352">
        <f>F825*G825</f>
        <v>0</v>
      </c>
      <c r="I825" s="4185"/>
      <c r="J825" s="4348"/>
      <c r="K825" s="4349"/>
      <c r="L825" s="4230"/>
      <c r="M825" s="804"/>
    </row>
    <row r="826" spans="1:17" s="804" customFormat="1" ht="13.5" customHeight="1">
      <c r="A826" s="4016"/>
      <c r="B826" s="4001"/>
      <c r="C826" s="3927"/>
      <c r="D826" s="3975" t="s">
        <v>793</v>
      </c>
      <c r="E826" s="3927"/>
      <c r="F826" s="3976">
        <f>(168.9)</f>
        <v>168.9</v>
      </c>
      <c r="G826" s="12"/>
      <c r="H826" s="3724"/>
      <c r="I826" s="3998"/>
      <c r="J826" s="3999"/>
    </row>
    <row r="827" spans="1:17" s="804" customFormat="1" ht="40.5" customHeight="1">
      <c r="A827" s="4016"/>
      <c r="B827" s="4001"/>
      <c r="C827" s="3927"/>
      <c r="D827" s="3975" t="s">
        <v>794</v>
      </c>
      <c r="E827" s="3927"/>
      <c r="F827" s="4181"/>
      <c r="G827" s="12"/>
      <c r="H827" s="3724"/>
      <c r="I827" s="3998"/>
      <c r="J827" s="3999"/>
      <c r="K827" s="5188"/>
      <c r="L827" s="5189"/>
      <c r="M827" s="5189"/>
      <c r="N827" s="5189"/>
      <c r="O827" s="5189"/>
    </row>
    <row r="828" spans="1:17" s="804" customFormat="1" ht="27" customHeight="1">
      <c r="A828" s="4016">
        <v>139</v>
      </c>
      <c r="B828" s="4001" t="s">
        <v>783</v>
      </c>
      <c r="C828" s="3927">
        <v>781477114</v>
      </c>
      <c r="D828" s="3927" t="s">
        <v>795</v>
      </c>
      <c r="E828" s="3927" t="s">
        <v>163</v>
      </c>
      <c r="F828" s="3724">
        <f>F826</f>
        <v>168.9</v>
      </c>
      <c r="G828" s="12"/>
      <c r="H828" s="3724">
        <f>F828*G828</f>
        <v>0</v>
      </c>
      <c r="I828" s="1368" t="s">
        <v>386</v>
      </c>
      <c r="J828" s="3999"/>
    </row>
    <row r="829" spans="1:17" s="804" customFormat="1" ht="13.5" customHeight="1">
      <c r="A829" s="4016">
        <v>140</v>
      </c>
      <c r="B829" s="4001" t="s">
        <v>783</v>
      </c>
      <c r="C829" s="3927">
        <v>998781202</v>
      </c>
      <c r="D829" s="3927" t="s">
        <v>796</v>
      </c>
      <c r="E829" s="3927" t="s">
        <v>10</v>
      </c>
      <c r="F829" s="3724">
        <v>1.85</v>
      </c>
      <c r="G829" s="12"/>
      <c r="H829" s="3724">
        <f>F829*G829</f>
        <v>0</v>
      </c>
      <c r="I829" s="1368" t="s">
        <v>137</v>
      </c>
      <c r="J829" s="4342"/>
    </row>
    <row r="830" spans="1:17" s="804" customFormat="1" ht="13.5" customHeight="1">
      <c r="A830" s="4016">
        <v>141</v>
      </c>
      <c r="B830" s="4001" t="s">
        <v>362</v>
      </c>
      <c r="C830" s="3927" t="s">
        <v>534</v>
      </c>
      <c r="D830" s="3927" t="s">
        <v>535</v>
      </c>
      <c r="E830" s="3927" t="s">
        <v>69</v>
      </c>
      <c r="F830" s="3724">
        <f>F831</f>
        <v>10</v>
      </c>
      <c r="G830" s="12"/>
      <c r="H830" s="3724">
        <f>F830*G830</f>
        <v>0</v>
      </c>
      <c r="I830" s="1368" t="s">
        <v>137</v>
      </c>
      <c r="J830" s="3999"/>
    </row>
    <row r="831" spans="1:17" s="804" customFormat="1" ht="13.5" customHeight="1">
      <c r="A831" s="4178"/>
      <c r="B831" s="4179"/>
      <c r="C831" s="4180"/>
      <c r="D831" s="3975" t="s">
        <v>797</v>
      </c>
      <c r="E831" s="4180"/>
      <c r="F831" s="3976">
        <v>10</v>
      </c>
      <c r="G831" s="20"/>
      <c r="H831" s="3724"/>
      <c r="I831" s="4177"/>
      <c r="J831" s="4312"/>
    </row>
    <row r="832" spans="1:17" s="804" customFormat="1" ht="13.5" customHeight="1">
      <c r="A832" s="4178"/>
      <c r="B832" s="4179"/>
      <c r="C832" s="4180"/>
      <c r="D832" s="3975" t="s">
        <v>526</v>
      </c>
      <c r="E832" s="4180"/>
      <c r="F832" s="3976"/>
      <c r="G832" s="20"/>
      <c r="H832" s="3724"/>
      <c r="I832" s="4177"/>
      <c r="J832" s="3999"/>
    </row>
    <row r="833" spans="1:13" s="804" customFormat="1" ht="13.5" customHeight="1">
      <c r="A833" s="3994"/>
      <c r="B833" s="3995"/>
      <c r="C833" s="3996">
        <v>783</v>
      </c>
      <c r="D833" s="3996" t="s">
        <v>798</v>
      </c>
      <c r="E833" s="3996"/>
      <c r="F833" s="3997"/>
      <c r="G833" s="11"/>
      <c r="H833" s="3997">
        <f>SUM(H834:H842)</f>
        <v>0</v>
      </c>
      <c r="I833" s="4177"/>
      <c r="J833" s="3999"/>
    </row>
    <row r="834" spans="1:13" s="804" customFormat="1" ht="26.25" customHeight="1">
      <c r="A834" s="4057">
        <v>142</v>
      </c>
      <c r="B834" s="4001">
        <v>783</v>
      </c>
      <c r="C834" s="3927" t="s">
        <v>799</v>
      </c>
      <c r="D834" s="3927" t="s">
        <v>800</v>
      </c>
      <c r="E834" s="3927" t="s">
        <v>49</v>
      </c>
      <c r="F834" s="3724">
        <f>F836</f>
        <v>1</v>
      </c>
      <c r="G834" s="12"/>
      <c r="H834" s="3724">
        <f>F834*G834</f>
        <v>0</v>
      </c>
      <c r="I834" s="4018" t="s">
        <v>112</v>
      </c>
      <c r="J834" s="3999"/>
    </row>
    <row r="835" spans="1:13" s="4214" customFormat="1" ht="40.5" customHeight="1">
      <c r="A835" s="4016"/>
      <c r="B835" s="4001"/>
      <c r="C835" s="3927"/>
      <c r="D835" s="3975" t="s">
        <v>801</v>
      </c>
      <c r="E835" s="3927"/>
      <c r="F835" s="3976"/>
      <c r="G835" s="12"/>
      <c r="H835" s="3724"/>
      <c r="I835" s="3998"/>
      <c r="J835" s="4174"/>
      <c r="M835" s="804"/>
    </row>
    <row r="836" spans="1:13" s="4214" customFormat="1" ht="13.5" customHeight="1">
      <c r="A836" s="4016"/>
      <c r="B836" s="4001"/>
      <c r="C836" s="3927"/>
      <c r="D836" s="3975" t="s">
        <v>802</v>
      </c>
      <c r="E836" s="3927"/>
      <c r="F836" s="3976">
        <v>1</v>
      </c>
      <c r="G836" s="12"/>
      <c r="H836" s="3724"/>
      <c r="I836" s="1368"/>
      <c r="J836" s="4174"/>
      <c r="M836" s="804"/>
    </row>
    <row r="837" spans="1:13" s="4214" customFormat="1" ht="40.5" customHeight="1">
      <c r="A837" s="4016"/>
      <c r="B837" s="4001"/>
      <c r="C837" s="3927"/>
      <c r="D837" s="3975" t="s">
        <v>803</v>
      </c>
      <c r="E837" s="3927"/>
      <c r="F837" s="3976"/>
      <c r="G837" s="12"/>
      <c r="H837" s="3724"/>
      <c r="I837" s="3998"/>
      <c r="J837" s="4174"/>
      <c r="M837" s="804"/>
    </row>
    <row r="838" spans="1:13" s="4214" customFormat="1" ht="40.5" customHeight="1">
      <c r="A838" s="4016"/>
      <c r="B838" s="4001"/>
      <c r="C838" s="3927"/>
      <c r="D838" s="4062" t="s">
        <v>4118</v>
      </c>
      <c r="E838" s="3927"/>
      <c r="F838" s="3976"/>
      <c r="G838" s="12"/>
      <c r="H838" s="3724"/>
      <c r="I838" s="3998"/>
      <c r="J838" s="4353"/>
      <c r="M838" s="804"/>
    </row>
    <row r="839" spans="1:13" s="4214" customFormat="1" ht="40.5" customHeight="1">
      <c r="A839" s="4016"/>
      <c r="B839" s="4001"/>
      <c r="C839" s="3927"/>
      <c r="D839" s="4062" t="s">
        <v>4119</v>
      </c>
      <c r="E839" s="3927"/>
      <c r="F839" s="3976"/>
      <c r="G839" s="12"/>
      <c r="H839" s="3724"/>
      <c r="I839" s="3998"/>
      <c r="J839" s="4174"/>
      <c r="M839" s="804"/>
    </row>
    <row r="840" spans="1:13" s="804" customFormat="1" ht="13.5" customHeight="1">
      <c r="A840" s="4016">
        <v>143</v>
      </c>
      <c r="B840" s="4001" t="s">
        <v>362</v>
      </c>
      <c r="C840" s="3927" t="s">
        <v>804</v>
      </c>
      <c r="D840" s="3927" t="s">
        <v>805</v>
      </c>
      <c r="E840" s="3927" t="s">
        <v>69</v>
      </c>
      <c r="F840" s="3724">
        <f>F841</f>
        <v>10</v>
      </c>
      <c r="G840" s="12"/>
      <c r="H840" s="3724">
        <f>F840*G840</f>
        <v>0</v>
      </c>
      <c r="I840" s="1368" t="s">
        <v>137</v>
      </c>
      <c r="J840" s="3999"/>
    </row>
    <row r="841" spans="1:13" s="804" customFormat="1" ht="13.5" customHeight="1">
      <c r="A841" s="4178"/>
      <c r="B841" s="4179"/>
      <c r="C841" s="4180"/>
      <c r="D841" s="3975" t="s">
        <v>806</v>
      </c>
      <c r="E841" s="4180"/>
      <c r="F841" s="3976">
        <v>10</v>
      </c>
      <c r="G841" s="20"/>
      <c r="H841" s="3724"/>
      <c r="I841" s="4177"/>
      <c r="J841" s="3999"/>
    </row>
    <row r="842" spans="1:13" s="804" customFormat="1" ht="13.5" customHeight="1">
      <c r="A842" s="4178"/>
      <c r="B842" s="4179"/>
      <c r="C842" s="4180"/>
      <c r="D842" s="3975" t="s">
        <v>526</v>
      </c>
      <c r="E842" s="4180"/>
      <c r="F842" s="3976"/>
      <c r="G842" s="20"/>
      <c r="H842" s="3724"/>
      <c r="I842" s="4177"/>
      <c r="J842" s="3999"/>
    </row>
    <row r="843" spans="1:13" s="804" customFormat="1" ht="13.5" customHeight="1">
      <c r="A843" s="3994"/>
      <c r="B843" s="3995"/>
      <c r="C843" s="3996">
        <v>784</v>
      </c>
      <c r="D843" s="3996" t="s">
        <v>807</v>
      </c>
      <c r="E843" s="3996"/>
      <c r="F843" s="3997"/>
      <c r="G843" s="11"/>
      <c r="H843" s="3997">
        <f>SUM(H844:H874)</f>
        <v>0</v>
      </c>
      <c r="I843" s="4177"/>
      <c r="J843" s="4354"/>
      <c r="K843" s="4355"/>
      <c r="L843" s="4355"/>
      <c r="M843" s="4356"/>
    </row>
    <row r="844" spans="1:13" s="3834" customFormat="1" ht="13.5" customHeight="1">
      <c r="A844" s="4016">
        <v>144</v>
      </c>
      <c r="B844" s="3927">
        <v>784</v>
      </c>
      <c r="C844" s="3927" t="s">
        <v>808</v>
      </c>
      <c r="D844" s="3927" t="s">
        <v>809</v>
      </c>
      <c r="E844" s="3927" t="s">
        <v>141</v>
      </c>
      <c r="F844" s="3724">
        <f>SUM(F846:F847)</f>
        <v>1600</v>
      </c>
      <c r="G844" s="12"/>
      <c r="H844" s="3724">
        <f>F844*G844</f>
        <v>0</v>
      </c>
      <c r="I844" s="4018" t="s">
        <v>112</v>
      </c>
      <c r="J844" s="4357"/>
      <c r="M844" s="804"/>
    </row>
    <row r="845" spans="1:13" s="3834" customFormat="1" ht="13.5" customHeight="1">
      <c r="A845" s="4016"/>
      <c r="B845" s="3927"/>
      <c r="C845" s="3927"/>
      <c r="D845" s="4024" t="s">
        <v>810</v>
      </c>
      <c r="E845" s="3927"/>
      <c r="F845" s="4358"/>
      <c r="G845" s="12"/>
      <c r="H845" s="3724"/>
      <c r="I845" s="1368"/>
      <c r="J845" s="4359"/>
      <c r="M845" s="804"/>
    </row>
    <row r="846" spans="1:13" s="3834" customFormat="1" ht="13.5" customHeight="1">
      <c r="A846" s="4016"/>
      <c r="B846" s="3927"/>
      <c r="C846" s="3927"/>
      <c r="D846" s="4024" t="s">
        <v>811</v>
      </c>
      <c r="E846" s="3927"/>
      <c r="F846" s="4017">
        <v>1000</v>
      </c>
      <c r="G846" s="12"/>
      <c r="H846" s="3724"/>
      <c r="I846" s="1368"/>
      <c r="J846" s="4360"/>
      <c r="M846" s="804"/>
    </row>
    <row r="847" spans="1:13" s="3834" customFormat="1" ht="13.5" customHeight="1">
      <c r="A847" s="4016"/>
      <c r="B847" s="3927"/>
      <c r="C847" s="3927"/>
      <c r="D847" s="4024" t="s">
        <v>812</v>
      </c>
      <c r="E847" s="3927"/>
      <c r="F847" s="4017">
        <v>600</v>
      </c>
      <c r="G847" s="12"/>
      <c r="H847" s="3724"/>
      <c r="I847" s="1368"/>
      <c r="J847" s="4359"/>
      <c r="M847" s="804"/>
    </row>
    <row r="848" spans="1:13" s="3834" customFormat="1" ht="13.5" customHeight="1">
      <c r="A848" s="4016"/>
      <c r="B848" s="3927"/>
      <c r="C848" s="3927"/>
      <c r="D848" s="4024" t="s">
        <v>813</v>
      </c>
      <c r="E848" s="3927"/>
      <c r="F848" s="4017"/>
      <c r="G848" s="12"/>
      <c r="H848" s="3724"/>
      <c r="I848" s="1368"/>
      <c r="J848" s="4359"/>
      <c r="M848" s="804"/>
    </row>
    <row r="849" spans="1:13" s="3834" customFormat="1" ht="13.5" customHeight="1">
      <c r="A849" s="4016">
        <v>145</v>
      </c>
      <c r="B849" s="3927">
        <v>784</v>
      </c>
      <c r="C849" s="3927" t="s">
        <v>814</v>
      </c>
      <c r="D849" s="3927" t="s">
        <v>815</v>
      </c>
      <c r="E849" s="3927" t="s">
        <v>163</v>
      </c>
      <c r="F849" s="3724">
        <f>SUM(F851:F851)</f>
        <v>500</v>
      </c>
      <c r="G849" s="12"/>
      <c r="H849" s="3724">
        <f>F849*G849</f>
        <v>0</v>
      </c>
      <c r="I849" s="1368" t="s">
        <v>137</v>
      </c>
      <c r="J849" s="4359"/>
      <c r="M849" s="804"/>
    </row>
    <row r="850" spans="1:13" s="3834" customFormat="1" ht="13.5" customHeight="1">
      <c r="A850" s="4016"/>
      <c r="B850" s="3927"/>
      <c r="C850" s="3927"/>
      <c r="D850" s="4024" t="s">
        <v>816</v>
      </c>
      <c r="E850" s="3927"/>
      <c r="F850" s="4358"/>
      <c r="G850" s="12"/>
      <c r="H850" s="3724"/>
      <c r="I850" s="1368"/>
      <c r="J850" s="4359"/>
      <c r="M850" s="804"/>
    </row>
    <row r="851" spans="1:13" s="3834" customFormat="1" ht="13.5" customHeight="1">
      <c r="A851" s="4016"/>
      <c r="B851" s="3927"/>
      <c r="C851" s="3927"/>
      <c r="D851" s="4024" t="s">
        <v>817</v>
      </c>
      <c r="E851" s="3927"/>
      <c r="F851" s="3976">
        <v>500</v>
      </c>
      <c r="G851" s="12"/>
      <c r="H851" s="3724"/>
      <c r="I851" s="1368"/>
      <c r="J851" s="4359"/>
      <c r="M851" s="804"/>
    </row>
    <row r="852" spans="1:13" s="3834" customFormat="1" ht="13.5" customHeight="1">
      <c r="A852" s="4016"/>
      <c r="B852" s="3927"/>
      <c r="C852" s="3927"/>
      <c r="D852" s="4024" t="s">
        <v>813</v>
      </c>
      <c r="E852" s="3927"/>
      <c r="F852" s="4017"/>
      <c r="G852" s="12"/>
      <c r="H852" s="3724"/>
      <c r="I852" s="1368"/>
      <c r="J852" s="4359"/>
      <c r="M852" s="804"/>
    </row>
    <row r="853" spans="1:13" s="3834" customFormat="1" ht="13.5" customHeight="1">
      <c r="A853" s="4016">
        <v>146</v>
      </c>
      <c r="B853" s="3927">
        <v>784</v>
      </c>
      <c r="C853" s="3927" t="s">
        <v>818</v>
      </c>
      <c r="D853" s="3927" t="s">
        <v>819</v>
      </c>
      <c r="E853" s="3927" t="s">
        <v>163</v>
      </c>
      <c r="F853" s="3724">
        <f>SUM(F855:F855)</f>
        <v>1000</v>
      </c>
      <c r="G853" s="12"/>
      <c r="H853" s="3724">
        <f>F853*G853</f>
        <v>0</v>
      </c>
      <c r="I853" s="4018" t="s">
        <v>112</v>
      </c>
      <c r="J853" s="4361"/>
      <c r="M853" s="804"/>
    </row>
    <row r="854" spans="1:13" s="3834" customFormat="1" ht="13.5" customHeight="1">
      <c r="A854" s="4016"/>
      <c r="B854" s="3927"/>
      <c r="C854" s="3927"/>
      <c r="D854" s="4024" t="s">
        <v>820</v>
      </c>
      <c r="E854" s="3927"/>
      <c r="F854" s="4358"/>
      <c r="G854" s="12"/>
      <c r="H854" s="3724"/>
      <c r="I854" s="1368"/>
      <c r="J854" s="4359"/>
      <c r="M854" s="804"/>
    </row>
    <row r="855" spans="1:13" s="3834" customFormat="1" ht="13.5" customHeight="1">
      <c r="A855" s="4016"/>
      <c r="B855" s="3927"/>
      <c r="C855" s="3927"/>
      <c r="D855" s="4024" t="s">
        <v>821</v>
      </c>
      <c r="E855" s="3927"/>
      <c r="F855" s="3976">
        <v>1000</v>
      </c>
      <c r="G855" s="12"/>
      <c r="H855" s="3724"/>
      <c r="I855" s="1368"/>
      <c r="J855" s="4362"/>
      <c r="M855" s="804"/>
    </row>
    <row r="856" spans="1:13" s="3834" customFormat="1" ht="13.5" customHeight="1">
      <c r="A856" s="4016"/>
      <c r="B856" s="3927"/>
      <c r="C856" s="3927"/>
      <c r="D856" s="4024" t="s">
        <v>813</v>
      </c>
      <c r="E856" s="3927"/>
      <c r="F856" s="4017"/>
      <c r="G856" s="12"/>
      <c r="H856" s="3724"/>
      <c r="I856" s="1368"/>
      <c r="J856" s="4359"/>
      <c r="M856" s="804"/>
    </row>
    <row r="857" spans="1:13" s="3834" customFormat="1" ht="27" customHeight="1">
      <c r="A857" s="4057">
        <v>147</v>
      </c>
      <c r="B857" s="4001" t="s">
        <v>822</v>
      </c>
      <c r="C857" s="3927" t="s">
        <v>823</v>
      </c>
      <c r="D857" s="3927" t="s">
        <v>824</v>
      </c>
      <c r="E857" s="3927" t="s">
        <v>163</v>
      </c>
      <c r="F857" s="3724">
        <f>SUM(F858:F860)</f>
        <v>2358.0909000000001</v>
      </c>
      <c r="G857" s="12"/>
      <c r="H857" s="3724">
        <f>F857*G857</f>
        <v>0</v>
      </c>
      <c r="I857" s="1368" t="s">
        <v>112</v>
      </c>
      <c r="J857" s="4363"/>
      <c r="M857" s="804"/>
    </row>
    <row r="858" spans="1:13" s="1423" customFormat="1" ht="13.5" customHeight="1">
      <c r="A858" s="3655"/>
      <c r="B858" s="3637"/>
      <c r="C858" s="3638"/>
      <c r="D858" s="3298" t="s">
        <v>825</v>
      </c>
      <c r="E858" s="3638"/>
      <c r="F858" s="4097">
        <f>(407.52)*1.1</f>
        <v>448.27199999999999</v>
      </c>
      <c r="G858" s="3707"/>
      <c r="H858" s="4364"/>
      <c r="I858" s="4177"/>
      <c r="J858" s="4214"/>
      <c r="M858" s="804"/>
    </row>
    <row r="859" spans="1:13" s="1423" customFormat="1" ht="13.5" customHeight="1">
      <c r="A859" s="3655"/>
      <c r="B859" s="3637"/>
      <c r="C859" s="3638"/>
      <c r="D859" s="3298" t="s">
        <v>826</v>
      </c>
      <c r="E859" s="3638"/>
      <c r="F859" s="4097">
        <f>(924.199)*1.1</f>
        <v>1016.6189000000001</v>
      </c>
      <c r="G859" s="3707"/>
      <c r="H859" s="4364"/>
      <c r="I859" s="4177"/>
      <c r="J859" s="4365"/>
      <c r="M859" s="804"/>
    </row>
    <row r="860" spans="1:13" s="1423" customFormat="1" ht="13.5" customHeight="1">
      <c r="A860" s="3655"/>
      <c r="B860" s="3637"/>
      <c r="C860" s="3638"/>
      <c r="D860" s="3298" t="s">
        <v>827</v>
      </c>
      <c r="E860" s="3638"/>
      <c r="F860" s="4097">
        <f>(812)*1.1</f>
        <v>893.2</v>
      </c>
      <c r="G860" s="3707"/>
      <c r="H860" s="4364"/>
      <c r="I860" s="4177"/>
      <c r="J860" s="4214"/>
      <c r="M860" s="804"/>
    </row>
    <row r="861" spans="1:13" s="1423" customFormat="1" ht="13.5" customHeight="1">
      <c r="A861" s="3655"/>
      <c r="B861" s="3637"/>
      <c r="C861" s="3638"/>
      <c r="D861" s="4100" t="s">
        <v>4120</v>
      </c>
      <c r="E861" s="4100"/>
      <c r="F861" s="4093"/>
      <c r="G861" s="3707"/>
      <c r="H861" s="4364"/>
      <c r="I861" s="4177"/>
      <c r="J861" s="4366"/>
      <c r="M861" s="804"/>
    </row>
    <row r="862" spans="1:13" s="1423" customFormat="1" ht="13.5" customHeight="1">
      <c r="A862" s="3655"/>
      <c r="B862" s="3637"/>
      <c r="C862" s="3638"/>
      <c r="D862" s="4100" t="s">
        <v>4121</v>
      </c>
      <c r="E862" s="4100"/>
      <c r="F862" s="4093">
        <f>(179.3)*1.1</f>
        <v>197.23000000000002</v>
      </c>
      <c r="G862" s="3707"/>
      <c r="H862" s="4364"/>
      <c r="I862" s="4177"/>
      <c r="J862" s="4366"/>
      <c r="M862" s="804"/>
    </row>
    <row r="863" spans="1:13" s="1423" customFormat="1" ht="13.5" customHeight="1">
      <c r="A863" s="3655"/>
      <c r="B863" s="3637"/>
      <c r="C863" s="3638"/>
      <c r="D863" s="4100" t="s">
        <v>4122</v>
      </c>
      <c r="E863" s="4100"/>
      <c r="F863" s="4093">
        <f>(67.9)*1.1</f>
        <v>74.690000000000012</v>
      </c>
      <c r="G863" s="3707"/>
      <c r="H863" s="4364"/>
      <c r="I863" s="4177"/>
      <c r="J863" s="4365"/>
      <c r="M863" s="804"/>
    </row>
    <row r="864" spans="1:13" s="1423" customFormat="1" ht="13.5" customHeight="1">
      <c r="A864" s="3655"/>
      <c r="B864" s="3637"/>
      <c r="C864" s="3638"/>
      <c r="D864" s="4100" t="s">
        <v>4123</v>
      </c>
      <c r="E864" s="4100"/>
      <c r="F864" s="4093">
        <f>(1.6)*1.1</f>
        <v>1.7600000000000002</v>
      </c>
      <c r="G864" s="3707"/>
      <c r="H864" s="4364"/>
      <c r="I864" s="4177"/>
      <c r="J864" s="4214"/>
      <c r="M864" s="804"/>
    </row>
    <row r="865" spans="1:13" s="1423" customFormat="1" ht="13.5" customHeight="1">
      <c r="A865" s="3655"/>
      <c r="B865" s="3637"/>
      <c r="C865" s="3638"/>
      <c r="D865" s="3298" t="s">
        <v>828</v>
      </c>
      <c r="E865" s="3638"/>
      <c r="F865" s="4097"/>
      <c r="G865" s="3707"/>
      <c r="H865" s="4364"/>
      <c r="I865" s="4177"/>
      <c r="J865" s="4214"/>
      <c r="M865" s="804"/>
    </row>
    <row r="866" spans="1:13" s="3834" customFormat="1" ht="27" customHeight="1">
      <c r="A866" s="4016">
        <v>148</v>
      </c>
      <c r="B866" s="4001" t="s">
        <v>822</v>
      </c>
      <c r="C866" s="3927" t="s">
        <v>829</v>
      </c>
      <c r="D866" s="3927" t="s">
        <v>830</v>
      </c>
      <c r="E866" s="3927" t="s">
        <v>163</v>
      </c>
      <c r="F866" s="3724">
        <f>SUM(F867:F868)</f>
        <v>1064.3941</v>
      </c>
      <c r="G866" s="12"/>
      <c r="H866" s="3724">
        <f>F866*G866</f>
        <v>0</v>
      </c>
      <c r="I866" s="1368" t="s">
        <v>112</v>
      </c>
      <c r="J866" s="4363"/>
      <c r="M866" s="804"/>
    </row>
    <row r="867" spans="1:13" s="1423" customFormat="1" ht="13.5" customHeight="1">
      <c r="A867" s="3655"/>
      <c r="B867" s="3637"/>
      <c r="C867" s="3638"/>
      <c r="D867" s="3298" t="s">
        <v>831</v>
      </c>
      <c r="E867" s="3638"/>
      <c r="F867" s="4097">
        <f>(388.802)*1.1</f>
        <v>427.68220000000008</v>
      </c>
      <c r="G867" s="3707"/>
      <c r="H867" s="4364"/>
      <c r="I867" s="4177"/>
      <c r="J867" s="4367"/>
      <c r="M867" s="804"/>
    </row>
    <row r="868" spans="1:13" s="1423" customFormat="1" ht="13.5" customHeight="1">
      <c r="A868" s="3655"/>
      <c r="B868" s="3637"/>
      <c r="C868" s="3638"/>
      <c r="D868" s="3298" t="s">
        <v>832</v>
      </c>
      <c r="E868" s="3638"/>
      <c r="F868" s="4097">
        <f xml:space="preserve"> (578.829)*1.1</f>
        <v>636.71190000000001</v>
      </c>
      <c r="G868" s="3707"/>
      <c r="H868" s="4364"/>
      <c r="I868" s="4177"/>
      <c r="J868" s="4367"/>
      <c r="M868" s="804"/>
    </row>
    <row r="869" spans="1:13" s="1423" customFormat="1" ht="13.5" customHeight="1">
      <c r="A869" s="3655"/>
      <c r="B869" s="3637"/>
      <c r="C869" s="3638"/>
      <c r="D869" s="3298" t="s">
        <v>828</v>
      </c>
      <c r="E869" s="3638"/>
      <c r="F869" s="4097"/>
      <c r="G869" s="3707"/>
      <c r="H869" s="4364"/>
      <c r="I869" s="4177"/>
      <c r="J869" s="4214"/>
      <c r="M869" s="804"/>
    </row>
    <row r="870" spans="1:13" s="3834" customFormat="1" ht="13.5" customHeight="1">
      <c r="A870" s="4057" t="s">
        <v>4124</v>
      </c>
      <c r="B870" s="4061" t="s">
        <v>822</v>
      </c>
      <c r="C870" s="4062" t="s">
        <v>4125</v>
      </c>
      <c r="D870" s="4062" t="s">
        <v>4126</v>
      </c>
      <c r="E870" s="4062" t="s">
        <v>163</v>
      </c>
      <c r="F870" s="4063">
        <f>SUM(F871:F871)</f>
        <v>2631.77</v>
      </c>
      <c r="G870" s="256"/>
      <c r="H870" s="4063">
        <f>F870*G870</f>
        <v>0</v>
      </c>
      <c r="I870" s="4288" t="s">
        <v>112</v>
      </c>
      <c r="J870" s="4065"/>
      <c r="M870" s="804"/>
    </row>
    <row r="871" spans="1:13" s="1423" customFormat="1" ht="13.5" customHeight="1">
      <c r="A871" s="4368"/>
      <c r="B871" s="4369"/>
      <c r="C871" s="4100"/>
      <c r="D871" s="4100" t="s">
        <v>4127</v>
      </c>
      <c r="E871" s="4100"/>
      <c r="F871" s="4093">
        <f>(2631.77)</f>
        <v>2631.77</v>
      </c>
      <c r="G871" s="4822"/>
      <c r="H871" s="4370"/>
      <c r="I871" s="4290"/>
      <c r="J871" s="4366"/>
      <c r="M871" s="804"/>
    </row>
    <row r="872" spans="1:13" s="804" customFormat="1" ht="13.5" customHeight="1">
      <c r="A872" s="4016">
        <v>149</v>
      </c>
      <c r="B872" s="4001" t="s">
        <v>362</v>
      </c>
      <c r="C872" s="3927" t="s">
        <v>804</v>
      </c>
      <c r="D872" s="3927" t="s">
        <v>805</v>
      </c>
      <c r="E872" s="3927" t="s">
        <v>69</v>
      </c>
      <c r="F872" s="3724">
        <f>F873</f>
        <v>35</v>
      </c>
      <c r="G872" s="12"/>
      <c r="H872" s="3724">
        <f>F872*G872</f>
        <v>0</v>
      </c>
      <c r="I872" s="4018" t="s">
        <v>137</v>
      </c>
      <c r="J872" s="3999"/>
    </row>
    <row r="873" spans="1:13" s="804" customFormat="1" ht="13.5" customHeight="1">
      <c r="A873" s="4178"/>
      <c r="B873" s="4179"/>
      <c r="C873" s="4180"/>
      <c r="D873" s="3975" t="s">
        <v>833</v>
      </c>
      <c r="E873" s="4180"/>
      <c r="F873" s="3976">
        <v>35</v>
      </c>
      <c r="G873" s="20"/>
      <c r="H873" s="3724"/>
      <c r="I873" s="4177"/>
      <c r="J873" s="3999"/>
    </row>
    <row r="874" spans="1:13" s="804" customFormat="1" ht="25.5" customHeight="1">
      <c r="A874" s="4178"/>
      <c r="B874" s="4179"/>
      <c r="C874" s="4180"/>
      <c r="D874" s="3975" t="s">
        <v>834</v>
      </c>
      <c r="E874" s="4180"/>
      <c r="F874" s="3976"/>
      <c r="G874" s="20"/>
      <c r="H874" s="3724"/>
      <c r="I874" s="4177"/>
      <c r="J874" s="3999"/>
    </row>
    <row r="875" spans="1:13" s="593" customFormat="1" ht="13.5" customHeight="1">
      <c r="A875" s="3632"/>
      <c r="B875" s="3502"/>
      <c r="C875" s="3502">
        <v>790</v>
      </c>
      <c r="D875" s="3502" t="s">
        <v>835</v>
      </c>
      <c r="E875" s="3502"/>
      <c r="F875" s="3634"/>
      <c r="G875" s="19"/>
      <c r="H875" s="3634">
        <f>SUM(H876:H887)</f>
        <v>0</v>
      </c>
      <c r="I875" s="3510"/>
      <c r="J875" s="4371"/>
      <c r="K875" s="4303"/>
      <c r="L875" s="4303"/>
      <c r="M875" s="888"/>
    </row>
    <row r="876" spans="1:13" s="888" customFormat="1" ht="13.5" customHeight="1">
      <c r="A876" s="3555">
        <v>150</v>
      </c>
      <c r="B876" s="3539" t="s">
        <v>836</v>
      </c>
      <c r="C876" s="3507" t="s">
        <v>837</v>
      </c>
      <c r="D876" s="3507" t="s">
        <v>838</v>
      </c>
      <c r="E876" s="3556" t="s">
        <v>49</v>
      </c>
      <c r="F876" s="4171">
        <f>SUM(F877)</f>
        <v>1</v>
      </c>
      <c r="G876" s="5182" t="s">
        <v>3512</v>
      </c>
      <c r="H876" s="5183"/>
      <c r="I876" s="1368" t="s">
        <v>112</v>
      </c>
      <c r="J876" s="3674"/>
    </row>
    <row r="877" spans="1:13" s="888" customFormat="1" ht="13.5" customHeight="1">
      <c r="A877" s="3555"/>
      <c r="B877" s="3539"/>
      <c r="C877" s="3507"/>
      <c r="D877" s="3514" t="s">
        <v>839</v>
      </c>
      <c r="E877" s="3556"/>
      <c r="F877" s="3546">
        <v>1</v>
      </c>
      <c r="G877" s="5"/>
      <c r="H877" s="4171"/>
      <c r="I877" s="3510"/>
    </row>
    <row r="878" spans="1:13" s="888" customFormat="1" ht="135" customHeight="1">
      <c r="A878" s="3555"/>
      <c r="B878" s="3539"/>
      <c r="C878" s="3507"/>
      <c r="D878" s="4372" t="s">
        <v>840</v>
      </c>
      <c r="E878" s="3556"/>
      <c r="F878" s="3546"/>
      <c r="G878" s="5"/>
      <c r="H878" s="4171"/>
      <c r="I878" s="3510"/>
      <c r="J878" s="2636"/>
    </row>
    <row r="879" spans="1:13" s="251" customFormat="1" ht="27" customHeight="1">
      <c r="A879" s="263" t="s">
        <v>4128</v>
      </c>
      <c r="B879" s="264">
        <v>790</v>
      </c>
      <c r="C879" s="265" t="s">
        <v>1115</v>
      </c>
      <c r="D879" s="265" t="s">
        <v>4129</v>
      </c>
      <c r="E879" s="265" t="s">
        <v>141</v>
      </c>
      <c r="F879" s="4373">
        <f>ROUND(SUM(F880:F881),3)</f>
        <v>5.6</v>
      </c>
      <c r="G879" s="2563"/>
      <c r="H879" s="3768">
        <f t="shared" ref="H879" si="17">ROUND(F879*G879,2)</f>
        <v>0</v>
      </c>
      <c r="I879" s="2446" t="s">
        <v>112</v>
      </c>
      <c r="J879" s="4065"/>
    </row>
    <row r="880" spans="1:13" s="251" customFormat="1" ht="13.5" customHeight="1">
      <c r="A880" s="263"/>
      <c r="B880" s="264"/>
      <c r="C880" s="265"/>
      <c r="D880" s="265" t="s">
        <v>4130</v>
      </c>
      <c r="E880" s="265"/>
      <c r="F880" s="267">
        <f>(2+2+2+2+2+2+2+2)*0.2</f>
        <v>3.2</v>
      </c>
      <c r="G880" s="2563"/>
      <c r="H880" s="266"/>
      <c r="I880" s="268"/>
      <c r="J880" s="2050"/>
    </row>
    <row r="881" spans="1:21" s="251" customFormat="1" ht="13.5" customHeight="1">
      <c r="A881" s="263"/>
      <c r="B881" s="264"/>
      <c r="C881" s="265"/>
      <c r="D881" s="265" t="s">
        <v>4131</v>
      </c>
      <c r="E881" s="265"/>
      <c r="F881" s="267">
        <f>(2+2+2+2+2+2)*0.2</f>
        <v>2.4000000000000004</v>
      </c>
      <c r="G881" s="2563"/>
      <c r="H881" s="266"/>
      <c r="I881" s="268"/>
      <c r="J881" s="2050"/>
    </row>
    <row r="882" spans="1:21" s="251" customFormat="1" ht="13.5" customHeight="1">
      <c r="A882" s="263"/>
      <c r="B882" s="264"/>
      <c r="C882" s="265"/>
      <c r="D882" s="265" t="s">
        <v>4132</v>
      </c>
      <c r="E882" s="265"/>
      <c r="F882" s="267"/>
      <c r="G882" s="2563"/>
      <c r="H882" s="266"/>
      <c r="I882" s="268"/>
      <c r="J882" s="2050"/>
    </row>
    <row r="883" spans="1:21" s="251" customFormat="1" ht="27" customHeight="1">
      <c r="A883" s="263"/>
      <c r="B883" s="264"/>
      <c r="C883" s="265"/>
      <c r="D883" s="265" t="s">
        <v>6289</v>
      </c>
      <c r="E883" s="265"/>
      <c r="F883" s="267"/>
      <c r="G883" s="2563"/>
      <c r="H883" s="266"/>
      <c r="I883" s="268"/>
      <c r="J883" s="2050"/>
    </row>
    <row r="884" spans="1:21" s="4375" customFormat="1" ht="13.5" customHeight="1">
      <c r="A884" s="3657">
        <v>151</v>
      </c>
      <c r="B884" s="3507" t="s">
        <v>836</v>
      </c>
      <c r="C884" s="3507" t="s">
        <v>841</v>
      </c>
      <c r="D884" s="3507" t="s">
        <v>842</v>
      </c>
      <c r="E884" s="3507" t="s">
        <v>10</v>
      </c>
      <c r="F884" s="3509">
        <v>1.2</v>
      </c>
      <c r="G884" s="5"/>
      <c r="H884" s="3509">
        <f>F884*G884</f>
        <v>0</v>
      </c>
      <c r="I884" s="1368" t="s">
        <v>112</v>
      </c>
      <c r="J884" s="4374"/>
      <c r="K884" s="4374"/>
      <c r="L884" s="4055"/>
      <c r="M884" s="4202"/>
      <c r="N884" s="4202"/>
      <c r="O884" s="4202"/>
      <c r="P884" s="4202"/>
      <c r="Q884" s="4202"/>
      <c r="R884" s="4202"/>
      <c r="S884" s="4202"/>
      <c r="T884" s="4202"/>
      <c r="U884" s="4202"/>
    </row>
    <row r="885" spans="1:21" s="4375" customFormat="1" ht="13.5" customHeight="1">
      <c r="A885" s="3657">
        <v>152</v>
      </c>
      <c r="B885" s="3507" t="s">
        <v>362</v>
      </c>
      <c r="C885" s="3507" t="s">
        <v>843</v>
      </c>
      <c r="D885" s="3507" t="s">
        <v>844</v>
      </c>
      <c r="E885" s="3507" t="s">
        <v>69</v>
      </c>
      <c r="F885" s="3509">
        <f>F886</f>
        <v>15</v>
      </c>
      <c r="G885" s="5"/>
      <c r="H885" s="3509">
        <f>F885*G885</f>
        <v>0</v>
      </c>
      <c r="I885" s="4018" t="s">
        <v>137</v>
      </c>
      <c r="J885" s="4376"/>
      <c r="K885" s="4056"/>
      <c r="L885" s="4056"/>
    </row>
    <row r="886" spans="1:21" s="888" customFormat="1" ht="13.5" customHeight="1">
      <c r="A886" s="3807"/>
      <c r="B886" s="3594"/>
      <c r="C886" s="3594"/>
      <c r="D886" s="3514" t="s">
        <v>845</v>
      </c>
      <c r="E886" s="3594"/>
      <c r="F886" s="4153">
        <v>15</v>
      </c>
      <c r="G886" s="5"/>
      <c r="H886" s="3509"/>
      <c r="I886" s="3506"/>
      <c r="J886" s="4348"/>
      <c r="K886" s="4056"/>
      <c r="L886" s="4056"/>
    </row>
    <row r="887" spans="1:21" s="888" customFormat="1" ht="13.5" customHeight="1">
      <c r="A887" s="3807"/>
      <c r="B887" s="3594"/>
      <c r="C887" s="3594"/>
      <c r="D887" s="3514" t="s">
        <v>526</v>
      </c>
      <c r="E887" s="3594"/>
      <c r="F887" s="3546"/>
      <c r="G887" s="5"/>
      <c r="H887" s="3509"/>
      <c r="I887" s="3506"/>
      <c r="J887" s="4348"/>
      <c r="K887" s="4056"/>
      <c r="L887" s="4056"/>
    </row>
    <row r="888" spans="1:21" s="888" customFormat="1" ht="21" customHeight="1">
      <c r="A888" s="3632"/>
      <c r="B888" s="3633"/>
      <c r="C888" s="3502" t="s">
        <v>846</v>
      </c>
      <c r="D888" s="3502" t="s">
        <v>847</v>
      </c>
      <c r="E888" s="3502"/>
      <c r="F888" s="3634"/>
      <c r="G888" s="19"/>
      <c r="H888" s="3634">
        <f>SUM(H889)</f>
        <v>0</v>
      </c>
      <c r="I888" s="3506"/>
      <c r="J888" s="4040"/>
    </row>
    <row r="889" spans="1:21" s="593" customFormat="1" ht="13.5" customHeight="1">
      <c r="A889" s="3632"/>
      <c r="B889" s="3633"/>
      <c r="C889" s="3502" t="s">
        <v>848</v>
      </c>
      <c r="D889" s="3502" t="s">
        <v>849</v>
      </c>
      <c r="E889" s="3502"/>
      <c r="F889" s="3634"/>
      <c r="G889" s="19"/>
      <c r="H889" s="3634">
        <f>SUM(H890:H901)</f>
        <v>0</v>
      </c>
      <c r="I889" s="3506"/>
      <c r="J889" s="4303"/>
      <c r="M889" s="888"/>
    </row>
    <row r="890" spans="1:21" s="593" customFormat="1" ht="13.5" customHeight="1">
      <c r="A890" s="3657">
        <v>153</v>
      </c>
      <c r="B890" s="3539" t="s">
        <v>850</v>
      </c>
      <c r="C890" s="3507" t="s">
        <v>851</v>
      </c>
      <c r="D890" s="3507" t="s">
        <v>852</v>
      </c>
      <c r="E890" s="3507" t="s">
        <v>853</v>
      </c>
      <c r="F890" s="4035">
        <f>SUM(F891:F893)</f>
        <v>3050</v>
      </c>
      <c r="G890" s="5"/>
      <c r="H890" s="2516">
        <f t="shared" ref="H890" si="18">ROUND(F890*G890,2)</f>
        <v>0</v>
      </c>
      <c r="I890" s="3510" t="s">
        <v>111</v>
      </c>
      <c r="J890" s="4303"/>
      <c r="M890" s="888"/>
    </row>
    <row r="891" spans="1:21" s="888" customFormat="1" ht="13.5" customHeight="1">
      <c r="A891" s="3807"/>
      <c r="B891" s="3594"/>
      <c r="C891" s="3594"/>
      <c r="D891" s="3514" t="s">
        <v>1794</v>
      </c>
      <c r="E891" s="3594"/>
      <c r="F891" s="4153">
        <v>1250</v>
      </c>
      <c r="G891" s="5"/>
      <c r="H891" s="3509"/>
      <c r="I891" s="3506"/>
      <c r="J891" s="4348"/>
      <c r="K891" s="4056"/>
      <c r="L891" s="4056"/>
    </row>
    <row r="892" spans="1:21" s="888" customFormat="1" ht="13.5" customHeight="1">
      <c r="A892" s="3807"/>
      <c r="B892" s="3594"/>
      <c r="C892" s="3594"/>
      <c r="D892" s="3514" t="s">
        <v>1795</v>
      </c>
      <c r="E892" s="3594"/>
      <c r="F892" s="4153">
        <v>400</v>
      </c>
      <c r="G892" s="5"/>
      <c r="H892" s="3509"/>
      <c r="I892" s="3506"/>
      <c r="J892" s="4348"/>
      <c r="K892" s="4056"/>
      <c r="L892" s="4056"/>
    </row>
    <row r="893" spans="1:21" s="888" customFormat="1" ht="13.5" customHeight="1">
      <c r="A893" s="3807"/>
      <c r="B893" s="3594"/>
      <c r="C893" s="3594"/>
      <c r="D893" s="3514" t="s">
        <v>1796</v>
      </c>
      <c r="E893" s="3594"/>
      <c r="F893" s="4153">
        <v>1400</v>
      </c>
      <c r="G893" s="5"/>
      <c r="H893" s="3509"/>
      <c r="I893" s="3506"/>
      <c r="J893" s="4348"/>
      <c r="K893" s="4056"/>
      <c r="L893" s="4056"/>
    </row>
    <row r="894" spans="1:21" s="593" customFormat="1" ht="42.75" customHeight="1">
      <c r="A894" s="3657"/>
      <c r="B894" s="3539"/>
      <c r="C894" s="3507"/>
      <c r="D894" s="3514" t="s">
        <v>854</v>
      </c>
      <c r="E894" s="3507"/>
      <c r="F894" s="3546"/>
      <c r="G894" s="5"/>
      <c r="H894" s="3509"/>
      <c r="I894" s="3943"/>
      <c r="J894" s="4303"/>
      <c r="M894" s="888"/>
    </row>
    <row r="895" spans="1:21" s="593" customFormat="1" ht="27" customHeight="1">
      <c r="A895" s="3657"/>
      <c r="B895" s="3539"/>
      <c r="C895" s="3507"/>
      <c r="D895" s="3514" t="s">
        <v>855</v>
      </c>
      <c r="E895" s="3507"/>
      <c r="F895" s="3546"/>
      <c r="G895" s="5"/>
      <c r="H895" s="3509"/>
      <c r="I895" s="3943"/>
      <c r="J895" s="4303"/>
      <c r="M895" s="888"/>
    </row>
    <row r="896" spans="1:21" s="593" customFormat="1" ht="27" customHeight="1">
      <c r="A896" s="3657"/>
      <c r="B896" s="3539"/>
      <c r="C896" s="3507"/>
      <c r="D896" s="3514" t="s">
        <v>856</v>
      </c>
      <c r="E896" s="3507"/>
      <c r="F896" s="3546"/>
      <c r="G896" s="5"/>
      <c r="H896" s="3509"/>
      <c r="I896" s="3943"/>
      <c r="J896" s="4303"/>
      <c r="M896" s="888"/>
    </row>
    <row r="897" spans="1:13" s="593" customFormat="1" ht="27" customHeight="1">
      <c r="A897" s="3657"/>
      <c r="B897" s="3539"/>
      <c r="C897" s="3507"/>
      <c r="D897" s="3514" t="s">
        <v>857</v>
      </c>
      <c r="E897" s="3507"/>
      <c r="F897" s="3546"/>
      <c r="G897" s="5"/>
      <c r="H897" s="3509"/>
      <c r="I897" s="3943"/>
      <c r="J897" s="4377"/>
      <c r="K897" s="4378"/>
      <c r="L897" s="4378"/>
      <c r="M897" s="4378"/>
    </row>
    <row r="898" spans="1:13" s="593" customFormat="1" ht="26.25" customHeight="1">
      <c r="A898" s="3657"/>
      <c r="B898" s="3539"/>
      <c r="C898" s="3507"/>
      <c r="D898" s="3514" t="s">
        <v>858</v>
      </c>
      <c r="E898" s="3507"/>
      <c r="F898" s="3546"/>
      <c r="G898" s="5"/>
      <c r="H898" s="3509"/>
      <c r="I898" s="3943"/>
      <c r="J898" s="4303"/>
      <c r="M898" s="888"/>
    </row>
    <row r="899" spans="1:13" s="593" customFormat="1" ht="13.5" customHeight="1">
      <c r="A899" s="3657">
        <v>154</v>
      </c>
      <c r="B899" s="3539" t="s">
        <v>362</v>
      </c>
      <c r="C899" s="3507" t="s">
        <v>859</v>
      </c>
      <c r="D899" s="3507" t="s">
        <v>860</v>
      </c>
      <c r="E899" s="3507" t="s">
        <v>69</v>
      </c>
      <c r="F899" s="4035">
        <f>ROUND(SUM(F900),3)</f>
        <v>10</v>
      </c>
      <c r="G899" s="5"/>
      <c r="H899" s="2516">
        <f t="shared" ref="H899" si="19">ROUND(F899*G899,2)</f>
        <v>0</v>
      </c>
      <c r="I899" s="4018" t="s">
        <v>137</v>
      </c>
      <c r="J899" s="4303"/>
      <c r="M899" s="888"/>
    </row>
    <row r="900" spans="1:13" s="593" customFormat="1" ht="13.5" customHeight="1">
      <c r="A900" s="4340"/>
      <c r="B900" s="4379"/>
      <c r="C900" s="3530"/>
      <c r="D900" s="3530" t="s">
        <v>861</v>
      </c>
      <c r="E900" s="3530"/>
      <c r="F900" s="4153">
        <v>10</v>
      </c>
      <c r="G900" s="26"/>
      <c r="H900" s="4153"/>
      <c r="I900" s="4380"/>
      <c r="J900" s="4303"/>
      <c r="M900" s="888"/>
    </row>
    <row r="901" spans="1:13" s="593" customFormat="1" ht="13.5" customHeight="1">
      <c r="A901" s="4340"/>
      <c r="B901" s="4379"/>
      <c r="C901" s="3530"/>
      <c r="D901" s="3530" t="s">
        <v>526</v>
      </c>
      <c r="E901" s="3530"/>
      <c r="F901" s="4153"/>
      <c r="G901" s="26"/>
      <c r="H901" s="4153"/>
      <c r="I901" s="4380"/>
      <c r="J901" s="4303"/>
      <c r="M901" s="888"/>
    </row>
    <row r="902" spans="1:13" s="888" customFormat="1" ht="21" customHeight="1">
      <c r="A902" s="3187"/>
      <c r="B902" s="3188"/>
      <c r="C902" s="3188"/>
      <c r="D902" s="3188" t="s">
        <v>0</v>
      </c>
      <c r="E902" s="3188"/>
      <c r="F902" s="3682"/>
      <c r="G902" s="3682"/>
      <c r="H902" s="3682">
        <f>H8+H264+H888</f>
        <v>0</v>
      </c>
    </row>
    <row r="903" spans="1:13" s="888" customFormat="1" ht="12" customHeight="1">
      <c r="A903" s="3597"/>
      <c r="B903" s="3598"/>
      <c r="C903" s="3598"/>
      <c r="D903" s="3598"/>
      <c r="E903" s="3598"/>
      <c r="F903" s="3684"/>
      <c r="G903" s="3684"/>
      <c r="H903" s="3684"/>
    </row>
    <row r="904" spans="1:13" s="888" customFormat="1" ht="13.5" customHeight="1">
      <c r="A904" s="5169" t="s">
        <v>862</v>
      </c>
      <c r="B904" s="5170"/>
      <c r="C904" s="5171"/>
      <c r="D904" s="3196" t="s">
        <v>863</v>
      </c>
      <c r="E904" s="3197"/>
      <c r="F904" s="3685"/>
      <c r="G904" s="3685"/>
      <c r="H904" s="3686">
        <f>H902</f>
        <v>0</v>
      </c>
      <c r="L904" s="4311"/>
    </row>
    <row r="905" spans="1:13" s="888" customFormat="1" ht="13.5" customHeight="1">
      <c r="A905" s="3202"/>
      <c r="B905" s="3203"/>
      <c r="C905" s="3203"/>
      <c r="D905" s="3094"/>
      <c r="E905" s="3204"/>
      <c r="F905" s="3690"/>
      <c r="G905" s="3690"/>
      <c r="H905" s="3691"/>
    </row>
    <row r="906" spans="1:13" s="689" customFormat="1" ht="11.25">
      <c r="A906" s="689" t="s">
        <v>1</v>
      </c>
      <c r="F906" s="1978"/>
      <c r="G906" s="1978"/>
      <c r="H906" s="1978"/>
    </row>
    <row r="907" spans="1:13" s="888" customFormat="1" ht="23.45" customHeight="1">
      <c r="A907" s="5159" t="s">
        <v>864</v>
      </c>
      <c r="B907" s="5172"/>
      <c r="C907" s="5172"/>
      <c r="D907" s="5172"/>
      <c r="E907" s="5172"/>
      <c r="F907" s="5172"/>
      <c r="G907" s="5172"/>
      <c r="H907" s="1978"/>
    </row>
    <row r="908" spans="1:13" s="689" customFormat="1" ht="93.75" customHeight="1">
      <c r="A908" s="5159" t="s">
        <v>104</v>
      </c>
      <c r="B908" s="5173"/>
      <c r="C908" s="5173"/>
      <c r="D908" s="5173"/>
      <c r="E908" s="5173"/>
      <c r="F908" s="5173"/>
      <c r="G908" s="5173"/>
      <c r="H908" s="1978"/>
    </row>
    <row r="909" spans="1:13" s="1204" customFormat="1" ht="13.5" customHeight="1">
      <c r="A909" s="5159" t="s">
        <v>105</v>
      </c>
      <c r="B909" s="5174"/>
      <c r="C909" s="5174"/>
      <c r="D909" s="5174"/>
      <c r="E909" s="5174"/>
      <c r="F909" s="5174"/>
      <c r="G909" s="5174"/>
      <c r="H909" s="1982"/>
      <c r="I909" s="691"/>
    </row>
    <row r="910" spans="1:13" s="1204" customFormat="1" ht="13.5" customHeight="1">
      <c r="A910" s="5159" t="s">
        <v>106</v>
      </c>
      <c r="B910" s="5174"/>
      <c r="C910" s="5174"/>
      <c r="D910" s="5174"/>
      <c r="E910" s="5174"/>
      <c r="F910" s="5174"/>
      <c r="G910" s="5174"/>
      <c r="H910" s="1982"/>
      <c r="I910" s="691"/>
    </row>
    <row r="911" spans="1:13" ht="40.5" customHeight="1">
      <c r="A911" s="5156" t="s">
        <v>865</v>
      </c>
      <c r="B911" s="5156"/>
      <c r="C911" s="5156"/>
      <c r="D911" s="5156"/>
      <c r="E911" s="5156"/>
      <c r="F911" s="5156"/>
      <c r="G911" s="5156"/>
      <c r="I911" s="888"/>
    </row>
    <row r="912" spans="1:13" ht="108" customHeight="1">
      <c r="A912" s="5156" t="s">
        <v>1013</v>
      </c>
      <c r="B912" s="5156"/>
      <c r="C912" s="5156"/>
      <c r="D912" s="5156"/>
      <c r="E912" s="5156"/>
      <c r="F912" s="5156"/>
      <c r="G912" s="5156"/>
      <c r="H912" s="1204"/>
      <c r="I912" s="1205"/>
    </row>
    <row r="913" spans="1:9" s="1204" customFormat="1" ht="13.5" customHeight="1">
      <c r="A913" s="690"/>
      <c r="B913" s="3207"/>
      <c r="C913" s="3207"/>
      <c r="D913" s="3207"/>
      <c r="E913" s="3207"/>
      <c r="F913" s="4381"/>
      <c r="G913" s="4381"/>
      <c r="H913" s="1982"/>
      <c r="I913" s="691"/>
    </row>
    <row r="914" spans="1:9" s="689" customFormat="1" ht="23.45" customHeight="1">
      <c r="A914" s="5159"/>
      <c r="B914" s="5172"/>
      <c r="C914" s="5172"/>
      <c r="D914" s="5172"/>
      <c r="E914" s="5172"/>
      <c r="F914" s="5172"/>
      <c r="G914" s="5172"/>
      <c r="H914" s="1978"/>
    </row>
  </sheetData>
  <sheetProtection algorithmName="SHA-512" hashValue="MaXjUoZ5t5jw23gpbK/sCyLDv/YVovJI53t7J5MD0U2Fs8rpxB0yCVSoiUV3xjE1EwoS7O9p43tdHLfOPIHkeg==" saltValue="Ku2itYo16a9/H04A4O53OQ==" spinCount="100000" sheet="1" objects="1" scenarios="1"/>
  <mergeCells count="28">
    <mergeCell ref="A908:G908"/>
    <mergeCell ref="A909:G909"/>
    <mergeCell ref="A910:G910"/>
    <mergeCell ref="A911:G911"/>
    <mergeCell ref="A914:G914"/>
    <mergeCell ref="A912:G912"/>
    <mergeCell ref="G260:H260"/>
    <mergeCell ref="G876:H876"/>
    <mergeCell ref="A907:G907"/>
    <mergeCell ref="L168:N168"/>
    <mergeCell ref="L195:N195"/>
    <mergeCell ref="J278:N278"/>
    <mergeCell ref="G756:H756"/>
    <mergeCell ref="K827:O827"/>
    <mergeCell ref="A904:C904"/>
    <mergeCell ref="O352:S352"/>
    <mergeCell ref="O353:U353"/>
    <mergeCell ref="O428:S428"/>
    <mergeCell ref="O429:U429"/>
    <mergeCell ref="G746:H746"/>
    <mergeCell ref="G66:H66"/>
    <mergeCell ref="G67:H67"/>
    <mergeCell ref="G203:H203"/>
    <mergeCell ref="G212:H212"/>
    <mergeCell ref="G221:H221"/>
    <mergeCell ref="G184:H184"/>
    <mergeCell ref="G194:H194"/>
    <mergeCell ref="G146:H146"/>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8C-DC18-4915-AC95-FF92CF4D62D2}">
  <sheetPr>
    <pageSetUpPr fitToPage="1"/>
  </sheetPr>
  <dimension ref="A1:AD215"/>
  <sheetViews>
    <sheetView zoomScaleNormal="100" workbookViewId="0"/>
  </sheetViews>
  <sheetFormatPr defaultRowHeight="15"/>
  <cols>
    <col min="1" max="2" width="5.5" style="884" customWidth="1"/>
    <col min="3" max="3" width="15.33203125" style="884" customWidth="1"/>
    <col min="4" max="4" width="75.5" style="884" customWidth="1"/>
    <col min="5" max="5" width="7.6640625" style="884" customWidth="1"/>
    <col min="6" max="6" width="10.6640625" style="884" customWidth="1"/>
    <col min="7" max="7" width="12.83203125" style="884" customWidth="1"/>
    <col min="8" max="8" width="18.83203125" style="884" customWidth="1"/>
    <col min="9" max="9" width="19.6640625" style="884" customWidth="1"/>
    <col min="10" max="10" width="29.6640625" style="884" customWidth="1"/>
    <col min="11" max="11" width="37.33203125" style="884" customWidth="1"/>
    <col min="12" max="12" width="31.5" style="884" customWidth="1"/>
    <col min="13" max="13" width="34.33203125" style="884" customWidth="1"/>
    <col min="14" max="14" width="11.83203125" style="884" customWidth="1"/>
    <col min="15" max="15" width="11.1640625" style="884" bestFit="1" customWidth="1"/>
    <col min="16" max="16" width="9.33203125" style="884"/>
    <col min="17" max="17" width="12.83203125" style="884" customWidth="1"/>
    <col min="18" max="18" width="9.33203125" style="884"/>
    <col min="19" max="19" width="12.1640625" style="884" bestFit="1" customWidth="1"/>
    <col min="20" max="20" width="9.33203125" style="884"/>
    <col min="21" max="21" width="11.5" style="884" bestFit="1" customWidth="1"/>
    <col min="22" max="16384" width="9.33203125" style="884"/>
  </cols>
  <sheetData>
    <row r="1" spans="1:30" s="883" customFormat="1" ht="21" customHeight="1">
      <c r="A1" s="1" t="s">
        <v>2760</v>
      </c>
      <c r="B1" s="57"/>
      <c r="C1" s="57"/>
      <c r="D1" s="57"/>
      <c r="E1" s="57"/>
      <c r="F1" s="57"/>
      <c r="G1" s="57"/>
      <c r="H1" s="57"/>
      <c r="I1" s="57"/>
      <c r="J1" s="3815"/>
      <c r="K1" s="3816"/>
    </row>
    <row r="2" spans="1:30" s="64" customFormat="1" ht="13.5" customHeight="1">
      <c r="A2" s="58" t="s">
        <v>115</v>
      </c>
      <c r="B2" s="58"/>
      <c r="C2" s="58"/>
      <c r="D2" s="59"/>
      <c r="E2" s="59"/>
      <c r="F2" s="60"/>
      <c r="G2" s="59"/>
      <c r="H2" s="59"/>
      <c r="I2" s="918"/>
      <c r="J2" s="2373"/>
      <c r="K2" s="2373"/>
      <c r="L2" s="3817"/>
      <c r="M2" s="61"/>
      <c r="N2" s="62"/>
      <c r="O2" s="63"/>
    </row>
    <row r="3" spans="1:30" s="64" customFormat="1" ht="13.5" customHeight="1">
      <c r="A3" s="5193" t="s">
        <v>885</v>
      </c>
      <c r="B3" s="5194"/>
      <c r="C3" s="5194"/>
      <c r="D3" s="5194"/>
      <c r="E3" s="65"/>
      <c r="F3" s="66"/>
      <c r="G3" s="67"/>
      <c r="H3" s="3818"/>
      <c r="I3" s="918"/>
      <c r="J3" s="3566"/>
      <c r="K3" s="2373"/>
      <c r="L3" s="61"/>
      <c r="M3" s="61"/>
      <c r="N3" s="61"/>
      <c r="O3" s="63"/>
    </row>
    <row r="4" spans="1:30" s="883" customFormat="1" ht="12.75" customHeight="1">
      <c r="A4" s="3819"/>
      <c r="B4" s="3819"/>
      <c r="C4" s="3819"/>
      <c r="D4" s="3820"/>
      <c r="E4" s="3819"/>
      <c r="F4" s="3821"/>
      <c r="G4" s="3822"/>
      <c r="H4" s="3822"/>
      <c r="I4" s="3823"/>
      <c r="J4" s="2373"/>
      <c r="K4" s="2373"/>
    </row>
    <row r="5" spans="1:30" s="883" customFormat="1" ht="24.75" customHeight="1">
      <c r="A5" s="3824" t="s">
        <v>118</v>
      </c>
      <c r="B5" s="3824" t="s">
        <v>119</v>
      </c>
      <c r="C5" s="3824" t="s">
        <v>120</v>
      </c>
      <c r="D5" s="3824" t="s">
        <v>121</v>
      </c>
      <c r="E5" s="3824" t="s">
        <v>122</v>
      </c>
      <c r="F5" s="3824" t="s">
        <v>123</v>
      </c>
      <c r="G5" s="3824" t="s">
        <v>124</v>
      </c>
      <c r="H5" s="3824" t="s">
        <v>2</v>
      </c>
      <c r="I5" s="3824" t="s">
        <v>46</v>
      </c>
      <c r="J5" s="3825"/>
      <c r="K5" s="2373"/>
    </row>
    <row r="6" spans="1:30" s="883" customFormat="1" ht="12.75" customHeight="1">
      <c r="A6" s="3824" t="s">
        <v>125</v>
      </c>
      <c r="B6" s="3824" t="s">
        <v>126</v>
      </c>
      <c r="C6" s="3824" t="s">
        <v>127</v>
      </c>
      <c r="D6" s="3824" t="s">
        <v>128</v>
      </c>
      <c r="E6" s="3824" t="s">
        <v>129</v>
      </c>
      <c r="F6" s="3824" t="s">
        <v>130</v>
      </c>
      <c r="G6" s="3824" t="s">
        <v>131</v>
      </c>
      <c r="H6" s="3824">
        <v>8</v>
      </c>
      <c r="I6" s="3824">
        <v>9</v>
      </c>
      <c r="J6" s="2373"/>
      <c r="K6" s="3566"/>
    </row>
    <row r="7" spans="1:30" s="883" customFormat="1" ht="21" customHeight="1">
      <c r="A7" s="3826"/>
      <c r="B7" s="3827"/>
      <c r="C7" s="3827" t="s">
        <v>366</v>
      </c>
      <c r="D7" s="3827" t="s">
        <v>367</v>
      </c>
      <c r="E7" s="3827"/>
      <c r="F7" s="3828"/>
      <c r="G7" s="3829"/>
      <c r="H7" s="3829">
        <f>H8</f>
        <v>0</v>
      </c>
      <c r="J7" s="2373"/>
      <c r="K7" s="2373"/>
    </row>
    <row r="8" spans="1:30" s="3834" customFormat="1" ht="13.5" customHeight="1">
      <c r="A8" s="3830"/>
      <c r="B8" s="3831"/>
      <c r="C8" s="3831">
        <v>766</v>
      </c>
      <c r="D8" s="3831" t="s">
        <v>886</v>
      </c>
      <c r="E8" s="3831"/>
      <c r="F8" s="3832"/>
      <c r="G8" s="3832"/>
      <c r="H8" s="3832">
        <f>SUM(H9:H203)</f>
        <v>0</v>
      </c>
      <c r="I8" s="3833"/>
      <c r="J8" s="2373"/>
      <c r="K8" s="917"/>
    </row>
    <row r="9" spans="1:30" s="3834" customFormat="1" ht="27" customHeight="1">
      <c r="A9" s="3835">
        <v>1</v>
      </c>
      <c r="B9" s="3836" t="s">
        <v>887</v>
      </c>
      <c r="C9" s="3837" t="s">
        <v>888</v>
      </c>
      <c r="D9" s="68" t="s">
        <v>889</v>
      </c>
      <c r="E9" s="69" t="s">
        <v>205</v>
      </c>
      <c r="F9" s="70">
        <f>SUM(F11)</f>
        <v>1</v>
      </c>
      <c r="G9" s="3917"/>
      <c r="H9" s="3838">
        <f>F9*G9</f>
        <v>0</v>
      </c>
      <c r="I9" s="3839" t="s">
        <v>112</v>
      </c>
      <c r="J9" s="3840"/>
      <c r="K9" s="3841"/>
      <c r="L9" s="3842"/>
      <c r="M9" s="3842"/>
      <c r="N9" s="3842"/>
      <c r="O9" s="3843"/>
      <c r="P9" s="71"/>
      <c r="Q9" s="3843"/>
      <c r="R9" s="3843"/>
      <c r="S9" s="3843"/>
      <c r="T9" s="3843"/>
      <c r="U9" s="3843"/>
      <c r="V9" s="3843"/>
      <c r="W9" s="3843"/>
      <c r="X9" s="3843"/>
      <c r="Y9" s="3843"/>
      <c r="Z9" s="3843"/>
      <c r="AA9" s="3843"/>
      <c r="AB9" s="3843"/>
    </row>
    <row r="10" spans="1:30" s="3843" customFormat="1" ht="27" customHeight="1">
      <c r="A10" s="2408"/>
      <c r="B10" s="3837"/>
      <c r="C10" s="3837"/>
      <c r="D10" s="3844" t="s">
        <v>890</v>
      </c>
      <c r="E10" s="3837"/>
      <c r="F10" s="3845"/>
      <c r="G10" s="72"/>
      <c r="H10" s="3846"/>
      <c r="I10" s="3847"/>
      <c r="J10" s="3848"/>
      <c r="K10" s="3849"/>
      <c r="L10" s="3842"/>
      <c r="M10" s="3842"/>
      <c r="N10" s="3842"/>
      <c r="O10" s="3850"/>
      <c r="P10" s="3850"/>
      <c r="Q10" s="3850"/>
      <c r="R10" s="3850"/>
      <c r="S10" s="3850"/>
      <c r="T10" s="3850"/>
      <c r="U10" s="3850"/>
      <c r="V10" s="3850"/>
      <c r="W10" s="3850"/>
    </row>
    <row r="11" spans="1:30" s="3860" customFormat="1" ht="13.5" customHeight="1">
      <c r="A11" s="3851"/>
      <c r="B11" s="3836"/>
      <c r="C11" s="3837"/>
      <c r="D11" s="3852" t="s">
        <v>891</v>
      </c>
      <c r="E11" s="3837"/>
      <c r="F11" s="3853">
        <v>1</v>
      </c>
      <c r="G11" s="73"/>
      <c r="H11" s="3846"/>
      <c r="I11" s="3846"/>
      <c r="J11" s="3840"/>
      <c r="K11" s="3854"/>
      <c r="L11" s="3855"/>
      <c r="M11" s="3856"/>
      <c r="N11" s="3856"/>
      <c r="O11" s="3843"/>
      <c r="P11" s="3857"/>
      <c r="Q11" s="3857"/>
      <c r="R11" s="3858"/>
      <c r="S11" s="3859"/>
    </row>
    <row r="12" spans="1:30" s="3860" customFormat="1" ht="13.5" customHeight="1">
      <c r="A12" s="3851"/>
      <c r="B12" s="3836"/>
      <c r="C12" s="3837"/>
      <c r="D12" s="3852" t="s">
        <v>892</v>
      </c>
      <c r="E12" s="3837"/>
      <c r="F12" s="3853"/>
      <c r="G12" s="73"/>
      <c r="H12" s="3846"/>
      <c r="I12" s="3861"/>
      <c r="J12" s="3840"/>
      <c r="K12" s="3854"/>
      <c r="L12" s="3855"/>
      <c r="M12" s="74"/>
      <c r="N12" s="3856"/>
      <c r="Y12" s="71"/>
      <c r="Z12" s="3843"/>
      <c r="AA12" s="3843"/>
      <c r="AB12" s="3857"/>
      <c r="AC12" s="3858"/>
      <c r="AD12" s="3859"/>
    </row>
    <row r="13" spans="1:30" s="3860" customFormat="1" ht="13.5" customHeight="1">
      <c r="A13" s="3851"/>
      <c r="B13" s="3836"/>
      <c r="C13" s="3837"/>
      <c r="D13" s="3852" t="s">
        <v>893</v>
      </c>
      <c r="E13" s="3837"/>
      <c r="F13" s="3853"/>
      <c r="G13" s="73"/>
      <c r="H13" s="3846"/>
      <c r="I13" s="3861"/>
      <c r="J13" s="3862"/>
      <c r="K13" s="3854"/>
      <c r="L13" s="3855"/>
      <c r="M13" s="3856"/>
      <c r="N13" s="3856"/>
      <c r="O13" s="3843"/>
      <c r="P13" s="3843"/>
      <c r="Q13" s="3843"/>
      <c r="R13" s="3843"/>
      <c r="S13" s="3843"/>
      <c r="T13" s="3843"/>
      <c r="U13" s="3843"/>
      <c r="V13" s="3843"/>
      <c r="W13" s="3843"/>
      <c r="X13" s="3843"/>
    </row>
    <row r="14" spans="1:30" s="3834" customFormat="1" ht="27" customHeight="1">
      <c r="A14" s="3835">
        <v>2</v>
      </c>
      <c r="B14" s="3836" t="s">
        <v>887</v>
      </c>
      <c r="C14" s="3837" t="s">
        <v>894</v>
      </c>
      <c r="D14" s="68" t="s">
        <v>895</v>
      </c>
      <c r="E14" s="69" t="s">
        <v>205</v>
      </c>
      <c r="F14" s="70">
        <f>SUM(F16)</f>
        <v>1</v>
      </c>
      <c r="G14" s="3917"/>
      <c r="H14" s="3838">
        <f>F14*G14</f>
        <v>0</v>
      </c>
      <c r="I14" s="3839" t="s">
        <v>112</v>
      </c>
      <c r="J14" s="3840"/>
      <c r="K14" s="3841"/>
      <c r="L14" s="3842"/>
      <c r="M14" s="3842"/>
      <c r="N14" s="3842"/>
      <c r="O14" s="3843"/>
      <c r="P14" s="71"/>
      <c r="Q14" s="3843"/>
      <c r="R14" s="3843"/>
      <c r="S14" s="3843"/>
      <c r="T14" s="3843"/>
      <c r="U14" s="3843"/>
      <c r="V14" s="3843"/>
      <c r="W14" s="3843"/>
      <c r="X14" s="3843"/>
      <c r="Y14" s="3843"/>
      <c r="Z14" s="3843"/>
      <c r="AA14" s="3843"/>
      <c r="AB14" s="3843"/>
    </row>
    <row r="15" spans="1:30" s="3843" customFormat="1" ht="27" customHeight="1">
      <c r="A15" s="2408"/>
      <c r="B15" s="3837"/>
      <c r="C15" s="3837"/>
      <c r="D15" s="3844" t="s">
        <v>896</v>
      </c>
      <c r="E15" s="3837"/>
      <c r="F15" s="3845"/>
      <c r="G15" s="72"/>
      <c r="H15" s="3846"/>
      <c r="I15" s="3847"/>
      <c r="J15" s="3848"/>
      <c r="K15" s="3849"/>
      <c r="L15" s="3842"/>
      <c r="M15" s="3842"/>
      <c r="N15" s="3842"/>
      <c r="O15" s="3850"/>
      <c r="P15" s="3850"/>
      <c r="Q15" s="3850"/>
      <c r="R15" s="3850"/>
      <c r="S15" s="3850"/>
      <c r="T15" s="3850"/>
      <c r="U15" s="3850"/>
      <c r="V15" s="3850"/>
      <c r="W15" s="3850"/>
    </row>
    <row r="16" spans="1:30" s="3860" customFormat="1" ht="13.5" customHeight="1">
      <c r="A16" s="3851"/>
      <c r="B16" s="3836"/>
      <c r="C16" s="3837"/>
      <c r="D16" s="3852" t="s">
        <v>891</v>
      </c>
      <c r="E16" s="3837"/>
      <c r="F16" s="3853">
        <v>1</v>
      </c>
      <c r="G16" s="73"/>
      <c r="H16" s="3846"/>
      <c r="I16" s="3846"/>
      <c r="J16" s="3840"/>
      <c r="K16" s="3854"/>
      <c r="L16" s="3855"/>
      <c r="M16" s="3856"/>
      <c r="N16" s="3856"/>
      <c r="O16" s="3843"/>
      <c r="P16" s="3857"/>
      <c r="Q16" s="3857"/>
      <c r="R16" s="3858"/>
      <c r="S16" s="3859"/>
    </row>
    <row r="17" spans="1:30" s="3860" customFormat="1" ht="13.5" customHeight="1">
      <c r="A17" s="3851"/>
      <c r="B17" s="3836"/>
      <c r="C17" s="3837"/>
      <c r="D17" s="3852" t="s">
        <v>892</v>
      </c>
      <c r="E17" s="3837"/>
      <c r="F17" s="3853"/>
      <c r="G17" s="73"/>
      <c r="H17" s="3846"/>
      <c r="I17" s="3861"/>
      <c r="J17" s="3840"/>
      <c r="K17" s="3854"/>
      <c r="L17" s="3855"/>
      <c r="M17" s="74"/>
      <c r="N17" s="3856"/>
      <c r="Y17" s="71"/>
      <c r="Z17" s="3843"/>
      <c r="AA17" s="3843"/>
      <c r="AB17" s="3857"/>
      <c r="AC17" s="3858"/>
      <c r="AD17" s="3859"/>
    </row>
    <row r="18" spans="1:30" s="3860" customFormat="1" ht="13.5" customHeight="1">
      <c r="A18" s="3851"/>
      <c r="B18" s="3836"/>
      <c r="C18" s="3837"/>
      <c r="D18" s="3852" t="s">
        <v>893</v>
      </c>
      <c r="E18" s="3837"/>
      <c r="F18" s="3853"/>
      <c r="G18" s="73"/>
      <c r="H18" s="3846"/>
      <c r="I18" s="3861"/>
      <c r="J18" s="2373"/>
      <c r="K18" s="2373"/>
      <c r="L18" s="3843"/>
      <c r="M18" s="3843"/>
      <c r="N18" s="71"/>
      <c r="O18" s="3843"/>
      <c r="P18" s="3843"/>
      <c r="Q18" s="3843"/>
      <c r="R18" s="3843"/>
      <c r="S18" s="3843"/>
      <c r="T18" s="3843"/>
      <c r="U18" s="3843"/>
      <c r="V18" s="3843"/>
      <c r="W18" s="3843"/>
      <c r="X18" s="3843"/>
    </row>
    <row r="19" spans="1:30" s="3834" customFormat="1" ht="27" customHeight="1">
      <c r="A19" s="3835">
        <v>3</v>
      </c>
      <c r="B19" s="3836" t="s">
        <v>887</v>
      </c>
      <c r="C19" s="3837" t="s">
        <v>897</v>
      </c>
      <c r="D19" s="68" t="s">
        <v>898</v>
      </c>
      <c r="E19" s="69" t="s">
        <v>205</v>
      </c>
      <c r="F19" s="70">
        <f>SUM(F21)</f>
        <v>1</v>
      </c>
      <c r="G19" s="3917"/>
      <c r="H19" s="3838">
        <f>F19*G19</f>
        <v>0</v>
      </c>
      <c r="I19" s="3839" t="s">
        <v>112</v>
      </c>
      <c r="J19" s="3840"/>
      <c r="K19" s="3841"/>
      <c r="L19" s="3842"/>
      <c r="M19" s="3843"/>
      <c r="N19" s="3843"/>
      <c r="O19" s="3843"/>
      <c r="P19" s="71"/>
      <c r="Q19" s="3843"/>
      <c r="R19" s="3843"/>
      <c r="S19" s="3843"/>
      <c r="T19" s="3843"/>
      <c r="U19" s="3843"/>
      <c r="V19" s="3843"/>
      <c r="W19" s="3843"/>
      <c r="X19" s="3843"/>
      <c r="Y19" s="3843"/>
      <c r="Z19" s="3843"/>
      <c r="AA19" s="3843"/>
      <c r="AB19" s="3843"/>
    </row>
    <row r="20" spans="1:30" s="3843" customFormat="1" ht="27" customHeight="1">
      <c r="A20" s="2408"/>
      <c r="B20" s="3837"/>
      <c r="C20" s="3837"/>
      <c r="D20" s="3844" t="s">
        <v>899</v>
      </c>
      <c r="E20" s="3837"/>
      <c r="F20" s="3845"/>
      <c r="G20" s="72"/>
      <c r="H20" s="3846"/>
      <c r="I20" s="3847"/>
      <c r="J20" s="3848"/>
      <c r="K20" s="3849"/>
      <c r="L20" s="3842"/>
      <c r="M20" s="75"/>
      <c r="N20" s="3850"/>
      <c r="O20" s="3850"/>
      <c r="P20" s="3850"/>
      <c r="Q20" s="3850"/>
      <c r="R20" s="3850"/>
      <c r="S20" s="3850"/>
      <c r="T20" s="3850"/>
      <c r="U20" s="3850"/>
      <c r="V20" s="3850"/>
      <c r="W20" s="3850"/>
    </row>
    <row r="21" spans="1:30" s="3860" customFormat="1" ht="13.5" customHeight="1">
      <c r="A21" s="3851"/>
      <c r="B21" s="3836"/>
      <c r="C21" s="3837"/>
      <c r="D21" s="3852" t="s">
        <v>891</v>
      </c>
      <c r="E21" s="3837"/>
      <c r="F21" s="3853">
        <v>1</v>
      </c>
      <c r="G21" s="73"/>
      <c r="H21" s="3846"/>
      <c r="I21" s="3846"/>
      <c r="J21" s="3840"/>
      <c r="K21" s="3854"/>
      <c r="L21" s="3855"/>
      <c r="M21" s="3843"/>
      <c r="N21" s="71"/>
      <c r="O21" s="3843"/>
      <c r="P21" s="3857"/>
      <c r="Q21" s="3857"/>
      <c r="R21" s="3858"/>
      <c r="S21" s="3859"/>
    </row>
    <row r="22" spans="1:30" s="3860" customFormat="1" ht="13.5" customHeight="1">
      <c r="A22" s="3851"/>
      <c r="B22" s="3836"/>
      <c r="C22" s="3837"/>
      <c r="D22" s="3852" t="s">
        <v>892</v>
      </c>
      <c r="E22" s="3837"/>
      <c r="F22" s="3853"/>
      <c r="G22" s="73"/>
      <c r="H22" s="3846"/>
      <c r="I22" s="3861"/>
      <c r="J22" s="3840"/>
      <c r="K22" s="3854"/>
      <c r="L22" s="3855"/>
      <c r="M22" s="3843"/>
      <c r="Y22" s="71"/>
      <c r="Z22" s="3843"/>
      <c r="AA22" s="3843"/>
      <c r="AB22" s="3857"/>
      <c r="AC22" s="3858"/>
      <c r="AD22" s="3859"/>
    </row>
    <row r="23" spans="1:30" s="3860" customFormat="1" ht="13.5" customHeight="1">
      <c r="A23" s="3851"/>
      <c r="B23" s="3836"/>
      <c r="C23" s="3837"/>
      <c r="D23" s="3852" t="s">
        <v>893</v>
      </c>
      <c r="E23" s="3837"/>
      <c r="F23" s="3853"/>
      <c r="G23" s="73"/>
      <c r="H23" s="3846"/>
      <c r="I23" s="3861"/>
      <c r="J23" s="2373"/>
      <c r="K23" s="2373"/>
      <c r="L23" s="3843"/>
      <c r="M23" s="3843"/>
      <c r="N23" s="71"/>
      <c r="O23" s="3843"/>
      <c r="P23" s="3843"/>
      <c r="Q23" s="3843"/>
      <c r="R23" s="3843"/>
      <c r="S23" s="3843"/>
      <c r="T23" s="3843"/>
      <c r="U23" s="3843"/>
      <c r="V23" s="3843"/>
      <c r="W23" s="3843"/>
      <c r="X23" s="3843"/>
    </row>
    <row r="24" spans="1:30" s="3834" customFormat="1" ht="27" customHeight="1">
      <c r="A24" s="3835">
        <v>4</v>
      </c>
      <c r="B24" s="3836" t="s">
        <v>887</v>
      </c>
      <c r="C24" s="3837" t="s">
        <v>900</v>
      </c>
      <c r="D24" s="68" t="s">
        <v>901</v>
      </c>
      <c r="E24" s="69" t="s">
        <v>205</v>
      </c>
      <c r="F24" s="70">
        <f>SUM(F26)</f>
        <v>1</v>
      </c>
      <c r="G24" s="3917"/>
      <c r="H24" s="3838">
        <f>F24*G24</f>
        <v>0</v>
      </c>
      <c r="I24" s="3839" t="s">
        <v>112</v>
      </c>
      <c r="J24" s="3840"/>
      <c r="K24" s="3841"/>
      <c r="L24" s="3842"/>
      <c r="M24" s="3843"/>
      <c r="N24" s="3843"/>
      <c r="O24" s="3843"/>
      <c r="P24" s="71"/>
      <c r="Q24" s="3843"/>
      <c r="R24" s="3843"/>
      <c r="S24" s="3843"/>
      <c r="T24" s="3843"/>
      <c r="U24" s="3843"/>
      <c r="V24" s="3843"/>
      <c r="W24" s="3843"/>
      <c r="X24" s="3843"/>
      <c r="Y24" s="3843"/>
      <c r="Z24" s="3843"/>
      <c r="AA24" s="3843"/>
      <c r="AB24" s="3843"/>
    </row>
    <row r="25" spans="1:30" s="3843" customFormat="1" ht="27" customHeight="1">
      <c r="A25" s="2408"/>
      <c r="B25" s="3837"/>
      <c r="C25" s="3837"/>
      <c r="D25" s="3844" t="s">
        <v>902</v>
      </c>
      <c r="E25" s="3837"/>
      <c r="F25" s="3845"/>
      <c r="G25" s="72"/>
      <c r="H25" s="3846"/>
      <c r="I25" s="3847"/>
      <c r="J25" s="3848"/>
      <c r="K25" s="3849"/>
      <c r="L25" s="3842"/>
      <c r="M25" s="75"/>
      <c r="N25" s="3850"/>
      <c r="O25" s="3850"/>
      <c r="P25" s="3850"/>
      <c r="Q25" s="3850"/>
      <c r="R25" s="3850"/>
      <c r="S25" s="3850"/>
      <c r="T25" s="3850"/>
      <c r="U25" s="3850"/>
      <c r="V25" s="3850"/>
      <c r="W25" s="3850"/>
    </row>
    <row r="26" spans="1:30" s="3860" customFormat="1" ht="13.5" customHeight="1">
      <c r="A26" s="3851"/>
      <c r="B26" s="3836"/>
      <c r="C26" s="3837"/>
      <c r="D26" s="3852" t="s">
        <v>891</v>
      </c>
      <c r="E26" s="3837"/>
      <c r="F26" s="3853">
        <v>1</v>
      </c>
      <c r="G26" s="73"/>
      <c r="H26" s="3846"/>
      <c r="I26" s="3846"/>
      <c r="J26" s="3840"/>
      <c r="K26" s="3854"/>
      <c r="L26" s="3855"/>
      <c r="M26" s="3843"/>
      <c r="N26" s="71"/>
      <c r="O26" s="3843"/>
      <c r="P26" s="3857"/>
      <c r="Q26" s="3857"/>
      <c r="R26" s="3858"/>
      <c r="S26" s="3859"/>
    </row>
    <row r="27" spans="1:30" s="3860" customFormat="1" ht="13.5" customHeight="1">
      <c r="A27" s="3851"/>
      <c r="B27" s="3836"/>
      <c r="C27" s="3837"/>
      <c r="D27" s="3852" t="s">
        <v>892</v>
      </c>
      <c r="E27" s="3837"/>
      <c r="F27" s="3853"/>
      <c r="G27" s="73"/>
      <c r="H27" s="3846"/>
      <c r="I27" s="3861"/>
      <c r="J27" s="3840"/>
      <c r="K27" s="3854"/>
      <c r="L27" s="3855"/>
      <c r="M27" s="3843"/>
      <c r="Y27" s="71"/>
      <c r="Z27" s="3843"/>
      <c r="AA27" s="3843"/>
      <c r="AB27" s="3857"/>
      <c r="AC27" s="3858"/>
      <c r="AD27" s="3859"/>
    </row>
    <row r="28" spans="1:30" s="3860" customFormat="1" ht="13.5" customHeight="1">
      <c r="A28" s="3851"/>
      <c r="B28" s="3836"/>
      <c r="C28" s="3837"/>
      <c r="D28" s="3852" t="s">
        <v>893</v>
      </c>
      <c r="E28" s="3837"/>
      <c r="F28" s="3853"/>
      <c r="G28" s="73"/>
      <c r="H28" s="3846"/>
      <c r="I28" s="3861"/>
      <c r="J28" s="2373"/>
      <c r="K28" s="2373"/>
      <c r="L28" s="3843"/>
      <c r="M28" s="3843"/>
      <c r="N28" s="71"/>
      <c r="O28" s="3843"/>
      <c r="P28" s="3843"/>
      <c r="Q28" s="3843"/>
      <c r="R28" s="3843"/>
      <c r="S28" s="3843"/>
      <c r="T28" s="3843"/>
      <c r="U28" s="3843"/>
      <c r="V28" s="3843"/>
      <c r="W28" s="3843"/>
      <c r="X28" s="3843"/>
    </row>
    <row r="29" spans="1:30" s="3834" customFormat="1" ht="27" customHeight="1">
      <c r="A29" s="3835">
        <v>5</v>
      </c>
      <c r="B29" s="3836" t="s">
        <v>887</v>
      </c>
      <c r="C29" s="3837" t="s">
        <v>903</v>
      </c>
      <c r="D29" s="68" t="s">
        <v>904</v>
      </c>
      <c r="E29" s="69" t="s">
        <v>205</v>
      </c>
      <c r="F29" s="70">
        <f>SUM(F31)</f>
        <v>1</v>
      </c>
      <c r="G29" s="3917"/>
      <c r="H29" s="3838">
        <f>F29*G29</f>
        <v>0</v>
      </c>
      <c r="I29" s="3839" t="s">
        <v>112</v>
      </c>
      <c r="J29" s="3840"/>
      <c r="K29" s="3841"/>
      <c r="L29" s="3842"/>
      <c r="M29" s="3843"/>
      <c r="N29" s="3843"/>
      <c r="O29" s="3843"/>
      <c r="P29" s="71"/>
      <c r="Q29" s="3843"/>
      <c r="R29" s="3843"/>
      <c r="S29" s="3843"/>
      <c r="T29" s="3843"/>
      <c r="U29" s="3843"/>
      <c r="V29" s="3843"/>
      <c r="W29" s="3843"/>
      <c r="X29" s="3843"/>
      <c r="Y29" s="3843"/>
      <c r="Z29" s="3843"/>
      <c r="AA29" s="3843"/>
      <c r="AB29" s="3843"/>
    </row>
    <row r="30" spans="1:30" s="3843" customFormat="1" ht="27" customHeight="1">
      <c r="A30" s="2408"/>
      <c r="B30" s="3837"/>
      <c r="C30" s="3837"/>
      <c r="D30" s="3844" t="s">
        <v>905</v>
      </c>
      <c r="E30" s="3837"/>
      <c r="F30" s="3845"/>
      <c r="G30" s="72"/>
      <c r="H30" s="3846"/>
      <c r="I30" s="3847"/>
      <c r="J30" s="3848"/>
      <c r="K30" s="3849"/>
      <c r="L30" s="3842"/>
      <c r="M30" s="75"/>
      <c r="N30" s="3850"/>
      <c r="O30" s="3850"/>
      <c r="P30" s="3850"/>
      <c r="Q30" s="3850"/>
      <c r="R30" s="3850"/>
      <c r="S30" s="3850"/>
      <c r="T30" s="3850"/>
      <c r="U30" s="3850"/>
      <c r="V30" s="3850"/>
      <c r="W30" s="3850"/>
    </row>
    <row r="31" spans="1:30" s="3860" customFormat="1" ht="13.5" customHeight="1">
      <c r="A31" s="3851"/>
      <c r="B31" s="3836"/>
      <c r="C31" s="3837"/>
      <c r="D31" s="3852" t="s">
        <v>891</v>
      </c>
      <c r="E31" s="3837"/>
      <c r="F31" s="3853">
        <v>1</v>
      </c>
      <c r="G31" s="73"/>
      <c r="H31" s="3846"/>
      <c r="I31" s="3846"/>
      <c r="J31" s="3840"/>
      <c r="K31" s="3854"/>
      <c r="L31" s="3855"/>
      <c r="M31" s="3843"/>
      <c r="N31" s="71"/>
      <c r="O31" s="3843"/>
      <c r="P31" s="3857"/>
      <c r="Q31" s="3857"/>
      <c r="R31" s="3858"/>
      <c r="S31" s="3859"/>
    </row>
    <row r="32" spans="1:30" s="3860" customFormat="1" ht="13.5" customHeight="1">
      <c r="A32" s="3851"/>
      <c r="B32" s="3836"/>
      <c r="C32" s="3837"/>
      <c r="D32" s="3852" t="s">
        <v>892</v>
      </c>
      <c r="E32" s="3837"/>
      <c r="F32" s="3853"/>
      <c r="G32" s="73"/>
      <c r="H32" s="3846"/>
      <c r="I32" s="3861"/>
      <c r="J32" s="3840"/>
      <c r="K32" s="3854"/>
      <c r="L32" s="3855"/>
      <c r="M32" s="3843"/>
      <c r="Y32" s="71"/>
      <c r="Z32" s="3843"/>
      <c r="AA32" s="3843"/>
      <c r="AB32" s="3857"/>
      <c r="AC32" s="3858"/>
      <c r="AD32" s="3859"/>
    </row>
    <row r="33" spans="1:30" s="3860" customFormat="1" ht="13.5" customHeight="1">
      <c r="A33" s="3851"/>
      <c r="B33" s="3836"/>
      <c r="C33" s="3837"/>
      <c r="D33" s="3852" t="s">
        <v>893</v>
      </c>
      <c r="E33" s="3837"/>
      <c r="F33" s="3853"/>
      <c r="G33" s="73"/>
      <c r="H33" s="3846"/>
      <c r="I33" s="3861"/>
      <c r="J33" s="2373"/>
      <c r="K33" s="2373"/>
      <c r="L33" s="3843"/>
      <c r="M33" s="3843"/>
      <c r="N33" s="71"/>
      <c r="O33" s="3843"/>
      <c r="P33" s="3843"/>
      <c r="Q33" s="3843"/>
      <c r="R33" s="3843"/>
      <c r="S33" s="3843"/>
      <c r="T33" s="3843"/>
      <c r="U33" s="3843"/>
      <c r="V33" s="3843"/>
      <c r="W33" s="3843"/>
      <c r="X33" s="3843"/>
    </row>
    <row r="34" spans="1:30" s="3834" customFormat="1" ht="27" customHeight="1">
      <c r="A34" s="3835">
        <v>6</v>
      </c>
      <c r="B34" s="3836" t="s">
        <v>887</v>
      </c>
      <c r="C34" s="3837" t="s">
        <v>906</v>
      </c>
      <c r="D34" s="68" t="s">
        <v>907</v>
      </c>
      <c r="E34" s="69" t="s">
        <v>205</v>
      </c>
      <c r="F34" s="70">
        <f>SUM(F36)</f>
        <v>1</v>
      </c>
      <c r="G34" s="3917"/>
      <c r="H34" s="3838">
        <f>F34*G34</f>
        <v>0</v>
      </c>
      <c r="I34" s="3839" t="s">
        <v>112</v>
      </c>
      <c r="J34" s="3863"/>
      <c r="K34" s="3864"/>
      <c r="L34" s="3843"/>
      <c r="M34" s="3843"/>
      <c r="N34" s="3843"/>
      <c r="O34" s="3843"/>
      <c r="P34" s="71"/>
      <c r="Q34" s="3843"/>
      <c r="R34" s="3843"/>
      <c r="S34" s="3843"/>
      <c r="T34" s="3843"/>
      <c r="U34" s="3843"/>
      <c r="V34" s="3843"/>
      <c r="W34" s="3843"/>
      <c r="X34" s="3843"/>
      <c r="Y34" s="3843"/>
      <c r="Z34" s="3843"/>
      <c r="AA34" s="3843"/>
      <c r="AB34" s="3843"/>
    </row>
    <row r="35" spans="1:30" s="3843" customFormat="1" ht="27" customHeight="1">
      <c r="A35" s="2408"/>
      <c r="B35" s="3837"/>
      <c r="C35" s="3837"/>
      <c r="D35" s="3844" t="s">
        <v>908</v>
      </c>
      <c r="E35" s="3837"/>
      <c r="F35" s="3845"/>
      <c r="G35" s="72"/>
      <c r="H35" s="3846"/>
      <c r="I35" s="3847"/>
      <c r="J35" s="3865"/>
      <c r="K35" s="3825"/>
      <c r="L35" s="3866"/>
      <c r="M35" s="75"/>
      <c r="N35" s="3850"/>
      <c r="O35" s="3850"/>
      <c r="P35" s="3850"/>
      <c r="Q35" s="3850"/>
      <c r="R35" s="3850"/>
      <c r="S35" s="3850"/>
      <c r="T35" s="3850"/>
      <c r="U35" s="3850"/>
      <c r="V35" s="3850"/>
      <c r="W35" s="3850"/>
    </row>
    <row r="36" spans="1:30" s="3860" customFormat="1" ht="13.5" customHeight="1">
      <c r="A36" s="3851"/>
      <c r="B36" s="3836"/>
      <c r="C36" s="3837"/>
      <c r="D36" s="3852" t="s">
        <v>891</v>
      </c>
      <c r="E36" s="3837"/>
      <c r="F36" s="3853">
        <v>1</v>
      </c>
      <c r="G36" s="73"/>
      <c r="H36" s="3846"/>
      <c r="I36" s="3867"/>
      <c r="J36" s="3865"/>
      <c r="K36" s="2373"/>
      <c r="L36" s="3843"/>
      <c r="M36" s="3843"/>
      <c r="N36" s="71"/>
      <c r="O36" s="3843"/>
      <c r="P36" s="3857"/>
      <c r="Q36" s="3857"/>
      <c r="R36" s="3858"/>
      <c r="S36" s="3859"/>
    </row>
    <row r="37" spans="1:30" s="3860" customFormat="1" ht="13.5" customHeight="1">
      <c r="A37" s="3851"/>
      <c r="B37" s="3836"/>
      <c r="C37" s="3837"/>
      <c r="D37" s="3852" t="s">
        <v>892</v>
      </c>
      <c r="E37" s="3837"/>
      <c r="F37" s="3853"/>
      <c r="G37" s="73"/>
      <c r="H37" s="3846"/>
      <c r="I37" s="3861"/>
      <c r="J37" s="3865"/>
      <c r="K37" s="3566"/>
      <c r="L37" s="3843"/>
      <c r="M37" s="3843"/>
      <c r="Y37" s="71"/>
      <c r="Z37" s="3843"/>
      <c r="AA37" s="3843"/>
      <c r="AB37" s="3857"/>
      <c r="AC37" s="3858"/>
      <c r="AD37" s="3859"/>
    </row>
    <row r="38" spans="1:30" s="3834" customFormat="1" ht="27" customHeight="1">
      <c r="A38" s="3835">
        <v>7</v>
      </c>
      <c r="B38" s="3836" t="s">
        <v>887</v>
      </c>
      <c r="C38" s="3837" t="s">
        <v>909</v>
      </c>
      <c r="D38" s="68" t="s">
        <v>910</v>
      </c>
      <c r="E38" s="69" t="s">
        <v>205</v>
      </c>
      <c r="F38" s="70">
        <f>SUM(F40)</f>
        <v>1</v>
      </c>
      <c r="G38" s="3917"/>
      <c r="H38" s="3838">
        <f>F38*G38</f>
        <v>0</v>
      </c>
      <c r="I38" s="3839" t="s">
        <v>112</v>
      </c>
      <c r="J38" s="3863"/>
      <c r="K38" s="3864"/>
      <c r="L38" s="3843"/>
      <c r="M38" s="3843"/>
      <c r="N38" s="3843"/>
      <c r="O38" s="3843"/>
      <c r="P38" s="71"/>
      <c r="Q38" s="3843"/>
      <c r="R38" s="3843"/>
      <c r="S38" s="3843"/>
      <c r="T38" s="3843"/>
      <c r="U38" s="3843"/>
      <c r="V38" s="3843"/>
      <c r="W38" s="3843"/>
      <c r="X38" s="3843"/>
      <c r="Y38" s="3843"/>
      <c r="Z38" s="3843"/>
      <c r="AA38" s="3843"/>
      <c r="AB38" s="3843"/>
    </row>
    <row r="39" spans="1:30" s="3843" customFormat="1" ht="27" customHeight="1">
      <c r="A39" s="2408"/>
      <c r="B39" s="3837"/>
      <c r="C39" s="3837"/>
      <c r="D39" s="3844" t="s">
        <v>911</v>
      </c>
      <c r="E39" s="3837"/>
      <c r="F39" s="3845"/>
      <c r="G39" s="72"/>
      <c r="H39" s="3846"/>
      <c r="I39" s="3847"/>
      <c r="J39" s="3865"/>
      <c r="K39" s="3825"/>
      <c r="L39" s="2373"/>
      <c r="M39" s="75"/>
      <c r="N39" s="3850"/>
      <c r="O39" s="3850"/>
      <c r="P39" s="3850"/>
      <c r="Q39" s="3850"/>
      <c r="R39" s="3850"/>
      <c r="S39" s="3850"/>
      <c r="T39" s="3850"/>
      <c r="U39" s="3850"/>
      <c r="V39" s="3850"/>
      <c r="W39" s="3850"/>
    </row>
    <row r="40" spans="1:30" s="3860" customFormat="1" ht="13.5" customHeight="1">
      <c r="A40" s="3851"/>
      <c r="B40" s="3836"/>
      <c r="C40" s="3837"/>
      <c r="D40" s="3852" t="s">
        <v>891</v>
      </c>
      <c r="E40" s="3837"/>
      <c r="F40" s="3853">
        <v>1</v>
      </c>
      <c r="G40" s="73"/>
      <c r="H40" s="3846"/>
      <c r="I40" s="3867"/>
      <c r="J40" s="3865"/>
      <c r="K40" s="2373"/>
      <c r="L40" s="3843"/>
      <c r="M40" s="3843"/>
      <c r="N40" s="71"/>
      <c r="O40" s="3843"/>
      <c r="P40" s="3857"/>
      <c r="Q40" s="3857"/>
      <c r="R40" s="3858"/>
      <c r="S40" s="3859"/>
    </row>
    <row r="41" spans="1:30" s="3860" customFormat="1" ht="13.5" customHeight="1">
      <c r="A41" s="3851"/>
      <c r="B41" s="3836"/>
      <c r="C41" s="3837"/>
      <c r="D41" s="3852" t="s">
        <v>892</v>
      </c>
      <c r="E41" s="3837"/>
      <c r="F41" s="3853"/>
      <c r="G41" s="73"/>
      <c r="H41" s="3846"/>
      <c r="I41" s="3861"/>
      <c r="J41" s="3865"/>
      <c r="K41" s="3566"/>
      <c r="L41" s="3843"/>
      <c r="M41" s="3843"/>
      <c r="Y41" s="71"/>
      <c r="Z41" s="3843"/>
      <c r="AA41" s="3843"/>
      <c r="AB41" s="3857"/>
      <c r="AC41" s="3858"/>
      <c r="AD41" s="3859"/>
    </row>
    <row r="42" spans="1:30" s="3834" customFormat="1" ht="27" customHeight="1">
      <c r="A42" s="3835">
        <v>8</v>
      </c>
      <c r="B42" s="3836" t="s">
        <v>887</v>
      </c>
      <c r="C42" s="3837" t="s">
        <v>912</v>
      </c>
      <c r="D42" s="68" t="s">
        <v>913</v>
      </c>
      <c r="E42" s="69" t="s">
        <v>205</v>
      </c>
      <c r="F42" s="70">
        <f>SUM(F44)</f>
        <v>1</v>
      </c>
      <c r="G42" s="3917"/>
      <c r="H42" s="3838">
        <f>F42*G42</f>
        <v>0</v>
      </c>
      <c r="I42" s="3839" t="s">
        <v>112</v>
      </c>
      <c r="J42" s="3863"/>
      <c r="K42" s="3864"/>
      <c r="L42" s="3843"/>
      <c r="M42" s="3843"/>
      <c r="N42" s="3843"/>
      <c r="O42" s="3843"/>
      <c r="P42" s="71"/>
      <c r="Q42" s="3843"/>
      <c r="R42" s="3843"/>
      <c r="S42" s="3843"/>
      <c r="T42" s="3843"/>
      <c r="U42" s="3843"/>
      <c r="V42" s="3843"/>
      <c r="W42" s="3843"/>
      <c r="X42" s="3843"/>
      <c r="Y42" s="3843"/>
      <c r="Z42" s="3843"/>
      <c r="AA42" s="3843"/>
      <c r="AB42" s="3843"/>
    </row>
    <row r="43" spans="1:30" s="3843" customFormat="1" ht="27" customHeight="1">
      <c r="A43" s="2408"/>
      <c r="B43" s="3837"/>
      <c r="C43" s="3837"/>
      <c r="D43" s="3844" t="s">
        <v>914</v>
      </c>
      <c r="E43" s="3837"/>
      <c r="F43" s="3845"/>
      <c r="G43" s="72"/>
      <c r="H43" s="3846"/>
      <c r="I43" s="3847"/>
      <c r="J43" s="3865"/>
      <c r="K43" s="3825"/>
      <c r="L43" s="2373"/>
      <c r="M43" s="75"/>
      <c r="N43" s="3850"/>
      <c r="O43" s="3850"/>
      <c r="P43" s="3850"/>
      <c r="Q43" s="3850"/>
      <c r="R43" s="3850"/>
      <c r="S43" s="3850"/>
      <c r="T43" s="3850"/>
      <c r="U43" s="3850"/>
      <c r="V43" s="3850"/>
      <c r="W43" s="3850"/>
    </row>
    <row r="44" spans="1:30" s="3860" customFormat="1" ht="13.5" customHeight="1">
      <c r="A44" s="3851"/>
      <c r="B44" s="3836"/>
      <c r="C44" s="3837"/>
      <c r="D44" s="3852" t="s">
        <v>891</v>
      </c>
      <c r="E44" s="3837"/>
      <c r="F44" s="3853">
        <v>1</v>
      </c>
      <c r="G44" s="73"/>
      <c r="H44" s="3846"/>
      <c r="I44" s="3867"/>
      <c r="J44" s="3865"/>
      <c r="K44" s="2373"/>
      <c r="L44" s="3843"/>
      <c r="M44" s="3843"/>
      <c r="N44" s="71"/>
      <c r="O44" s="3843"/>
      <c r="P44" s="3857"/>
      <c r="Q44" s="3857"/>
      <c r="R44" s="3858"/>
      <c r="S44" s="3859"/>
    </row>
    <row r="45" spans="1:30" s="3860" customFormat="1" ht="13.5" customHeight="1">
      <c r="A45" s="3851"/>
      <c r="B45" s="3836"/>
      <c r="C45" s="3837"/>
      <c r="D45" s="3852" t="s">
        <v>892</v>
      </c>
      <c r="E45" s="3837"/>
      <c r="F45" s="3853"/>
      <c r="G45" s="73"/>
      <c r="H45" s="3846"/>
      <c r="I45" s="3861"/>
      <c r="J45" s="3865"/>
      <c r="K45" s="3566"/>
      <c r="L45" s="3843"/>
      <c r="M45" s="3843"/>
      <c r="Y45" s="71"/>
      <c r="Z45" s="3843"/>
      <c r="AA45" s="3843"/>
      <c r="AB45" s="3857"/>
      <c r="AC45" s="3858"/>
      <c r="AD45" s="3859"/>
    </row>
    <row r="46" spans="1:30" s="3834" customFormat="1" ht="27" customHeight="1">
      <c r="A46" s="3835">
        <v>9</v>
      </c>
      <c r="B46" s="3836" t="s">
        <v>887</v>
      </c>
      <c r="C46" s="3837" t="s">
        <v>915</v>
      </c>
      <c r="D46" s="68" t="s">
        <v>916</v>
      </c>
      <c r="E46" s="69" t="s">
        <v>205</v>
      </c>
      <c r="F46" s="70">
        <f>SUM(F48)</f>
        <v>1</v>
      </c>
      <c r="G46" s="3917"/>
      <c r="H46" s="3838">
        <f>F46*G46</f>
        <v>0</v>
      </c>
      <c r="I46" s="3839" t="s">
        <v>112</v>
      </c>
      <c r="J46" s="3863"/>
      <c r="K46" s="3864"/>
      <c r="L46" s="3843"/>
      <c r="M46" s="3843"/>
      <c r="N46" s="3843"/>
      <c r="O46" s="3843"/>
      <c r="P46" s="71"/>
      <c r="Q46" s="3843"/>
      <c r="R46" s="3843"/>
      <c r="S46" s="3843"/>
      <c r="T46" s="3843"/>
      <c r="U46" s="3843"/>
      <c r="V46" s="3843"/>
      <c r="W46" s="3843"/>
      <c r="X46" s="3843"/>
      <c r="Y46" s="3843"/>
      <c r="Z46" s="3843"/>
      <c r="AA46" s="3843"/>
      <c r="AB46" s="3843"/>
    </row>
    <row r="47" spans="1:30" s="3843" customFormat="1" ht="27" customHeight="1">
      <c r="A47" s="2408"/>
      <c r="B47" s="3837"/>
      <c r="C47" s="3837"/>
      <c r="D47" s="3844" t="s">
        <v>911</v>
      </c>
      <c r="E47" s="3837"/>
      <c r="F47" s="3845"/>
      <c r="G47" s="72"/>
      <c r="H47" s="3846"/>
      <c r="I47" s="3847"/>
      <c r="J47" s="3865"/>
      <c r="K47" s="3825"/>
      <c r="L47" s="2373"/>
      <c r="M47" s="75"/>
      <c r="N47" s="3850"/>
      <c r="O47" s="3850"/>
      <c r="P47" s="3850"/>
      <c r="Q47" s="3850"/>
      <c r="R47" s="3850"/>
      <c r="S47" s="3850"/>
      <c r="T47" s="3850"/>
      <c r="U47" s="3850"/>
      <c r="V47" s="3850"/>
      <c r="W47" s="3850"/>
    </row>
    <row r="48" spans="1:30" s="3860" customFormat="1" ht="13.5" customHeight="1">
      <c r="A48" s="3851"/>
      <c r="B48" s="3836"/>
      <c r="C48" s="3837"/>
      <c r="D48" s="3852" t="s">
        <v>891</v>
      </c>
      <c r="E48" s="3837"/>
      <c r="F48" s="3853">
        <v>1</v>
      </c>
      <c r="G48" s="73"/>
      <c r="H48" s="3846"/>
      <c r="I48" s="3867"/>
      <c r="J48" s="3865"/>
      <c r="K48" s="2373"/>
      <c r="L48" s="3843"/>
      <c r="M48" s="3843"/>
      <c r="N48" s="71"/>
      <c r="O48" s="3843"/>
      <c r="P48" s="3857"/>
      <c r="Q48" s="3857"/>
      <c r="R48" s="3858"/>
      <c r="S48" s="3859"/>
    </row>
    <row r="49" spans="1:30" s="3860" customFormat="1" ht="13.5" customHeight="1">
      <c r="A49" s="3851"/>
      <c r="B49" s="3836"/>
      <c r="C49" s="3837"/>
      <c r="D49" s="3852" t="s">
        <v>892</v>
      </c>
      <c r="E49" s="3837"/>
      <c r="F49" s="3853"/>
      <c r="G49" s="73"/>
      <c r="H49" s="3846"/>
      <c r="I49" s="3861"/>
      <c r="J49" s="3865"/>
      <c r="K49" s="3566"/>
      <c r="L49" s="3843"/>
      <c r="M49" s="3843"/>
      <c r="Y49" s="71"/>
      <c r="Z49" s="3843"/>
      <c r="AA49" s="3843"/>
      <c r="AB49" s="3857"/>
      <c r="AC49" s="3858"/>
      <c r="AD49" s="3859"/>
    </row>
    <row r="50" spans="1:30" s="3834" customFormat="1" ht="27" customHeight="1">
      <c r="A50" s="3835">
        <v>10</v>
      </c>
      <c r="B50" s="3836" t="s">
        <v>887</v>
      </c>
      <c r="C50" s="3837" t="s">
        <v>917</v>
      </c>
      <c r="D50" s="68" t="s">
        <v>918</v>
      </c>
      <c r="E50" s="69" t="s">
        <v>205</v>
      </c>
      <c r="F50" s="70">
        <f>SUM(F52)</f>
        <v>1</v>
      </c>
      <c r="G50" s="3917"/>
      <c r="H50" s="3838">
        <f>F50*G50</f>
        <v>0</v>
      </c>
      <c r="I50" s="3839" t="s">
        <v>112</v>
      </c>
      <c r="J50" s="3863"/>
      <c r="K50" s="3864"/>
      <c r="L50" s="3843"/>
      <c r="M50" s="3843"/>
      <c r="N50" s="3843"/>
      <c r="O50" s="3843"/>
      <c r="P50" s="71"/>
      <c r="Q50" s="3843"/>
      <c r="R50" s="3843"/>
      <c r="S50" s="3843"/>
      <c r="T50" s="3843"/>
      <c r="U50" s="3843"/>
      <c r="V50" s="3843"/>
      <c r="W50" s="3843"/>
      <c r="X50" s="3843"/>
      <c r="Y50" s="3843"/>
      <c r="Z50" s="3843"/>
      <c r="AA50" s="3843"/>
      <c r="AB50" s="3843"/>
    </row>
    <row r="51" spans="1:30" s="3843" customFormat="1" ht="27" customHeight="1">
      <c r="A51" s="2408"/>
      <c r="B51" s="3837"/>
      <c r="C51" s="3837"/>
      <c r="D51" s="3844" t="s">
        <v>919</v>
      </c>
      <c r="E51" s="3837"/>
      <c r="F51" s="3845"/>
      <c r="G51" s="72"/>
      <c r="H51" s="3846"/>
      <c r="I51" s="3847"/>
      <c r="J51" s="3865"/>
      <c r="K51" s="3825"/>
      <c r="L51" s="2373"/>
      <c r="M51" s="75"/>
      <c r="N51" s="3850"/>
      <c r="O51" s="3850"/>
      <c r="P51" s="3850"/>
      <c r="Q51" s="3850"/>
      <c r="R51" s="3850"/>
      <c r="S51" s="3850"/>
      <c r="T51" s="3850"/>
      <c r="U51" s="3850"/>
      <c r="V51" s="3850"/>
      <c r="W51" s="3850"/>
    </row>
    <row r="52" spans="1:30" s="3860" customFormat="1" ht="13.5" customHeight="1">
      <c r="A52" s="3851"/>
      <c r="B52" s="3836"/>
      <c r="C52" s="3837"/>
      <c r="D52" s="3852" t="s">
        <v>891</v>
      </c>
      <c r="E52" s="3837"/>
      <c r="F52" s="3853">
        <v>1</v>
      </c>
      <c r="G52" s="73"/>
      <c r="H52" s="3846"/>
      <c r="I52" s="3867"/>
      <c r="J52" s="3865"/>
      <c r="K52" s="2373"/>
      <c r="L52" s="3843"/>
      <c r="M52" s="3843"/>
      <c r="N52" s="71"/>
      <c r="O52" s="3843"/>
      <c r="P52" s="3857"/>
      <c r="Q52" s="3857"/>
      <c r="R52" s="3858"/>
      <c r="S52" s="3859"/>
    </row>
    <row r="53" spans="1:30" s="3860" customFormat="1" ht="13.5" customHeight="1">
      <c r="A53" s="3851"/>
      <c r="B53" s="3836"/>
      <c r="C53" s="3837"/>
      <c r="D53" s="3852" t="s">
        <v>892</v>
      </c>
      <c r="E53" s="3837"/>
      <c r="F53" s="3853"/>
      <c r="G53" s="73"/>
      <c r="H53" s="3846"/>
      <c r="I53" s="3861"/>
      <c r="J53" s="3865"/>
      <c r="K53" s="3566"/>
      <c r="L53" s="3843"/>
      <c r="M53" s="3843"/>
      <c r="Y53" s="71"/>
      <c r="Z53" s="3843"/>
      <c r="AA53" s="3843"/>
      <c r="AB53" s="3857"/>
      <c r="AC53" s="3858"/>
      <c r="AD53" s="3859"/>
    </row>
    <row r="54" spans="1:30" s="3834" customFormat="1" ht="27" customHeight="1">
      <c r="A54" s="3835">
        <v>11</v>
      </c>
      <c r="B54" s="3836" t="s">
        <v>887</v>
      </c>
      <c r="C54" s="3837" t="s">
        <v>920</v>
      </c>
      <c r="D54" s="68" t="s">
        <v>921</v>
      </c>
      <c r="E54" s="69" t="s">
        <v>205</v>
      </c>
      <c r="F54" s="70">
        <f>SUM(F56)</f>
        <v>1</v>
      </c>
      <c r="G54" s="3917"/>
      <c r="H54" s="3838">
        <f>F54*G54</f>
        <v>0</v>
      </c>
      <c r="I54" s="3839" t="s">
        <v>112</v>
      </c>
      <c r="J54" s="3863"/>
      <c r="K54" s="3864"/>
      <c r="L54" s="3843"/>
      <c r="M54" s="3843"/>
      <c r="N54" s="3843"/>
      <c r="O54" s="3843"/>
      <c r="P54" s="71"/>
      <c r="Q54" s="3843"/>
      <c r="R54" s="3843"/>
      <c r="S54" s="3843"/>
      <c r="T54" s="3843"/>
      <c r="U54" s="3843"/>
      <c r="V54" s="3843"/>
      <c r="W54" s="3843"/>
      <c r="X54" s="3843"/>
      <c r="Y54" s="3843"/>
      <c r="Z54" s="3843"/>
      <c r="AA54" s="3843"/>
      <c r="AB54" s="3843"/>
    </row>
    <row r="55" spans="1:30" s="3843" customFormat="1" ht="27" customHeight="1">
      <c r="A55" s="2408"/>
      <c r="B55" s="3837"/>
      <c r="C55" s="3837"/>
      <c r="D55" s="3844" t="s">
        <v>919</v>
      </c>
      <c r="E55" s="3837"/>
      <c r="F55" s="3845"/>
      <c r="G55" s="72"/>
      <c r="H55" s="3846"/>
      <c r="I55" s="3847"/>
      <c r="J55" s="3865"/>
      <c r="K55" s="3825"/>
      <c r="L55" s="2373"/>
      <c r="M55" s="75"/>
      <c r="N55" s="3850"/>
      <c r="O55" s="3850"/>
      <c r="P55" s="3850"/>
      <c r="Q55" s="3850"/>
      <c r="R55" s="3850"/>
      <c r="S55" s="3850"/>
      <c r="T55" s="3850"/>
      <c r="U55" s="3850"/>
      <c r="V55" s="3850"/>
      <c r="W55" s="3850"/>
    </row>
    <row r="56" spans="1:30" s="3860" customFormat="1" ht="13.5" customHeight="1">
      <c r="A56" s="3851"/>
      <c r="B56" s="3836"/>
      <c r="C56" s="3837"/>
      <c r="D56" s="3852" t="s">
        <v>891</v>
      </c>
      <c r="E56" s="3837"/>
      <c r="F56" s="3853">
        <v>1</v>
      </c>
      <c r="G56" s="73"/>
      <c r="H56" s="3846"/>
      <c r="I56" s="3867"/>
      <c r="J56" s="3865"/>
      <c r="K56" s="2373"/>
      <c r="L56" s="3843"/>
      <c r="M56" s="3843"/>
      <c r="N56" s="71"/>
      <c r="O56" s="3843"/>
      <c r="P56" s="3857"/>
      <c r="Q56" s="3857"/>
      <c r="R56" s="3858"/>
      <c r="S56" s="3859"/>
    </row>
    <row r="57" spans="1:30" s="3860" customFormat="1" ht="13.5" customHeight="1">
      <c r="A57" s="3851"/>
      <c r="B57" s="3836"/>
      <c r="C57" s="3837"/>
      <c r="D57" s="3852" t="s">
        <v>892</v>
      </c>
      <c r="E57" s="3837"/>
      <c r="F57" s="3853"/>
      <c r="G57" s="73"/>
      <c r="H57" s="3846"/>
      <c r="I57" s="3861"/>
      <c r="J57" s="3865"/>
      <c r="K57" s="3566"/>
      <c r="L57" s="3843"/>
      <c r="M57" s="3843"/>
      <c r="Y57" s="71"/>
      <c r="Z57" s="3843"/>
      <c r="AA57" s="3843"/>
      <c r="AB57" s="3857"/>
      <c r="AC57" s="3858"/>
      <c r="AD57" s="3859"/>
    </row>
    <row r="58" spans="1:30" s="3834" customFormat="1" ht="27" customHeight="1">
      <c r="A58" s="3835">
        <v>12</v>
      </c>
      <c r="B58" s="3836" t="s">
        <v>887</v>
      </c>
      <c r="C58" s="3837" t="s">
        <v>922</v>
      </c>
      <c r="D58" s="68" t="s">
        <v>923</v>
      </c>
      <c r="E58" s="69" t="s">
        <v>205</v>
      </c>
      <c r="F58" s="70">
        <f>SUM(F60)</f>
        <v>1</v>
      </c>
      <c r="G58" s="3917"/>
      <c r="H58" s="3838">
        <f>F58*G58</f>
        <v>0</v>
      </c>
      <c r="I58" s="3839" t="s">
        <v>112</v>
      </c>
      <c r="J58" s="3863"/>
      <c r="K58" s="3864"/>
      <c r="L58" s="3843"/>
      <c r="M58" s="3843"/>
      <c r="N58" s="3843"/>
      <c r="O58" s="3843"/>
      <c r="P58" s="71"/>
      <c r="Q58" s="3843"/>
      <c r="R58" s="3843"/>
      <c r="S58" s="3843"/>
      <c r="T58" s="3843"/>
      <c r="U58" s="3843"/>
      <c r="V58" s="3843"/>
      <c r="W58" s="3843"/>
      <c r="X58" s="3843"/>
      <c r="Y58" s="3843"/>
      <c r="Z58" s="3843"/>
      <c r="AA58" s="3843"/>
      <c r="AB58" s="3843"/>
    </row>
    <row r="59" spans="1:30" s="3843" customFormat="1" ht="27" customHeight="1">
      <c r="A59" s="2408"/>
      <c r="B59" s="3837"/>
      <c r="C59" s="3837"/>
      <c r="D59" s="3844" t="s">
        <v>919</v>
      </c>
      <c r="E59" s="3837"/>
      <c r="F59" s="3845"/>
      <c r="G59" s="72"/>
      <c r="H59" s="3846"/>
      <c r="I59" s="3847"/>
      <c r="J59" s="3865"/>
      <c r="K59" s="3825"/>
      <c r="L59" s="2373"/>
      <c r="M59" s="75"/>
      <c r="N59" s="3850"/>
      <c r="O59" s="3850"/>
      <c r="P59" s="3850"/>
      <c r="Q59" s="3850"/>
      <c r="R59" s="3850"/>
      <c r="S59" s="3850"/>
      <c r="T59" s="3850"/>
      <c r="U59" s="3850"/>
      <c r="V59" s="3850"/>
      <c r="W59" s="3850"/>
    </row>
    <row r="60" spans="1:30" s="3860" customFormat="1" ht="13.5" customHeight="1">
      <c r="A60" s="3851"/>
      <c r="B60" s="3836"/>
      <c r="C60" s="3837"/>
      <c r="D60" s="3852" t="s">
        <v>891</v>
      </c>
      <c r="E60" s="3837"/>
      <c r="F60" s="3853">
        <v>1</v>
      </c>
      <c r="G60" s="73"/>
      <c r="H60" s="3846"/>
      <c r="I60" s="3867"/>
      <c r="J60" s="3865"/>
      <c r="K60" s="2373"/>
      <c r="L60" s="3843"/>
      <c r="M60" s="3843"/>
      <c r="N60" s="71"/>
      <c r="O60" s="3843"/>
      <c r="P60" s="3857"/>
      <c r="Q60" s="3857"/>
      <c r="R60" s="3858"/>
      <c r="S60" s="3859"/>
    </row>
    <row r="61" spans="1:30" s="3860" customFormat="1" ht="13.5" customHeight="1">
      <c r="A61" s="3851"/>
      <c r="B61" s="3836"/>
      <c r="C61" s="3837"/>
      <c r="D61" s="3852" t="s">
        <v>892</v>
      </c>
      <c r="E61" s="3837"/>
      <c r="F61" s="3853"/>
      <c r="G61" s="73"/>
      <c r="H61" s="3846"/>
      <c r="I61" s="3861"/>
      <c r="J61" s="3865"/>
      <c r="K61" s="3566"/>
      <c r="L61" s="3843"/>
      <c r="M61" s="3843"/>
      <c r="Y61" s="71"/>
      <c r="Z61" s="3843"/>
      <c r="AA61" s="3843"/>
      <c r="AB61" s="3857"/>
      <c r="AC61" s="3858"/>
      <c r="AD61" s="3859"/>
    </row>
    <row r="62" spans="1:30" s="3834" customFormat="1" ht="27" customHeight="1">
      <c r="A62" s="3835">
        <v>13</v>
      </c>
      <c r="B62" s="3836" t="s">
        <v>887</v>
      </c>
      <c r="C62" s="3837" t="s">
        <v>924</v>
      </c>
      <c r="D62" s="68" t="s">
        <v>925</v>
      </c>
      <c r="E62" s="69" t="s">
        <v>205</v>
      </c>
      <c r="F62" s="70">
        <f>SUM(F64)</f>
        <v>1</v>
      </c>
      <c r="G62" s="3917"/>
      <c r="H62" s="3838">
        <f>F62*G62</f>
        <v>0</v>
      </c>
      <c r="I62" s="3839" t="s">
        <v>112</v>
      </c>
      <c r="J62" s="3863"/>
      <c r="K62" s="3864"/>
      <c r="L62" s="3843"/>
      <c r="M62" s="3843"/>
      <c r="N62" s="3843"/>
      <c r="O62" s="3843"/>
      <c r="P62" s="71"/>
      <c r="Q62" s="3843"/>
      <c r="R62" s="3843"/>
      <c r="S62" s="3843"/>
      <c r="T62" s="3843"/>
      <c r="U62" s="3843"/>
      <c r="V62" s="3843"/>
      <c r="W62" s="3843"/>
      <c r="X62" s="3843"/>
      <c r="Y62" s="3843"/>
      <c r="Z62" s="3843"/>
      <c r="AA62" s="3843"/>
      <c r="AB62" s="3843"/>
    </row>
    <row r="63" spans="1:30" s="3843" customFormat="1" ht="27" customHeight="1">
      <c r="A63" s="2408"/>
      <c r="B63" s="3837"/>
      <c r="C63" s="3837"/>
      <c r="D63" s="3844" t="s">
        <v>919</v>
      </c>
      <c r="E63" s="3837"/>
      <c r="F63" s="3845"/>
      <c r="G63" s="72"/>
      <c r="H63" s="3846"/>
      <c r="I63" s="3847"/>
      <c r="J63" s="3865"/>
      <c r="K63" s="3825"/>
      <c r="L63" s="2373"/>
      <c r="M63" s="75"/>
      <c r="N63" s="3850"/>
      <c r="O63" s="3850"/>
      <c r="P63" s="3850"/>
      <c r="Q63" s="3850"/>
      <c r="R63" s="3850"/>
      <c r="S63" s="3850"/>
      <c r="T63" s="3850"/>
      <c r="U63" s="3850"/>
      <c r="V63" s="3850"/>
      <c r="W63" s="3850"/>
    </row>
    <row r="64" spans="1:30" s="3860" customFormat="1" ht="13.5" customHeight="1">
      <c r="A64" s="3851"/>
      <c r="B64" s="3836"/>
      <c r="C64" s="3837"/>
      <c r="D64" s="3852" t="s">
        <v>891</v>
      </c>
      <c r="E64" s="3837"/>
      <c r="F64" s="3853">
        <v>1</v>
      </c>
      <c r="G64" s="73"/>
      <c r="H64" s="3846"/>
      <c r="I64" s="3867"/>
      <c r="J64" s="3865"/>
      <c r="K64" s="2373"/>
      <c r="L64" s="3843"/>
      <c r="M64" s="3843"/>
      <c r="N64" s="71"/>
      <c r="O64" s="3843"/>
      <c r="P64" s="3857"/>
      <c r="Q64" s="3857"/>
      <c r="R64" s="3858"/>
      <c r="S64" s="3859"/>
    </row>
    <row r="65" spans="1:30" s="3860" customFormat="1" ht="13.5" customHeight="1">
      <c r="A65" s="3851"/>
      <c r="B65" s="3836"/>
      <c r="C65" s="3837"/>
      <c r="D65" s="3852" t="s">
        <v>892</v>
      </c>
      <c r="E65" s="3837"/>
      <c r="F65" s="3853"/>
      <c r="G65" s="73"/>
      <c r="H65" s="3846"/>
      <c r="I65" s="3861"/>
      <c r="J65" s="3865"/>
      <c r="K65" s="3566"/>
      <c r="L65" s="3843"/>
      <c r="M65" s="3843"/>
      <c r="Y65" s="71"/>
      <c r="Z65" s="3843"/>
      <c r="AA65" s="3843"/>
      <c r="AB65" s="3857"/>
      <c r="AC65" s="3858"/>
      <c r="AD65" s="3859"/>
    </row>
    <row r="66" spans="1:30" s="3834" customFormat="1" ht="27" customHeight="1">
      <c r="A66" s="3835">
        <v>14</v>
      </c>
      <c r="B66" s="3836" t="s">
        <v>887</v>
      </c>
      <c r="C66" s="3837" t="s">
        <v>926</v>
      </c>
      <c r="D66" s="68" t="s">
        <v>927</v>
      </c>
      <c r="E66" s="69" t="s">
        <v>205</v>
      </c>
      <c r="F66" s="70">
        <f>SUM(F68)</f>
        <v>1</v>
      </c>
      <c r="G66" s="3917"/>
      <c r="H66" s="3838">
        <f>F66*G66</f>
        <v>0</v>
      </c>
      <c r="I66" s="3839" t="s">
        <v>112</v>
      </c>
      <c r="J66" s="3863"/>
      <c r="K66" s="3864"/>
      <c r="L66" s="3843"/>
      <c r="M66" s="3843"/>
      <c r="N66" s="3843"/>
      <c r="O66" s="3843"/>
      <c r="P66" s="71"/>
      <c r="Q66" s="3843"/>
      <c r="R66" s="3843"/>
      <c r="S66" s="3843"/>
      <c r="T66" s="3843"/>
      <c r="U66" s="3843"/>
      <c r="V66" s="3843"/>
      <c r="W66" s="3843"/>
      <c r="X66" s="3843"/>
      <c r="Y66" s="3843"/>
      <c r="Z66" s="3843"/>
      <c r="AA66" s="3843"/>
      <c r="AB66" s="3843"/>
    </row>
    <row r="67" spans="1:30" s="3843" customFormat="1" ht="27" customHeight="1">
      <c r="A67" s="2408"/>
      <c r="B67" s="3837"/>
      <c r="C67" s="3837"/>
      <c r="D67" s="3844" t="s">
        <v>919</v>
      </c>
      <c r="E67" s="3837"/>
      <c r="F67" s="3845"/>
      <c r="G67" s="72"/>
      <c r="H67" s="3846"/>
      <c r="I67" s="3847"/>
      <c r="J67" s="3865"/>
      <c r="K67" s="3825"/>
      <c r="L67" s="2373"/>
      <c r="M67" s="75"/>
      <c r="N67" s="3850"/>
      <c r="O67" s="3850"/>
      <c r="P67" s="3850"/>
      <c r="Q67" s="3850"/>
      <c r="R67" s="3850"/>
      <c r="S67" s="3850"/>
      <c r="T67" s="3850"/>
      <c r="U67" s="3850"/>
      <c r="V67" s="3850"/>
      <c r="W67" s="3850"/>
    </row>
    <row r="68" spans="1:30" s="3860" customFormat="1" ht="13.5" customHeight="1">
      <c r="A68" s="3851"/>
      <c r="B68" s="3836"/>
      <c r="C68" s="3837"/>
      <c r="D68" s="3852" t="s">
        <v>891</v>
      </c>
      <c r="E68" s="3837"/>
      <c r="F68" s="3853">
        <v>1</v>
      </c>
      <c r="G68" s="73"/>
      <c r="H68" s="3846"/>
      <c r="I68" s="3867"/>
      <c r="J68" s="3865"/>
      <c r="K68" s="2373"/>
      <c r="L68" s="3843"/>
      <c r="M68" s="3843"/>
      <c r="N68" s="71"/>
      <c r="O68" s="3843"/>
      <c r="P68" s="3857"/>
      <c r="Q68" s="3857"/>
      <c r="R68" s="3858"/>
      <c r="S68" s="3859"/>
    </row>
    <row r="69" spans="1:30" s="3860" customFormat="1" ht="13.5" customHeight="1">
      <c r="A69" s="3851"/>
      <c r="B69" s="3836"/>
      <c r="C69" s="3837"/>
      <c r="D69" s="3852" t="s">
        <v>892</v>
      </c>
      <c r="E69" s="3837"/>
      <c r="F69" s="3853"/>
      <c r="G69" s="73"/>
      <c r="H69" s="3846"/>
      <c r="I69" s="3861"/>
      <c r="J69" s="3865"/>
      <c r="K69" s="3566"/>
      <c r="L69" s="3843"/>
      <c r="M69" s="3843"/>
      <c r="Y69" s="71"/>
      <c r="Z69" s="3843"/>
      <c r="AA69" s="3843"/>
      <c r="AB69" s="3857"/>
      <c r="AC69" s="3858"/>
      <c r="AD69" s="3859"/>
    </row>
    <row r="70" spans="1:30" s="3834" customFormat="1" ht="27" customHeight="1">
      <c r="A70" s="3835">
        <v>15</v>
      </c>
      <c r="B70" s="3836" t="s">
        <v>887</v>
      </c>
      <c r="C70" s="3837" t="s">
        <v>928</v>
      </c>
      <c r="D70" s="68" t="s">
        <v>929</v>
      </c>
      <c r="E70" s="69" t="s">
        <v>205</v>
      </c>
      <c r="F70" s="70">
        <f>SUM(F72)</f>
        <v>1</v>
      </c>
      <c r="G70" s="3917"/>
      <c r="H70" s="3838">
        <f>F70*G70</f>
        <v>0</v>
      </c>
      <c r="I70" s="3839" t="s">
        <v>112</v>
      </c>
      <c r="J70" s="3863"/>
      <c r="K70" s="3864"/>
      <c r="L70" s="3843"/>
      <c r="M70" s="3843"/>
      <c r="N70" s="3843"/>
      <c r="O70" s="3843"/>
      <c r="P70" s="71"/>
      <c r="Q70" s="3843"/>
      <c r="R70" s="3843"/>
      <c r="S70" s="3843"/>
      <c r="T70" s="3843"/>
      <c r="U70" s="3843"/>
      <c r="V70" s="3843"/>
      <c r="W70" s="3843"/>
      <c r="X70" s="3843"/>
      <c r="Y70" s="3843"/>
      <c r="Z70" s="3843"/>
      <c r="AA70" s="3843"/>
      <c r="AB70" s="3843"/>
    </row>
    <row r="71" spans="1:30" s="3843" customFormat="1" ht="27" customHeight="1">
      <c r="A71" s="2408"/>
      <c r="B71" s="3837"/>
      <c r="C71" s="3837"/>
      <c r="D71" s="3844" t="s">
        <v>930</v>
      </c>
      <c r="E71" s="3837"/>
      <c r="F71" s="3845"/>
      <c r="G71" s="72"/>
      <c r="H71" s="3846"/>
      <c r="I71" s="3847"/>
      <c r="J71" s="3865"/>
      <c r="K71" s="3825"/>
      <c r="L71" s="2373"/>
      <c r="M71" s="75"/>
      <c r="N71" s="3850"/>
      <c r="O71" s="3850"/>
      <c r="P71" s="3850"/>
      <c r="Q71" s="3850"/>
      <c r="R71" s="3850"/>
      <c r="S71" s="3850"/>
      <c r="T71" s="3850"/>
      <c r="U71" s="3850"/>
      <c r="V71" s="3850"/>
      <c r="W71" s="3850"/>
    </row>
    <row r="72" spans="1:30" s="3860" customFormat="1" ht="13.5" customHeight="1">
      <c r="A72" s="3851"/>
      <c r="B72" s="3836"/>
      <c r="C72" s="3837"/>
      <c r="D72" s="3852" t="s">
        <v>891</v>
      </c>
      <c r="E72" s="3837"/>
      <c r="F72" s="3853">
        <v>1</v>
      </c>
      <c r="G72" s="73"/>
      <c r="H72" s="3846"/>
      <c r="I72" s="3867"/>
      <c r="J72" s="3865"/>
      <c r="K72" s="2373"/>
      <c r="L72" s="3843"/>
      <c r="M72" s="3843"/>
      <c r="N72" s="71"/>
      <c r="O72" s="3843"/>
      <c r="P72" s="3857"/>
      <c r="Q72" s="3857"/>
      <c r="R72" s="3858"/>
      <c r="S72" s="3859"/>
    </row>
    <row r="73" spans="1:30" s="3860" customFormat="1" ht="13.5" customHeight="1">
      <c r="A73" s="3851"/>
      <c r="B73" s="3836"/>
      <c r="C73" s="3837"/>
      <c r="D73" s="3852" t="s">
        <v>892</v>
      </c>
      <c r="E73" s="3837"/>
      <c r="F73" s="3853"/>
      <c r="G73" s="73"/>
      <c r="H73" s="3846"/>
      <c r="I73" s="3861"/>
      <c r="J73" s="3865"/>
      <c r="K73" s="3566"/>
      <c r="L73" s="3843"/>
      <c r="M73" s="3843"/>
      <c r="Y73" s="71"/>
      <c r="Z73" s="3843"/>
      <c r="AA73" s="3843"/>
      <c r="AB73" s="3857"/>
      <c r="AC73" s="3858"/>
      <c r="AD73" s="3859"/>
    </row>
    <row r="74" spans="1:30" s="3834" customFormat="1" ht="27" customHeight="1">
      <c r="A74" s="3835">
        <v>16</v>
      </c>
      <c r="B74" s="3836" t="s">
        <v>887</v>
      </c>
      <c r="C74" s="3837" t="s">
        <v>931</v>
      </c>
      <c r="D74" s="68" t="s">
        <v>932</v>
      </c>
      <c r="E74" s="69" t="s">
        <v>205</v>
      </c>
      <c r="F74" s="70">
        <f>SUM(F76)</f>
        <v>1</v>
      </c>
      <c r="G74" s="3917"/>
      <c r="H74" s="3838">
        <f>F74*G74</f>
        <v>0</v>
      </c>
      <c r="I74" s="3839" t="s">
        <v>112</v>
      </c>
      <c r="J74" s="3863"/>
      <c r="K74" s="3864"/>
      <c r="L74" s="3843"/>
      <c r="M74" s="3843"/>
      <c r="N74" s="3843"/>
      <c r="O74" s="3843"/>
      <c r="P74" s="71"/>
      <c r="Q74" s="3843"/>
      <c r="R74" s="3843"/>
      <c r="S74" s="3843"/>
      <c r="T74" s="3843"/>
      <c r="U74" s="3843"/>
      <c r="V74" s="3843"/>
      <c r="W74" s="3843"/>
      <c r="X74" s="3843"/>
      <c r="Y74" s="3843"/>
      <c r="Z74" s="3843"/>
      <c r="AA74" s="3843"/>
      <c r="AB74" s="3843"/>
    </row>
    <row r="75" spans="1:30" s="3843" customFormat="1" ht="27" customHeight="1">
      <c r="A75" s="2408"/>
      <c r="B75" s="3837"/>
      <c r="C75" s="3837"/>
      <c r="D75" s="3844" t="s">
        <v>933</v>
      </c>
      <c r="E75" s="3837"/>
      <c r="F75" s="3845"/>
      <c r="G75" s="72"/>
      <c r="H75" s="3846"/>
      <c r="I75" s="3847"/>
      <c r="J75" s="3865"/>
      <c r="K75" s="3825"/>
      <c r="L75" s="2373"/>
      <c r="M75" s="75"/>
      <c r="N75" s="3850"/>
      <c r="O75" s="3850"/>
      <c r="P75" s="3850"/>
      <c r="Q75" s="3850"/>
      <c r="R75" s="3850"/>
      <c r="S75" s="3850"/>
      <c r="T75" s="3850"/>
      <c r="U75" s="3850"/>
      <c r="V75" s="3850"/>
      <c r="W75" s="3850"/>
    </row>
    <row r="76" spans="1:30" s="3860" customFormat="1" ht="13.5" customHeight="1">
      <c r="A76" s="3851"/>
      <c r="B76" s="3836"/>
      <c r="C76" s="3837"/>
      <c r="D76" s="3852" t="s">
        <v>891</v>
      </c>
      <c r="E76" s="3837"/>
      <c r="F76" s="3853">
        <v>1</v>
      </c>
      <c r="G76" s="73"/>
      <c r="H76" s="3846"/>
      <c r="I76" s="3867"/>
      <c r="J76" s="3865"/>
      <c r="K76" s="2373"/>
      <c r="L76" s="3843"/>
      <c r="M76" s="3843"/>
      <c r="N76" s="71"/>
      <c r="O76" s="3843"/>
      <c r="P76" s="3857"/>
      <c r="Q76" s="3857"/>
      <c r="R76" s="3858"/>
      <c r="S76" s="3859"/>
    </row>
    <row r="77" spans="1:30" s="3860" customFormat="1" ht="13.5" customHeight="1">
      <c r="A77" s="3851"/>
      <c r="B77" s="3836"/>
      <c r="C77" s="3837"/>
      <c r="D77" s="3852" t="s">
        <v>892</v>
      </c>
      <c r="E77" s="3837"/>
      <c r="F77" s="3853"/>
      <c r="G77" s="73"/>
      <c r="H77" s="3846"/>
      <c r="I77" s="3861"/>
      <c r="J77" s="3865"/>
      <c r="K77" s="3566"/>
      <c r="L77" s="3843"/>
      <c r="M77" s="3843"/>
      <c r="Y77" s="71"/>
      <c r="Z77" s="3843"/>
      <c r="AA77" s="3843"/>
      <c r="AB77" s="3857"/>
      <c r="AC77" s="3858"/>
      <c r="AD77" s="3859"/>
    </row>
    <row r="78" spans="1:30" s="3834" customFormat="1" ht="27" customHeight="1">
      <c r="A78" s="3835">
        <v>17</v>
      </c>
      <c r="B78" s="3836" t="s">
        <v>887</v>
      </c>
      <c r="C78" s="3837" t="s">
        <v>934</v>
      </c>
      <c r="D78" s="68" t="s">
        <v>935</v>
      </c>
      <c r="E78" s="69" t="s">
        <v>205</v>
      </c>
      <c r="F78" s="70">
        <f>SUM(F80)</f>
        <v>1</v>
      </c>
      <c r="G78" s="3917"/>
      <c r="H78" s="3838">
        <f>F78*G78</f>
        <v>0</v>
      </c>
      <c r="I78" s="3839" t="s">
        <v>112</v>
      </c>
      <c r="J78" s="3863"/>
      <c r="K78" s="3864"/>
      <c r="L78" s="3843"/>
      <c r="M78" s="3843"/>
      <c r="N78" s="3843"/>
      <c r="O78" s="3843"/>
      <c r="P78" s="71"/>
      <c r="Q78" s="3843"/>
      <c r="R78" s="3843"/>
      <c r="S78" s="3843"/>
      <c r="T78" s="3843"/>
      <c r="U78" s="3843"/>
      <c r="V78" s="3843"/>
      <c r="W78" s="3843"/>
      <c r="X78" s="3843"/>
      <c r="Y78" s="3843"/>
      <c r="Z78" s="3843"/>
      <c r="AA78" s="3843"/>
      <c r="AB78" s="3843"/>
    </row>
    <row r="79" spans="1:30" s="3843" customFormat="1" ht="27" customHeight="1">
      <c r="A79" s="2408"/>
      <c r="B79" s="3837"/>
      <c r="C79" s="3837"/>
      <c r="D79" s="3844" t="s">
        <v>933</v>
      </c>
      <c r="E79" s="3837"/>
      <c r="F79" s="3845"/>
      <c r="G79" s="72"/>
      <c r="H79" s="3846"/>
      <c r="I79" s="3847"/>
      <c r="J79" s="3865"/>
      <c r="K79" s="3825"/>
      <c r="L79" s="2373"/>
      <c r="M79" s="75"/>
      <c r="N79" s="3850"/>
      <c r="O79" s="3850"/>
      <c r="P79" s="3850"/>
      <c r="Q79" s="3850"/>
      <c r="R79" s="3850"/>
      <c r="S79" s="3850"/>
      <c r="T79" s="3850"/>
      <c r="U79" s="3850"/>
      <c r="V79" s="3850"/>
      <c r="W79" s="3850"/>
    </row>
    <row r="80" spans="1:30" s="3860" customFormat="1" ht="13.5" customHeight="1">
      <c r="A80" s="3851"/>
      <c r="B80" s="3836"/>
      <c r="C80" s="3837"/>
      <c r="D80" s="3852" t="s">
        <v>891</v>
      </c>
      <c r="E80" s="3837"/>
      <c r="F80" s="3853">
        <v>1</v>
      </c>
      <c r="G80" s="73"/>
      <c r="H80" s="3846"/>
      <c r="I80" s="3867"/>
      <c r="J80" s="3865"/>
      <c r="K80" s="2373"/>
      <c r="L80" s="3843"/>
      <c r="M80" s="3843"/>
      <c r="N80" s="71"/>
      <c r="O80" s="3843"/>
      <c r="P80" s="3857"/>
      <c r="Q80" s="3857"/>
      <c r="R80" s="3858"/>
      <c r="S80" s="3859"/>
    </row>
    <row r="81" spans="1:30" s="3860" customFormat="1" ht="13.5" customHeight="1">
      <c r="A81" s="3851"/>
      <c r="B81" s="3836"/>
      <c r="C81" s="3837"/>
      <c r="D81" s="3852" t="s">
        <v>892</v>
      </c>
      <c r="E81" s="3837"/>
      <c r="F81" s="3853"/>
      <c r="G81" s="73"/>
      <c r="H81" s="3846"/>
      <c r="I81" s="3861"/>
      <c r="J81" s="3865"/>
      <c r="K81" s="3566"/>
      <c r="L81" s="3843"/>
      <c r="M81" s="3843"/>
      <c r="Y81" s="71"/>
      <c r="Z81" s="3843"/>
      <c r="AA81" s="3843"/>
      <c r="AB81" s="3857"/>
      <c r="AC81" s="3858"/>
      <c r="AD81" s="3859"/>
    </row>
    <row r="82" spans="1:30" s="3834" customFormat="1" ht="27" customHeight="1">
      <c r="A82" s="3835">
        <v>18</v>
      </c>
      <c r="B82" s="3836" t="s">
        <v>887</v>
      </c>
      <c r="C82" s="3837" t="s">
        <v>936</v>
      </c>
      <c r="D82" s="68" t="s">
        <v>937</v>
      </c>
      <c r="E82" s="69" t="s">
        <v>205</v>
      </c>
      <c r="F82" s="70">
        <f>SUM(F84)</f>
        <v>1</v>
      </c>
      <c r="G82" s="3917"/>
      <c r="H82" s="3838">
        <f>F82*G82</f>
        <v>0</v>
      </c>
      <c r="I82" s="3839" t="s">
        <v>112</v>
      </c>
      <c r="J82" s="3863"/>
      <c r="K82" s="3864"/>
      <c r="L82" s="3843"/>
      <c r="M82" s="3843"/>
      <c r="N82" s="3843"/>
      <c r="O82" s="3843"/>
      <c r="P82" s="71"/>
      <c r="Q82" s="3843"/>
      <c r="R82" s="3843"/>
      <c r="S82" s="3843"/>
      <c r="T82" s="3843"/>
      <c r="U82" s="3843"/>
      <c r="V82" s="3843"/>
      <c r="W82" s="3843"/>
      <c r="X82" s="3843"/>
      <c r="Y82" s="3843"/>
      <c r="Z82" s="3843"/>
      <c r="AA82" s="3843"/>
      <c r="AB82" s="3843"/>
    </row>
    <row r="83" spans="1:30" s="3843" customFormat="1" ht="27" customHeight="1">
      <c r="A83" s="2408"/>
      <c r="B83" s="3837"/>
      <c r="C83" s="3837"/>
      <c r="D83" s="3844" t="s">
        <v>930</v>
      </c>
      <c r="E83" s="3837"/>
      <c r="F83" s="3845"/>
      <c r="G83" s="72"/>
      <c r="H83" s="3846"/>
      <c r="I83" s="3847"/>
      <c r="J83" s="3865"/>
      <c r="K83" s="3825"/>
      <c r="L83" s="2373"/>
      <c r="M83" s="75"/>
      <c r="N83" s="3850"/>
      <c r="O83" s="3850"/>
      <c r="P83" s="3850"/>
      <c r="Q83" s="3850"/>
      <c r="R83" s="3850"/>
      <c r="S83" s="3850"/>
      <c r="T83" s="3850"/>
      <c r="U83" s="3850"/>
      <c r="V83" s="3850"/>
      <c r="W83" s="3850"/>
    </row>
    <row r="84" spans="1:30" s="3860" customFormat="1" ht="13.5" customHeight="1">
      <c r="A84" s="3851"/>
      <c r="B84" s="3836"/>
      <c r="C84" s="3837"/>
      <c r="D84" s="3852" t="s">
        <v>891</v>
      </c>
      <c r="E84" s="3837"/>
      <c r="F84" s="3853">
        <v>1</v>
      </c>
      <c r="G84" s="73"/>
      <c r="H84" s="3846"/>
      <c r="I84" s="3867"/>
      <c r="J84" s="3865"/>
      <c r="K84" s="2373"/>
      <c r="L84" s="3843"/>
      <c r="M84" s="3843"/>
      <c r="N84" s="71"/>
      <c r="O84" s="3843"/>
      <c r="P84" s="3857"/>
      <c r="Q84" s="3857"/>
      <c r="R84" s="3858"/>
      <c r="S84" s="3859"/>
    </row>
    <row r="85" spans="1:30" s="3860" customFormat="1" ht="13.5" customHeight="1">
      <c r="A85" s="3851"/>
      <c r="B85" s="3836"/>
      <c r="C85" s="3837"/>
      <c r="D85" s="3852" t="s">
        <v>892</v>
      </c>
      <c r="E85" s="3837"/>
      <c r="F85" s="3853"/>
      <c r="G85" s="73"/>
      <c r="H85" s="3846"/>
      <c r="I85" s="3861"/>
      <c r="J85" s="3865"/>
      <c r="K85" s="3566"/>
      <c r="L85" s="3843"/>
      <c r="M85" s="3843"/>
      <c r="Y85" s="71"/>
      <c r="Z85" s="3843"/>
      <c r="AA85" s="3843"/>
      <c r="AB85" s="3857"/>
      <c r="AC85" s="3858"/>
      <c r="AD85" s="3859"/>
    </row>
    <row r="86" spans="1:30" s="3834" customFormat="1" ht="27" customHeight="1">
      <c r="A86" s="3835">
        <v>19</v>
      </c>
      <c r="B86" s="3836" t="s">
        <v>887</v>
      </c>
      <c r="C86" s="3837" t="s">
        <v>938</v>
      </c>
      <c r="D86" s="68" t="s">
        <v>939</v>
      </c>
      <c r="E86" s="69" t="s">
        <v>205</v>
      </c>
      <c r="F86" s="70">
        <f>SUM(F88)</f>
        <v>1</v>
      </c>
      <c r="G86" s="3917"/>
      <c r="H86" s="3838">
        <f>F86*G86</f>
        <v>0</v>
      </c>
      <c r="I86" s="3839" t="s">
        <v>112</v>
      </c>
      <c r="J86" s="3863"/>
      <c r="K86" s="3864"/>
      <c r="L86" s="3843"/>
      <c r="M86" s="3843"/>
      <c r="N86" s="3843"/>
      <c r="O86" s="3843"/>
      <c r="P86" s="71"/>
      <c r="Q86" s="3843"/>
      <c r="R86" s="3843"/>
      <c r="S86" s="3843"/>
      <c r="T86" s="3843"/>
      <c r="U86" s="3843"/>
      <c r="V86" s="3843"/>
      <c r="W86" s="3843"/>
      <c r="X86" s="3843"/>
      <c r="Y86" s="3843"/>
      <c r="Z86" s="3843"/>
      <c r="AA86" s="3843"/>
      <c r="AB86" s="3843"/>
    </row>
    <row r="87" spans="1:30" s="3843" customFormat="1" ht="27" customHeight="1">
      <c r="A87" s="2408"/>
      <c r="B87" s="3837"/>
      <c r="C87" s="3837"/>
      <c r="D87" s="3844" t="s">
        <v>940</v>
      </c>
      <c r="E87" s="3837"/>
      <c r="F87" s="3845"/>
      <c r="G87" s="72"/>
      <c r="H87" s="3846"/>
      <c r="I87" s="3847"/>
      <c r="J87" s="3865"/>
      <c r="K87" s="3825"/>
      <c r="L87" s="2373"/>
      <c r="M87" s="75"/>
      <c r="N87" s="3850"/>
      <c r="O87" s="3850"/>
      <c r="P87" s="3850"/>
      <c r="Q87" s="3850"/>
      <c r="R87" s="3850"/>
      <c r="S87" s="3850"/>
      <c r="T87" s="3850"/>
      <c r="U87" s="3850"/>
      <c r="V87" s="3850"/>
      <c r="W87" s="3850"/>
    </row>
    <row r="88" spans="1:30" s="3860" customFormat="1" ht="13.5" customHeight="1">
      <c r="A88" s="3851"/>
      <c r="B88" s="3836"/>
      <c r="C88" s="3837"/>
      <c r="D88" s="3852" t="s">
        <v>891</v>
      </c>
      <c r="E88" s="3837"/>
      <c r="F88" s="3853">
        <v>1</v>
      </c>
      <c r="G88" s="73"/>
      <c r="H88" s="3846"/>
      <c r="I88" s="3867"/>
      <c r="J88" s="3865"/>
      <c r="K88" s="2373"/>
      <c r="L88" s="3843"/>
      <c r="M88" s="3843"/>
      <c r="N88" s="71"/>
      <c r="O88" s="3843"/>
      <c r="P88" s="3857"/>
      <c r="Q88" s="3857"/>
      <c r="R88" s="3858"/>
      <c r="S88" s="3859"/>
    </row>
    <row r="89" spans="1:30" s="3860" customFormat="1" ht="13.5" customHeight="1">
      <c r="A89" s="3851"/>
      <c r="B89" s="3836"/>
      <c r="C89" s="3837"/>
      <c r="D89" s="3852" t="s">
        <v>892</v>
      </c>
      <c r="E89" s="3837"/>
      <c r="F89" s="3853"/>
      <c r="G89" s="73"/>
      <c r="H89" s="3846"/>
      <c r="I89" s="3861"/>
      <c r="J89" s="3865"/>
      <c r="K89" s="3566"/>
      <c r="L89" s="3843"/>
      <c r="M89" s="3843"/>
      <c r="Y89" s="71"/>
      <c r="Z89" s="3843"/>
      <c r="AA89" s="3843"/>
      <c r="AB89" s="3857"/>
      <c r="AC89" s="3858"/>
      <c r="AD89" s="3859"/>
    </row>
    <row r="90" spans="1:30" s="3834" customFormat="1" ht="27" customHeight="1">
      <c r="A90" s="3835">
        <v>20</v>
      </c>
      <c r="B90" s="3836" t="s">
        <v>887</v>
      </c>
      <c r="C90" s="3837" t="s">
        <v>941</v>
      </c>
      <c r="D90" s="68" t="s">
        <v>942</v>
      </c>
      <c r="E90" s="69" t="s">
        <v>205</v>
      </c>
      <c r="F90" s="70">
        <f>SUM(F92)</f>
        <v>1</v>
      </c>
      <c r="G90" s="3917"/>
      <c r="H90" s="3838">
        <f>F90*G90</f>
        <v>0</v>
      </c>
      <c r="I90" s="3839" t="s">
        <v>112</v>
      </c>
      <c r="J90" s="3863"/>
      <c r="K90" s="3864"/>
      <c r="L90" s="3843"/>
      <c r="M90" s="3843"/>
      <c r="N90" s="3843"/>
      <c r="O90" s="3843"/>
      <c r="P90" s="71"/>
      <c r="Q90" s="3843"/>
      <c r="R90" s="3843"/>
      <c r="S90" s="3843"/>
      <c r="T90" s="3843"/>
      <c r="U90" s="3843"/>
      <c r="V90" s="3843"/>
      <c r="W90" s="3843"/>
      <c r="X90" s="3843"/>
      <c r="Y90" s="3843"/>
      <c r="Z90" s="3843"/>
      <c r="AA90" s="3843"/>
      <c r="AB90" s="3843"/>
    </row>
    <row r="91" spans="1:30" s="3843" customFormat="1" ht="27" customHeight="1">
      <c r="A91" s="2408"/>
      <c r="B91" s="3837"/>
      <c r="C91" s="3837"/>
      <c r="D91" s="3844" t="s">
        <v>930</v>
      </c>
      <c r="E91" s="3837"/>
      <c r="F91" s="3845"/>
      <c r="G91" s="72"/>
      <c r="H91" s="3846"/>
      <c r="I91" s="3847"/>
      <c r="J91" s="3865"/>
      <c r="K91" s="3825"/>
      <c r="L91" s="2373"/>
      <c r="M91" s="75"/>
      <c r="N91" s="3850"/>
      <c r="O91" s="3850"/>
      <c r="P91" s="3850"/>
      <c r="Q91" s="3850"/>
      <c r="R91" s="3850"/>
      <c r="S91" s="3850"/>
      <c r="T91" s="3850"/>
      <c r="U91" s="3850"/>
      <c r="V91" s="3850"/>
      <c r="W91" s="3850"/>
    </row>
    <row r="92" spans="1:30" s="3860" customFormat="1" ht="13.5" customHeight="1">
      <c r="A92" s="3851"/>
      <c r="B92" s="3836"/>
      <c r="C92" s="3837"/>
      <c r="D92" s="3852" t="s">
        <v>891</v>
      </c>
      <c r="E92" s="3837"/>
      <c r="F92" s="3853">
        <v>1</v>
      </c>
      <c r="G92" s="73"/>
      <c r="H92" s="3846"/>
      <c r="I92" s="3867"/>
      <c r="J92" s="3865"/>
      <c r="K92" s="2373"/>
      <c r="L92" s="3843"/>
      <c r="M92" s="3843"/>
      <c r="N92" s="71"/>
      <c r="O92" s="3843"/>
      <c r="P92" s="3857"/>
      <c r="Q92" s="3857"/>
      <c r="R92" s="3858"/>
      <c r="S92" s="3859"/>
    </row>
    <row r="93" spans="1:30" s="3860" customFormat="1" ht="13.5" customHeight="1">
      <c r="A93" s="3851"/>
      <c r="B93" s="3836"/>
      <c r="C93" s="3837"/>
      <c r="D93" s="3852" t="s">
        <v>892</v>
      </c>
      <c r="E93" s="3837"/>
      <c r="F93" s="3853"/>
      <c r="G93" s="73"/>
      <c r="H93" s="3846"/>
      <c r="I93" s="3861"/>
      <c r="J93" s="3865"/>
      <c r="K93" s="3566"/>
      <c r="L93" s="3843"/>
      <c r="M93" s="3843"/>
      <c r="Y93" s="71"/>
      <c r="Z93" s="3843"/>
      <c r="AA93" s="3843"/>
      <c r="AB93" s="3857"/>
      <c r="AC93" s="3858"/>
      <c r="AD93" s="3859"/>
    </row>
    <row r="94" spans="1:30" s="3834" customFormat="1" ht="27" customHeight="1">
      <c r="A94" s="3835">
        <v>21</v>
      </c>
      <c r="B94" s="3836" t="s">
        <v>887</v>
      </c>
      <c r="C94" s="3837" t="s">
        <v>941</v>
      </c>
      <c r="D94" s="68" t="s">
        <v>943</v>
      </c>
      <c r="E94" s="69" t="s">
        <v>205</v>
      </c>
      <c r="F94" s="70">
        <f>SUM(F96)</f>
        <v>1</v>
      </c>
      <c r="G94" s="3917"/>
      <c r="H94" s="3838">
        <f>F94*G94</f>
        <v>0</v>
      </c>
      <c r="I94" s="3839" t="s">
        <v>112</v>
      </c>
      <c r="J94" s="3863"/>
      <c r="K94" s="3864"/>
      <c r="L94" s="3843"/>
      <c r="M94" s="3843"/>
      <c r="N94" s="3843"/>
      <c r="O94" s="3843"/>
      <c r="P94" s="71"/>
      <c r="Q94" s="3843"/>
      <c r="R94" s="3843"/>
      <c r="S94" s="3843"/>
      <c r="T94" s="3843"/>
      <c r="U94" s="3843"/>
      <c r="V94" s="3843"/>
      <c r="W94" s="3843"/>
      <c r="X94" s="3843"/>
      <c r="Y94" s="3843"/>
      <c r="Z94" s="3843"/>
      <c r="AA94" s="3843"/>
      <c r="AB94" s="3843"/>
    </row>
    <row r="95" spans="1:30" s="3843" customFormat="1" ht="27" customHeight="1">
      <c r="A95" s="2408"/>
      <c r="B95" s="3837"/>
      <c r="C95" s="3837"/>
      <c r="D95" s="3844" t="s">
        <v>930</v>
      </c>
      <c r="E95" s="3837"/>
      <c r="F95" s="3845"/>
      <c r="G95" s="72"/>
      <c r="H95" s="3846"/>
      <c r="I95" s="3847"/>
      <c r="J95" s="3865"/>
      <c r="K95" s="3825"/>
      <c r="L95" s="2373"/>
      <c r="M95" s="75"/>
      <c r="N95" s="3850"/>
      <c r="O95" s="3850"/>
      <c r="P95" s="3850"/>
      <c r="Q95" s="3850"/>
      <c r="R95" s="3850"/>
      <c r="S95" s="3850"/>
      <c r="T95" s="3850"/>
      <c r="U95" s="3850"/>
      <c r="V95" s="3850"/>
      <c r="W95" s="3850"/>
    </row>
    <row r="96" spans="1:30" s="3860" customFormat="1" ht="13.5" customHeight="1">
      <c r="A96" s="3851"/>
      <c r="B96" s="3836"/>
      <c r="C96" s="3837"/>
      <c r="D96" s="3852" t="s">
        <v>944</v>
      </c>
      <c r="E96" s="3837"/>
      <c r="F96" s="3853">
        <v>1</v>
      </c>
      <c r="G96" s="73"/>
      <c r="H96" s="3846"/>
      <c r="I96" s="3867"/>
      <c r="J96" s="3865"/>
      <c r="K96" s="2373"/>
      <c r="L96" s="3843"/>
      <c r="M96" s="3843"/>
      <c r="N96" s="71"/>
      <c r="O96" s="3843"/>
      <c r="P96" s="3857"/>
      <c r="Q96" s="3857"/>
      <c r="R96" s="3858"/>
      <c r="S96" s="3859"/>
    </row>
    <row r="97" spans="1:30" s="3860" customFormat="1" ht="13.5" customHeight="1">
      <c r="A97" s="3851"/>
      <c r="B97" s="3836"/>
      <c r="C97" s="3837"/>
      <c r="D97" s="3852" t="s">
        <v>892</v>
      </c>
      <c r="E97" s="3837"/>
      <c r="F97" s="3853"/>
      <c r="G97" s="73"/>
      <c r="H97" s="3846"/>
      <c r="I97" s="3861"/>
      <c r="J97" s="3865"/>
      <c r="K97" s="3566"/>
      <c r="L97" s="3843"/>
      <c r="M97" s="3843"/>
      <c r="Y97" s="71"/>
      <c r="Z97" s="3843"/>
      <c r="AA97" s="3843"/>
      <c r="AB97" s="3857"/>
      <c r="AC97" s="3858"/>
      <c r="AD97" s="3859"/>
    </row>
    <row r="98" spans="1:30" s="593" customFormat="1" ht="27" customHeight="1">
      <c r="A98" s="3868">
        <v>22</v>
      </c>
      <c r="B98" s="3869" t="s">
        <v>887</v>
      </c>
      <c r="C98" s="2592" t="s">
        <v>945</v>
      </c>
      <c r="D98" s="68" t="s">
        <v>946</v>
      </c>
      <c r="E98" s="76" t="s">
        <v>205</v>
      </c>
      <c r="F98" s="77">
        <f>SUM(F100)</f>
        <v>1</v>
      </c>
      <c r="G98" s="3615"/>
      <c r="H98" s="3558">
        <f>F98*G98</f>
        <v>0</v>
      </c>
      <c r="I98" s="3839" t="s">
        <v>112</v>
      </c>
      <c r="J98" s="3863"/>
      <c r="K98" s="3864"/>
      <c r="L98" s="3864"/>
      <c r="M98" s="3864"/>
    </row>
    <row r="99" spans="1:30" ht="27" customHeight="1">
      <c r="A99" s="2408"/>
      <c r="B99" s="2592"/>
      <c r="C99" s="2592"/>
      <c r="D99" s="3844" t="s">
        <v>933</v>
      </c>
      <c r="E99" s="2592"/>
      <c r="F99" s="3870"/>
      <c r="G99" s="78"/>
      <c r="H99" s="2594"/>
      <c r="I99" s="3847"/>
      <c r="J99" s="3865"/>
      <c r="K99" s="3825"/>
      <c r="L99" s="3825"/>
    </row>
    <row r="100" spans="1:30" s="883" customFormat="1" ht="13.5" customHeight="1">
      <c r="A100" s="3871"/>
      <c r="B100" s="3869"/>
      <c r="C100" s="2592"/>
      <c r="D100" s="2599" t="s">
        <v>891</v>
      </c>
      <c r="E100" s="2592"/>
      <c r="F100" s="3872">
        <v>1</v>
      </c>
      <c r="G100" s="79"/>
      <c r="H100" s="2594"/>
      <c r="I100" s="2594"/>
      <c r="J100" s="3865"/>
      <c r="K100" s="2373"/>
      <c r="L100" s="884"/>
      <c r="M100" s="884"/>
      <c r="N100" s="2595"/>
      <c r="O100" s="2595"/>
      <c r="P100" s="2595"/>
      <c r="Q100" s="2595"/>
      <c r="R100" s="3873"/>
      <c r="S100" s="3874"/>
    </row>
    <row r="101" spans="1:30" s="883" customFormat="1" ht="13.5" customHeight="1">
      <c r="A101" s="3871"/>
      <c r="B101" s="3869"/>
      <c r="C101" s="2592"/>
      <c r="D101" s="2599" t="s">
        <v>892</v>
      </c>
      <c r="E101" s="2592"/>
      <c r="F101" s="3872"/>
      <c r="G101" s="79"/>
      <c r="H101" s="2594"/>
      <c r="I101" s="3861"/>
      <c r="J101" s="3865"/>
      <c r="K101" s="3566"/>
      <c r="L101" s="2595"/>
      <c r="M101" s="3875"/>
      <c r="N101" s="2595"/>
      <c r="O101" s="2595"/>
      <c r="P101" s="2595"/>
      <c r="Q101" s="2595"/>
      <c r="R101" s="3873"/>
      <c r="S101" s="3874"/>
    </row>
    <row r="102" spans="1:30" s="593" customFormat="1" ht="27" customHeight="1">
      <c r="A102" s="3868">
        <v>23</v>
      </c>
      <c r="B102" s="3869" t="s">
        <v>887</v>
      </c>
      <c r="C102" s="2592" t="s">
        <v>947</v>
      </c>
      <c r="D102" s="68" t="s">
        <v>948</v>
      </c>
      <c r="E102" s="76"/>
      <c r="F102" s="77">
        <f>SUM(F104)</f>
        <v>1</v>
      </c>
      <c r="G102" s="3615"/>
      <c r="H102" s="3558">
        <f>F102*G102</f>
        <v>0</v>
      </c>
      <c r="I102" s="3839" t="s">
        <v>112</v>
      </c>
      <c r="J102" s="3863"/>
      <c r="K102" s="3864"/>
      <c r="L102" s="3864"/>
      <c r="M102" s="3864"/>
    </row>
    <row r="103" spans="1:30" ht="27" customHeight="1">
      <c r="A103" s="2408"/>
      <c r="B103" s="2592"/>
      <c r="C103" s="2592"/>
      <c r="D103" s="3844" t="s">
        <v>949</v>
      </c>
      <c r="E103" s="2592"/>
      <c r="F103" s="3870"/>
      <c r="G103" s="78"/>
      <c r="H103" s="2594"/>
      <c r="I103" s="3847"/>
      <c r="J103" s="3865"/>
      <c r="K103" s="3825"/>
      <c r="L103" s="3876"/>
    </row>
    <row r="104" spans="1:30" s="883" customFormat="1" ht="13.5" customHeight="1">
      <c r="A104" s="3871"/>
      <c r="B104" s="3869"/>
      <c r="C104" s="2592"/>
      <c r="D104" s="2599" t="s">
        <v>891</v>
      </c>
      <c r="E104" s="2592"/>
      <c r="F104" s="3872">
        <v>1</v>
      </c>
      <c r="G104" s="79"/>
      <c r="H104" s="2594"/>
      <c r="I104" s="2594"/>
      <c r="J104" s="3865"/>
      <c r="K104" s="2373"/>
      <c r="L104" s="884"/>
      <c r="M104" s="884"/>
      <c r="N104" s="2595"/>
      <c r="O104" s="2595"/>
      <c r="P104" s="2595"/>
      <c r="Q104" s="2595"/>
      <c r="R104" s="3873"/>
      <c r="S104" s="3874"/>
    </row>
    <row r="105" spans="1:30" s="883" customFormat="1" ht="13.5" customHeight="1">
      <c r="A105" s="3871"/>
      <c r="B105" s="3869"/>
      <c r="C105" s="2592"/>
      <c r="D105" s="2599" t="s">
        <v>892</v>
      </c>
      <c r="E105" s="2592"/>
      <c r="F105" s="3872"/>
      <c r="G105" s="79"/>
      <c r="H105" s="2594"/>
      <c r="I105" s="3861"/>
      <c r="J105" s="3865"/>
      <c r="K105" s="3566"/>
      <c r="L105" s="2595"/>
      <c r="M105" s="2595"/>
      <c r="N105" s="2595"/>
      <c r="O105" s="2595"/>
      <c r="P105" s="2595"/>
      <c r="Q105" s="2595"/>
      <c r="R105" s="3873"/>
      <c r="S105" s="3874"/>
    </row>
    <row r="106" spans="1:30" s="593" customFormat="1" ht="27" customHeight="1">
      <c r="A106" s="3868">
        <v>24</v>
      </c>
      <c r="B106" s="3869" t="s">
        <v>887</v>
      </c>
      <c r="C106" s="2592" t="s">
        <v>950</v>
      </c>
      <c r="D106" s="68" t="s">
        <v>951</v>
      </c>
      <c r="E106" s="76" t="s">
        <v>205</v>
      </c>
      <c r="F106" s="77">
        <f>SUM(F108)</f>
        <v>1</v>
      </c>
      <c r="G106" s="3615"/>
      <c r="H106" s="3558">
        <f>F106*G106</f>
        <v>0</v>
      </c>
      <c r="I106" s="3839" t="s">
        <v>112</v>
      </c>
      <c r="J106" s="3863"/>
      <c r="K106" s="3864"/>
      <c r="L106" s="3864"/>
      <c r="M106" s="3864"/>
    </row>
    <row r="107" spans="1:30" ht="27" customHeight="1">
      <c r="A107" s="2408"/>
      <c r="B107" s="2592"/>
      <c r="C107" s="2592"/>
      <c r="D107" s="3844" t="s">
        <v>930</v>
      </c>
      <c r="E107" s="2592"/>
      <c r="F107" s="3870"/>
      <c r="G107" s="78"/>
      <c r="H107" s="2594"/>
      <c r="I107" s="3847"/>
      <c r="J107" s="3865"/>
      <c r="K107" s="3825"/>
      <c r="L107" s="2595"/>
      <c r="M107" s="2595"/>
    </row>
    <row r="108" spans="1:30" s="883" customFormat="1" ht="13.5" customHeight="1">
      <c r="A108" s="3871"/>
      <c r="B108" s="3869"/>
      <c r="C108" s="2592"/>
      <c r="D108" s="2599" t="s">
        <v>891</v>
      </c>
      <c r="E108" s="2592"/>
      <c r="F108" s="3872">
        <v>1</v>
      </c>
      <c r="G108" s="79"/>
      <c r="H108" s="2594"/>
      <c r="I108" s="3877"/>
      <c r="J108" s="3865"/>
      <c r="K108" s="2373"/>
      <c r="L108" s="2595"/>
      <c r="M108" s="2595"/>
      <c r="N108" s="2595"/>
      <c r="O108" s="2595"/>
      <c r="P108" s="2595"/>
      <c r="Q108" s="2595"/>
      <c r="R108" s="3873"/>
      <c r="S108" s="3874"/>
    </row>
    <row r="109" spans="1:30" s="883" customFormat="1" ht="13.5" customHeight="1">
      <c r="A109" s="3871"/>
      <c r="B109" s="3869"/>
      <c r="C109" s="2592"/>
      <c r="D109" s="2599" t="s">
        <v>892</v>
      </c>
      <c r="E109" s="2592"/>
      <c r="F109" s="3872"/>
      <c r="G109" s="79"/>
      <c r="H109" s="2594"/>
      <c r="I109" s="3861"/>
      <c r="J109" s="3865"/>
      <c r="K109" s="3566"/>
      <c r="L109" s="2595"/>
      <c r="M109" s="2595"/>
      <c r="N109" s="2595"/>
      <c r="O109" s="2595"/>
      <c r="P109" s="2595"/>
      <c r="Q109" s="2595"/>
      <c r="R109" s="3873"/>
      <c r="S109" s="3874"/>
    </row>
    <row r="110" spans="1:30" s="593" customFormat="1" ht="27" customHeight="1">
      <c r="A110" s="3868">
        <v>25</v>
      </c>
      <c r="B110" s="3869" t="s">
        <v>887</v>
      </c>
      <c r="C110" s="2592" t="s">
        <v>952</v>
      </c>
      <c r="D110" s="68" t="s">
        <v>953</v>
      </c>
      <c r="E110" s="76" t="s">
        <v>205</v>
      </c>
      <c r="F110" s="77">
        <f>SUM(F112)</f>
        <v>1</v>
      </c>
      <c r="G110" s="3615"/>
      <c r="H110" s="3558">
        <f>F110*G110</f>
        <v>0</v>
      </c>
      <c r="I110" s="3839" t="s">
        <v>112</v>
      </c>
      <c r="J110" s="3863"/>
      <c r="K110" s="3864"/>
      <c r="L110" s="3864"/>
      <c r="M110" s="3864"/>
    </row>
    <row r="111" spans="1:30" ht="27" customHeight="1">
      <c r="A111" s="2408"/>
      <c r="B111" s="2592"/>
      <c r="C111" s="2592"/>
      <c r="D111" s="3844" t="s">
        <v>930</v>
      </c>
      <c r="E111" s="2592"/>
      <c r="F111" s="3870"/>
      <c r="G111" s="78"/>
      <c r="H111" s="2594"/>
      <c r="I111" s="3847"/>
      <c r="J111" s="3865"/>
      <c r="K111" s="3825"/>
      <c r="L111" s="2595"/>
      <c r="M111" s="2595"/>
    </row>
    <row r="112" spans="1:30" s="883" customFormat="1" ht="13.5" customHeight="1">
      <c r="A112" s="3871"/>
      <c r="B112" s="3869"/>
      <c r="C112" s="2592"/>
      <c r="D112" s="2599" t="s">
        <v>891</v>
      </c>
      <c r="E112" s="2592"/>
      <c r="F112" s="3872">
        <v>1</v>
      </c>
      <c r="G112" s="79"/>
      <c r="H112" s="2594"/>
      <c r="I112" s="2594"/>
      <c r="J112" s="3865"/>
      <c r="K112" s="2373"/>
      <c r="L112" s="2595"/>
      <c r="M112" s="2595"/>
      <c r="N112" s="2595"/>
      <c r="O112" s="2595"/>
      <c r="P112" s="2595"/>
      <c r="Q112" s="2595"/>
      <c r="R112" s="3873"/>
      <c r="S112" s="3874"/>
    </row>
    <row r="113" spans="1:19" s="883" customFormat="1" ht="13.5" customHeight="1">
      <c r="A113" s="3871"/>
      <c r="B113" s="3869"/>
      <c r="C113" s="2592"/>
      <c r="D113" s="2599" t="s">
        <v>892</v>
      </c>
      <c r="E113" s="2592"/>
      <c r="F113" s="3872"/>
      <c r="G113" s="79"/>
      <c r="H113" s="2594"/>
      <c r="I113" s="3861"/>
      <c r="J113" s="3865"/>
      <c r="K113" s="3566"/>
      <c r="L113" s="2595"/>
      <c r="M113" s="2595"/>
      <c r="N113" s="2595"/>
      <c r="O113" s="2595"/>
      <c r="P113" s="2595"/>
      <c r="Q113" s="2595"/>
      <c r="R113" s="3873"/>
      <c r="S113" s="3874"/>
    </row>
    <row r="114" spans="1:19" s="593" customFormat="1" ht="27" customHeight="1">
      <c r="A114" s="3868">
        <v>26</v>
      </c>
      <c r="B114" s="3869" t="s">
        <v>887</v>
      </c>
      <c r="C114" s="2592" t="s">
        <v>954</v>
      </c>
      <c r="D114" s="68" t="s">
        <v>955</v>
      </c>
      <c r="E114" s="76" t="s">
        <v>205</v>
      </c>
      <c r="F114" s="77">
        <f>SUM(F116)</f>
        <v>1</v>
      </c>
      <c r="G114" s="3615"/>
      <c r="H114" s="3558">
        <f>F114*G114</f>
        <v>0</v>
      </c>
      <c r="I114" s="3839" t="s">
        <v>112</v>
      </c>
      <c r="J114" s="3863"/>
      <c r="K114" s="3864"/>
      <c r="L114" s="3864"/>
      <c r="M114" s="3864"/>
    </row>
    <row r="115" spans="1:19" ht="27" customHeight="1">
      <c r="A115" s="2408"/>
      <c r="B115" s="2592"/>
      <c r="C115" s="2592"/>
      <c r="D115" s="3844" t="s">
        <v>956</v>
      </c>
      <c r="E115" s="2592"/>
      <c r="F115" s="3870"/>
      <c r="G115" s="78"/>
      <c r="H115" s="2594"/>
      <c r="I115" s="3847"/>
      <c r="J115" s="3865"/>
      <c r="K115" s="3825"/>
      <c r="L115" s="2595"/>
      <c r="M115" s="2595"/>
    </row>
    <row r="116" spans="1:19" s="883" customFormat="1" ht="13.5" customHeight="1">
      <c r="A116" s="3871"/>
      <c r="B116" s="3869"/>
      <c r="C116" s="2592"/>
      <c r="D116" s="2599" t="s">
        <v>891</v>
      </c>
      <c r="E116" s="2592"/>
      <c r="F116" s="3872">
        <v>1</v>
      </c>
      <c r="G116" s="79"/>
      <c r="H116" s="2594"/>
      <c r="I116" s="2594"/>
      <c r="J116" s="3865"/>
      <c r="K116" s="2373"/>
      <c r="L116" s="2595"/>
      <c r="M116" s="2595"/>
      <c r="N116" s="2595"/>
      <c r="O116" s="2595"/>
      <c r="P116" s="2595"/>
      <c r="Q116" s="2595"/>
      <c r="R116" s="3873"/>
      <c r="S116" s="3874"/>
    </row>
    <row r="117" spans="1:19" s="883" customFormat="1" ht="13.5" customHeight="1">
      <c r="A117" s="3871"/>
      <c r="B117" s="3869"/>
      <c r="C117" s="2592"/>
      <c r="D117" s="2599" t="s">
        <v>892</v>
      </c>
      <c r="E117" s="2592"/>
      <c r="F117" s="3872"/>
      <c r="G117" s="79"/>
      <c r="H117" s="2594"/>
      <c r="I117" s="3861"/>
      <c r="J117" s="3865"/>
      <c r="K117" s="3566"/>
      <c r="L117" s="2595"/>
      <c r="M117" s="2595"/>
      <c r="N117" s="2595"/>
      <c r="O117" s="2595"/>
      <c r="P117" s="2595"/>
      <c r="Q117" s="2595"/>
      <c r="R117" s="3873"/>
      <c r="S117" s="3874"/>
    </row>
    <row r="118" spans="1:19" s="593" customFormat="1" ht="27" customHeight="1">
      <c r="A118" s="3868">
        <v>27</v>
      </c>
      <c r="B118" s="3869" t="s">
        <v>887</v>
      </c>
      <c r="C118" s="2592" t="s">
        <v>957</v>
      </c>
      <c r="D118" s="68" t="s">
        <v>958</v>
      </c>
      <c r="E118" s="76" t="s">
        <v>205</v>
      </c>
      <c r="F118" s="77">
        <f>SUM(F120)</f>
        <v>1</v>
      </c>
      <c r="G118" s="3615"/>
      <c r="H118" s="3558">
        <f>F118*G118</f>
        <v>0</v>
      </c>
      <c r="I118" s="3839" t="s">
        <v>112</v>
      </c>
      <c r="J118" s="3863"/>
      <c r="K118" s="3864"/>
      <c r="L118" s="3864"/>
      <c r="M118" s="3864"/>
    </row>
    <row r="119" spans="1:19" ht="27" customHeight="1">
      <c r="A119" s="2408"/>
      <c r="B119" s="2592"/>
      <c r="C119" s="2592"/>
      <c r="D119" s="3844" t="s">
        <v>933</v>
      </c>
      <c r="E119" s="2592"/>
      <c r="F119" s="3870"/>
      <c r="G119" s="78"/>
      <c r="H119" s="2594"/>
      <c r="I119" s="3847"/>
      <c r="J119" s="3865"/>
      <c r="K119" s="3825"/>
      <c r="L119" s="2595"/>
      <c r="M119" s="2595"/>
    </row>
    <row r="120" spans="1:19" s="883" customFormat="1" ht="13.5" customHeight="1">
      <c r="A120" s="3871"/>
      <c r="B120" s="3869"/>
      <c r="C120" s="2592"/>
      <c r="D120" s="2599" t="s">
        <v>891</v>
      </c>
      <c r="E120" s="2592"/>
      <c r="F120" s="3872">
        <v>1</v>
      </c>
      <c r="G120" s="79"/>
      <c r="H120" s="2594"/>
      <c r="I120" s="2594"/>
      <c r="J120" s="3865"/>
      <c r="K120" s="2373"/>
      <c r="L120" s="2595"/>
      <c r="M120" s="2595"/>
      <c r="N120" s="2595"/>
      <c r="O120" s="2595"/>
      <c r="P120" s="2595"/>
      <c r="Q120" s="2595"/>
      <c r="R120" s="3873"/>
      <c r="S120" s="3874"/>
    </row>
    <row r="121" spans="1:19" s="883" customFormat="1" ht="13.5" customHeight="1">
      <c r="A121" s="3871"/>
      <c r="B121" s="3869"/>
      <c r="C121" s="2592"/>
      <c r="D121" s="2599" t="s">
        <v>892</v>
      </c>
      <c r="E121" s="2592"/>
      <c r="F121" s="3872"/>
      <c r="G121" s="79"/>
      <c r="H121" s="2594"/>
      <c r="I121" s="3861"/>
      <c r="J121" s="3865"/>
      <c r="K121" s="3566"/>
      <c r="L121" s="2595"/>
      <c r="M121" s="2595"/>
      <c r="N121" s="2595"/>
      <c r="O121" s="2595"/>
      <c r="P121" s="2595"/>
      <c r="Q121" s="2595"/>
      <c r="R121" s="3873"/>
      <c r="S121" s="3874"/>
    </row>
    <row r="122" spans="1:19" s="593" customFormat="1" ht="27" customHeight="1">
      <c r="A122" s="3868">
        <v>28</v>
      </c>
      <c r="B122" s="3869" t="s">
        <v>887</v>
      </c>
      <c r="C122" s="2592" t="s">
        <v>959</v>
      </c>
      <c r="D122" s="68" t="s">
        <v>960</v>
      </c>
      <c r="E122" s="76" t="s">
        <v>205</v>
      </c>
      <c r="F122" s="77">
        <f>SUM(F124)</f>
        <v>1</v>
      </c>
      <c r="G122" s="3615"/>
      <c r="H122" s="3558">
        <f>F122*G122</f>
        <v>0</v>
      </c>
      <c r="I122" s="3839" t="s">
        <v>112</v>
      </c>
      <c r="J122" s="3863"/>
      <c r="K122" s="3864"/>
      <c r="L122" s="3864"/>
      <c r="M122" s="3864"/>
    </row>
    <row r="123" spans="1:19" ht="27" customHeight="1">
      <c r="A123" s="2408"/>
      <c r="B123" s="2592"/>
      <c r="C123" s="2592"/>
      <c r="D123" s="3844" t="s">
        <v>930</v>
      </c>
      <c r="E123" s="2592"/>
      <c r="F123" s="3870"/>
      <c r="G123" s="78"/>
      <c r="H123" s="2594"/>
      <c r="I123" s="3847"/>
      <c r="J123" s="3865"/>
      <c r="K123" s="3825"/>
      <c r="L123" s="3825"/>
    </row>
    <row r="124" spans="1:19" s="883" customFormat="1" ht="13.5" customHeight="1">
      <c r="A124" s="3871"/>
      <c r="B124" s="3869"/>
      <c r="C124" s="2592"/>
      <c r="D124" s="2599" t="s">
        <v>891</v>
      </c>
      <c r="E124" s="2592"/>
      <c r="F124" s="3872">
        <v>1</v>
      </c>
      <c r="G124" s="79"/>
      <c r="H124" s="2594"/>
      <c r="I124" s="2594"/>
      <c r="J124" s="3865"/>
      <c r="K124" s="2373"/>
      <c r="L124" s="884"/>
      <c r="M124" s="884"/>
      <c r="N124" s="2595"/>
      <c r="O124" s="2595"/>
      <c r="P124" s="2595"/>
      <c r="Q124" s="2595"/>
      <c r="R124" s="3873"/>
      <c r="S124" s="3874"/>
    </row>
    <row r="125" spans="1:19" s="883" customFormat="1" ht="13.5" customHeight="1">
      <c r="A125" s="3871"/>
      <c r="B125" s="3869"/>
      <c r="C125" s="2592"/>
      <c r="D125" s="2599" t="s">
        <v>892</v>
      </c>
      <c r="E125" s="2592"/>
      <c r="F125" s="3872"/>
      <c r="G125" s="79"/>
      <c r="H125" s="2594"/>
      <c r="I125" s="3861"/>
      <c r="J125" s="3865"/>
      <c r="K125" s="3566"/>
      <c r="L125" s="2595"/>
      <c r="M125" s="2595"/>
      <c r="N125" s="2595"/>
      <c r="O125" s="2595"/>
      <c r="P125" s="2595"/>
      <c r="Q125" s="2595"/>
      <c r="R125" s="3873"/>
      <c r="S125" s="3874"/>
    </row>
    <row r="126" spans="1:19" s="593" customFormat="1" ht="27" customHeight="1">
      <c r="A126" s="3868">
        <v>29</v>
      </c>
      <c r="B126" s="3869" t="s">
        <v>887</v>
      </c>
      <c r="C126" s="2592" t="s">
        <v>961</v>
      </c>
      <c r="D126" s="68" t="s">
        <v>962</v>
      </c>
      <c r="E126" s="76" t="s">
        <v>205</v>
      </c>
      <c r="F126" s="77">
        <f>SUM(F128)</f>
        <v>1</v>
      </c>
      <c r="G126" s="3615"/>
      <c r="H126" s="3558">
        <f>F126*G126</f>
        <v>0</v>
      </c>
      <c r="I126" s="3839" t="s">
        <v>112</v>
      </c>
      <c r="J126" s="3863"/>
      <c r="K126" s="3864"/>
      <c r="M126" s="3864"/>
    </row>
    <row r="127" spans="1:19" ht="27" customHeight="1">
      <c r="A127" s="2408"/>
      <c r="B127" s="2592"/>
      <c r="C127" s="2592"/>
      <c r="D127" s="3844" t="s">
        <v>919</v>
      </c>
      <c r="E127" s="2592"/>
      <c r="F127" s="3870"/>
      <c r="G127" s="78"/>
      <c r="H127" s="2594"/>
      <c r="I127" s="3847"/>
      <c r="J127" s="3865"/>
      <c r="K127" s="3825"/>
    </row>
    <row r="128" spans="1:19" s="883" customFormat="1" ht="13.5" customHeight="1">
      <c r="A128" s="3871"/>
      <c r="B128" s="3869"/>
      <c r="C128" s="2592"/>
      <c r="D128" s="2599" t="s">
        <v>891</v>
      </c>
      <c r="E128" s="2592"/>
      <c r="F128" s="3872">
        <v>1</v>
      </c>
      <c r="G128" s="79"/>
      <c r="H128" s="2594"/>
      <c r="I128" s="2594"/>
      <c r="J128" s="3865"/>
      <c r="K128" s="2373"/>
      <c r="L128" s="2595"/>
      <c r="M128" s="2595"/>
      <c r="N128" s="2595"/>
      <c r="O128" s="2595"/>
      <c r="P128" s="2595"/>
      <c r="Q128" s="2595"/>
      <c r="R128" s="3873"/>
      <c r="S128" s="3874"/>
    </row>
    <row r="129" spans="1:19" s="883" customFormat="1" ht="13.5" customHeight="1">
      <c r="A129" s="3871"/>
      <c r="B129" s="3869"/>
      <c r="C129" s="2592"/>
      <c r="D129" s="2599" t="s">
        <v>892</v>
      </c>
      <c r="E129" s="2592"/>
      <c r="F129" s="3872"/>
      <c r="G129" s="79"/>
      <c r="H129" s="2594"/>
      <c r="I129" s="3861"/>
      <c r="J129" s="3865"/>
      <c r="K129" s="3566"/>
      <c r="L129" s="2595"/>
      <c r="M129" s="2595"/>
      <c r="N129" s="2595"/>
      <c r="O129" s="2595"/>
      <c r="P129" s="2595"/>
      <c r="Q129" s="2595"/>
      <c r="R129" s="3873"/>
      <c r="S129" s="3874"/>
    </row>
    <row r="130" spans="1:19" s="593" customFormat="1" ht="27" customHeight="1">
      <c r="A130" s="3868">
        <v>30</v>
      </c>
      <c r="B130" s="3869" t="s">
        <v>887</v>
      </c>
      <c r="C130" s="2592" t="s">
        <v>963</v>
      </c>
      <c r="D130" s="68" t="s">
        <v>964</v>
      </c>
      <c r="E130" s="76" t="s">
        <v>205</v>
      </c>
      <c r="F130" s="77">
        <f>SUM(F132)</f>
        <v>1</v>
      </c>
      <c r="G130" s="3615"/>
      <c r="H130" s="3558">
        <f>F130*G130</f>
        <v>0</v>
      </c>
      <c r="I130" s="3839" t="s">
        <v>112</v>
      </c>
      <c r="J130" s="3863"/>
      <c r="K130" s="3864"/>
      <c r="M130" s="3864"/>
    </row>
    <row r="131" spans="1:19" ht="27" customHeight="1">
      <c r="A131" s="2408"/>
      <c r="B131" s="2592"/>
      <c r="C131" s="2592"/>
      <c r="D131" s="3844" t="s">
        <v>919</v>
      </c>
      <c r="E131" s="2592"/>
      <c r="F131" s="3870"/>
      <c r="G131" s="78"/>
      <c r="H131" s="2594"/>
      <c r="I131" s="3847"/>
      <c r="J131" s="3865"/>
      <c r="K131" s="3825"/>
    </row>
    <row r="132" spans="1:19" s="883" customFormat="1" ht="13.5" customHeight="1">
      <c r="A132" s="3871"/>
      <c r="B132" s="3869"/>
      <c r="C132" s="2592"/>
      <c r="D132" s="2599" t="s">
        <v>891</v>
      </c>
      <c r="E132" s="2592"/>
      <c r="F132" s="3872">
        <v>1</v>
      </c>
      <c r="G132" s="79"/>
      <c r="H132" s="2594"/>
      <c r="I132" s="2594"/>
      <c r="J132" s="3865"/>
      <c r="K132" s="2373"/>
      <c r="L132" s="2595"/>
      <c r="M132" s="2595"/>
      <c r="N132" s="2595"/>
      <c r="O132" s="2595"/>
      <c r="P132" s="2595"/>
      <c r="Q132" s="2595"/>
      <c r="R132" s="3873"/>
      <c r="S132" s="3874"/>
    </row>
    <row r="133" spans="1:19" s="883" customFormat="1" ht="13.5" customHeight="1">
      <c r="A133" s="3871"/>
      <c r="B133" s="3869"/>
      <c r="C133" s="2592"/>
      <c r="D133" s="2599" t="s">
        <v>892</v>
      </c>
      <c r="E133" s="2592"/>
      <c r="F133" s="3872"/>
      <c r="G133" s="79"/>
      <c r="H133" s="2594"/>
      <c r="I133" s="3861"/>
      <c r="J133" s="3865"/>
      <c r="K133" s="3566"/>
      <c r="L133" s="2595"/>
      <c r="M133" s="2595"/>
      <c r="N133" s="2595"/>
      <c r="O133" s="2595"/>
      <c r="P133" s="2595"/>
      <c r="Q133" s="2595"/>
      <c r="R133" s="3873"/>
      <c r="S133" s="3874"/>
    </row>
    <row r="134" spans="1:19" s="593" customFormat="1" ht="27" customHeight="1">
      <c r="A134" s="3868">
        <v>31</v>
      </c>
      <c r="B134" s="3869" t="s">
        <v>887</v>
      </c>
      <c r="C134" s="2592" t="s">
        <v>965</v>
      </c>
      <c r="D134" s="68" t="s">
        <v>966</v>
      </c>
      <c r="E134" s="76" t="s">
        <v>205</v>
      </c>
      <c r="F134" s="77">
        <f>SUM(F136)</f>
        <v>1</v>
      </c>
      <c r="G134" s="3615"/>
      <c r="H134" s="3558">
        <f>F134*G134</f>
        <v>0</v>
      </c>
      <c r="I134" s="3839" t="s">
        <v>112</v>
      </c>
      <c r="J134" s="3863"/>
      <c r="K134" s="3864"/>
      <c r="L134" s="3864"/>
      <c r="M134" s="3864"/>
    </row>
    <row r="135" spans="1:19" ht="27" customHeight="1">
      <c r="A135" s="2408"/>
      <c r="B135" s="2592"/>
      <c r="C135" s="2592"/>
      <c r="D135" s="3844" t="s">
        <v>930</v>
      </c>
      <c r="E135" s="2592"/>
      <c r="F135" s="3870"/>
      <c r="G135" s="78"/>
      <c r="H135" s="2594"/>
      <c r="I135" s="3847"/>
      <c r="J135" s="3865"/>
      <c r="K135" s="3825"/>
    </row>
    <row r="136" spans="1:19" s="883" customFormat="1" ht="13.5" customHeight="1">
      <c r="A136" s="3871"/>
      <c r="B136" s="3869"/>
      <c r="C136" s="2592"/>
      <c r="D136" s="2599" t="s">
        <v>891</v>
      </c>
      <c r="E136" s="2592"/>
      <c r="F136" s="3872">
        <v>1</v>
      </c>
      <c r="G136" s="79"/>
      <c r="H136" s="2594"/>
      <c r="I136" s="2594"/>
      <c r="J136" s="3865"/>
      <c r="K136" s="2373"/>
      <c r="L136" s="2595"/>
      <c r="M136" s="2595"/>
      <c r="N136" s="2595"/>
      <c r="O136" s="2595"/>
      <c r="P136" s="2595"/>
      <c r="Q136" s="2595"/>
      <c r="R136" s="3873"/>
      <c r="S136" s="3874"/>
    </row>
    <row r="137" spans="1:19" s="883" customFormat="1" ht="13.5" customHeight="1">
      <c r="A137" s="3871"/>
      <c r="B137" s="3869"/>
      <c r="C137" s="2592"/>
      <c r="D137" s="2599" t="s">
        <v>892</v>
      </c>
      <c r="E137" s="2592"/>
      <c r="F137" s="3872"/>
      <c r="G137" s="79"/>
      <c r="H137" s="2594"/>
      <c r="I137" s="3861"/>
      <c r="J137" s="3865"/>
      <c r="K137" s="3566"/>
      <c r="L137" s="2595"/>
      <c r="M137" s="2595"/>
      <c r="N137" s="2595"/>
      <c r="O137" s="2595"/>
      <c r="P137" s="2595"/>
      <c r="Q137" s="2595"/>
      <c r="R137" s="3873"/>
      <c r="S137" s="3874"/>
    </row>
    <row r="138" spans="1:19" s="593" customFormat="1" ht="27" customHeight="1">
      <c r="A138" s="3868">
        <v>32</v>
      </c>
      <c r="B138" s="3869" t="s">
        <v>887</v>
      </c>
      <c r="C138" s="2592" t="s">
        <v>967</v>
      </c>
      <c r="D138" s="68" t="s">
        <v>968</v>
      </c>
      <c r="E138" s="76" t="s">
        <v>205</v>
      </c>
      <c r="F138" s="77">
        <f>SUM(F140)</f>
        <v>2</v>
      </c>
      <c r="G138" s="3615"/>
      <c r="H138" s="3558">
        <f>F138*G138</f>
        <v>0</v>
      </c>
      <c r="I138" s="3839" t="s">
        <v>112</v>
      </c>
      <c r="J138" s="3863"/>
      <c r="K138" s="3864"/>
      <c r="L138" s="3864"/>
      <c r="M138" s="3864"/>
    </row>
    <row r="139" spans="1:19" ht="27" customHeight="1">
      <c r="A139" s="2408"/>
      <c r="B139" s="2592"/>
      <c r="C139" s="2592"/>
      <c r="D139" s="3844" t="s">
        <v>919</v>
      </c>
      <c r="E139" s="2592"/>
      <c r="F139" s="3870"/>
      <c r="G139" s="78"/>
      <c r="H139" s="2594"/>
      <c r="I139" s="3847"/>
      <c r="J139" s="3865"/>
      <c r="K139" s="3825"/>
      <c r="L139" s="3876"/>
    </row>
    <row r="140" spans="1:19" s="883" customFormat="1" ht="13.5" customHeight="1">
      <c r="A140" s="3871"/>
      <c r="B140" s="3869"/>
      <c r="C140" s="2592"/>
      <c r="D140" s="2599" t="s">
        <v>891</v>
      </c>
      <c r="E140" s="2592"/>
      <c r="F140" s="3872">
        <v>2</v>
      </c>
      <c r="G140" s="79"/>
      <c r="H140" s="2594"/>
      <c r="I140" s="2594"/>
      <c r="J140" s="3865"/>
      <c r="K140" s="2373"/>
      <c r="L140" s="2595"/>
      <c r="M140" s="2595"/>
      <c r="N140" s="2595"/>
      <c r="O140" s="2595"/>
      <c r="P140" s="2595"/>
      <c r="Q140" s="2595"/>
      <c r="R140" s="3873"/>
      <c r="S140" s="3874"/>
    </row>
    <row r="141" spans="1:19" s="883" customFormat="1" ht="13.5" customHeight="1">
      <c r="A141" s="3871"/>
      <c r="B141" s="3869"/>
      <c r="C141" s="2592"/>
      <c r="D141" s="2599" t="s">
        <v>892</v>
      </c>
      <c r="E141" s="2592"/>
      <c r="F141" s="3872"/>
      <c r="G141" s="79"/>
      <c r="H141" s="2594"/>
      <c r="I141" s="3861"/>
      <c r="J141" s="3865"/>
      <c r="K141" s="3566"/>
      <c r="L141" s="2595"/>
      <c r="M141" s="2595"/>
      <c r="N141" s="2595"/>
      <c r="O141" s="2595"/>
      <c r="P141" s="2595"/>
      <c r="Q141" s="2595"/>
      <c r="R141" s="3873"/>
      <c r="S141" s="3874"/>
    </row>
    <row r="142" spans="1:19" s="593" customFormat="1" ht="27" customHeight="1">
      <c r="A142" s="3868">
        <v>33</v>
      </c>
      <c r="B142" s="3869" t="s">
        <v>887</v>
      </c>
      <c r="C142" s="2592" t="s">
        <v>969</v>
      </c>
      <c r="D142" s="68" t="s">
        <v>970</v>
      </c>
      <c r="E142" s="76" t="s">
        <v>205</v>
      </c>
      <c r="F142" s="77">
        <f>SUM(F144)</f>
        <v>1</v>
      </c>
      <c r="G142" s="3615"/>
      <c r="H142" s="3558">
        <f>F142*G142</f>
        <v>0</v>
      </c>
      <c r="I142" s="3839" t="s">
        <v>112</v>
      </c>
      <c r="J142" s="3863"/>
      <c r="K142" s="3864"/>
      <c r="L142" s="3864"/>
      <c r="M142" s="3864"/>
    </row>
    <row r="143" spans="1:19" ht="27" customHeight="1">
      <c r="A143" s="2408"/>
      <c r="B143" s="2592"/>
      <c r="C143" s="2592"/>
      <c r="D143" s="3844" t="s">
        <v>956</v>
      </c>
      <c r="E143" s="2592"/>
      <c r="F143" s="3870"/>
      <c r="G143" s="78"/>
      <c r="H143" s="2594"/>
      <c r="I143" s="3847"/>
      <c r="J143" s="3865"/>
      <c r="K143" s="3825"/>
      <c r="L143" s="3876"/>
      <c r="M143" s="2595"/>
    </row>
    <row r="144" spans="1:19" s="883" customFormat="1" ht="13.5" customHeight="1">
      <c r="A144" s="3871"/>
      <c r="B144" s="3869"/>
      <c r="C144" s="2592"/>
      <c r="D144" s="2599" t="s">
        <v>891</v>
      </c>
      <c r="E144" s="2592"/>
      <c r="F144" s="3872">
        <v>1</v>
      </c>
      <c r="G144" s="79"/>
      <c r="H144" s="2594"/>
      <c r="I144" s="2594"/>
      <c r="J144" s="3865"/>
      <c r="K144" s="2373"/>
      <c r="L144" s="2595"/>
      <c r="M144" s="2595"/>
      <c r="N144" s="2595"/>
      <c r="O144" s="2595"/>
      <c r="P144" s="2595"/>
      <c r="Q144" s="2595"/>
      <c r="R144" s="3873"/>
      <c r="S144" s="3874"/>
    </row>
    <row r="145" spans="1:19" s="883" customFormat="1" ht="13.5" customHeight="1">
      <c r="A145" s="3871"/>
      <c r="B145" s="3869"/>
      <c r="C145" s="2592"/>
      <c r="D145" s="2599" t="s">
        <v>892</v>
      </c>
      <c r="E145" s="2592"/>
      <c r="F145" s="3872"/>
      <c r="G145" s="79"/>
      <c r="H145" s="2594"/>
      <c r="I145" s="3861"/>
      <c r="J145" s="3865"/>
      <c r="K145" s="3566"/>
      <c r="L145" s="2595"/>
      <c r="M145" s="2595"/>
      <c r="N145" s="2595"/>
      <c r="O145" s="2595"/>
      <c r="P145" s="2595"/>
      <c r="Q145" s="2595"/>
      <c r="R145" s="3873"/>
      <c r="S145" s="3874"/>
    </row>
    <row r="146" spans="1:19" s="593" customFormat="1" ht="27" customHeight="1">
      <c r="A146" s="3868">
        <v>34</v>
      </c>
      <c r="B146" s="3869" t="s">
        <v>887</v>
      </c>
      <c r="C146" s="2592" t="s">
        <v>971</v>
      </c>
      <c r="D146" s="68" t="s">
        <v>972</v>
      </c>
      <c r="E146" s="76" t="s">
        <v>205</v>
      </c>
      <c r="F146" s="77">
        <f>SUM(F148)</f>
        <v>1</v>
      </c>
      <c r="G146" s="3615"/>
      <c r="H146" s="3558">
        <f>F146*G146</f>
        <v>0</v>
      </c>
      <c r="I146" s="3839" t="s">
        <v>112</v>
      </c>
      <c r="J146" s="3863"/>
      <c r="K146" s="3864"/>
      <c r="L146" s="3864"/>
      <c r="M146" s="3864"/>
    </row>
    <row r="147" spans="1:19" ht="27" customHeight="1">
      <c r="A147" s="2408"/>
      <c r="B147" s="2592"/>
      <c r="C147" s="2592"/>
      <c r="D147" s="3844" t="s">
        <v>930</v>
      </c>
      <c r="E147" s="2592"/>
      <c r="F147" s="3870"/>
      <c r="G147" s="78"/>
      <c r="H147" s="2594"/>
      <c r="I147" s="3847"/>
      <c r="J147" s="3865"/>
      <c r="K147" s="3825"/>
    </row>
    <row r="148" spans="1:19" s="883" customFormat="1" ht="13.5" customHeight="1">
      <c r="A148" s="3871"/>
      <c r="B148" s="3869"/>
      <c r="C148" s="2592"/>
      <c r="D148" s="2599" t="s">
        <v>891</v>
      </c>
      <c r="E148" s="2592"/>
      <c r="F148" s="3872">
        <v>1</v>
      </c>
      <c r="G148" s="79"/>
      <c r="H148" s="2594"/>
      <c r="I148" s="2594"/>
      <c r="J148" s="3865"/>
      <c r="K148" s="2373"/>
      <c r="L148" s="2595"/>
      <c r="M148" s="2595"/>
      <c r="N148" s="2595"/>
      <c r="O148" s="2595"/>
      <c r="P148" s="2595"/>
      <c r="Q148" s="2595"/>
      <c r="R148" s="3873"/>
      <c r="S148" s="3874"/>
    </row>
    <row r="149" spans="1:19" s="883" customFormat="1" ht="13.5" customHeight="1">
      <c r="A149" s="3871"/>
      <c r="B149" s="3869"/>
      <c r="C149" s="2592"/>
      <c r="D149" s="2599" t="s">
        <v>892</v>
      </c>
      <c r="E149" s="2592"/>
      <c r="F149" s="3872"/>
      <c r="G149" s="79"/>
      <c r="H149" s="2594"/>
      <c r="I149" s="3861"/>
      <c r="J149" s="3865"/>
      <c r="K149" s="3566"/>
      <c r="L149" s="2595"/>
      <c r="M149" s="2595"/>
      <c r="N149" s="2595"/>
      <c r="O149" s="2595"/>
      <c r="P149" s="2595"/>
      <c r="Q149" s="2595"/>
      <c r="R149" s="3873"/>
      <c r="S149" s="3874"/>
    </row>
    <row r="150" spans="1:19" s="593" customFormat="1" ht="27" customHeight="1">
      <c r="A150" s="3868">
        <v>35</v>
      </c>
      <c r="B150" s="3869" t="s">
        <v>887</v>
      </c>
      <c r="C150" s="2592" t="s">
        <v>973</v>
      </c>
      <c r="D150" s="68" t="s">
        <v>974</v>
      </c>
      <c r="E150" s="76" t="s">
        <v>205</v>
      </c>
      <c r="F150" s="77">
        <f>SUM(F152)</f>
        <v>1</v>
      </c>
      <c r="G150" s="3615"/>
      <c r="H150" s="3558">
        <f>F150*G150</f>
        <v>0</v>
      </c>
      <c r="I150" s="3839" t="s">
        <v>112</v>
      </c>
      <c r="J150" s="3863"/>
      <c r="K150" s="3864"/>
      <c r="L150" s="3864"/>
      <c r="M150" s="3864"/>
    </row>
    <row r="151" spans="1:19" ht="27" customHeight="1">
      <c r="A151" s="2408"/>
      <c r="B151" s="2592"/>
      <c r="C151" s="2592"/>
      <c r="D151" s="3844" t="s">
        <v>975</v>
      </c>
      <c r="E151" s="2592"/>
      <c r="F151" s="3870"/>
      <c r="G151" s="78"/>
      <c r="H151" s="2594"/>
      <c r="I151" s="3847"/>
      <c r="J151" s="3865"/>
      <c r="K151" s="3825"/>
    </row>
    <row r="152" spans="1:19" s="883" customFormat="1" ht="13.5" customHeight="1">
      <c r="A152" s="3871"/>
      <c r="B152" s="3869"/>
      <c r="C152" s="2592"/>
      <c r="D152" s="2599" t="s">
        <v>891</v>
      </c>
      <c r="E152" s="2592"/>
      <c r="F152" s="3872">
        <v>1</v>
      </c>
      <c r="G152" s="79"/>
      <c r="H152" s="2594"/>
      <c r="I152" s="2594"/>
      <c r="J152" s="3865"/>
      <c r="K152" s="2373"/>
      <c r="L152" s="2595"/>
      <c r="M152" s="2595"/>
      <c r="N152" s="2595"/>
      <c r="O152" s="2595"/>
      <c r="P152" s="2595"/>
      <c r="Q152" s="2595"/>
      <c r="R152" s="3873"/>
      <c r="S152" s="3874"/>
    </row>
    <row r="153" spans="1:19" s="883" customFormat="1" ht="13.5" customHeight="1">
      <c r="A153" s="3871"/>
      <c r="B153" s="3869"/>
      <c r="C153" s="2592"/>
      <c r="D153" s="2599" t="s">
        <v>892</v>
      </c>
      <c r="E153" s="2592"/>
      <c r="F153" s="3872"/>
      <c r="G153" s="79"/>
      <c r="H153" s="2594"/>
      <c r="I153" s="3861"/>
      <c r="J153" s="3865"/>
      <c r="K153" s="3566"/>
      <c r="L153" s="2595"/>
      <c r="M153" s="2595"/>
      <c r="N153" s="2595"/>
      <c r="O153" s="2595"/>
      <c r="P153" s="2595"/>
      <c r="Q153" s="2595"/>
      <c r="R153" s="3873"/>
      <c r="S153" s="3874"/>
    </row>
    <row r="154" spans="1:19" s="593" customFormat="1" ht="27" customHeight="1">
      <c r="A154" s="3868">
        <v>36</v>
      </c>
      <c r="B154" s="3869" t="s">
        <v>887</v>
      </c>
      <c r="C154" s="2592" t="s">
        <v>976</v>
      </c>
      <c r="D154" s="68" t="s">
        <v>977</v>
      </c>
      <c r="E154" s="76" t="s">
        <v>205</v>
      </c>
      <c r="F154" s="77">
        <f>SUM(F156)</f>
        <v>1</v>
      </c>
      <c r="G154" s="3615"/>
      <c r="H154" s="3558">
        <f>F154*G154</f>
        <v>0</v>
      </c>
      <c r="I154" s="3839" t="s">
        <v>112</v>
      </c>
      <c r="J154" s="3863"/>
      <c r="K154" s="3864"/>
      <c r="L154" s="3864"/>
      <c r="M154" s="3864"/>
    </row>
    <row r="155" spans="1:19" ht="27" customHeight="1">
      <c r="A155" s="2408"/>
      <c r="B155" s="2592"/>
      <c r="C155" s="2592"/>
      <c r="D155" s="3844" t="s">
        <v>978</v>
      </c>
      <c r="E155" s="2592"/>
      <c r="F155" s="3870"/>
      <c r="G155" s="78"/>
      <c r="H155" s="2594"/>
      <c r="I155" s="3847"/>
      <c r="J155" s="3865"/>
      <c r="K155" s="3825"/>
    </row>
    <row r="156" spans="1:19" s="883" customFormat="1" ht="13.5" customHeight="1">
      <c r="A156" s="3871"/>
      <c r="B156" s="3869"/>
      <c r="C156" s="2592"/>
      <c r="D156" s="2599" t="s">
        <v>891</v>
      </c>
      <c r="E156" s="2592"/>
      <c r="F156" s="3872">
        <v>1</v>
      </c>
      <c r="G156" s="79"/>
      <c r="H156" s="2594"/>
      <c r="I156" s="2594"/>
      <c r="J156" s="3865"/>
      <c r="K156" s="2373"/>
      <c r="L156" s="2595"/>
      <c r="M156" s="2595"/>
      <c r="N156" s="2595"/>
      <c r="O156" s="2595"/>
      <c r="P156" s="2595"/>
      <c r="Q156" s="2595"/>
      <c r="R156" s="3873"/>
      <c r="S156" s="3874"/>
    </row>
    <row r="157" spans="1:19" s="883" customFormat="1" ht="13.5" customHeight="1">
      <c r="A157" s="3871"/>
      <c r="B157" s="3869"/>
      <c r="C157" s="2592"/>
      <c r="D157" s="2599" t="s">
        <v>892</v>
      </c>
      <c r="E157" s="2592"/>
      <c r="F157" s="3872"/>
      <c r="G157" s="79"/>
      <c r="H157" s="2594"/>
      <c r="I157" s="3861"/>
      <c r="J157" s="3865"/>
      <c r="K157" s="3566"/>
      <c r="L157" s="2595"/>
      <c r="M157" s="2595"/>
      <c r="N157" s="2595"/>
      <c r="O157" s="2595"/>
      <c r="P157" s="2595"/>
      <c r="Q157" s="2595"/>
      <c r="R157" s="3873"/>
      <c r="S157" s="3874"/>
    </row>
    <row r="158" spans="1:19" s="593" customFormat="1" ht="27" customHeight="1">
      <c r="A158" s="3868">
        <v>37</v>
      </c>
      <c r="B158" s="3869" t="s">
        <v>887</v>
      </c>
      <c r="C158" s="2592" t="s">
        <v>979</v>
      </c>
      <c r="D158" s="68" t="s">
        <v>980</v>
      </c>
      <c r="E158" s="76" t="s">
        <v>205</v>
      </c>
      <c r="F158" s="77">
        <f>SUM(F160)</f>
        <v>1</v>
      </c>
      <c r="G158" s="3615"/>
      <c r="H158" s="3558">
        <f>F158*G158</f>
        <v>0</v>
      </c>
      <c r="I158" s="3839" t="s">
        <v>112</v>
      </c>
      <c r="J158" s="3863"/>
      <c r="K158" s="3864"/>
      <c r="L158" s="3864"/>
      <c r="M158" s="3864"/>
    </row>
    <row r="159" spans="1:19" ht="27" customHeight="1">
      <c r="A159" s="2408"/>
      <c r="B159" s="2592"/>
      <c r="C159" s="2592"/>
      <c r="D159" s="3844" t="s">
        <v>981</v>
      </c>
      <c r="E159" s="2592"/>
      <c r="F159" s="3870"/>
      <c r="G159" s="78"/>
      <c r="H159" s="2594"/>
      <c r="I159" s="3847"/>
      <c r="J159" s="3865"/>
      <c r="K159" s="3825"/>
    </row>
    <row r="160" spans="1:19" s="883" customFormat="1" ht="13.5" customHeight="1">
      <c r="A160" s="3871"/>
      <c r="B160" s="3869"/>
      <c r="C160" s="2592"/>
      <c r="D160" s="2599" t="s">
        <v>891</v>
      </c>
      <c r="E160" s="2592"/>
      <c r="F160" s="3872">
        <v>1</v>
      </c>
      <c r="G160" s="79"/>
      <c r="H160" s="2594"/>
      <c r="I160" s="2594"/>
      <c r="J160" s="3865"/>
      <c r="K160" s="2373"/>
      <c r="L160" s="2595"/>
      <c r="M160" s="2595"/>
      <c r="N160" s="2595"/>
      <c r="O160" s="2595"/>
      <c r="P160" s="2595"/>
      <c r="Q160" s="2595"/>
      <c r="R160" s="3873"/>
      <c r="S160" s="3874"/>
    </row>
    <row r="161" spans="1:19" s="883" customFormat="1" ht="13.5" customHeight="1">
      <c r="A161" s="3871"/>
      <c r="B161" s="3869"/>
      <c r="C161" s="2592"/>
      <c r="D161" s="2599" t="s">
        <v>892</v>
      </c>
      <c r="E161" s="2592"/>
      <c r="F161" s="3872"/>
      <c r="G161" s="79"/>
      <c r="H161" s="2594"/>
      <c r="I161" s="3861"/>
      <c r="J161" s="3865"/>
      <c r="K161" s="3566"/>
      <c r="L161" s="2595"/>
      <c r="M161" s="2595"/>
      <c r="N161" s="2595"/>
      <c r="O161" s="2595"/>
      <c r="P161" s="2595"/>
      <c r="Q161" s="2595"/>
      <c r="R161" s="3873"/>
      <c r="S161" s="3874"/>
    </row>
    <row r="162" spans="1:19" s="593" customFormat="1" ht="27" customHeight="1">
      <c r="A162" s="3868">
        <v>38</v>
      </c>
      <c r="B162" s="3869" t="s">
        <v>887</v>
      </c>
      <c r="C162" s="2592" t="s">
        <v>982</v>
      </c>
      <c r="D162" s="68" t="s">
        <v>983</v>
      </c>
      <c r="E162" s="76" t="s">
        <v>205</v>
      </c>
      <c r="F162" s="77">
        <f>SUM(F164)</f>
        <v>1</v>
      </c>
      <c r="G162" s="3615"/>
      <c r="H162" s="3558">
        <f>F162*G162</f>
        <v>0</v>
      </c>
      <c r="I162" s="3839" t="s">
        <v>112</v>
      </c>
      <c r="J162" s="3863"/>
      <c r="K162" s="3864"/>
      <c r="L162" s="3864"/>
      <c r="M162" s="3864"/>
    </row>
    <row r="163" spans="1:19" ht="27" customHeight="1">
      <c r="A163" s="2408"/>
      <c r="B163" s="2592"/>
      <c r="C163" s="2592"/>
      <c r="D163" s="3844" t="s">
        <v>930</v>
      </c>
      <c r="E163" s="2592"/>
      <c r="F163" s="3870"/>
      <c r="G163" s="78"/>
      <c r="H163" s="2594"/>
      <c r="I163" s="3847"/>
      <c r="J163" s="3865"/>
      <c r="K163" s="3825"/>
    </row>
    <row r="164" spans="1:19" s="883" customFormat="1" ht="13.5" customHeight="1">
      <c r="A164" s="3871"/>
      <c r="B164" s="3869"/>
      <c r="C164" s="2592"/>
      <c r="D164" s="2599" t="s">
        <v>891</v>
      </c>
      <c r="E164" s="2592"/>
      <c r="F164" s="3872">
        <v>1</v>
      </c>
      <c r="G164" s="79"/>
      <c r="H164" s="2594"/>
      <c r="I164" s="2594"/>
      <c r="J164" s="3865"/>
      <c r="K164" s="2373"/>
      <c r="L164" s="2595"/>
      <c r="M164" s="2595"/>
      <c r="N164" s="2595"/>
      <c r="O164" s="2595"/>
      <c r="P164" s="2595"/>
      <c r="Q164" s="2595"/>
      <c r="R164" s="3873"/>
      <c r="S164" s="3874"/>
    </row>
    <row r="165" spans="1:19" s="883" customFormat="1" ht="13.5" customHeight="1">
      <c r="A165" s="3871"/>
      <c r="B165" s="3869"/>
      <c r="C165" s="2592"/>
      <c r="D165" s="2599" t="s">
        <v>892</v>
      </c>
      <c r="E165" s="2592"/>
      <c r="F165" s="3872"/>
      <c r="G165" s="79"/>
      <c r="H165" s="2594"/>
      <c r="I165" s="3861"/>
      <c r="J165" s="3865"/>
      <c r="K165" s="3566"/>
      <c r="L165" s="2595"/>
      <c r="M165" s="2595"/>
      <c r="N165" s="2595"/>
      <c r="O165" s="2595"/>
      <c r="P165" s="2595"/>
      <c r="Q165" s="2595"/>
      <c r="R165" s="3873"/>
      <c r="S165" s="3874"/>
    </row>
    <row r="166" spans="1:19" s="593" customFormat="1" ht="27" customHeight="1">
      <c r="A166" s="3868">
        <v>39</v>
      </c>
      <c r="B166" s="3869" t="s">
        <v>887</v>
      </c>
      <c r="C166" s="2592" t="s">
        <v>984</v>
      </c>
      <c r="D166" s="68" t="s">
        <v>985</v>
      </c>
      <c r="E166" s="76" t="s">
        <v>205</v>
      </c>
      <c r="F166" s="77">
        <f>SUM(F168)</f>
        <v>1</v>
      </c>
      <c r="G166" s="3615"/>
      <c r="H166" s="3558">
        <f>F166*G166</f>
        <v>0</v>
      </c>
      <c r="I166" s="3839" t="s">
        <v>112</v>
      </c>
      <c r="J166" s="3863"/>
      <c r="K166" s="3864"/>
      <c r="L166" s="3864"/>
      <c r="M166" s="3864"/>
    </row>
    <row r="167" spans="1:19" ht="27" customHeight="1">
      <c r="A167" s="2408"/>
      <c r="B167" s="2592"/>
      <c r="C167" s="2592"/>
      <c r="D167" s="3844" t="s">
        <v>919</v>
      </c>
      <c r="E167" s="2592"/>
      <c r="F167" s="3870"/>
      <c r="G167" s="78"/>
      <c r="H167" s="2594"/>
      <c r="I167" s="3847"/>
      <c r="J167" s="3865"/>
      <c r="K167" s="3825"/>
    </row>
    <row r="168" spans="1:19" s="883" customFormat="1" ht="13.5" customHeight="1">
      <c r="A168" s="3871"/>
      <c r="B168" s="3869"/>
      <c r="C168" s="2592"/>
      <c r="D168" s="2599" t="s">
        <v>891</v>
      </c>
      <c r="E168" s="2592"/>
      <c r="F168" s="3872">
        <v>1</v>
      </c>
      <c r="G168" s="79"/>
      <c r="H168" s="2594"/>
      <c r="I168" s="2594"/>
      <c r="J168" s="3865"/>
      <c r="K168" s="2373"/>
      <c r="L168" s="2595"/>
      <c r="M168" s="2595"/>
      <c r="N168" s="2595"/>
      <c r="O168" s="2595"/>
      <c r="P168" s="2595"/>
      <c r="Q168" s="2595"/>
      <c r="R168" s="3873"/>
      <c r="S168" s="3874"/>
    </row>
    <row r="169" spans="1:19" s="883" customFormat="1" ht="13.5" customHeight="1">
      <c r="A169" s="3871"/>
      <c r="B169" s="3869"/>
      <c r="C169" s="2592"/>
      <c r="D169" s="2599" t="s">
        <v>892</v>
      </c>
      <c r="E169" s="2592"/>
      <c r="F169" s="3872"/>
      <c r="G169" s="79"/>
      <c r="H169" s="2594"/>
      <c r="I169" s="3861"/>
      <c r="J169" s="3865"/>
      <c r="K169" s="3566"/>
      <c r="L169" s="2595"/>
      <c r="M169" s="2595"/>
      <c r="N169" s="2595"/>
      <c r="O169" s="2595"/>
      <c r="P169" s="2595"/>
      <c r="Q169" s="2595"/>
      <c r="R169" s="3873"/>
      <c r="S169" s="3874"/>
    </row>
    <row r="170" spans="1:19" s="593" customFormat="1" ht="27" customHeight="1">
      <c r="A170" s="3868">
        <v>40</v>
      </c>
      <c r="B170" s="3869" t="s">
        <v>887</v>
      </c>
      <c r="C170" s="2592" t="s">
        <v>986</v>
      </c>
      <c r="D170" s="68" t="s">
        <v>987</v>
      </c>
      <c r="E170" s="76" t="s">
        <v>205</v>
      </c>
      <c r="F170" s="77">
        <f>SUM(F172)</f>
        <v>1</v>
      </c>
      <c r="G170" s="3615"/>
      <c r="H170" s="3558">
        <f>F170*G170</f>
        <v>0</v>
      </c>
      <c r="I170" s="3839" t="s">
        <v>112</v>
      </c>
      <c r="J170" s="3863"/>
      <c r="K170" s="3864"/>
      <c r="L170" s="3864"/>
      <c r="M170" s="3864"/>
    </row>
    <row r="171" spans="1:19" ht="27" customHeight="1">
      <c r="A171" s="2408"/>
      <c r="B171" s="2592"/>
      <c r="C171" s="2592"/>
      <c r="D171" s="3844" t="s">
        <v>919</v>
      </c>
      <c r="E171" s="2592"/>
      <c r="F171" s="3870"/>
      <c r="G171" s="78"/>
      <c r="H171" s="2594"/>
      <c r="I171" s="3847"/>
      <c r="J171" s="3865"/>
      <c r="K171" s="3825"/>
    </row>
    <row r="172" spans="1:19" s="883" customFormat="1" ht="13.5" customHeight="1">
      <c r="A172" s="3871"/>
      <c r="B172" s="3869"/>
      <c r="C172" s="2592"/>
      <c r="D172" s="2599" t="s">
        <v>891</v>
      </c>
      <c r="E172" s="2592"/>
      <c r="F172" s="3872">
        <v>1</v>
      </c>
      <c r="G172" s="79"/>
      <c r="H172" s="2594"/>
      <c r="I172" s="2594"/>
      <c r="J172" s="3865"/>
      <c r="K172" s="2373"/>
      <c r="L172" s="2595"/>
      <c r="M172" s="2595"/>
      <c r="N172" s="2595"/>
      <c r="O172" s="2595"/>
      <c r="P172" s="2595"/>
      <c r="Q172" s="2595"/>
      <c r="R172" s="3873"/>
      <c r="S172" s="3874"/>
    </row>
    <row r="173" spans="1:19" s="883" customFormat="1" ht="13.5" customHeight="1">
      <c r="A173" s="3871"/>
      <c r="B173" s="3869"/>
      <c r="C173" s="2592"/>
      <c r="D173" s="2599" t="s">
        <v>892</v>
      </c>
      <c r="E173" s="2592"/>
      <c r="F173" s="3872"/>
      <c r="G173" s="79"/>
      <c r="H173" s="2594"/>
      <c r="I173" s="3861"/>
      <c r="J173" s="3865"/>
      <c r="K173" s="3566"/>
      <c r="L173" s="2595"/>
      <c r="M173" s="2595"/>
      <c r="N173" s="2595"/>
      <c r="O173" s="2595"/>
      <c r="P173" s="2595"/>
      <c r="Q173" s="2595"/>
      <c r="R173" s="3873"/>
      <c r="S173" s="3874"/>
    </row>
    <row r="174" spans="1:19" s="593" customFormat="1" ht="27" customHeight="1">
      <c r="A174" s="3868">
        <v>41</v>
      </c>
      <c r="B174" s="3869" t="s">
        <v>887</v>
      </c>
      <c r="C174" s="2592" t="s">
        <v>988</v>
      </c>
      <c r="D174" s="68" t="s">
        <v>989</v>
      </c>
      <c r="E174" s="76" t="s">
        <v>205</v>
      </c>
      <c r="F174" s="77">
        <f>SUM(F176)</f>
        <v>1</v>
      </c>
      <c r="G174" s="3615"/>
      <c r="H174" s="3558">
        <f>F174*G174</f>
        <v>0</v>
      </c>
      <c r="I174" s="3839" t="s">
        <v>112</v>
      </c>
      <c r="J174" s="3863"/>
      <c r="K174" s="3864"/>
      <c r="L174" s="3864"/>
      <c r="M174" s="3864"/>
    </row>
    <row r="175" spans="1:19" ht="27" customHeight="1">
      <c r="A175" s="2408"/>
      <c r="B175" s="2592"/>
      <c r="C175" s="2592"/>
      <c r="D175" s="3844" t="s">
        <v>930</v>
      </c>
      <c r="E175" s="2592"/>
      <c r="F175" s="3870"/>
      <c r="G175" s="78"/>
      <c r="H175" s="2594"/>
      <c r="I175" s="3847"/>
      <c r="J175" s="3865"/>
      <c r="K175" s="3825"/>
    </row>
    <row r="176" spans="1:19" s="883" customFormat="1" ht="13.5" customHeight="1">
      <c r="A176" s="3871"/>
      <c r="B176" s="3869"/>
      <c r="C176" s="2592"/>
      <c r="D176" s="2599" t="s">
        <v>891</v>
      </c>
      <c r="E176" s="2592"/>
      <c r="F176" s="3872">
        <v>1</v>
      </c>
      <c r="G176" s="79"/>
      <c r="H176" s="2594"/>
      <c r="I176" s="2594"/>
      <c r="J176" s="3865"/>
      <c r="K176" s="2373"/>
      <c r="L176" s="2595"/>
      <c r="M176" s="2595"/>
      <c r="N176" s="2595"/>
      <c r="O176" s="2595"/>
      <c r="P176" s="2595"/>
      <c r="Q176" s="2595"/>
      <c r="R176" s="3873"/>
      <c r="S176" s="3874"/>
    </row>
    <row r="177" spans="1:19" s="883" customFormat="1" ht="13.5" customHeight="1">
      <c r="A177" s="3871"/>
      <c r="B177" s="3869"/>
      <c r="C177" s="2592"/>
      <c r="D177" s="2599" t="s">
        <v>892</v>
      </c>
      <c r="E177" s="2592"/>
      <c r="F177" s="3872"/>
      <c r="G177" s="79"/>
      <c r="H177" s="2594"/>
      <c r="I177" s="3861"/>
      <c r="J177" s="3865"/>
      <c r="K177" s="3566"/>
      <c r="L177" s="2595"/>
      <c r="M177" s="2595"/>
      <c r="N177" s="2595"/>
      <c r="O177" s="2595"/>
      <c r="P177" s="2595"/>
      <c r="Q177" s="2595"/>
      <c r="R177" s="3873"/>
      <c r="S177" s="3874"/>
    </row>
    <row r="178" spans="1:19" s="593" customFormat="1" ht="27" customHeight="1">
      <c r="A178" s="3868">
        <v>42</v>
      </c>
      <c r="B178" s="3869" t="s">
        <v>887</v>
      </c>
      <c r="C178" s="2592" t="s">
        <v>990</v>
      </c>
      <c r="D178" s="68" t="s">
        <v>991</v>
      </c>
      <c r="E178" s="76" t="s">
        <v>205</v>
      </c>
      <c r="F178" s="77">
        <f>SUM(F180)</f>
        <v>1</v>
      </c>
      <c r="G178" s="3615"/>
      <c r="H178" s="3558">
        <f>F178*G178</f>
        <v>0</v>
      </c>
      <c r="I178" s="3839" t="s">
        <v>112</v>
      </c>
      <c r="J178" s="3863"/>
      <c r="K178" s="3864"/>
      <c r="L178" s="3864"/>
      <c r="M178" s="3864"/>
    </row>
    <row r="179" spans="1:19" ht="27" customHeight="1">
      <c r="A179" s="2408"/>
      <c r="B179" s="2592"/>
      <c r="C179" s="2592"/>
      <c r="D179" s="3844" t="s">
        <v>919</v>
      </c>
      <c r="E179" s="2592"/>
      <c r="F179" s="3870"/>
      <c r="G179" s="78"/>
      <c r="H179" s="2594"/>
      <c r="I179" s="3847"/>
      <c r="J179" s="3865"/>
      <c r="K179" s="3825"/>
    </row>
    <row r="180" spans="1:19" s="883" customFormat="1" ht="13.5" customHeight="1">
      <c r="A180" s="3871"/>
      <c r="B180" s="3869"/>
      <c r="C180" s="2592"/>
      <c r="D180" s="2599" t="s">
        <v>891</v>
      </c>
      <c r="E180" s="2592"/>
      <c r="F180" s="3872">
        <v>1</v>
      </c>
      <c r="G180" s="79"/>
      <c r="H180" s="2594"/>
      <c r="I180" s="2594"/>
      <c r="J180" s="3865"/>
      <c r="K180" s="2373"/>
      <c r="L180" s="2595"/>
      <c r="M180" s="2595"/>
      <c r="N180" s="2595"/>
      <c r="O180" s="2595"/>
      <c r="P180" s="2595"/>
      <c r="Q180" s="2595"/>
      <c r="R180" s="3873"/>
      <c r="S180" s="3874"/>
    </row>
    <row r="181" spans="1:19" s="883" customFormat="1" ht="13.5" customHeight="1">
      <c r="A181" s="3871"/>
      <c r="B181" s="3869"/>
      <c r="C181" s="2592"/>
      <c r="D181" s="2599" t="s">
        <v>892</v>
      </c>
      <c r="E181" s="2592"/>
      <c r="F181" s="3872"/>
      <c r="G181" s="79"/>
      <c r="H181" s="2594"/>
      <c r="I181" s="3861"/>
      <c r="J181" s="3865"/>
      <c r="K181" s="3566"/>
      <c r="L181" s="2595"/>
      <c r="M181" s="2595"/>
      <c r="N181" s="2595"/>
      <c r="O181" s="2595"/>
      <c r="P181" s="2595"/>
      <c r="Q181" s="2595"/>
      <c r="R181" s="3873"/>
      <c r="S181" s="3874"/>
    </row>
    <row r="182" spans="1:19" s="593" customFormat="1" ht="27" customHeight="1">
      <c r="A182" s="3868">
        <v>43</v>
      </c>
      <c r="B182" s="3869" t="s">
        <v>887</v>
      </c>
      <c r="C182" s="2592" t="s">
        <v>992</v>
      </c>
      <c r="D182" s="68" t="s">
        <v>993</v>
      </c>
      <c r="E182" s="76" t="s">
        <v>205</v>
      </c>
      <c r="F182" s="77">
        <f>SUM(F184)</f>
        <v>1</v>
      </c>
      <c r="G182" s="3615"/>
      <c r="H182" s="3558">
        <f>F182*G182</f>
        <v>0</v>
      </c>
      <c r="I182" s="3839" t="s">
        <v>112</v>
      </c>
      <c r="J182" s="3863"/>
      <c r="K182" s="3864"/>
      <c r="L182" s="3864"/>
      <c r="M182" s="3864"/>
    </row>
    <row r="183" spans="1:19" ht="27" customHeight="1">
      <c r="A183" s="2408"/>
      <c r="B183" s="2592"/>
      <c r="C183" s="2592"/>
      <c r="D183" s="3844" t="s">
        <v>919</v>
      </c>
      <c r="E183" s="2592"/>
      <c r="F183" s="3870"/>
      <c r="G183" s="78"/>
      <c r="H183" s="2594"/>
      <c r="I183" s="3847"/>
      <c r="J183" s="3865"/>
      <c r="K183" s="3825"/>
    </row>
    <row r="184" spans="1:19" s="883" customFormat="1" ht="13.5" customHeight="1">
      <c r="A184" s="3871"/>
      <c r="B184" s="3869"/>
      <c r="C184" s="2592"/>
      <c r="D184" s="2599" t="s">
        <v>891</v>
      </c>
      <c r="E184" s="2592"/>
      <c r="F184" s="3872">
        <v>1</v>
      </c>
      <c r="G184" s="79"/>
      <c r="H184" s="2594"/>
      <c r="I184" s="2594"/>
      <c r="J184" s="3865"/>
      <c r="K184" s="2373"/>
      <c r="L184" s="2595"/>
      <c r="M184" s="2595"/>
      <c r="N184" s="2595"/>
      <c r="O184" s="2595"/>
      <c r="P184" s="2595"/>
      <c r="Q184" s="2595"/>
      <c r="R184" s="3873"/>
      <c r="S184" s="3874"/>
    </row>
    <row r="185" spans="1:19" s="883" customFormat="1" ht="13.5" customHeight="1">
      <c r="A185" s="3871"/>
      <c r="B185" s="3869"/>
      <c r="C185" s="2592"/>
      <c r="D185" s="2599" t="s">
        <v>892</v>
      </c>
      <c r="E185" s="2592"/>
      <c r="F185" s="3872"/>
      <c r="G185" s="79"/>
      <c r="H185" s="2594"/>
      <c r="I185" s="3861"/>
      <c r="J185" s="3865"/>
      <c r="K185" s="3566"/>
      <c r="L185" s="2595"/>
      <c r="M185" s="2595"/>
      <c r="N185" s="2595"/>
      <c r="O185" s="2595"/>
      <c r="P185" s="2595"/>
      <c r="Q185" s="2595"/>
      <c r="R185" s="3873"/>
      <c r="S185" s="3874"/>
    </row>
    <row r="186" spans="1:19" s="593" customFormat="1" ht="27" customHeight="1">
      <c r="A186" s="3868">
        <v>44</v>
      </c>
      <c r="B186" s="3869" t="s">
        <v>887</v>
      </c>
      <c r="C186" s="2592" t="s">
        <v>994</v>
      </c>
      <c r="D186" s="68" t="s">
        <v>995</v>
      </c>
      <c r="E186" s="76" t="s">
        <v>205</v>
      </c>
      <c r="F186" s="77">
        <f>SUM(F188)</f>
        <v>1</v>
      </c>
      <c r="G186" s="3615"/>
      <c r="H186" s="3558">
        <f>F186*G186</f>
        <v>0</v>
      </c>
      <c r="I186" s="3839" t="s">
        <v>112</v>
      </c>
      <c r="J186" s="3863"/>
      <c r="K186" s="3864"/>
      <c r="L186" s="3864"/>
      <c r="M186" s="3864"/>
    </row>
    <row r="187" spans="1:19" ht="27" customHeight="1">
      <c r="A187" s="2408"/>
      <c r="B187" s="2592"/>
      <c r="C187" s="2592"/>
      <c r="D187" s="3844" t="s">
        <v>930</v>
      </c>
      <c r="E187" s="2592"/>
      <c r="F187" s="3870"/>
      <c r="G187" s="78"/>
      <c r="H187" s="2594"/>
      <c r="I187" s="3847"/>
      <c r="J187" s="3865"/>
      <c r="K187" s="3825"/>
    </row>
    <row r="188" spans="1:19" s="883" customFormat="1" ht="13.5" customHeight="1">
      <c r="A188" s="3871"/>
      <c r="B188" s="3869"/>
      <c r="C188" s="2592"/>
      <c r="D188" s="2599" t="s">
        <v>891</v>
      </c>
      <c r="E188" s="2592"/>
      <c r="F188" s="3872">
        <v>1</v>
      </c>
      <c r="G188" s="79"/>
      <c r="H188" s="2594"/>
      <c r="I188" s="2594"/>
      <c r="J188" s="3865"/>
      <c r="K188" s="2373"/>
      <c r="L188" s="2595"/>
      <c r="M188" s="2595"/>
      <c r="N188" s="2595"/>
      <c r="O188" s="2595"/>
      <c r="P188" s="2595"/>
      <c r="Q188" s="2595"/>
      <c r="R188" s="3873"/>
      <c r="S188" s="3874"/>
    </row>
    <row r="189" spans="1:19" s="883" customFormat="1" ht="13.5" customHeight="1">
      <c r="A189" s="3871"/>
      <c r="B189" s="3869"/>
      <c r="C189" s="2592"/>
      <c r="D189" s="2599" t="s">
        <v>892</v>
      </c>
      <c r="E189" s="2592"/>
      <c r="F189" s="3872"/>
      <c r="G189" s="79"/>
      <c r="H189" s="2594"/>
      <c r="I189" s="3861"/>
      <c r="J189" s="3865"/>
      <c r="K189" s="3566"/>
      <c r="L189" s="2595"/>
      <c r="M189" s="2595"/>
      <c r="N189" s="2595"/>
      <c r="O189" s="2595"/>
      <c r="P189" s="2595"/>
      <c r="Q189" s="2595"/>
      <c r="R189" s="3873"/>
      <c r="S189" s="3874"/>
    </row>
    <row r="190" spans="1:19" s="593" customFormat="1" ht="27" customHeight="1">
      <c r="A190" s="3868">
        <v>45</v>
      </c>
      <c r="B190" s="3869" t="s">
        <v>887</v>
      </c>
      <c r="C190" s="2592" t="s">
        <v>996</v>
      </c>
      <c r="D190" s="68" t="s">
        <v>997</v>
      </c>
      <c r="E190" s="76" t="s">
        <v>205</v>
      </c>
      <c r="F190" s="77">
        <f>SUM(F192)</f>
        <v>2</v>
      </c>
      <c r="G190" s="3615"/>
      <c r="H190" s="3558">
        <f>F190*G190</f>
        <v>0</v>
      </c>
      <c r="I190" s="3718" t="s">
        <v>112</v>
      </c>
      <c r="J190" s="3863"/>
      <c r="K190" s="3864"/>
      <c r="L190" s="3864"/>
      <c r="M190" s="3864"/>
    </row>
    <row r="191" spans="1:19" ht="13.5" customHeight="1">
      <c r="A191" s="2408"/>
      <c r="B191" s="2592"/>
      <c r="C191" s="2592"/>
      <c r="D191" s="2599" t="s">
        <v>998</v>
      </c>
      <c r="E191" s="2592"/>
      <c r="F191" s="3870"/>
      <c r="G191" s="78"/>
      <c r="H191" s="2594"/>
      <c r="I191" s="3847"/>
      <c r="J191" s="2373"/>
    </row>
    <row r="192" spans="1:19" s="883" customFormat="1" ht="13.5" customHeight="1">
      <c r="A192" s="3871"/>
      <c r="B192" s="3869"/>
      <c r="C192" s="2592"/>
      <c r="D192" s="2599" t="s">
        <v>999</v>
      </c>
      <c r="E192" s="2592"/>
      <c r="F192" s="3872">
        <v>2</v>
      </c>
      <c r="G192" s="79"/>
      <c r="H192" s="2594"/>
      <c r="I192" s="2594"/>
      <c r="J192" s="2373"/>
      <c r="K192" s="3566"/>
      <c r="L192" s="2595"/>
      <c r="M192" s="2595"/>
      <c r="N192" s="2595"/>
      <c r="O192" s="2595"/>
      <c r="P192" s="2595"/>
      <c r="Q192" s="2595"/>
      <c r="R192" s="3873"/>
      <c r="S192" s="3874"/>
    </row>
    <row r="193" spans="1:19" s="883" customFormat="1" ht="13.5" customHeight="1">
      <c r="A193" s="3871"/>
      <c r="B193" s="3869"/>
      <c r="C193" s="2592"/>
      <c r="D193" s="2599" t="s">
        <v>1000</v>
      </c>
      <c r="E193" s="2592"/>
      <c r="F193" s="3872"/>
      <c r="G193" s="79"/>
      <c r="H193" s="2594"/>
      <c r="I193" s="3878"/>
      <c r="J193" s="2373"/>
      <c r="K193" s="2595"/>
      <c r="L193" s="2595"/>
      <c r="M193" s="2595"/>
      <c r="N193" s="2595"/>
      <c r="O193" s="2595"/>
      <c r="P193" s="2595"/>
      <c r="Q193" s="2595"/>
      <c r="R193" s="3873"/>
      <c r="S193" s="3874"/>
    </row>
    <row r="194" spans="1:19" s="593" customFormat="1" ht="13.5" customHeight="1">
      <c r="A194" s="3868">
        <v>46</v>
      </c>
      <c r="B194" s="3869" t="s">
        <v>887</v>
      </c>
      <c r="C194" s="2592" t="s">
        <v>1001</v>
      </c>
      <c r="D194" s="68" t="s">
        <v>1002</v>
      </c>
      <c r="E194" s="76" t="s">
        <v>205</v>
      </c>
      <c r="F194" s="77">
        <f>SUM(F196)</f>
        <v>20</v>
      </c>
      <c r="G194" s="3615"/>
      <c r="H194" s="3558">
        <f>F194*G194</f>
        <v>0</v>
      </c>
      <c r="I194" s="3718" t="s">
        <v>112</v>
      </c>
      <c r="J194" s="3863"/>
      <c r="K194" s="3864"/>
      <c r="L194" s="3864"/>
      <c r="M194" s="3864"/>
    </row>
    <row r="195" spans="1:19" ht="13.5" customHeight="1">
      <c r="A195" s="2408"/>
      <c r="B195" s="2592"/>
      <c r="C195" s="2592"/>
      <c r="D195" s="2599" t="s">
        <v>1003</v>
      </c>
      <c r="E195" s="2592"/>
      <c r="F195" s="3870"/>
      <c r="G195" s="78"/>
      <c r="H195" s="2594"/>
      <c r="I195" s="3847"/>
      <c r="J195" s="2373"/>
    </row>
    <row r="196" spans="1:19" s="883" customFormat="1" ht="13.5" customHeight="1">
      <c r="A196" s="3871"/>
      <c r="B196" s="3869"/>
      <c r="C196" s="2592"/>
      <c r="D196" s="2599" t="s">
        <v>1004</v>
      </c>
      <c r="E196" s="2592"/>
      <c r="F196" s="3872">
        <v>20</v>
      </c>
      <c r="G196" s="79"/>
      <c r="H196" s="2594"/>
      <c r="I196" s="2594"/>
      <c r="J196" s="2373"/>
      <c r="K196" s="3566"/>
      <c r="L196" s="2595"/>
      <c r="M196" s="2595"/>
      <c r="N196" s="2595"/>
      <c r="O196" s="2595"/>
      <c r="P196" s="2595"/>
      <c r="Q196" s="2595"/>
      <c r="R196" s="3873"/>
      <c r="S196" s="3874"/>
    </row>
    <row r="197" spans="1:19" s="883" customFormat="1" ht="13.5" customHeight="1">
      <c r="A197" s="3871"/>
      <c r="B197" s="3869"/>
      <c r="C197" s="2592"/>
      <c r="D197" s="2599" t="s">
        <v>1000</v>
      </c>
      <c r="E197" s="2592"/>
      <c r="F197" s="3872"/>
      <c r="G197" s="79"/>
      <c r="H197" s="2594"/>
      <c r="I197" s="3878"/>
      <c r="J197" s="2373"/>
      <c r="K197" s="2595"/>
      <c r="L197" s="2595"/>
      <c r="M197" s="2595"/>
      <c r="N197" s="2595"/>
      <c r="O197" s="2595"/>
      <c r="P197" s="2595"/>
      <c r="Q197" s="2595"/>
      <c r="R197" s="3873"/>
      <c r="S197" s="3874"/>
    </row>
    <row r="198" spans="1:19" s="3834" customFormat="1" ht="13.5" customHeight="1">
      <c r="A198" s="3835">
        <v>47</v>
      </c>
      <c r="B198" s="3836">
        <v>766</v>
      </c>
      <c r="C198" s="3837" t="s">
        <v>1005</v>
      </c>
      <c r="D198" s="3837" t="s">
        <v>1006</v>
      </c>
      <c r="E198" s="3879" t="s">
        <v>49</v>
      </c>
      <c r="F198" s="3880">
        <f>SUM(F199)</f>
        <v>1</v>
      </c>
      <c r="G198" s="3917"/>
      <c r="H198" s="3838">
        <f>F198*G198</f>
        <v>0</v>
      </c>
      <c r="I198" s="3718" t="s">
        <v>112</v>
      </c>
      <c r="J198" s="3863"/>
      <c r="L198" s="3881"/>
      <c r="M198" s="3882"/>
    </row>
    <row r="199" spans="1:19" s="3860" customFormat="1" ht="27" customHeight="1">
      <c r="A199" s="3851"/>
      <c r="B199" s="3836"/>
      <c r="C199" s="3837"/>
      <c r="D199" s="3852" t="s">
        <v>1007</v>
      </c>
      <c r="E199" s="3837"/>
      <c r="F199" s="3853">
        <v>1</v>
      </c>
      <c r="G199" s="73"/>
      <c r="H199" s="3846"/>
      <c r="I199" s="3847"/>
      <c r="J199" s="3883"/>
      <c r="K199" s="3884"/>
      <c r="L199" s="3885"/>
      <c r="M199" s="3857"/>
      <c r="N199" s="3857"/>
      <c r="O199" s="3857"/>
      <c r="P199" s="3857"/>
      <c r="Q199" s="3857"/>
      <c r="R199" s="3858"/>
      <c r="S199" s="3859"/>
    </row>
    <row r="200" spans="1:19" s="3834" customFormat="1" ht="13.5" customHeight="1">
      <c r="A200" s="3835">
        <v>48</v>
      </c>
      <c r="B200" s="3836" t="s">
        <v>887</v>
      </c>
      <c r="C200" s="3837">
        <v>998766203</v>
      </c>
      <c r="D200" s="3837" t="s">
        <v>1008</v>
      </c>
      <c r="E200" s="3879" t="s">
        <v>10</v>
      </c>
      <c r="F200" s="3880">
        <v>0.61</v>
      </c>
      <c r="G200" s="3917"/>
      <c r="H200" s="3838">
        <f>F200*G200</f>
        <v>0</v>
      </c>
      <c r="I200" s="3839" t="s">
        <v>137</v>
      </c>
      <c r="J200" s="3886"/>
      <c r="L200" s="3881"/>
      <c r="M200" s="3882"/>
    </row>
    <row r="201" spans="1:19" s="3834" customFormat="1" ht="13.5" customHeight="1">
      <c r="A201" s="3835">
        <v>49</v>
      </c>
      <c r="B201" s="3836" t="s">
        <v>362</v>
      </c>
      <c r="C201" s="3837" t="s">
        <v>1009</v>
      </c>
      <c r="D201" s="3837" t="s">
        <v>1010</v>
      </c>
      <c r="E201" s="3879" t="s">
        <v>69</v>
      </c>
      <c r="F201" s="3880">
        <f>F202</f>
        <v>50</v>
      </c>
      <c r="G201" s="3917"/>
      <c r="H201" s="3838">
        <f>F201*G201</f>
        <v>0</v>
      </c>
      <c r="I201" s="3839" t="s">
        <v>137</v>
      </c>
      <c r="J201" s="3887"/>
      <c r="L201" s="3881"/>
      <c r="M201" s="3882"/>
    </row>
    <row r="202" spans="1:19" s="3860" customFormat="1" ht="13.5" customHeight="1">
      <c r="A202" s="3851"/>
      <c r="B202" s="3836"/>
      <c r="C202" s="3837"/>
      <c r="D202" s="3852" t="s">
        <v>1011</v>
      </c>
      <c r="E202" s="3837"/>
      <c r="F202" s="3853">
        <v>50</v>
      </c>
      <c r="G202" s="73"/>
      <c r="H202" s="3846"/>
      <c r="I202" s="3861"/>
      <c r="J202" s="3565"/>
      <c r="K202" s="3566"/>
      <c r="L202" s="3857"/>
      <c r="M202" s="3857"/>
      <c r="N202" s="3857"/>
      <c r="O202" s="3857"/>
      <c r="P202" s="3857"/>
      <c r="Q202" s="3857"/>
      <c r="R202" s="3858"/>
      <c r="S202" s="3859"/>
    </row>
    <row r="203" spans="1:19" s="3860" customFormat="1" ht="13.5" customHeight="1">
      <c r="A203" s="3851"/>
      <c r="B203" s="3836"/>
      <c r="C203" s="3837"/>
      <c r="D203" s="3852" t="s">
        <v>526</v>
      </c>
      <c r="E203" s="3837"/>
      <c r="F203" s="3853"/>
      <c r="G203" s="3846"/>
      <c r="H203" s="3846"/>
      <c r="I203" s="3861"/>
      <c r="J203" s="3565"/>
      <c r="K203" s="3566"/>
      <c r="L203" s="3857"/>
      <c r="M203" s="3888"/>
      <c r="N203" s="3888"/>
      <c r="O203" s="3888"/>
      <c r="P203" s="3888"/>
      <c r="Q203" s="3857"/>
      <c r="R203" s="3858"/>
      <c r="S203" s="3859"/>
    </row>
    <row r="204" spans="1:19" s="883" customFormat="1" ht="21" customHeight="1">
      <c r="A204" s="3889"/>
      <c r="B204" s="3890"/>
      <c r="C204" s="3890"/>
      <c r="D204" s="3890" t="s">
        <v>0</v>
      </c>
      <c r="E204" s="3890"/>
      <c r="F204" s="3891"/>
      <c r="G204" s="3892"/>
      <c r="H204" s="3892">
        <f>H7</f>
        <v>0</v>
      </c>
      <c r="J204" s="3893"/>
      <c r="K204" s="882"/>
    </row>
    <row r="205" spans="1:19" s="883" customFormat="1" ht="13.5" customHeight="1">
      <c r="A205" s="3894"/>
      <c r="B205" s="3895"/>
      <c r="C205" s="3895"/>
      <c r="D205" s="3895"/>
      <c r="E205" s="3895"/>
      <c r="F205" s="3896"/>
      <c r="G205" s="3897"/>
      <c r="H205" s="3897"/>
      <c r="I205" s="2596"/>
      <c r="J205" s="2596"/>
    </row>
    <row r="206" spans="1:19" s="883" customFormat="1" ht="13.5" customHeight="1">
      <c r="A206" s="5195" t="s">
        <v>862</v>
      </c>
      <c r="B206" s="5196"/>
      <c r="C206" s="5197"/>
      <c r="D206" s="3898" t="s">
        <v>1012</v>
      </c>
      <c r="E206" s="3899"/>
      <c r="F206" s="3900"/>
      <c r="G206" s="3901"/>
      <c r="H206" s="3902">
        <f>H204</f>
        <v>0</v>
      </c>
      <c r="I206" s="3903"/>
      <c r="J206" s="3904"/>
      <c r="L206" s="3905"/>
    </row>
    <row r="207" spans="1:19" s="883" customFormat="1" ht="13.5" customHeight="1">
      <c r="A207" s="3906"/>
      <c r="B207" s="3907"/>
      <c r="C207" s="3907"/>
      <c r="D207" s="3908"/>
      <c r="E207" s="3909"/>
      <c r="F207" s="3910"/>
      <c r="G207" s="3911"/>
      <c r="H207" s="3912"/>
    </row>
    <row r="208" spans="1:19" s="689" customFormat="1" ht="15.75">
      <c r="A208" s="689" t="s">
        <v>1</v>
      </c>
      <c r="H208" s="3913"/>
      <c r="I208" s="3914"/>
    </row>
    <row r="209" spans="1:10" s="883" customFormat="1" ht="23.45" customHeight="1">
      <c r="A209" s="5159" t="s">
        <v>864</v>
      </c>
      <c r="B209" s="5192"/>
      <c r="C209" s="5192"/>
      <c r="D209" s="5192"/>
      <c r="E209" s="5192"/>
      <c r="F209" s="5192"/>
      <c r="G209" s="5192"/>
      <c r="H209" s="689"/>
    </row>
    <row r="210" spans="1:10" s="689" customFormat="1" ht="93.75" customHeight="1">
      <c r="A210" s="5159" t="s">
        <v>104</v>
      </c>
      <c r="B210" s="5173"/>
      <c r="C210" s="5173"/>
      <c r="D210" s="5173"/>
      <c r="E210" s="5173"/>
      <c r="F210" s="5173"/>
      <c r="G210" s="5173"/>
      <c r="H210" s="3915"/>
      <c r="I210" s="3914"/>
      <c r="J210" s="3916"/>
    </row>
    <row r="211" spans="1:10" s="2595" customFormat="1" ht="13.5" customHeight="1">
      <c r="A211" s="5159" t="s">
        <v>105</v>
      </c>
      <c r="B211" s="5198"/>
      <c r="C211" s="5198"/>
      <c r="D211" s="5198"/>
      <c r="E211" s="5198"/>
      <c r="F211" s="5198"/>
      <c r="G211" s="5198"/>
      <c r="H211" s="691"/>
      <c r="I211" s="691"/>
    </row>
    <row r="212" spans="1:10" s="2595" customFormat="1" ht="13.5" customHeight="1">
      <c r="A212" s="5159" t="s">
        <v>106</v>
      </c>
      <c r="B212" s="5198"/>
      <c r="C212" s="5198"/>
      <c r="D212" s="5198"/>
      <c r="E212" s="5198"/>
      <c r="F212" s="5198"/>
      <c r="G212" s="5198"/>
      <c r="H212" s="691"/>
      <c r="I212" s="691"/>
    </row>
    <row r="213" spans="1:10" s="889" customFormat="1" ht="40.5" customHeight="1">
      <c r="A213" s="5156" t="s">
        <v>865</v>
      </c>
      <c r="B213" s="5156"/>
      <c r="C213" s="5156"/>
      <c r="D213" s="5156"/>
      <c r="E213" s="5156"/>
      <c r="F213" s="5156"/>
      <c r="G213" s="5156"/>
      <c r="H213" s="1203"/>
      <c r="I213" s="888"/>
    </row>
    <row r="214" spans="1:10" s="889" customFormat="1" ht="108" customHeight="1">
      <c r="A214" s="5156" t="s">
        <v>1013</v>
      </c>
      <c r="B214" s="5156"/>
      <c r="C214" s="5156"/>
      <c r="D214" s="5156"/>
      <c r="E214" s="5156"/>
      <c r="F214" s="5156"/>
      <c r="G214" s="5156"/>
      <c r="H214" s="1204"/>
      <c r="I214" s="1205"/>
    </row>
    <row r="215" spans="1:10" s="689" customFormat="1" ht="23.45" customHeight="1">
      <c r="A215" s="5159"/>
      <c r="B215" s="5192"/>
      <c r="C215" s="5192"/>
      <c r="D215" s="5192"/>
      <c r="E215" s="5192"/>
      <c r="F215" s="5192"/>
      <c r="G215" s="5192"/>
    </row>
  </sheetData>
  <sheetProtection algorithmName="SHA-512" hashValue="akFaCKGJVFbFtJUBOR6+1kbfqHtwnJuEccX3CyZL6xreS7GLq7XW30XvldJ6nYzUGe1Cz53OecAZSRJcTVh+8A==" saltValue="i/Cde6Y+DG/IBCBjigx1AA==" spinCount="100000" sheet="1" objects="1" scenarios="1"/>
  <mergeCells count="9">
    <mergeCell ref="A213:G213"/>
    <mergeCell ref="A215:G215"/>
    <mergeCell ref="A3:D3"/>
    <mergeCell ref="A206:C206"/>
    <mergeCell ref="A209:G209"/>
    <mergeCell ref="A210:G210"/>
    <mergeCell ref="A211:G211"/>
    <mergeCell ref="A212:G212"/>
    <mergeCell ref="A214:G214"/>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3BB2-9C74-499E-8790-7D30B4D72051}">
  <sheetPr>
    <pageSetUpPr fitToPage="1"/>
  </sheetPr>
  <dimension ref="A1:BK807"/>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599" customWidth="1"/>
    <col min="7" max="7" width="13.6640625" style="3813" customWidth="1"/>
    <col min="8" max="8" width="18.33203125" style="3600" customWidth="1"/>
    <col min="9" max="10" width="20.1640625" style="888" customWidth="1"/>
    <col min="11" max="11" width="16.5" style="3550" customWidth="1"/>
    <col min="12" max="12" width="15.6640625" style="889" customWidth="1"/>
    <col min="13" max="13" width="9.33203125" style="889"/>
    <col min="14" max="14" width="17.33203125" style="889" customWidth="1"/>
    <col min="15" max="17" width="9.33203125" style="889"/>
    <col min="18" max="18" width="12.1640625" style="889" bestFit="1" customWidth="1"/>
    <col min="19" max="16384" width="9.33203125" style="889"/>
  </cols>
  <sheetData>
    <row r="1" spans="1:15" ht="18">
      <c r="A1" s="1" t="s">
        <v>2760</v>
      </c>
      <c r="B1" s="887"/>
      <c r="C1" s="887"/>
      <c r="D1" s="887"/>
      <c r="E1" s="887"/>
      <c r="F1" s="1421"/>
      <c r="G1" s="887"/>
      <c r="H1" s="887"/>
      <c r="N1" s="3651"/>
    </row>
    <row r="2" spans="1:15" ht="13.5" customHeight="1">
      <c r="A2" s="5199" t="s">
        <v>115</v>
      </c>
      <c r="B2" s="5200"/>
      <c r="C2" s="5200"/>
      <c r="D2" s="5200"/>
      <c r="E2" s="5200"/>
      <c r="F2" s="5200"/>
      <c r="G2" s="5200"/>
      <c r="H2" s="5200"/>
      <c r="I2" s="5200"/>
      <c r="K2" s="3786"/>
      <c r="L2" s="3787"/>
      <c r="N2" s="3651"/>
    </row>
    <row r="3" spans="1:15" ht="13.5" customHeight="1">
      <c r="A3" s="885" t="s">
        <v>1014</v>
      </c>
      <c r="B3" s="3735"/>
      <c r="C3" s="886"/>
      <c r="D3" s="886"/>
      <c r="E3" s="886"/>
      <c r="F3" s="1421"/>
      <c r="G3" s="887"/>
      <c r="H3" s="888"/>
      <c r="K3" s="3786"/>
      <c r="L3" s="3787"/>
    </row>
    <row r="4" spans="1:15" ht="13.5" customHeight="1">
      <c r="A4" s="885"/>
      <c r="B4" s="886"/>
      <c r="C4" s="886"/>
      <c r="D4" s="886"/>
      <c r="E4" s="886"/>
      <c r="F4" s="1421"/>
      <c r="G4" s="887"/>
      <c r="H4" s="888"/>
      <c r="L4" s="3052"/>
      <c r="M4" s="3052"/>
      <c r="N4" s="3052"/>
      <c r="O4" s="3052"/>
    </row>
    <row r="5" spans="1:15" ht="15.75">
      <c r="A5" s="887"/>
      <c r="B5" s="887"/>
      <c r="C5" s="887"/>
      <c r="D5" s="3550"/>
      <c r="E5" s="887"/>
      <c r="F5" s="1421"/>
      <c r="G5" s="887"/>
      <c r="H5" s="887"/>
      <c r="K5" s="80"/>
      <c r="L5" s="3052"/>
      <c r="M5" s="3052"/>
      <c r="N5" s="3052"/>
      <c r="O5" s="3052"/>
    </row>
    <row r="6" spans="1:15" ht="22.5">
      <c r="A6" s="3491" t="s">
        <v>118</v>
      </c>
      <c r="B6" s="3491" t="s">
        <v>119</v>
      </c>
      <c r="C6" s="3491" t="s">
        <v>120</v>
      </c>
      <c r="D6" s="3491" t="s">
        <v>121</v>
      </c>
      <c r="E6" s="3491" t="s">
        <v>122</v>
      </c>
      <c r="F6" s="3493" t="s">
        <v>123</v>
      </c>
      <c r="G6" s="3491" t="s">
        <v>124</v>
      </c>
      <c r="H6" s="3491" t="s">
        <v>2</v>
      </c>
      <c r="I6" s="3491" t="s">
        <v>46</v>
      </c>
      <c r="J6" s="3788"/>
      <c r="K6" s="3789"/>
    </row>
    <row r="7" spans="1:15">
      <c r="A7" s="3491" t="s">
        <v>125</v>
      </c>
      <c r="B7" s="3491" t="s">
        <v>126</v>
      </c>
      <c r="C7" s="3491" t="s">
        <v>127</v>
      </c>
      <c r="D7" s="3491" t="s">
        <v>128</v>
      </c>
      <c r="E7" s="3491" t="s">
        <v>129</v>
      </c>
      <c r="F7" s="3493" t="s">
        <v>130</v>
      </c>
      <c r="G7" s="3491" t="s">
        <v>131</v>
      </c>
      <c r="H7" s="3491">
        <v>8</v>
      </c>
      <c r="I7" s="3491">
        <v>9</v>
      </c>
      <c r="J7" s="3788"/>
      <c r="N7" s="3550"/>
    </row>
    <row r="8" spans="1:15" s="888" customFormat="1" ht="21" customHeight="1">
      <c r="A8" s="3496"/>
      <c r="B8" s="3497"/>
      <c r="C8" s="3497" t="s">
        <v>366</v>
      </c>
      <c r="D8" s="3497" t="s">
        <v>367</v>
      </c>
      <c r="E8" s="3497"/>
      <c r="F8" s="3498"/>
      <c r="G8" s="3499"/>
      <c r="H8" s="3499">
        <f>H9+H109+H118</f>
        <v>0</v>
      </c>
      <c r="K8" s="3790"/>
    </row>
    <row r="9" spans="1:15" ht="13.5" customHeight="1">
      <c r="A9" s="3501"/>
      <c r="B9" s="3502"/>
      <c r="C9" s="3502">
        <v>766</v>
      </c>
      <c r="D9" s="3502" t="s">
        <v>1015</v>
      </c>
      <c r="E9" s="3502"/>
      <c r="F9" s="3743"/>
      <c r="G9" s="3505"/>
      <c r="H9" s="3505">
        <f>SUM(H10:H108)</f>
        <v>0</v>
      </c>
      <c r="I9" s="3506"/>
      <c r="K9" s="3790"/>
    </row>
    <row r="10" spans="1:15" ht="13.5" customHeight="1">
      <c r="A10" s="2105">
        <v>1</v>
      </c>
      <c r="B10" s="3507">
        <v>766</v>
      </c>
      <c r="C10" s="3507" t="s">
        <v>1016</v>
      </c>
      <c r="D10" s="3507" t="s">
        <v>1017</v>
      </c>
      <c r="E10" s="3507" t="s">
        <v>205</v>
      </c>
      <c r="F10" s="3540">
        <f>F12</f>
        <v>2</v>
      </c>
      <c r="G10" s="5"/>
      <c r="H10" s="2231">
        <f t="shared" ref="H10" si="0">ROUND(F10*G10,2)</f>
        <v>0</v>
      </c>
      <c r="I10" s="3510" t="s">
        <v>112</v>
      </c>
      <c r="J10" s="3791"/>
      <c r="K10" s="3790"/>
      <c r="N10" s="3651"/>
    </row>
    <row r="11" spans="1:15" ht="13.5" customHeight="1">
      <c r="A11" s="2105"/>
      <c r="B11" s="3507"/>
      <c r="C11" s="3507"/>
      <c r="D11" s="3514" t="s">
        <v>1018</v>
      </c>
      <c r="E11" s="3507"/>
      <c r="F11" s="3540"/>
      <c r="G11" s="5"/>
      <c r="H11" s="3509"/>
      <c r="I11" s="3510"/>
      <c r="J11" s="3791"/>
      <c r="K11" s="3790"/>
    </row>
    <row r="12" spans="1:15" ht="13.5" customHeight="1">
      <c r="A12" s="2105"/>
      <c r="B12" s="3507"/>
      <c r="C12" s="3507"/>
      <c r="D12" s="3514" t="s">
        <v>1019</v>
      </c>
      <c r="E12" s="3507"/>
      <c r="F12" s="3515">
        <v>2</v>
      </c>
      <c r="G12" s="5"/>
      <c r="H12" s="3509"/>
      <c r="I12" s="3510"/>
      <c r="J12" s="3791"/>
      <c r="K12" s="3790"/>
    </row>
    <row r="13" spans="1:15" ht="13.5" customHeight="1">
      <c r="A13" s="2105"/>
      <c r="B13" s="3507"/>
      <c r="C13" s="3507"/>
      <c r="D13" s="3530" t="s">
        <v>1020</v>
      </c>
      <c r="E13" s="3507"/>
      <c r="F13" s="3515"/>
      <c r="G13" s="5"/>
      <c r="H13" s="3509"/>
      <c r="I13" s="3792"/>
      <c r="J13" s="3793"/>
      <c r="K13" s="3790"/>
      <c r="N13" s="3651"/>
    </row>
    <row r="14" spans="1:15" ht="13.5" customHeight="1">
      <c r="A14" s="2105">
        <v>2</v>
      </c>
      <c r="B14" s="3507">
        <v>766</v>
      </c>
      <c r="C14" s="3507" t="s">
        <v>1021</v>
      </c>
      <c r="D14" s="3507" t="s">
        <v>1022</v>
      </c>
      <c r="E14" s="3507" t="s">
        <v>205</v>
      </c>
      <c r="F14" s="3540">
        <f>F16</f>
        <v>1</v>
      </c>
      <c r="G14" s="5"/>
      <c r="H14" s="2231">
        <f t="shared" ref="H14" si="1">ROUND(F14*G14,2)</f>
        <v>0</v>
      </c>
      <c r="I14" s="3510" t="s">
        <v>112</v>
      </c>
      <c r="J14" s="3791"/>
      <c r="N14" s="3651"/>
    </row>
    <row r="15" spans="1:15" ht="13.5" customHeight="1">
      <c r="A15" s="2105"/>
      <c r="B15" s="3507"/>
      <c r="C15" s="3507"/>
      <c r="D15" s="3514" t="s">
        <v>1023</v>
      </c>
      <c r="E15" s="3507"/>
      <c r="F15" s="3540"/>
      <c r="G15" s="5"/>
      <c r="H15" s="3509"/>
      <c r="I15" s="3510"/>
      <c r="J15" s="3791"/>
      <c r="K15" s="3790"/>
      <c r="N15" s="3651"/>
    </row>
    <row r="16" spans="1:15" ht="13.5" customHeight="1">
      <c r="A16" s="2105"/>
      <c r="B16" s="3507"/>
      <c r="C16" s="3507"/>
      <c r="D16" s="3514" t="s">
        <v>1019</v>
      </c>
      <c r="E16" s="3507"/>
      <c r="F16" s="3515">
        <v>1</v>
      </c>
      <c r="G16" s="5"/>
      <c r="H16" s="3509"/>
      <c r="I16" s="3510"/>
      <c r="J16" s="3793"/>
      <c r="N16" s="3651"/>
    </row>
    <row r="17" spans="1:14" ht="13.5" customHeight="1">
      <c r="A17" s="2105"/>
      <c r="B17" s="3507"/>
      <c r="C17" s="3507"/>
      <c r="D17" s="3530" t="s">
        <v>1020</v>
      </c>
      <c r="E17" s="3507"/>
      <c r="F17" s="3515"/>
      <c r="G17" s="5"/>
      <c r="H17" s="3509"/>
      <c r="I17" s="3792"/>
      <c r="J17" s="3791"/>
      <c r="N17" s="3651"/>
    </row>
    <row r="18" spans="1:14" ht="27" customHeight="1">
      <c r="A18" s="2105">
        <v>3</v>
      </c>
      <c r="B18" s="3507">
        <v>766</v>
      </c>
      <c r="C18" s="3507" t="s">
        <v>1024</v>
      </c>
      <c r="D18" s="3507" t="s">
        <v>1025</v>
      </c>
      <c r="E18" s="3507" t="s">
        <v>205</v>
      </c>
      <c r="F18" s="3540">
        <f>F20</f>
        <v>3</v>
      </c>
      <c r="G18" s="5"/>
      <c r="H18" s="2231">
        <f t="shared" ref="H18" si="2">ROUND(F18*G18,2)</f>
        <v>0</v>
      </c>
      <c r="I18" s="3510" t="s">
        <v>112</v>
      </c>
      <c r="J18" s="3791"/>
      <c r="N18" s="3651"/>
    </row>
    <row r="19" spans="1:14" ht="13.5" customHeight="1">
      <c r="A19" s="2105"/>
      <c r="B19" s="3507"/>
      <c r="C19" s="3507"/>
      <c r="D19" s="3514" t="s">
        <v>1026</v>
      </c>
      <c r="E19" s="3507"/>
      <c r="F19" s="3540"/>
      <c r="G19" s="5"/>
      <c r="H19" s="3509"/>
      <c r="I19" s="3510"/>
      <c r="J19" s="3791"/>
      <c r="N19" s="3651"/>
    </row>
    <row r="20" spans="1:14" ht="13.5" customHeight="1">
      <c r="A20" s="2105"/>
      <c r="B20" s="3507"/>
      <c r="C20" s="3507"/>
      <c r="D20" s="3514" t="s">
        <v>1027</v>
      </c>
      <c r="E20" s="3507"/>
      <c r="F20" s="3515">
        <v>3</v>
      </c>
      <c r="G20" s="5"/>
      <c r="H20" s="3509"/>
      <c r="I20" s="3510"/>
      <c r="J20" s="3791"/>
      <c r="N20" s="3651"/>
    </row>
    <row r="21" spans="1:14" ht="13.5" customHeight="1">
      <c r="A21" s="2105"/>
      <c r="B21" s="3507"/>
      <c r="C21" s="3507"/>
      <c r="D21" s="3530" t="s">
        <v>1020</v>
      </c>
      <c r="E21" s="3507"/>
      <c r="F21" s="3515"/>
      <c r="G21" s="5"/>
      <c r="H21" s="3509"/>
      <c r="I21" s="3792"/>
      <c r="J21" s="3791"/>
      <c r="N21" s="3651"/>
    </row>
    <row r="22" spans="1:14" ht="27" customHeight="1">
      <c r="A22" s="2105"/>
      <c r="B22" s="3507"/>
      <c r="C22" s="3507"/>
      <c r="D22" s="3530" t="s">
        <v>1028</v>
      </c>
      <c r="E22" s="3507"/>
      <c r="F22" s="3515"/>
      <c r="G22" s="5"/>
      <c r="H22" s="3509"/>
      <c r="I22" s="3792"/>
      <c r="J22" s="3793"/>
      <c r="K22" s="3790"/>
      <c r="N22" s="3651"/>
    </row>
    <row r="23" spans="1:14" ht="13.5" customHeight="1">
      <c r="A23" s="2105">
        <v>4</v>
      </c>
      <c r="B23" s="3507">
        <v>766</v>
      </c>
      <c r="C23" s="3507" t="s">
        <v>1029</v>
      </c>
      <c r="D23" s="3507" t="s">
        <v>1030</v>
      </c>
      <c r="E23" s="3507" t="s">
        <v>205</v>
      </c>
      <c r="F23" s="3540">
        <f>F25</f>
        <v>1</v>
      </c>
      <c r="G23" s="5"/>
      <c r="H23" s="2231">
        <f t="shared" ref="H23" si="3">ROUND(F23*G23,2)</f>
        <v>0</v>
      </c>
      <c r="I23" s="3510" t="s">
        <v>112</v>
      </c>
      <c r="J23" s="3793"/>
      <c r="N23" s="3651"/>
    </row>
    <row r="24" spans="1:14" ht="13.5" customHeight="1">
      <c r="A24" s="2105"/>
      <c r="B24" s="3507"/>
      <c r="C24" s="3507"/>
      <c r="D24" s="3514" t="s">
        <v>1026</v>
      </c>
      <c r="E24" s="3507"/>
      <c r="F24" s="3540"/>
      <c r="G24" s="5"/>
      <c r="H24" s="3509"/>
      <c r="I24" s="3510"/>
      <c r="J24" s="3791"/>
      <c r="N24" s="3651"/>
    </row>
    <row r="25" spans="1:14" ht="13.5" customHeight="1">
      <c r="A25" s="2105"/>
      <c r="B25" s="3507"/>
      <c r="C25" s="3507"/>
      <c r="D25" s="3514" t="s">
        <v>1027</v>
      </c>
      <c r="E25" s="3507"/>
      <c r="F25" s="3515">
        <v>1</v>
      </c>
      <c r="G25" s="5"/>
      <c r="H25" s="3509"/>
      <c r="I25" s="3510"/>
      <c r="J25" s="3791"/>
      <c r="N25" s="3651"/>
    </row>
    <row r="26" spans="1:14" ht="13.5" customHeight="1">
      <c r="A26" s="2105"/>
      <c r="B26" s="3507"/>
      <c r="C26" s="3507"/>
      <c r="D26" s="3530" t="s">
        <v>1020</v>
      </c>
      <c r="E26" s="3507"/>
      <c r="F26" s="3515"/>
      <c r="G26" s="5"/>
      <c r="H26" s="3509"/>
      <c r="I26" s="3792"/>
      <c r="J26" s="3791"/>
      <c r="N26" s="3651"/>
    </row>
    <row r="27" spans="1:14" ht="27" customHeight="1">
      <c r="A27" s="2105"/>
      <c r="B27" s="3507"/>
      <c r="C27" s="3507"/>
      <c r="D27" s="3530" t="s">
        <v>1028</v>
      </c>
      <c r="E27" s="3507"/>
      <c r="F27" s="3515"/>
      <c r="G27" s="5"/>
      <c r="H27" s="3509"/>
      <c r="I27" s="3792"/>
      <c r="J27" s="3793"/>
      <c r="K27" s="3794"/>
      <c r="N27" s="3651"/>
    </row>
    <row r="28" spans="1:14" ht="27" customHeight="1">
      <c r="A28" s="2105">
        <v>5</v>
      </c>
      <c r="B28" s="3507">
        <v>766</v>
      </c>
      <c r="C28" s="3507" t="s">
        <v>1031</v>
      </c>
      <c r="D28" s="3507" t="s">
        <v>1032</v>
      </c>
      <c r="E28" s="3507" t="s">
        <v>205</v>
      </c>
      <c r="F28" s="3540">
        <f>F30</f>
        <v>6</v>
      </c>
      <c r="G28" s="5"/>
      <c r="H28" s="2231">
        <f t="shared" ref="H28" si="4">ROUND(F28*G28,2)</f>
        <v>0</v>
      </c>
      <c r="I28" s="3510" t="s">
        <v>112</v>
      </c>
      <c r="J28" s="3791"/>
      <c r="N28" s="3651"/>
    </row>
    <row r="29" spans="1:14" ht="13.5" customHeight="1">
      <c r="A29" s="2105"/>
      <c r="B29" s="3507"/>
      <c r="C29" s="3507"/>
      <c r="D29" s="3514" t="s">
        <v>1033</v>
      </c>
      <c r="E29" s="3507"/>
      <c r="F29" s="3540"/>
      <c r="G29" s="5"/>
      <c r="H29" s="3509"/>
      <c r="I29" s="3510"/>
      <c r="J29" s="3791"/>
      <c r="K29" s="3790"/>
    </row>
    <row r="30" spans="1:14" ht="13.5" customHeight="1">
      <c r="A30" s="2105"/>
      <c r="B30" s="3507"/>
      <c r="C30" s="3507"/>
      <c r="D30" s="3514" t="s">
        <v>1027</v>
      </c>
      <c r="E30" s="3507"/>
      <c r="F30" s="3515">
        <v>6</v>
      </c>
      <c r="G30" s="5"/>
      <c r="H30" s="3509"/>
      <c r="I30" s="3510"/>
      <c r="J30" s="3791"/>
      <c r="K30" s="3790"/>
    </row>
    <row r="31" spans="1:14" ht="13.5" customHeight="1">
      <c r="A31" s="2105"/>
      <c r="B31" s="3507"/>
      <c r="C31" s="3507"/>
      <c r="D31" s="3530" t="s">
        <v>1020</v>
      </c>
      <c r="E31" s="3507"/>
      <c r="F31" s="3515"/>
      <c r="G31" s="5"/>
      <c r="H31" s="3509"/>
      <c r="I31" s="3792"/>
      <c r="J31" s="3793"/>
      <c r="K31" s="3790"/>
      <c r="N31" s="3651"/>
    </row>
    <row r="32" spans="1:14" ht="27" customHeight="1">
      <c r="A32" s="2105"/>
      <c r="B32" s="3507"/>
      <c r="C32" s="3507"/>
      <c r="D32" s="3530" t="s">
        <v>1028</v>
      </c>
      <c r="E32" s="3507"/>
      <c r="F32" s="3515"/>
      <c r="G32" s="5"/>
      <c r="H32" s="3509"/>
      <c r="I32" s="3792"/>
      <c r="J32" s="3793"/>
      <c r="K32" s="3790"/>
      <c r="N32" s="3651"/>
    </row>
    <row r="33" spans="1:14" ht="27" customHeight="1">
      <c r="A33" s="2105">
        <v>6</v>
      </c>
      <c r="B33" s="3507">
        <v>766</v>
      </c>
      <c r="C33" s="3507" t="s">
        <v>1034</v>
      </c>
      <c r="D33" s="3507" t="s">
        <v>1035</v>
      </c>
      <c r="E33" s="3507" t="s">
        <v>205</v>
      </c>
      <c r="F33" s="3540">
        <f>F35</f>
        <v>2</v>
      </c>
      <c r="G33" s="5"/>
      <c r="H33" s="2231">
        <f t="shared" ref="H33" si="5">ROUND(F33*G33,2)</f>
        <v>0</v>
      </c>
      <c r="I33" s="3510" t="s">
        <v>112</v>
      </c>
      <c r="J33" s="3791"/>
      <c r="N33" s="3651"/>
    </row>
    <row r="34" spans="1:14" ht="13.5" customHeight="1">
      <c r="A34" s="2105"/>
      <c r="B34" s="3507"/>
      <c r="C34" s="3507"/>
      <c r="D34" s="3514" t="s">
        <v>1033</v>
      </c>
      <c r="E34" s="3507"/>
      <c r="F34" s="3540"/>
      <c r="G34" s="5"/>
      <c r="H34" s="3509"/>
      <c r="I34" s="3510"/>
      <c r="J34" s="3791"/>
      <c r="K34" s="3790"/>
      <c r="N34" s="3651"/>
    </row>
    <row r="35" spans="1:14" ht="13.5" customHeight="1">
      <c r="A35" s="2105"/>
      <c r="B35" s="3507"/>
      <c r="C35" s="3507"/>
      <c r="D35" s="3514" t="s">
        <v>1027</v>
      </c>
      <c r="E35" s="3507"/>
      <c r="F35" s="3515">
        <v>2</v>
      </c>
      <c r="G35" s="5"/>
      <c r="H35" s="3509"/>
      <c r="I35" s="3510"/>
      <c r="J35" s="3793"/>
      <c r="N35" s="3651"/>
    </row>
    <row r="36" spans="1:14" ht="13.5" customHeight="1">
      <c r="A36" s="2105"/>
      <c r="B36" s="3507"/>
      <c r="C36" s="3507"/>
      <c r="D36" s="3530" t="s">
        <v>1020</v>
      </c>
      <c r="E36" s="3507"/>
      <c r="F36" s="3515"/>
      <c r="G36" s="5"/>
      <c r="H36" s="3509"/>
      <c r="I36" s="3792"/>
      <c r="J36" s="3791"/>
      <c r="N36" s="3651"/>
    </row>
    <row r="37" spans="1:14" ht="27" customHeight="1">
      <c r="A37" s="2105"/>
      <c r="B37" s="3507"/>
      <c r="C37" s="3507"/>
      <c r="D37" s="3530" t="s">
        <v>1028</v>
      </c>
      <c r="E37" s="3507"/>
      <c r="F37" s="3515"/>
      <c r="G37" s="5"/>
      <c r="H37" s="3509"/>
      <c r="I37" s="3792"/>
      <c r="J37" s="3793"/>
      <c r="K37" s="3790"/>
      <c r="N37" s="3651"/>
    </row>
    <row r="38" spans="1:14" ht="13.5" customHeight="1">
      <c r="A38" s="2105">
        <v>7</v>
      </c>
      <c r="B38" s="3507">
        <v>766</v>
      </c>
      <c r="C38" s="3507" t="s">
        <v>1036</v>
      </c>
      <c r="D38" s="3507" t="s">
        <v>1037</v>
      </c>
      <c r="E38" s="3507" t="s">
        <v>205</v>
      </c>
      <c r="F38" s="3540">
        <f>F40</f>
        <v>3</v>
      </c>
      <c r="G38" s="5"/>
      <c r="H38" s="2231">
        <f t="shared" ref="H38" si="6">ROUND(F38*G38,2)</f>
        <v>0</v>
      </c>
      <c r="I38" s="3510" t="s">
        <v>112</v>
      </c>
      <c r="J38" s="3791"/>
      <c r="N38" s="3651"/>
    </row>
    <row r="39" spans="1:14" ht="13.5" customHeight="1">
      <c r="A39" s="2105"/>
      <c r="B39" s="3507"/>
      <c r="C39" s="3507"/>
      <c r="D39" s="3514" t="s">
        <v>1026</v>
      </c>
      <c r="E39" s="3507"/>
      <c r="F39" s="3540"/>
      <c r="G39" s="5"/>
      <c r="H39" s="3509"/>
      <c r="I39" s="3510"/>
      <c r="J39" s="3791"/>
      <c r="N39" s="3651"/>
    </row>
    <row r="40" spans="1:14" ht="13.5" customHeight="1">
      <c r="A40" s="2105"/>
      <c r="B40" s="3507"/>
      <c r="C40" s="3507"/>
      <c r="D40" s="3514" t="s">
        <v>1027</v>
      </c>
      <c r="E40" s="3507"/>
      <c r="F40" s="3515">
        <v>3</v>
      </c>
      <c r="G40" s="5"/>
      <c r="H40" s="3509"/>
      <c r="I40" s="3510"/>
      <c r="J40" s="3791"/>
      <c r="N40" s="3651"/>
    </row>
    <row r="41" spans="1:14" ht="13.5" customHeight="1">
      <c r="A41" s="2105"/>
      <c r="B41" s="3507"/>
      <c r="C41" s="3507"/>
      <c r="D41" s="3530" t="s">
        <v>1020</v>
      </c>
      <c r="E41" s="3507"/>
      <c r="F41" s="3515"/>
      <c r="G41" s="5"/>
      <c r="H41" s="3509"/>
      <c r="I41" s="3792"/>
      <c r="J41" s="3791"/>
      <c r="N41" s="3651"/>
    </row>
    <row r="42" spans="1:14" ht="27" customHeight="1">
      <c r="A42" s="2105"/>
      <c r="B42" s="3507"/>
      <c r="C42" s="3507"/>
      <c r="D42" s="3530" t="s">
        <v>1028</v>
      </c>
      <c r="E42" s="3507"/>
      <c r="F42" s="3515"/>
      <c r="G42" s="5"/>
      <c r="H42" s="3509"/>
      <c r="I42" s="3792"/>
      <c r="J42" s="3793"/>
      <c r="K42" s="3790"/>
      <c r="N42" s="3651"/>
    </row>
    <row r="43" spans="1:14" ht="13.5" customHeight="1">
      <c r="A43" s="2105">
        <v>8</v>
      </c>
      <c r="B43" s="3507">
        <v>766</v>
      </c>
      <c r="C43" s="3507" t="s">
        <v>1038</v>
      </c>
      <c r="D43" s="3507" t="s">
        <v>1039</v>
      </c>
      <c r="E43" s="3507" t="s">
        <v>205</v>
      </c>
      <c r="F43" s="3540">
        <f>F45</f>
        <v>4</v>
      </c>
      <c r="G43" s="5"/>
      <c r="H43" s="2231">
        <f t="shared" ref="H43" si="7">ROUND(F43*G43,2)</f>
        <v>0</v>
      </c>
      <c r="I43" s="3510" t="s">
        <v>112</v>
      </c>
      <c r="J43" s="3793"/>
      <c r="N43" s="3651"/>
    </row>
    <row r="44" spans="1:14" ht="13.5" customHeight="1">
      <c r="A44" s="2105"/>
      <c r="B44" s="3507"/>
      <c r="C44" s="3507"/>
      <c r="D44" s="3514" t="s">
        <v>1040</v>
      </c>
      <c r="E44" s="3507"/>
      <c r="F44" s="3540"/>
      <c r="G44" s="5"/>
      <c r="H44" s="3509"/>
      <c r="I44" s="3510"/>
      <c r="J44" s="3791"/>
      <c r="N44" s="3651"/>
    </row>
    <row r="45" spans="1:14" ht="13.5" customHeight="1">
      <c r="A45" s="2105"/>
      <c r="B45" s="3507"/>
      <c r="C45" s="3507"/>
      <c r="D45" s="3514" t="s">
        <v>1027</v>
      </c>
      <c r="E45" s="3507"/>
      <c r="F45" s="3515">
        <v>4</v>
      </c>
      <c r="G45" s="5"/>
      <c r="H45" s="3509"/>
      <c r="I45" s="3510"/>
      <c r="J45" s="3791"/>
      <c r="N45" s="3651"/>
    </row>
    <row r="46" spans="1:14" ht="13.5" customHeight="1">
      <c r="A46" s="2105"/>
      <c r="B46" s="3507"/>
      <c r="C46" s="3507"/>
      <c r="D46" s="3530" t="s">
        <v>1020</v>
      </c>
      <c r="E46" s="3507"/>
      <c r="F46" s="3515"/>
      <c r="G46" s="5"/>
      <c r="H46" s="3509"/>
      <c r="I46" s="3792"/>
      <c r="J46" s="3791"/>
      <c r="N46" s="3651"/>
    </row>
    <row r="47" spans="1:14" ht="13.5" customHeight="1">
      <c r="A47" s="2105">
        <v>9</v>
      </c>
      <c r="B47" s="3507">
        <v>766</v>
      </c>
      <c r="C47" s="3507" t="s">
        <v>1041</v>
      </c>
      <c r="D47" s="3507" t="s">
        <v>1042</v>
      </c>
      <c r="E47" s="3507" t="s">
        <v>205</v>
      </c>
      <c r="F47" s="3540">
        <f>F49</f>
        <v>2</v>
      </c>
      <c r="G47" s="5"/>
      <c r="H47" s="2231">
        <f t="shared" ref="H47" si="8">ROUND(F47*G47,2)</f>
        <v>0</v>
      </c>
      <c r="I47" s="3510" t="s">
        <v>112</v>
      </c>
      <c r="J47" s="3791"/>
      <c r="N47" s="3651"/>
    </row>
    <row r="48" spans="1:14" ht="13.5" customHeight="1">
      <c r="A48" s="2105"/>
      <c r="B48" s="3507"/>
      <c r="C48" s="3507"/>
      <c r="D48" s="3514" t="s">
        <v>1043</v>
      </c>
      <c r="E48" s="3507"/>
      <c r="F48" s="3540"/>
      <c r="G48" s="5"/>
      <c r="H48" s="3509"/>
      <c r="I48" s="3510"/>
      <c r="J48" s="3791"/>
      <c r="K48" s="3790"/>
    </row>
    <row r="49" spans="1:14" ht="13.5" customHeight="1">
      <c r="A49" s="2105"/>
      <c r="B49" s="3507"/>
      <c r="C49" s="3507"/>
      <c r="D49" s="3514" t="s">
        <v>1027</v>
      </c>
      <c r="E49" s="3507"/>
      <c r="F49" s="3515">
        <v>2</v>
      </c>
      <c r="G49" s="5"/>
      <c r="H49" s="3509"/>
      <c r="I49" s="3510"/>
      <c r="J49" s="3791"/>
      <c r="K49" s="3790"/>
    </row>
    <row r="50" spans="1:14" ht="13.5" customHeight="1">
      <c r="A50" s="2105"/>
      <c r="B50" s="3507"/>
      <c r="C50" s="3507"/>
      <c r="D50" s="3530" t="s">
        <v>1020</v>
      </c>
      <c r="E50" s="3507"/>
      <c r="F50" s="3515"/>
      <c r="G50" s="5"/>
      <c r="H50" s="3509"/>
      <c r="I50" s="3792"/>
      <c r="J50" s="3793"/>
      <c r="K50" s="3790"/>
      <c r="N50" s="3651"/>
    </row>
    <row r="51" spans="1:14" ht="13.5" customHeight="1">
      <c r="A51" s="2105">
        <v>10</v>
      </c>
      <c r="B51" s="3507">
        <v>766</v>
      </c>
      <c r="C51" s="3507" t="s">
        <v>1044</v>
      </c>
      <c r="D51" s="3507" t="s">
        <v>1045</v>
      </c>
      <c r="E51" s="3507" t="s">
        <v>205</v>
      </c>
      <c r="F51" s="3540">
        <f>F53</f>
        <v>6</v>
      </c>
      <c r="G51" s="5"/>
      <c r="H51" s="2231">
        <f t="shared" ref="H51" si="9">ROUND(F51*G51,2)</f>
        <v>0</v>
      </c>
      <c r="I51" s="3510" t="s">
        <v>112</v>
      </c>
      <c r="J51" s="3791"/>
      <c r="N51" s="3651"/>
    </row>
    <row r="52" spans="1:14" ht="13.5" customHeight="1">
      <c r="A52" s="2105"/>
      <c r="B52" s="3507"/>
      <c r="C52" s="3507"/>
      <c r="D52" s="3514" t="s">
        <v>1043</v>
      </c>
      <c r="E52" s="3507"/>
      <c r="F52" s="3540"/>
      <c r="G52" s="5"/>
      <c r="H52" s="3509"/>
      <c r="I52" s="3510"/>
      <c r="J52" s="3791"/>
      <c r="K52" s="3790"/>
      <c r="N52" s="3651"/>
    </row>
    <row r="53" spans="1:14" ht="13.5" customHeight="1">
      <c r="A53" s="2105"/>
      <c r="B53" s="3507"/>
      <c r="C53" s="3507"/>
      <c r="D53" s="3514" t="s">
        <v>1027</v>
      </c>
      <c r="E53" s="3507"/>
      <c r="F53" s="3515">
        <v>6</v>
      </c>
      <c r="G53" s="5"/>
      <c r="H53" s="3509"/>
      <c r="I53" s="3510"/>
      <c r="J53" s="3793"/>
      <c r="N53" s="3651"/>
    </row>
    <row r="54" spans="1:14" ht="13.5" customHeight="1">
      <c r="A54" s="2105"/>
      <c r="B54" s="3507"/>
      <c r="C54" s="3507"/>
      <c r="D54" s="3530" t="s">
        <v>1020</v>
      </c>
      <c r="E54" s="3507"/>
      <c r="F54" s="3515"/>
      <c r="G54" s="5"/>
      <c r="H54" s="3509"/>
      <c r="I54" s="3792"/>
      <c r="J54" s="3791"/>
      <c r="N54" s="3651"/>
    </row>
    <row r="55" spans="1:14" ht="27" customHeight="1">
      <c r="A55" s="2105"/>
      <c r="B55" s="3507"/>
      <c r="C55" s="3507"/>
      <c r="D55" s="3530" t="s">
        <v>1028</v>
      </c>
      <c r="E55" s="3507"/>
      <c r="F55" s="3515"/>
      <c r="G55" s="5"/>
      <c r="H55" s="3509"/>
      <c r="I55" s="3792"/>
      <c r="J55" s="3793"/>
      <c r="K55" s="3790"/>
      <c r="N55" s="3651"/>
    </row>
    <row r="56" spans="1:14" ht="13.5" customHeight="1">
      <c r="A56" s="2105">
        <v>11</v>
      </c>
      <c r="B56" s="3507">
        <v>766</v>
      </c>
      <c r="C56" s="3507" t="s">
        <v>1046</v>
      </c>
      <c r="D56" s="3507" t="s">
        <v>1047</v>
      </c>
      <c r="E56" s="3507" t="s">
        <v>205</v>
      </c>
      <c r="F56" s="3540">
        <f>F58</f>
        <v>1</v>
      </c>
      <c r="G56" s="5"/>
      <c r="H56" s="2231">
        <f t="shared" ref="H56" si="10">ROUND(F56*G56,2)</f>
        <v>0</v>
      </c>
      <c r="I56" s="3510" t="s">
        <v>112</v>
      </c>
      <c r="J56" s="3791"/>
      <c r="N56" s="3651"/>
    </row>
    <row r="57" spans="1:14" ht="13.5" customHeight="1">
      <c r="A57" s="2105"/>
      <c r="B57" s="3507"/>
      <c r="C57" s="3507"/>
      <c r="D57" s="3514" t="s">
        <v>1043</v>
      </c>
      <c r="E57" s="3507"/>
      <c r="F57" s="3540"/>
      <c r="G57" s="5"/>
      <c r="H57" s="3509"/>
      <c r="I57" s="3510"/>
      <c r="J57" s="3791"/>
      <c r="N57" s="3651"/>
    </row>
    <row r="58" spans="1:14" ht="13.5" customHeight="1">
      <c r="A58" s="2105"/>
      <c r="B58" s="3507"/>
      <c r="C58" s="3507"/>
      <c r="D58" s="3514" t="s">
        <v>1027</v>
      </c>
      <c r="E58" s="3507"/>
      <c r="F58" s="3515">
        <v>1</v>
      </c>
      <c r="G58" s="5"/>
      <c r="H58" s="3509"/>
      <c r="I58" s="3510"/>
      <c r="J58" s="3791"/>
      <c r="N58" s="3651"/>
    </row>
    <row r="59" spans="1:14" ht="13.5" customHeight="1">
      <c r="A59" s="2105"/>
      <c r="B59" s="3507"/>
      <c r="C59" s="3507"/>
      <c r="D59" s="3530" t="s">
        <v>1020</v>
      </c>
      <c r="E59" s="3507"/>
      <c r="F59" s="3515"/>
      <c r="G59" s="5"/>
      <c r="H59" s="3509"/>
      <c r="I59" s="3792"/>
      <c r="J59" s="3791"/>
      <c r="N59" s="3651"/>
    </row>
    <row r="60" spans="1:14" ht="27" customHeight="1">
      <c r="A60" s="2105"/>
      <c r="B60" s="3507"/>
      <c r="C60" s="3507"/>
      <c r="D60" s="3530" t="s">
        <v>1028</v>
      </c>
      <c r="E60" s="3507"/>
      <c r="F60" s="3515"/>
      <c r="G60" s="5"/>
      <c r="H60" s="3509"/>
      <c r="I60" s="3792"/>
      <c r="J60" s="3793"/>
      <c r="K60" s="3790"/>
      <c r="N60" s="3651"/>
    </row>
    <row r="61" spans="1:14" ht="13.5" customHeight="1">
      <c r="A61" s="2105">
        <v>12</v>
      </c>
      <c r="B61" s="3507">
        <v>766</v>
      </c>
      <c r="C61" s="3507" t="s">
        <v>1048</v>
      </c>
      <c r="D61" s="3507" t="s">
        <v>1049</v>
      </c>
      <c r="E61" s="3507" t="s">
        <v>205</v>
      </c>
      <c r="F61" s="3540">
        <f>F63</f>
        <v>2</v>
      </c>
      <c r="G61" s="5"/>
      <c r="H61" s="2231">
        <f t="shared" ref="H61" si="11">ROUND(F61*G61,2)</f>
        <v>0</v>
      </c>
      <c r="I61" s="3510" t="s">
        <v>112</v>
      </c>
      <c r="J61" s="3793"/>
      <c r="N61" s="3651"/>
    </row>
    <row r="62" spans="1:14" ht="13.5" customHeight="1">
      <c r="A62" s="2105"/>
      <c r="B62" s="3507"/>
      <c r="C62" s="3507"/>
      <c r="D62" s="3514" t="s">
        <v>1040</v>
      </c>
      <c r="E62" s="3507"/>
      <c r="F62" s="3540"/>
      <c r="G62" s="5"/>
      <c r="H62" s="3509"/>
      <c r="I62" s="3510"/>
      <c r="J62" s="3791"/>
      <c r="N62" s="3651"/>
    </row>
    <row r="63" spans="1:14" ht="13.5" customHeight="1">
      <c r="A63" s="2105"/>
      <c r="B63" s="3507"/>
      <c r="C63" s="3507"/>
      <c r="D63" s="3514" t="s">
        <v>1027</v>
      </c>
      <c r="E63" s="3507"/>
      <c r="F63" s="3515">
        <v>2</v>
      </c>
      <c r="G63" s="5"/>
      <c r="H63" s="3509"/>
      <c r="I63" s="3510"/>
      <c r="J63" s="3791"/>
      <c r="N63" s="3651"/>
    </row>
    <row r="64" spans="1:14" ht="13.5" customHeight="1">
      <c r="A64" s="2105"/>
      <c r="B64" s="3507"/>
      <c r="C64" s="3507"/>
      <c r="D64" s="3530" t="s">
        <v>1020</v>
      </c>
      <c r="E64" s="3507"/>
      <c r="F64" s="3515"/>
      <c r="G64" s="5"/>
      <c r="H64" s="3509"/>
      <c r="I64" s="3792"/>
      <c r="J64" s="3791"/>
      <c r="N64" s="3651"/>
    </row>
    <row r="65" spans="1:14" ht="13.5" customHeight="1">
      <c r="A65" s="2105">
        <v>13</v>
      </c>
      <c r="B65" s="3507">
        <v>766</v>
      </c>
      <c r="C65" s="3507" t="s">
        <v>1050</v>
      </c>
      <c r="D65" s="3507" t="s">
        <v>1051</v>
      </c>
      <c r="E65" s="3507" t="s">
        <v>205</v>
      </c>
      <c r="F65" s="3540">
        <f>F67</f>
        <v>2</v>
      </c>
      <c r="G65" s="5"/>
      <c r="H65" s="2231">
        <f t="shared" ref="H65" si="12">ROUND(F65*G65,2)</f>
        <v>0</v>
      </c>
      <c r="I65" s="3510" t="s">
        <v>112</v>
      </c>
      <c r="J65" s="3791"/>
      <c r="N65" s="3651"/>
    </row>
    <row r="66" spans="1:14" ht="13.5" customHeight="1">
      <c r="A66" s="2105"/>
      <c r="B66" s="3507"/>
      <c r="C66" s="3507"/>
      <c r="D66" s="3514" t="s">
        <v>1040</v>
      </c>
      <c r="E66" s="3507"/>
      <c r="F66" s="3540"/>
      <c r="G66" s="5"/>
      <c r="H66" s="3509"/>
      <c r="I66" s="3510"/>
      <c r="J66" s="3791"/>
      <c r="K66" s="3790"/>
    </row>
    <row r="67" spans="1:14" ht="13.5" customHeight="1">
      <c r="A67" s="2105"/>
      <c r="B67" s="3507"/>
      <c r="C67" s="3507"/>
      <c r="D67" s="3514" t="s">
        <v>1027</v>
      </c>
      <c r="E67" s="3507"/>
      <c r="F67" s="3515">
        <v>2</v>
      </c>
      <c r="G67" s="5"/>
      <c r="H67" s="3509"/>
      <c r="I67" s="3510"/>
      <c r="J67" s="3791"/>
      <c r="K67" s="3790"/>
    </row>
    <row r="68" spans="1:14" ht="13.5" customHeight="1">
      <c r="A68" s="2105"/>
      <c r="B68" s="3507"/>
      <c r="C68" s="3507"/>
      <c r="D68" s="3530" t="s">
        <v>1020</v>
      </c>
      <c r="E68" s="3507"/>
      <c r="F68" s="3515"/>
      <c r="G68" s="5"/>
      <c r="H68" s="3509"/>
      <c r="I68" s="3792"/>
      <c r="J68" s="3793"/>
      <c r="K68" s="3790"/>
      <c r="N68" s="3651"/>
    </row>
    <row r="69" spans="1:14" ht="13.5" customHeight="1">
      <c r="A69" s="2105">
        <v>14</v>
      </c>
      <c r="B69" s="3507">
        <v>766</v>
      </c>
      <c r="C69" s="3507" t="s">
        <v>1052</v>
      </c>
      <c r="D69" s="3507" t="s">
        <v>1053</v>
      </c>
      <c r="E69" s="3507" t="s">
        <v>205</v>
      </c>
      <c r="F69" s="3540">
        <f>F71</f>
        <v>4</v>
      </c>
      <c r="G69" s="5"/>
      <c r="H69" s="2231">
        <f t="shared" ref="H69" si="13">ROUND(F69*G69,2)</f>
        <v>0</v>
      </c>
      <c r="I69" s="3510" t="s">
        <v>112</v>
      </c>
      <c r="J69" s="3791"/>
      <c r="N69" s="3651"/>
    </row>
    <row r="70" spans="1:14" ht="13.5" customHeight="1">
      <c r="A70" s="2105"/>
      <c r="B70" s="3507"/>
      <c r="C70" s="3507"/>
      <c r="D70" s="3514" t="s">
        <v>1033</v>
      </c>
      <c r="E70" s="3507"/>
      <c r="F70" s="3540"/>
      <c r="G70" s="5"/>
      <c r="H70" s="3509"/>
      <c r="I70" s="3510"/>
      <c r="J70" s="3791"/>
      <c r="K70" s="3790"/>
      <c r="N70" s="3651"/>
    </row>
    <row r="71" spans="1:14" ht="13.5" customHeight="1">
      <c r="A71" s="2105"/>
      <c r="B71" s="3507"/>
      <c r="C71" s="3507"/>
      <c r="D71" s="3514" t="s">
        <v>1027</v>
      </c>
      <c r="E71" s="3507"/>
      <c r="F71" s="3515">
        <v>4</v>
      </c>
      <c r="G71" s="5"/>
      <c r="H71" s="3509"/>
      <c r="I71" s="3510"/>
      <c r="J71" s="3793"/>
      <c r="N71" s="3651"/>
    </row>
    <row r="72" spans="1:14" ht="13.5" customHeight="1">
      <c r="A72" s="2105"/>
      <c r="B72" s="3507"/>
      <c r="C72" s="3507"/>
      <c r="D72" s="3530" t="s">
        <v>1020</v>
      </c>
      <c r="E72" s="3507"/>
      <c r="F72" s="3515"/>
      <c r="G72" s="5"/>
      <c r="H72" s="3509"/>
      <c r="I72" s="3792"/>
      <c r="J72" s="3791"/>
      <c r="N72" s="3651"/>
    </row>
    <row r="73" spans="1:14" ht="13.5" customHeight="1">
      <c r="A73" s="2105">
        <v>15</v>
      </c>
      <c r="B73" s="3507">
        <v>766</v>
      </c>
      <c r="C73" s="3507" t="s">
        <v>1054</v>
      </c>
      <c r="D73" s="3507" t="s">
        <v>1055</v>
      </c>
      <c r="E73" s="3507" t="s">
        <v>205</v>
      </c>
      <c r="F73" s="3540">
        <f>F75</f>
        <v>1</v>
      </c>
      <c r="G73" s="5"/>
      <c r="H73" s="2231">
        <f t="shared" ref="H73" si="14">ROUND(F73*G73,2)</f>
        <v>0</v>
      </c>
      <c r="I73" s="3510" t="s">
        <v>112</v>
      </c>
      <c r="J73" s="3791"/>
      <c r="N73" s="3651"/>
    </row>
    <row r="74" spans="1:14" ht="13.5" customHeight="1">
      <c r="A74" s="2105"/>
      <c r="B74" s="3507"/>
      <c r="C74" s="3507"/>
      <c r="D74" s="3514" t="s">
        <v>1026</v>
      </c>
      <c r="E74" s="3507"/>
      <c r="F74" s="3540"/>
      <c r="G74" s="5"/>
      <c r="H74" s="3509"/>
      <c r="I74" s="3510"/>
      <c r="J74" s="3791"/>
      <c r="N74" s="3651"/>
    </row>
    <row r="75" spans="1:14" ht="13.5" customHeight="1">
      <c r="A75" s="2105"/>
      <c r="B75" s="3507"/>
      <c r="C75" s="3507"/>
      <c r="D75" s="3514" t="s">
        <v>1027</v>
      </c>
      <c r="E75" s="3507"/>
      <c r="F75" s="3515">
        <v>1</v>
      </c>
      <c r="G75" s="5"/>
      <c r="H75" s="3509"/>
      <c r="I75" s="3510"/>
      <c r="J75" s="3791"/>
      <c r="N75" s="3651"/>
    </row>
    <row r="76" spans="1:14" ht="13.5" customHeight="1">
      <c r="A76" s="2105"/>
      <c r="B76" s="3507"/>
      <c r="C76" s="3507"/>
      <c r="D76" s="3530" t="s">
        <v>1020</v>
      </c>
      <c r="E76" s="3507"/>
      <c r="F76" s="3515"/>
      <c r="G76" s="5"/>
      <c r="H76" s="3509"/>
      <c r="I76" s="3792"/>
      <c r="J76" s="3791"/>
      <c r="N76" s="3651"/>
    </row>
    <row r="77" spans="1:14" ht="27" customHeight="1">
      <c r="A77" s="2105"/>
      <c r="B77" s="3507"/>
      <c r="C77" s="3507"/>
      <c r="D77" s="3530" t="s">
        <v>1028</v>
      </c>
      <c r="E77" s="3507"/>
      <c r="F77" s="3515"/>
      <c r="G77" s="5"/>
      <c r="H77" s="3509"/>
      <c r="I77" s="3792"/>
      <c r="J77" s="3793"/>
      <c r="K77" s="3790"/>
      <c r="N77" s="3651"/>
    </row>
    <row r="78" spans="1:14" ht="13.5" customHeight="1">
      <c r="A78" s="2105">
        <v>16</v>
      </c>
      <c r="B78" s="3507">
        <v>766</v>
      </c>
      <c r="C78" s="3507" t="s">
        <v>1056</v>
      </c>
      <c r="D78" s="3507" t="s">
        <v>1057</v>
      </c>
      <c r="E78" s="3507" t="s">
        <v>205</v>
      </c>
      <c r="F78" s="3540">
        <f>F80</f>
        <v>2</v>
      </c>
      <c r="G78" s="5"/>
      <c r="H78" s="2231">
        <f t="shared" ref="H78" si="15">ROUND(F78*G78,2)</f>
        <v>0</v>
      </c>
      <c r="I78" s="3510" t="s">
        <v>112</v>
      </c>
      <c r="J78" s="3793"/>
      <c r="N78" s="3651"/>
    </row>
    <row r="79" spans="1:14" ht="13.5" customHeight="1">
      <c r="A79" s="2105"/>
      <c r="B79" s="3507"/>
      <c r="C79" s="3507"/>
      <c r="D79" s="3514" t="s">
        <v>1040</v>
      </c>
      <c r="E79" s="3507"/>
      <c r="F79" s="3540"/>
      <c r="G79" s="5"/>
      <c r="H79" s="3509"/>
      <c r="I79" s="3510"/>
      <c r="J79" s="3791"/>
      <c r="N79" s="3651"/>
    </row>
    <row r="80" spans="1:14" ht="13.5" customHeight="1">
      <c r="A80" s="2105"/>
      <c r="B80" s="3507"/>
      <c r="C80" s="3507"/>
      <c r="D80" s="3514" t="s">
        <v>1058</v>
      </c>
      <c r="E80" s="3507"/>
      <c r="F80" s="3515">
        <v>2</v>
      </c>
      <c r="G80" s="5"/>
      <c r="H80" s="3509"/>
      <c r="I80" s="3510"/>
      <c r="J80" s="3791"/>
      <c r="N80" s="3651"/>
    </row>
    <row r="81" spans="1:14" ht="13.5" customHeight="1">
      <c r="A81" s="2105"/>
      <c r="B81" s="3507"/>
      <c r="C81" s="3507"/>
      <c r="D81" s="3530" t="s">
        <v>1020</v>
      </c>
      <c r="E81" s="3507"/>
      <c r="F81" s="3515"/>
      <c r="G81" s="5"/>
      <c r="H81" s="3509"/>
      <c r="I81" s="3792"/>
      <c r="J81" s="3791"/>
      <c r="N81" s="3651"/>
    </row>
    <row r="82" spans="1:14" ht="13.5" customHeight="1">
      <c r="A82" s="2105">
        <v>17</v>
      </c>
      <c r="B82" s="3507">
        <v>766</v>
      </c>
      <c r="C82" s="3507" t="s">
        <v>1059</v>
      </c>
      <c r="D82" s="3507" t="s">
        <v>1060</v>
      </c>
      <c r="E82" s="3507" t="s">
        <v>205</v>
      </c>
      <c r="F82" s="3540">
        <f>F84</f>
        <v>21</v>
      </c>
      <c r="G82" s="5"/>
      <c r="H82" s="2231">
        <f t="shared" ref="H82" si="16">ROUND(F82*G82,2)</f>
        <v>0</v>
      </c>
      <c r="I82" s="3510" t="s">
        <v>112</v>
      </c>
      <c r="J82" s="3791"/>
      <c r="N82" s="3651"/>
    </row>
    <row r="83" spans="1:14" ht="13.5" customHeight="1">
      <c r="A83" s="2105"/>
      <c r="B83" s="3507"/>
      <c r="C83" s="3507"/>
      <c r="D83" s="3514" t="s">
        <v>1061</v>
      </c>
      <c r="E83" s="3507"/>
      <c r="F83" s="3540"/>
      <c r="G83" s="5"/>
      <c r="H83" s="3509"/>
      <c r="I83" s="3510"/>
      <c r="J83" s="3791"/>
      <c r="N83" s="3651"/>
    </row>
    <row r="84" spans="1:14" ht="13.5" customHeight="1">
      <c r="A84" s="2105"/>
      <c r="B84" s="3507"/>
      <c r="C84" s="3507"/>
      <c r="D84" s="3514" t="s">
        <v>1058</v>
      </c>
      <c r="E84" s="3507"/>
      <c r="F84" s="3515">
        <v>21</v>
      </c>
      <c r="G84" s="5"/>
      <c r="H84" s="3509"/>
      <c r="I84" s="3510"/>
      <c r="J84" s="3791"/>
      <c r="N84" s="3651"/>
    </row>
    <row r="85" spans="1:14" ht="13.5" customHeight="1">
      <c r="A85" s="2105"/>
      <c r="B85" s="3507"/>
      <c r="C85" s="3507"/>
      <c r="D85" s="3530" t="s">
        <v>1020</v>
      </c>
      <c r="E85" s="3507"/>
      <c r="F85" s="3515"/>
      <c r="G85" s="5"/>
      <c r="H85" s="3509"/>
      <c r="I85" s="3792"/>
      <c r="J85" s="3791"/>
      <c r="N85" s="3651"/>
    </row>
    <row r="86" spans="1:14" ht="27" customHeight="1">
      <c r="A86" s="2105"/>
      <c r="B86" s="3507"/>
      <c r="C86" s="3507"/>
      <c r="D86" s="3530" t="s">
        <v>1028</v>
      </c>
      <c r="E86" s="3507"/>
      <c r="F86" s="3515"/>
      <c r="G86" s="5"/>
      <c r="H86" s="3509"/>
      <c r="I86" s="3792"/>
      <c r="J86" s="3793"/>
      <c r="K86" s="3790"/>
      <c r="N86" s="3651"/>
    </row>
    <row r="87" spans="1:14" ht="13.5" customHeight="1">
      <c r="A87" s="2105">
        <v>18</v>
      </c>
      <c r="B87" s="3507">
        <v>766</v>
      </c>
      <c r="C87" s="3507" t="s">
        <v>1062</v>
      </c>
      <c r="D87" s="3507" t="s">
        <v>1063</v>
      </c>
      <c r="E87" s="3507" t="s">
        <v>205</v>
      </c>
      <c r="F87" s="3540">
        <f>F89</f>
        <v>2</v>
      </c>
      <c r="G87" s="5"/>
      <c r="H87" s="2231">
        <f t="shared" ref="H87" si="17">ROUND(F87*G87,2)</f>
        <v>0</v>
      </c>
      <c r="I87" s="3510" t="s">
        <v>112</v>
      </c>
      <c r="J87" s="3793"/>
      <c r="N87" s="3651"/>
    </row>
    <row r="88" spans="1:14" ht="13.5" customHeight="1">
      <c r="A88" s="2105"/>
      <c r="B88" s="3507"/>
      <c r="C88" s="3507"/>
      <c r="D88" s="3514" t="s">
        <v>1040</v>
      </c>
      <c r="E88" s="3507"/>
      <c r="F88" s="3540"/>
      <c r="G88" s="5"/>
      <c r="H88" s="3509"/>
      <c r="I88" s="3510"/>
      <c r="J88" s="3791"/>
      <c r="N88" s="3651"/>
    </row>
    <row r="89" spans="1:14" ht="13.5" customHeight="1">
      <c r="A89" s="2105"/>
      <c r="B89" s="3507"/>
      <c r="C89" s="3507"/>
      <c r="D89" s="3514" t="s">
        <v>1058</v>
      </c>
      <c r="E89" s="3507"/>
      <c r="F89" s="3515">
        <v>2</v>
      </c>
      <c r="G89" s="5"/>
      <c r="H89" s="3509"/>
      <c r="I89" s="3510"/>
      <c r="J89" s="3791"/>
      <c r="N89" s="3651"/>
    </row>
    <row r="90" spans="1:14" ht="13.5" customHeight="1">
      <c r="A90" s="2105"/>
      <c r="B90" s="3507"/>
      <c r="C90" s="3507"/>
      <c r="D90" s="3530" t="s">
        <v>1020</v>
      </c>
      <c r="E90" s="3507"/>
      <c r="F90" s="3515"/>
      <c r="G90" s="5"/>
      <c r="H90" s="3509"/>
      <c r="I90" s="3792"/>
      <c r="J90" s="3791"/>
      <c r="N90" s="3651"/>
    </row>
    <row r="91" spans="1:14" ht="27" customHeight="1">
      <c r="A91" s="2105"/>
      <c r="B91" s="3507"/>
      <c r="C91" s="3507"/>
      <c r="D91" s="3530" t="s">
        <v>1028</v>
      </c>
      <c r="E91" s="3507"/>
      <c r="F91" s="3515"/>
      <c r="G91" s="5"/>
      <c r="H91" s="3509"/>
      <c r="I91" s="3792"/>
      <c r="J91" s="3793"/>
      <c r="K91" s="3794"/>
      <c r="N91" s="3651"/>
    </row>
    <row r="92" spans="1:14" ht="13.5" customHeight="1">
      <c r="A92" s="2105">
        <v>19</v>
      </c>
      <c r="B92" s="3507">
        <v>766</v>
      </c>
      <c r="C92" s="3507" t="s">
        <v>1064</v>
      </c>
      <c r="D92" s="3507" t="s">
        <v>1065</v>
      </c>
      <c r="E92" s="3507" t="s">
        <v>205</v>
      </c>
      <c r="F92" s="3540">
        <f>F94</f>
        <v>3</v>
      </c>
      <c r="G92" s="5"/>
      <c r="H92" s="2231">
        <f t="shared" ref="H92" si="18">ROUND(F92*G92,2)</f>
        <v>0</v>
      </c>
      <c r="I92" s="3510" t="s">
        <v>112</v>
      </c>
      <c r="J92" s="3791"/>
      <c r="N92" s="3651"/>
    </row>
    <row r="93" spans="1:14" ht="13.5" customHeight="1">
      <c r="A93" s="2105"/>
      <c r="B93" s="3507"/>
      <c r="C93" s="3507"/>
      <c r="D93" s="3514" t="s">
        <v>1040</v>
      </c>
      <c r="E93" s="3507"/>
      <c r="F93" s="3540"/>
      <c r="G93" s="5"/>
      <c r="H93" s="3509"/>
      <c r="I93" s="3510"/>
      <c r="J93" s="3791"/>
      <c r="N93" s="3651"/>
    </row>
    <row r="94" spans="1:14" ht="13.5" customHeight="1">
      <c r="A94" s="2105"/>
      <c r="B94" s="3507"/>
      <c r="C94" s="3507"/>
      <c r="D94" s="3514" t="s">
        <v>1058</v>
      </c>
      <c r="E94" s="3507"/>
      <c r="F94" s="3515">
        <v>3</v>
      </c>
      <c r="G94" s="5"/>
      <c r="H94" s="3509"/>
      <c r="I94" s="3510"/>
      <c r="J94" s="3791"/>
      <c r="N94" s="3651"/>
    </row>
    <row r="95" spans="1:14" ht="13.5" customHeight="1">
      <c r="A95" s="2105"/>
      <c r="B95" s="3507"/>
      <c r="C95" s="3507"/>
      <c r="D95" s="3530" t="s">
        <v>1020</v>
      </c>
      <c r="E95" s="3507"/>
      <c r="F95" s="3515"/>
      <c r="G95" s="5"/>
      <c r="H95" s="3509"/>
      <c r="I95" s="3792"/>
      <c r="J95" s="3791"/>
      <c r="N95" s="3651"/>
    </row>
    <row r="96" spans="1:14" ht="13.5" customHeight="1">
      <c r="A96" s="2105">
        <v>20</v>
      </c>
      <c r="B96" s="3507">
        <v>766</v>
      </c>
      <c r="C96" s="3507" t="s">
        <v>1066</v>
      </c>
      <c r="D96" s="3507" t="s">
        <v>1067</v>
      </c>
      <c r="E96" s="3507" t="s">
        <v>205</v>
      </c>
      <c r="F96" s="3540">
        <f>F98</f>
        <v>2</v>
      </c>
      <c r="G96" s="5"/>
      <c r="H96" s="2231">
        <f t="shared" ref="H96" si="19">ROUND(F96*G96,2)</f>
        <v>0</v>
      </c>
      <c r="I96" s="3510" t="s">
        <v>112</v>
      </c>
      <c r="J96" s="3791"/>
      <c r="N96" s="3651"/>
    </row>
    <row r="97" spans="1:19" ht="13.5" customHeight="1">
      <c r="A97" s="2105"/>
      <c r="B97" s="3507"/>
      <c r="C97" s="3507"/>
      <c r="D97" s="3514" t="s">
        <v>1040</v>
      </c>
      <c r="E97" s="3507"/>
      <c r="F97" s="3540"/>
      <c r="G97" s="5"/>
      <c r="H97" s="3509"/>
      <c r="I97" s="3510"/>
      <c r="J97" s="3791"/>
      <c r="N97" s="3651"/>
    </row>
    <row r="98" spans="1:19" ht="13.5" customHeight="1">
      <c r="A98" s="2105"/>
      <c r="B98" s="3507"/>
      <c r="C98" s="3507"/>
      <c r="D98" s="3514" t="s">
        <v>1058</v>
      </c>
      <c r="E98" s="3507"/>
      <c r="F98" s="3515">
        <v>2</v>
      </c>
      <c r="G98" s="5"/>
      <c r="H98" s="3509"/>
      <c r="I98" s="3510"/>
      <c r="J98" s="3791"/>
      <c r="N98" s="3651"/>
    </row>
    <row r="99" spans="1:19" ht="13.5" customHeight="1">
      <c r="A99" s="2105"/>
      <c r="B99" s="3507"/>
      <c r="C99" s="3507"/>
      <c r="D99" s="3530" t="s">
        <v>1020</v>
      </c>
      <c r="E99" s="3507"/>
      <c r="F99" s="3515"/>
      <c r="G99" s="5"/>
      <c r="H99" s="3509"/>
      <c r="I99" s="3792"/>
      <c r="J99" s="3791"/>
      <c r="N99" s="3651"/>
    </row>
    <row r="100" spans="1:19" ht="27" customHeight="1">
      <c r="A100" s="2105"/>
      <c r="B100" s="3507"/>
      <c r="C100" s="3507"/>
      <c r="D100" s="3530" t="s">
        <v>1028</v>
      </c>
      <c r="E100" s="3507"/>
      <c r="F100" s="3515"/>
      <c r="G100" s="5"/>
      <c r="H100" s="3509"/>
      <c r="I100" s="3792"/>
      <c r="J100" s="3793"/>
      <c r="K100" s="3790"/>
      <c r="N100" s="3651"/>
    </row>
    <row r="101" spans="1:19" ht="13.5" customHeight="1">
      <c r="A101" s="2105">
        <v>21</v>
      </c>
      <c r="B101" s="3507">
        <v>766</v>
      </c>
      <c r="C101" s="3507" t="s">
        <v>1068</v>
      </c>
      <c r="D101" s="3507" t="s">
        <v>1069</v>
      </c>
      <c r="E101" s="3507" t="s">
        <v>205</v>
      </c>
      <c r="F101" s="3540">
        <f>F103</f>
        <v>1</v>
      </c>
      <c r="G101" s="5"/>
      <c r="H101" s="2231">
        <f t="shared" ref="H101" si="20">ROUND(F101*G101,2)</f>
        <v>0</v>
      </c>
      <c r="I101" s="3510" t="s">
        <v>112</v>
      </c>
      <c r="J101" s="3793"/>
      <c r="N101" s="3651"/>
    </row>
    <row r="102" spans="1:19" ht="13.5" customHeight="1">
      <c r="A102" s="2105"/>
      <c r="B102" s="3507"/>
      <c r="C102" s="3507"/>
      <c r="D102" s="3514" t="s">
        <v>1061</v>
      </c>
      <c r="E102" s="3507"/>
      <c r="F102" s="3540"/>
      <c r="G102" s="5"/>
      <c r="H102" s="3509"/>
      <c r="I102" s="3510"/>
      <c r="J102" s="3791"/>
      <c r="N102" s="3651"/>
    </row>
    <row r="103" spans="1:19" ht="13.5" customHeight="1">
      <c r="A103" s="2105"/>
      <c r="B103" s="3507"/>
      <c r="C103" s="3507"/>
      <c r="D103" s="3514" t="s">
        <v>1058</v>
      </c>
      <c r="E103" s="3507"/>
      <c r="F103" s="3515">
        <v>1</v>
      </c>
      <c r="G103" s="5"/>
      <c r="H103" s="3509"/>
      <c r="I103" s="3510"/>
      <c r="J103" s="3791"/>
      <c r="N103" s="3651"/>
    </row>
    <row r="104" spans="1:19" ht="13.5" customHeight="1">
      <c r="A104" s="2105"/>
      <c r="B104" s="3507"/>
      <c r="C104" s="3507"/>
      <c r="D104" s="3530" t="s">
        <v>1020</v>
      </c>
      <c r="E104" s="3507"/>
      <c r="F104" s="3515"/>
      <c r="G104" s="5"/>
      <c r="H104" s="3509"/>
      <c r="I104" s="3792"/>
      <c r="J104" s="3791"/>
      <c r="N104" s="3651"/>
    </row>
    <row r="105" spans="1:19" ht="13.5" customHeight="1">
      <c r="A105" s="3381" t="s">
        <v>884</v>
      </c>
      <c r="B105" s="3507">
        <v>766</v>
      </c>
      <c r="C105" s="3507">
        <v>998766202</v>
      </c>
      <c r="D105" s="3507" t="s">
        <v>1070</v>
      </c>
      <c r="E105" s="3507" t="s">
        <v>10</v>
      </c>
      <c r="F105" s="3540">
        <v>0.59</v>
      </c>
      <c r="G105" s="5"/>
      <c r="H105" s="2516">
        <f t="shared" ref="H105:H106" si="21">ROUND(F105*G105,2)</f>
        <v>0</v>
      </c>
      <c r="I105" s="3510" t="s">
        <v>137</v>
      </c>
      <c r="J105" s="2668"/>
      <c r="K105" s="3795"/>
      <c r="L105" s="3591"/>
    </row>
    <row r="106" spans="1:19" s="1204" customFormat="1" ht="13.5" customHeight="1">
      <c r="A106" s="3381" t="s">
        <v>1071</v>
      </c>
      <c r="B106" s="3507" t="s">
        <v>362</v>
      </c>
      <c r="C106" s="3507" t="s">
        <v>1009</v>
      </c>
      <c r="D106" s="3507" t="s">
        <v>1010</v>
      </c>
      <c r="E106" s="3507" t="s">
        <v>69</v>
      </c>
      <c r="F106" s="3540">
        <f>F107</f>
        <v>15</v>
      </c>
      <c r="G106" s="5"/>
      <c r="H106" s="2516">
        <f t="shared" si="21"/>
        <v>0</v>
      </c>
      <c r="I106" s="3510" t="s">
        <v>137</v>
      </c>
      <c r="J106" s="2668"/>
      <c r="K106" s="3796"/>
      <c r="L106" s="889"/>
    </row>
    <row r="107" spans="1:19" s="888" customFormat="1" ht="13.5" customHeight="1">
      <c r="A107" s="3782"/>
      <c r="B107" s="3594"/>
      <c r="C107" s="3594"/>
      <c r="D107" s="3514" t="s">
        <v>1011</v>
      </c>
      <c r="E107" s="3594"/>
      <c r="F107" s="3515">
        <v>15</v>
      </c>
      <c r="G107" s="5"/>
      <c r="H107" s="3509"/>
      <c r="I107" s="3506"/>
      <c r="K107" s="3797"/>
      <c r="L107" s="889"/>
    </row>
    <row r="108" spans="1:19" s="888" customFormat="1" ht="13.5" customHeight="1">
      <c r="A108" s="3782"/>
      <c r="B108" s="3594"/>
      <c r="C108" s="3594"/>
      <c r="D108" s="3514" t="s">
        <v>526</v>
      </c>
      <c r="E108" s="3594"/>
      <c r="F108" s="3515"/>
      <c r="G108" s="5"/>
      <c r="H108" s="3509"/>
      <c r="I108" s="3506"/>
      <c r="K108" s="3797"/>
      <c r="L108" s="889"/>
    </row>
    <row r="109" spans="1:19" s="593" customFormat="1" ht="13.5" customHeight="1">
      <c r="A109" s="3798"/>
      <c r="B109" s="3799"/>
      <c r="C109" s="3502">
        <v>767</v>
      </c>
      <c r="D109" s="3502" t="s">
        <v>1072</v>
      </c>
      <c r="E109" s="3799"/>
      <c r="F109" s="3715"/>
      <c r="G109" s="3814"/>
      <c r="H109" s="3715">
        <f>SUM(H110:H117)</f>
        <v>0</v>
      </c>
      <c r="I109" s="3716"/>
      <c r="J109" s="3717"/>
      <c r="K109" s="3800"/>
    </row>
    <row r="110" spans="1:19" s="593" customFormat="1" ht="27" customHeight="1">
      <c r="A110" s="3555">
        <v>24</v>
      </c>
      <c r="B110" s="3539">
        <v>767</v>
      </c>
      <c r="C110" s="3507" t="s">
        <v>1073</v>
      </c>
      <c r="D110" s="83" t="s">
        <v>1074</v>
      </c>
      <c r="E110" s="76" t="s">
        <v>205</v>
      </c>
      <c r="F110" s="3540">
        <f>ROUND(SUM(F112),3)</f>
        <v>1</v>
      </c>
      <c r="G110" s="3615"/>
      <c r="H110" s="2231">
        <f>ROUND(F110*G110,2)</f>
        <v>0</v>
      </c>
      <c r="I110" s="3718" t="s">
        <v>112</v>
      </c>
      <c r="J110" s="3719"/>
      <c r="K110" s="532"/>
      <c r="L110" s="3720"/>
      <c r="M110" s="3561"/>
      <c r="N110" s="193"/>
      <c r="O110" s="1562"/>
    </row>
    <row r="111" spans="1:19" s="888" customFormat="1" ht="13.5" customHeight="1">
      <c r="A111" s="3562"/>
      <c r="B111" s="3539"/>
      <c r="C111" s="3507"/>
      <c r="D111" s="3514" t="s">
        <v>1075</v>
      </c>
      <c r="E111" s="3507"/>
      <c r="F111" s="3515"/>
      <c r="G111" s="6"/>
      <c r="H111" s="3532"/>
      <c r="I111" s="3721"/>
      <c r="J111" s="71"/>
      <c r="K111" s="3550"/>
      <c r="L111" s="889"/>
      <c r="M111" s="889"/>
      <c r="N111" s="889"/>
      <c r="O111" s="889"/>
      <c r="P111" s="889"/>
      <c r="Q111" s="889"/>
      <c r="R111" s="889"/>
      <c r="S111" s="889"/>
    </row>
    <row r="112" spans="1:19" s="888" customFormat="1" ht="13.5" customHeight="1">
      <c r="A112" s="3562"/>
      <c r="B112" s="3539"/>
      <c r="C112" s="3507"/>
      <c r="D112" s="3514" t="s">
        <v>1076</v>
      </c>
      <c r="E112" s="3507"/>
      <c r="F112" s="3515">
        <v>1</v>
      </c>
      <c r="G112" s="6"/>
      <c r="H112" s="3532"/>
      <c r="I112" s="3722"/>
      <c r="J112" s="3801"/>
      <c r="K112" s="3802"/>
      <c r="L112" s="1204"/>
      <c r="M112" s="1204"/>
      <c r="N112" s="1204"/>
      <c r="O112" s="1204"/>
      <c r="P112" s="1204"/>
      <c r="Q112" s="1204"/>
      <c r="R112" s="3134"/>
      <c r="S112" s="2668"/>
    </row>
    <row r="113" spans="1:22" s="888" customFormat="1" ht="13.5" customHeight="1">
      <c r="A113" s="3562"/>
      <c r="B113" s="3539"/>
      <c r="C113" s="3507"/>
      <c r="D113" s="3514" t="s">
        <v>1020</v>
      </c>
      <c r="E113" s="3507"/>
      <c r="F113" s="3515"/>
      <c r="G113" s="6"/>
      <c r="H113" s="3532"/>
      <c r="I113" s="3722"/>
      <c r="J113" s="3801"/>
      <c r="K113" s="3802"/>
      <c r="L113" s="1204"/>
      <c r="M113" s="1204"/>
      <c r="N113" s="1204"/>
      <c r="O113" s="1204"/>
      <c r="P113" s="1204"/>
      <c r="Q113" s="1204"/>
      <c r="R113" s="3134"/>
      <c r="S113" s="2668"/>
    </row>
    <row r="114" spans="1:22" s="593" customFormat="1" ht="13.5" customHeight="1">
      <c r="A114" s="3555">
        <v>25</v>
      </c>
      <c r="B114" s="3539" t="s">
        <v>1077</v>
      </c>
      <c r="C114" s="3507">
        <v>998767202</v>
      </c>
      <c r="D114" s="3507" t="s">
        <v>1078</v>
      </c>
      <c r="E114" s="3556" t="s">
        <v>10</v>
      </c>
      <c r="F114" s="3557">
        <v>0.98</v>
      </c>
      <c r="G114" s="3615"/>
      <c r="H114" s="2231">
        <f>ROUND(F114*G114,2)</f>
        <v>0</v>
      </c>
      <c r="I114" s="3718" t="s">
        <v>137</v>
      </c>
      <c r="J114" s="3559"/>
      <c r="K114" s="3803"/>
      <c r="L114" s="3560"/>
      <c r="M114" s="3561"/>
    </row>
    <row r="115" spans="1:22" s="593" customFormat="1" ht="13.5" customHeight="1">
      <c r="A115" s="3555">
        <v>26</v>
      </c>
      <c r="B115" s="3539" t="s">
        <v>362</v>
      </c>
      <c r="C115" s="3507" t="s">
        <v>1079</v>
      </c>
      <c r="D115" s="3507" t="s">
        <v>1080</v>
      </c>
      <c r="E115" s="3556" t="s">
        <v>69</v>
      </c>
      <c r="F115" s="3540">
        <f>ROUND(SUM(F116),3)</f>
        <v>5</v>
      </c>
      <c r="G115" s="3615"/>
      <c r="H115" s="2231">
        <f>ROUND(F115*G115,2)</f>
        <v>0</v>
      </c>
      <c r="I115" s="3718" t="s">
        <v>137</v>
      </c>
      <c r="J115" s="3559"/>
      <c r="K115" s="3803"/>
      <c r="L115" s="3560"/>
      <c r="M115" s="3561"/>
    </row>
    <row r="116" spans="1:22" s="888" customFormat="1" ht="13.5" customHeight="1">
      <c r="A116" s="3562"/>
      <c r="B116" s="3539"/>
      <c r="C116" s="3507"/>
      <c r="D116" s="3514" t="s">
        <v>1011</v>
      </c>
      <c r="E116" s="3507"/>
      <c r="F116" s="3515">
        <v>5</v>
      </c>
      <c r="G116" s="6"/>
      <c r="H116" s="3532"/>
      <c r="I116" s="3722"/>
      <c r="J116" s="3801"/>
      <c r="K116" s="3802"/>
      <c r="L116" s="1204"/>
      <c r="M116" s="1204"/>
      <c r="N116" s="1204"/>
      <c r="O116" s="1204"/>
      <c r="P116" s="1204"/>
      <c r="Q116" s="1204"/>
      <c r="R116" s="3134"/>
      <c r="S116" s="2668"/>
    </row>
    <row r="117" spans="1:22" s="888" customFormat="1" ht="13.5" customHeight="1">
      <c r="A117" s="3562"/>
      <c r="B117" s="3539"/>
      <c r="C117" s="3507"/>
      <c r="D117" s="3514" t="s">
        <v>526</v>
      </c>
      <c r="E117" s="3507"/>
      <c r="F117" s="3515"/>
      <c r="G117" s="6"/>
      <c r="H117" s="3532"/>
      <c r="I117" s="3722"/>
      <c r="J117" s="3801"/>
      <c r="K117" s="3802"/>
      <c r="L117" s="1204"/>
      <c r="M117" s="1204"/>
      <c r="N117" s="1204"/>
      <c r="O117" s="1204"/>
      <c r="P117" s="1204"/>
      <c r="Q117" s="1204"/>
      <c r="R117" s="3134"/>
      <c r="S117" s="2668"/>
    </row>
    <row r="118" spans="1:22" s="593" customFormat="1" ht="13.5" customHeight="1">
      <c r="A118" s="3501"/>
      <c r="B118" s="3502"/>
      <c r="C118" s="3502">
        <v>786</v>
      </c>
      <c r="D118" s="3502" t="s">
        <v>1081</v>
      </c>
      <c r="E118" s="3502"/>
      <c r="F118" s="3504"/>
      <c r="G118" s="81"/>
      <c r="H118" s="3505">
        <f>SUM(H119:H154)</f>
        <v>0</v>
      </c>
      <c r="I118" s="3506"/>
      <c r="J118" s="888"/>
      <c r="K118" s="3800"/>
    </row>
    <row r="119" spans="1:22" s="888" customFormat="1" ht="27" customHeight="1">
      <c r="A119" s="3657">
        <v>28</v>
      </c>
      <c r="B119" s="3507">
        <v>786</v>
      </c>
      <c r="C119" s="3507" t="s">
        <v>1082</v>
      </c>
      <c r="D119" s="3507" t="s">
        <v>1083</v>
      </c>
      <c r="E119" s="3507" t="s">
        <v>49</v>
      </c>
      <c r="F119" s="3508">
        <f>ROUND(SUM(F121),3)</f>
        <v>1</v>
      </c>
      <c r="G119" s="5"/>
      <c r="H119" s="2516">
        <f t="shared" ref="H119" si="22">ROUND(F119*G119,2)</f>
        <v>0</v>
      </c>
      <c r="I119" s="3510" t="s">
        <v>112</v>
      </c>
      <c r="J119" s="3719"/>
      <c r="K119" s="3674"/>
      <c r="L119" s="3133"/>
      <c r="M119" s="3133"/>
      <c r="N119" s="3651"/>
      <c r="O119" s="3133"/>
      <c r="P119" s="3133"/>
      <c r="Q119" s="3133"/>
      <c r="R119" s="3133"/>
      <c r="S119" s="3133"/>
      <c r="T119" s="3133"/>
      <c r="U119" s="3133"/>
      <c r="V119" s="3133"/>
    </row>
    <row r="120" spans="1:22" s="888" customFormat="1" ht="13.5" customHeight="1">
      <c r="A120" s="3657"/>
      <c r="B120" s="3507"/>
      <c r="C120" s="3507"/>
      <c r="D120" s="3530" t="s">
        <v>1084</v>
      </c>
      <c r="E120" s="3507"/>
      <c r="F120" s="3540"/>
      <c r="G120" s="5"/>
      <c r="H120" s="3509"/>
      <c r="I120" s="3510"/>
      <c r="J120" s="71"/>
      <c r="K120" s="3789"/>
      <c r="N120" s="3651"/>
    </row>
    <row r="121" spans="1:22" s="593" customFormat="1" ht="13.5" customHeight="1">
      <c r="A121" s="3632"/>
      <c r="B121" s="3502"/>
      <c r="C121" s="3502"/>
      <c r="D121" s="3530" t="s">
        <v>1085</v>
      </c>
      <c r="E121" s="3502"/>
      <c r="F121" s="3515">
        <v>1</v>
      </c>
      <c r="G121" s="19"/>
      <c r="H121" s="3634"/>
      <c r="I121" s="3510"/>
      <c r="J121" s="3801"/>
      <c r="K121" s="3804"/>
      <c r="N121" s="3651"/>
    </row>
    <row r="122" spans="1:22" s="593" customFormat="1" ht="40.5" customHeight="1">
      <c r="A122" s="3501"/>
      <c r="B122" s="3502"/>
      <c r="C122" s="3502"/>
      <c r="D122" s="3530" t="s">
        <v>1086</v>
      </c>
      <c r="E122" s="3502"/>
      <c r="F122" s="3504"/>
      <c r="G122" s="81"/>
      <c r="H122" s="3505"/>
      <c r="I122" s="3506"/>
      <c r="J122" s="3801"/>
      <c r="K122" s="3800"/>
    </row>
    <row r="123" spans="1:22" s="888" customFormat="1" ht="27" customHeight="1">
      <c r="A123" s="3657">
        <v>29</v>
      </c>
      <c r="B123" s="3507">
        <v>786</v>
      </c>
      <c r="C123" s="3507" t="s">
        <v>1087</v>
      </c>
      <c r="D123" s="3507" t="s">
        <v>1088</v>
      </c>
      <c r="E123" s="3507" t="s">
        <v>49</v>
      </c>
      <c r="F123" s="3508">
        <f>ROUND(SUM(F125),3)</f>
        <v>3</v>
      </c>
      <c r="G123" s="5"/>
      <c r="H123" s="2516">
        <f t="shared" ref="H123" si="23">ROUND(F123*G123,2)</f>
        <v>0</v>
      </c>
      <c r="I123" s="3510" t="s">
        <v>112</v>
      </c>
      <c r="J123" s="3719"/>
      <c r="K123" s="3674"/>
      <c r="L123" s="3133"/>
      <c r="M123" s="3133"/>
      <c r="N123" s="3651"/>
      <c r="O123" s="3133"/>
      <c r="P123" s="3133"/>
      <c r="Q123" s="3133"/>
      <c r="R123" s="3133"/>
      <c r="S123" s="3133"/>
      <c r="T123" s="3133"/>
      <c r="U123" s="3133"/>
      <c r="V123" s="3133"/>
    </row>
    <row r="124" spans="1:22" s="888" customFormat="1" ht="13.5" customHeight="1">
      <c r="A124" s="3657"/>
      <c r="B124" s="3507"/>
      <c r="C124" s="3507"/>
      <c r="D124" s="3530" t="s">
        <v>1084</v>
      </c>
      <c r="E124" s="3507"/>
      <c r="F124" s="3540"/>
      <c r="G124" s="5"/>
      <c r="H124" s="3509"/>
      <c r="I124" s="3510"/>
      <c r="J124" s="3801"/>
      <c r="K124" s="3789"/>
      <c r="N124" s="3651"/>
    </row>
    <row r="125" spans="1:22" s="593" customFormat="1" ht="13.5" customHeight="1">
      <c r="A125" s="3632"/>
      <c r="B125" s="3502"/>
      <c r="C125" s="3502"/>
      <c r="D125" s="3530" t="s">
        <v>1085</v>
      </c>
      <c r="E125" s="3502"/>
      <c r="F125" s="3515">
        <v>3</v>
      </c>
      <c r="G125" s="19"/>
      <c r="H125" s="3634"/>
      <c r="I125" s="3510"/>
      <c r="J125" s="71"/>
      <c r="K125" s="3804"/>
      <c r="N125" s="3651"/>
    </row>
    <row r="126" spans="1:22" s="593" customFormat="1" ht="40.5" customHeight="1">
      <c r="A126" s="3501"/>
      <c r="B126" s="3502"/>
      <c r="C126" s="3502"/>
      <c r="D126" s="3530" t="s">
        <v>1086</v>
      </c>
      <c r="E126" s="3502"/>
      <c r="F126" s="3504"/>
      <c r="G126" s="81"/>
      <c r="H126" s="3505"/>
      <c r="I126" s="3506"/>
      <c r="K126" s="3800"/>
    </row>
    <row r="127" spans="1:22" s="888" customFormat="1" ht="27" customHeight="1">
      <c r="A127" s="3657">
        <v>30</v>
      </c>
      <c r="B127" s="3507">
        <v>786</v>
      </c>
      <c r="C127" s="3507" t="s">
        <v>1089</v>
      </c>
      <c r="D127" s="3507" t="s">
        <v>1090</v>
      </c>
      <c r="E127" s="3507" t="s">
        <v>49</v>
      </c>
      <c r="F127" s="3508">
        <f>ROUND(SUM(F129),3)</f>
        <v>1</v>
      </c>
      <c r="G127" s="5"/>
      <c r="H127" s="2516">
        <f t="shared" ref="H127" si="24">ROUND(F127*G127,2)</f>
        <v>0</v>
      </c>
      <c r="I127" s="3510" t="s">
        <v>112</v>
      </c>
      <c r="J127" s="3719"/>
      <c r="K127" s="3674"/>
      <c r="L127" s="3133"/>
      <c r="M127" s="3133"/>
      <c r="N127" s="3651"/>
      <c r="O127" s="3133"/>
      <c r="P127" s="3133"/>
      <c r="Q127" s="3133"/>
      <c r="R127" s="3133"/>
      <c r="S127" s="3133"/>
      <c r="T127" s="3133"/>
      <c r="U127" s="3133"/>
      <c r="V127" s="3133"/>
    </row>
    <row r="128" spans="1:22" s="888" customFormat="1" ht="13.5" customHeight="1">
      <c r="A128" s="3657"/>
      <c r="B128" s="3507"/>
      <c r="C128" s="3507"/>
      <c r="D128" s="3530" t="s">
        <v>1084</v>
      </c>
      <c r="E128" s="3507"/>
      <c r="F128" s="3540"/>
      <c r="G128" s="5"/>
      <c r="H128" s="3509"/>
      <c r="I128" s="3510"/>
      <c r="J128" s="71"/>
      <c r="K128" s="3789"/>
      <c r="N128" s="3651"/>
    </row>
    <row r="129" spans="1:22" s="593" customFormat="1" ht="13.5" customHeight="1">
      <c r="A129" s="3632"/>
      <c r="B129" s="3502"/>
      <c r="C129" s="3502"/>
      <c r="D129" s="3530" t="s">
        <v>1085</v>
      </c>
      <c r="E129" s="3502"/>
      <c r="F129" s="3515">
        <v>1</v>
      </c>
      <c r="G129" s="19"/>
      <c r="H129" s="3634"/>
      <c r="I129" s="3510"/>
      <c r="J129" s="3801"/>
      <c r="K129" s="3804"/>
      <c r="N129" s="3651"/>
    </row>
    <row r="130" spans="1:22" s="593" customFormat="1" ht="40.5" customHeight="1">
      <c r="A130" s="3501"/>
      <c r="B130" s="3502"/>
      <c r="C130" s="3502"/>
      <c r="D130" s="3530" t="s">
        <v>1086</v>
      </c>
      <c r="E130" s="3502"/>
      <c r="F130" s="3504"/>
      <c r="G130" s="81"/>
      <c r="H130" s="3505"/>
      <c r="I130" s="3506"/>
      <c r="J130" s="3801"/>
      <c r="K130" s="3800"/>
    </row>
    <row r="131" spans="1:22" s="888" customFormat="1" ht="27" customHeight="1">
      <c r="A131" s="3657">
        <v>31</v>
      </c>
      <c r="B131" s="3507">
        <v>786</v>
      </c>
      <c r="C131" s="3507" t="s">
        <v>1091</v>
      </c>
      <c r="D131" s="3507" t="s">
        <v>1092</v>
      </c>
      <c r="E131" s="3507" t="s">
        <v>49</v>
      </c>
      <c r="F131" s="3508">
        <f>ROUND(SUM(F133),3)</f>
        <v>1</v>
      </c>
      <c r="G131" s="5"/>
      <c r="H131" s="2516">
        <f t="shared" ref="H131" si="25">ROUND(F131*G131,2)</f>
        <v>0</v>
      </c>
      <c r="I131" s="3510" t="s">
        <v>112</v>
      </c>
      <c r="J131" s="3719"/>
      <c r="K131" s="3674"/>
      <c r="L131" s="3133"/>
      <c r="M131" s="3133"/>
      <c r="N131" s="3651"/>
      <c r="O131" s="3133"/>
      <c r="P131" s="3133"/>
      <c r="Q131" s="3133"/>
      <c r="R131" s="3133"/>
      <c r="S131" s="3133"/>
      <c r="T131" s="3133"/>
      <c r="U131" s="3133"/>
      <c r="V131" s="3133"/>
    </row>
    <row r="132" spans="1:22" s="888" customFormat="1" ht="13.5" customHeight="1">
      <c r="A132" s="3657"/>
      <c r="B132" s="3507"/>
      <c r="C132" s="3507"/>
      <c r="D132" s="3530" t="s">
        <v>1084</v>
      </c>
      <c r="E132" s="3507"/>
      <c r="F132" s="3540"/>
      <c r="G132" s="5"/>
      <c r="H132" s="3509"/>
      <c r="I132" s="3510"/>
      <c r="K132" s="3789"/>
      <c r="N132" s="3651"/>
    </row>
    <row r="133" spans="1:22" s="593" customFormat="1" ht="13.5" customHeight="1">
      <c r="A133" s="3632"/>
      <c r="B133" s="3502"/>
      <c r="C133" s="3502"/>
      <c r="D133" s="3530" t="s">
        <v>1085</v>
      </c>
      <c r="E133" s="3502"/>
      <c r="F133" s="3515">
        <v>1</v>
      </c>
      <c r="G133" s="19"/>
      <c r="H133" s="3634"/>
      <c r="I133" s="3510"/>
      <c r="J133" s="71"/>
      <c r="K133" s="3804"/>
      <c r="N133" s="3651"/>
    </row>
    <row r="134" spans="1:22" s="593" customFormat="1" ht="40.5" customHeight="1">
      <c r="A134" s="3501"/>
      <c r="B134" s="3502"/>
      <c r="C134" s="3502"/>
      <c r="D134" s="3530" t="s">
        <v>1086</v>
      </c>
      <c r="E134" s="3502"/>
      <c r="F134" s="3504"/>
      <c r="G134" s="81"/>
      <c r="H134" s="3505"/>
      <c r="I134" s="3506"/>
      <c r="J134" s="3801"/>
      <c r="K134" s="3800"/>
    </row>
    <row r="135" spans="1:22" s="593" customFormat="1" ht="13.5" customHeight="1">
      <c r="A135" s="3555">
        <v>32</v>
      </c>
      <c r="B135" s="3539" t="s">
        <v>1093</v>
      </c>
      <c r="C135" s="3507" t="s">
        <v>1094</v>
      </c>
      <c r="D135" s="3507" t="s">
        <v>1095</v>
      </c>
      <c r="E135" s="3556" t="s">
        <v>163</v>
      </c>
      <c r="F135" s="3540">
        <f>ROUND(SUM(F139:F146),3)</f>
        <v>185.94</v>
      </c>
      <c r="G135" s="3615"/>
      <c r="H135" s="2231">
        <f>ROUND(F135*G135,2)</f>
        <v>0</v>
      </c>
      <c r="I135" s="3510" t="s">
        <v>112</v>
      </c>
      <c r="J135" s="3559"/>
      <c r="K135" s="3803"/>
      <c r="L135" s="3560"/>
      <c r="M135" s="3561"/>
    </row>
    <row r="136" spans="1:22" s="888" customFormat="1" ht="27" customHeight="1">
      <c r="A136" s="3562"/>
      <c r="B136" s="3539"/>
      <c r="C136" s="3507"/>
      <c r="D136" s="3514" t="s">
        <v>1096</v>
      </c>
      <c r="E136" s="3507"/>
      <c r="F136" s="3515"/>
      <c r="G136" s="6"/>
      <c r="H136" s="3532"/>
      <c r="I136" s="3721"/>
      <c r="J136" s="84"/>
      <c r="K136" s="3550"/>
      <c r="L136" s="889"/>
      <c r="M136" s="889"/>
      <c r="N136" s="889"/>
      <c r="O136" s="889"/>
      <c r="P136" s="889"/>
      <c r="Q136" s="889"/>
      <c r="R136" s="889"/>
      <c r="S136" s="889"/>
    </row>
    <row r="137" spans="1:22" s="888" customFormat="1" ht="13.5" customHeight="1">
      <c r="A137" s="3562"/>
      <c r="B137" s="3539"/>
      <c r="C137" s="3507"/>
      <c r="D137" s="3514" t="s">
        <v>1097</v>
      </c>
      <c r="E137" s="3507"/>
      <c r="F137" s="3515"/>
      <c r="G137" s="6"/>
      <c r="H137" s="3532"/>
      <c r="I137" s="3722"/>
      <c r="J137" s="3801"/>
      <c r="K137" s="3802"/>
      <c r="L137" s="1204"/>
      <c r="M137" s="1204"/>
      <c r="N137" s="1204"/>
      <c r="O137" s="1204"/>
      <c r="P137" s="1204"/>
      <c r="Q137" s="1204"/>
      <c r="R137" s="3134"/>
      <c r="S137" s="2668"/>
    </row>
    <row r="138" spans="1:22" s="888" customFormat="1" ht="13.5" customHeight="1">
      <c r="A138" s="3562"/>
      <c r="B138" s="3539"/>
      <c r="C138" s="3507"/>
      <c r="D138" s="3514" t="s">
        <v>1027</v>
      </c>
      <c r="E138" s="3507"/>
      <c r="F138" s="3515"/>
      <c r="G138" s="6"/>
      <c r="H138" s="3532"/>
      <c r="I138" s="3722"/>
      <c r="J138" s="3801"/>
      <c r="K138" s="3802"/>
      <c r="L138" s="1204"/>
      <c r="M138" s="1204"/>
      <c r="N138" s="1204"/>
      <c r="O138" s="1204"/>
      <c r="P138" s="1204"/>
      <c r="Q138" s="1204"/>
      <c r="R138" s="3134"/>
      <c r="S138" s="2668"/>
    </row>
    <row r="139" spans="1:22" s="888" customFormat="1" ht="13.5" customHeight="1">
      <c r="A139" s="3562"/>
      <c r="B139" s="3539"/>
      <c r="C139" s="3507"/>
      <c r="D139" s="3514" t="s">
        <v>1098</v>
      </c>
      <c r="E139" s="3507"/>
      <c r="F139" s="3515">
        <f>(1.2*1.8)*3</f>
        <v>6.48</v>
      </c>
      <c r="G139" s="6"/>
      <c r="H139" s="3532"/>
      <c r="I139" s="3722"/>
      <c r="J139" s="3801"/>
      <c r="K139" s="3802"/>
      <c r="L139" s="1204"/>
      <c r="M139" s="1204"/>
      <c r="N139" s="1204"/>
      <c r="O139" s="1204"/>
      <c r="P139" s="1204"/>
      <c r="Q139" s="1204"/>
      <c r="R139" s="3134"/>
      <c r="S139" s="2668"/>
    </row>
    <row r="140" spans="1:22" s="888" customFormat="1" ht="13.5" customHeight="1">
      <c r="A140" s="3562"/>
      <c r="B140" s="3539"/>
      <c r="C140" s="3507"/>
      <c r="D140" s="3514" t="s">
        <v>1099</v>
      </c>
      <c r="E140" s="3507"/>
      <c r="F140" s="3515">
        <f>(2.4*1.8)*6</f>
        <v>25.92</v>
      </c>
      <c r="G140" s="6"/>
      <c r="H140" s="3532"/>
      <c r="I140" s="3722"/>
      <c r="J140" s="3801"/>
      <c r="K140" s="3802"/>
      <c r="L140" s="1204"/>
      <c r="M140" s="1204"/>
      <c r="N140" s="1204"/>
      <c r="O140" s="1204"/>
      <c r="P140" s="1204"/>
      <c r="Q140" s="1204"/>
      <c r="R140" s="3134"/>
      <c r="S140" s="2668"/>
    </row>
    <row r="141" spans="1:22" s="888" customFormat="1" ht="13.5" customHeight="1">
      <c r="A141" s="3562"/>
      <c r="B141" s="3539"/>
      <c r="C141" s="3507"/>
      <c r="D141" s="3514" t="s">
        <v>1100</v>
      </c>
      <c r="E141" s="3507"/>
      <c r="F141" s="3515">
        <f>(2.4*1.8)*2</f>
        <v>8.64</v>
      </c>
      <c r="G141" s="6"/>
      <c r="H141" s="3532"/>
      <c r="I141" s="3722"/>
      <c r="J141" s="3801"/>
      <c r="K141" s="3802"/>
      <c r="L141" s="1204"/>
      <c r="M141" s="1204"/>
      <c r="N141" s="1204"/>
      <c r="O141" s="1204"/>
      <c r="P141" s="1204"/>
      <c r="Q141" s="1204"/>
      <c r="R141" s="3134"/>
      <c r="S141" s="2668"/>
    </row>
    <row r="142" spans="1:22" s="888" customFormat="1" ht="13.5" customHeight="1">
      <c r="A142" s="3562"/>
      <c r="B142" s="3539"/>
      <c r="C142" s="3507"/>
      <c r="D142" s="3514" t="s">
        <v>1101</v>
      </c>
      <c r="E142" s="3507"/>
      <c r="F142" s="3515">
        <f>(2.4*2.1)*6</f>
        <v>30.240000000000002</v>
      </c>
      <c r="G142" s="6"/>
      <c r="H142" s="3532"/>
      <c r="I142" s="3722"/>
      <c r="J142" s="3801"/>
      <c r="K142" s="3802"/>
      <c r="L142" s="1204"/>
      <c r="M142" s="1204"/>
      <c r="N142" s="1204"/>
      <c r="O142" s="1204"/>
      <c r="P142" s="1204"/>
      <c r="Q142" s="1204"/>
      <c r="R142" s="3134"/>
      <c r="S142" s="2668"/>
    </row>
    <row r="143" spans="1:22" s="888" customFormat="1" ht="13.5" customHeight="1">
      <c r="A143" s="3562"/>
      <c r="B143" s="3539"/>
      <c r="C143" s="3507"/>
      <c r="D143" s="3514" t="s">
        <v>1058</v>
      </c>
      <c r="E143" s="3507"/>
      <c r="F143" s="3515"/>
      <c r="G143" s="6"/>
      <c r="H143" s="3532"/>
      <c r="I143" s="3722"/>
      <c r="J143" s="3801"/>
      <c r="K143" s="3802"/>
      <c r="L143" s="1204"/>
      <c r="M143" s="1204"/>
      <c r="N143" s="1204"/>
      <c r="O143" s="1204"/>
      <c r="P143" s="1204"/>
      <c r="Q143" s="1204"/>
      <c r="R143" s="3134"/>
      <c r="S143" s="2668"/>
    </row>
    <row r="144" spans="1:22" s="888" customFormat="1" ht="13.5" customHeight="1">
      <c r="A144" s="3562"/>
      <c r="B144" s="3539"/>
      <c r="C144" s="3507"/>
      <c r="D144" s="3514" t="s">
        <v>1102</v>
      </c>
      <c r="E144" s="3507"/>
      <c r="F144" s="3515">
        <f>(2.4*2.1)*21</f>
        <v>105.84</v>
      </c>
      <c r="G144" s="6"/>
      <c r="H144" s="3532"/>
      <c r="I144" s="3722"/>
      <c r="J144" s="3801"/>
      <c r="K144" s="3802"/>
      <c r="L144" s="1204"/>
      <c r="M144" s="1204"/>
      <c r="N144" s="1204"/>
      <c r="O144" s="1204"/>
      <c r="P144" s="1204"/>
      <c r="Q144" s="1204"/>
      <c r="R144" s="3134"/>
      <c r="S144" s="2668"/>
    </row>
    <row r="145" spans="1:63" s="888" customFormat="1" ht="13.5" customHeight="1">
      <c r="A145" s="3562"/>
      <c r="B145" s="3539"/>
      <c r="C145" s="3507"/>
      <c r="D145" s="3514" t="s">
        <v>1103</v>
      </c>
      <c r="E145" s="3507"/>
      <c r="F145" s="3515">
        <f>(0.9*2.1)*2</f>
        <v>3.7800000000000002</v>
      </c>
      <c r="G145" s="6"/>
      <c r="H145" s="3532"/>
      <c r="I145" s="3722"/>
      <c r="J145" s="3801"/>
      <c r="K145" s="3802"/>
      <c r="L145" s="1204"/>
      <c r="M145" s="1204"/>
      <c r="N145" s="1204"/>
      <c r="O145" s="1204"/>
      <c r="P145" s="1204"/>
      <c r="Q145" s="1204"/>
      <c r="R145" s="3134"/>
      <c r="S145" s="2668"/>
    </row>
    <row r="146" spans="1:63" s="888" customFormat="1" ht="13.5" customHeight="1">
      <c r="A146" s="3562"/>
      <c r="B146" s="3539"/>
      <c r="C146" s="3507"/>
      <c r="D146" s="3514" t="s">
        <v>1104</v>
      </c>
      <c r="E146" s="3507"/>
      <c r="F146" s="3515">
        <f>(1.2*2.1)*2</f>
        <v>5.04</v>
      </c>
      <c r="G146" s="6"/>
      <c r="H146" s="3532"/>
      <c r="I146" s="3722"/>
      <c r="J146" s="3801"/>
      <c r="K146" s="3802"/>
      <c r="L146" s="1204"/>
      <c r="M146" s="1204"/>
      <c r="N146" s="1204"/>
      <c r="O146" s="1204"/>
      <c r="P146" s="1204"/>
      <c r="Q146" s="1204"/>
      <c r="R146" s="3134"/>
      <c r="S146" s="2668"/>
    </row>
    <row r="147" spans="1:63" s="888" customFormat="1" ht="27" customHeight="1">
      <c r="A147" s="3562"/>
      <c r="B147" s="3539"/>
      <c r="C147" s="3507"/>
      <c r="D147" s="3514" t="s">
        <v>1105</v>
      </c>
      <c r="E147" s="3507"/>
      <c r="F147" s="3515"/>
      <c r="G147" s="6"/>
      <c r="H147" s="3532"/>
      <c r="I147" s="3721"/>
      <c r="J147" s="84"/>
      <c r="K147" s="3550"/>
      <c r="L147" s="889"/>
      <c r="M147" s="889"/>
      <c r="N147" s="889"/>
      <c r="O147" s="889"/>
      <c r="P147" s="889"/>
      <c r="Q147" s="889"/>
      <c r="R147" s="889"/>
      <c r="S147" s="889"/>
    </row>
    <row r="148" spans="1:63" s="888" customFormat="1" ht="40.5" customHeight="1">
      <c r="A148" s="3562"/>
      <c r="B148" s="3539"/>
      <c r="C148" s="3507"/>
      <c r="D148" s="3514" t="s">
        <v>1106</v>
      </c>
      <c r="E148" s="3507"/>
      <c r="F148" s="3515"/>
      <c r="G148" s="6"/>
      <c r="H148" s="3532"/>
      <c r="I148" s="3721"/>
      <c r="J148" s="84"/>
      <c r="K148" s="3550"/>
      <c r="L148" s="889"/>
      <c r="M148" s="889"/>
      <c r="N148" s="889"/>
      <c r="O148" s="889"/>
      <c r="P148" s="889"/>
      <c r="Q148" s="889"/>
      <c r="R148" s="889"/>
      <c r="S148" s="889"/>
    </row>
    <row r="149" spans="1:63" s="888" customFormat="1" ht="13.5" customHeight="1">
      <c r="A149" s="3562"/>
      <c r="B149" s="3539"/>
      <c r="C149" s="3507"/>
      <c r="D149" s="3514" t="s">
        <v>1107</v>
      </c>
      <c r="E149" s="3507"/>
      <c r="F149" s="3515"/>
      <c r="G149" s="6"/>
      <c r="H149" s="3532"/>
      <c r="I149" s="3722"/>
      <c r="J149" s="3801"/>
      <c r="K149" s="3802"/>
      <c r="L149" s="1204"/>
      <c r="M149" s="1204"/>
      <c r="N149" s="1204"/>
      <c r="O149" s="1204"/>
      <c r="P149" s="1204"/>
      <c r="Q149" s="1204"/>
      <c r="R149" s="3134"/>
      <c r="S149" s="2668"/>
    </row>
    <row r="150" spans="1:63" s="888" customFormat="1" ht="13.5" customHeight="1">
      <c r="A150" s="3562"/>
      <c r="B150" s="3539"/>
      <c r="C150" s="3507"/>
      <c r="D150" s="3805" t="s">
        <v>1108</v>
      </c>
      <c r="E150" s="3507"/>
      <c r="F150" s="3515"/>
      <c r="G150" s="6"/>
      <c r="H150" s="3532"/>
      <c r="I150" s="3722"/>
      <c r="J150" s="3801"/>
      <c r="K150" s="3802"/>
      <c r="L150" s="1204"/>
      <c r="M150" s="1204"/>
      <c r="N150" s="1204"/>
      <c r="O150" s="1204"/>
      <c r="P150" s="1204"/>
      <c r="Q150" s="1204"/>
      <c r="R150" s="3134"/>
      <c r="S150" s="2668"/>
    </row>
    <row r="151" spans="1:63" s="888" customFormat="1" ht="13.5" customHeight="1">
      <c r="A151" s="3657">
        <v>33</v>
      </c>
      <c r="B151" s="3507">
        <v>786</v>
      </c>
      <c r="C151" s="3507">
        <v>998786202</v>
      </c>
      <c r="D151" s="3507" t="s">
        <v>1109</v>
      </c>
      <c r="E151" s="3507" t="s">
        <v>10</v>
      </c>
      <c r="F151" s="3540">
        <v>0.23</v>
      </c>
      <c r="G151" s="5"/>
      <c r="H151" s="2516">
        <f t="shared" ref="H151:H152" si="26">ROUND(F151*G151,2)</f>
        <v>0</v>
      </c>
      <c r="I151" s="3510" t="s">
        <v>137</v>
      </c>
      <c r="J151" s="84"/>
      <c r="K151" s="3806"/>
    </row>
    <row r="152" spans="1:63" s="888" customFormat="1" ht="13.5" customHeight="1">
      <c r="A152" s="3657">
        <v>34</v>
      </c>
      <c r="B152" s="3507" t="s">
        <v>362</v>
      </c>
      <c r="C152" s="3507" t="s">
        <v>843</v>
      </c>
      <c r="D152" s="3507" t="s">
        <v>844</v>
      </c>
      <c r="E152" s="3507" t="s">
        <v>69</v>
      </c>
      <c r="F152" s="3540">
        <f>F153</f>
        <v>15</v>
      </c>
      <c r="G152" s="5"/>
      <c r="H152" s="2516">
        <f t="shared" si="26"/>
        <v>0</v>
      </c>
      <c r="I152" s="3510" t="s">
        <v>137</v>
      </c>
      <c r="J152" s="3801"/>
      <c r="K152" s="3789"/>
    </row>
    <row r="153" spans="1:63" s="888" customFormat="1" ht="13.5" customHeight="1">
      <c r="A153" s="3807"/>
      <c r="B153" s="3594"/>
      <c r="C153" s="3594"/>
      <c r="D153" s="3514" t="s">
        <v>1110</v>
      </c>
      <c r="E153" s="3594"/>
      <c r="F153" s="3515">
        <v>15</v>
      </c>
      <c r="G153" s="16"/>
      <c r="H153" s="3509"/>
      <c r="I153" s="3506"/>
      <c r="J153" s="3801"/>
      <c r="K153" s="3789"/>
    </row>
    <row r="154" spans="1:63" s="888" customFormat="1" ht="13.5" customHeight="1">
      <c r="A154" s="3807"/>
      <c r="B154" s="3594"/>
      <c r="C154" s="3594"/>
      <c r="D154" s="3514" t="s">
        <v>526</v>
      </c>
      <c r="E154" s="3594"/>
      <c r="F154" s="3515"/>
      <c r="G154" s="3808"/>
      <c r="H154" s="3509"/>
      <c r="I154" s="3506"/>
      <c r="J154" s="71"/>
      <c r="K154" s="3789"/>
    </row>
    <row r="155" spans="1:63" s="888" customFormat="1" ht="13.5" customHeight="1">
      <c r="A155" s="3688"/>
      <c r="B155" s="3203"/>
      <c r="C155" s="3203"/>
      <c r="D155" s="3727"/>
      <c r="E155" s="3203"/>
      <c r="F155" s="3809"/>
      <c r="G155" s="3690"/>
      <c r="H155" s="3691"/>
      <c r="K155" s="3789"/>
    </row>
    <row r="156" spans="1:63" s="888" customFormat="1" ht="21" customHeight="1">
      <c r="A156" s="3187"/>
      <c r="B156" s="3188"/>
      <c r="C156" s="3188"/>
      <c r="D156" s="3188" t="s">
        <v>0</v>
      </c>
      <c r="E156" s="3188"/>
      <c r="F156" s="3596"/>
      <c r="G156" s="3190"/>
      <c r="H156" s="3190">
        <f>H8</f>
        <v>0</v>
      </c>
      <c r="J156" s="71"/>
      <c r="K156" s="3550"/>
      <c r="L156" s="889"/>
      <c r="M156" s="889"/>
      <c r="N156" s="889"/>
      <c r="O156" s="889"/>
      <c r="P156" s="889"/>
      <c r="Q156" s="889"/>
      <c r="R156" s="889"/>
      <c r="S156" s="889"/>
      <c r="T156" s="889"/>
      <c r="U156" s="889"/>
      <c r="V156" s="889"/>
      <c r="W156" s="889"/>
      <c r="X156" s="889"/>
      <c r="Y156" s="889"/>
      <c r="Z156" s="889"/>
      <c r="AA156" s="889"/>
      <c r="AB156" s="889"/>
      <c r="AC156" s="889"/>
      <c r="AD156" s="889"/>
      <c r="AE156" s="889"/>
      <c r="AF156" s="889"/>
      <c r="AG156" s="889"/>
      <c r="AH156" s="889"/>
      <c r="AI156" s="889"/>
      <c r="AJ156" s="889"/>
      <c r="AK156" s="889"/>
      <c r="AL156" s="889"/>
      <c r="AM156" s="889"/>
      <c r="AN156" s="889"/>
      <c r="AO156" s="889"/>
      <c r="AP156" s="889"/>
      <c r="AQ156" s="889"/>
      <c r="AR156" s="889"/>
      <c r="AS156" s="889"/>
      <c r="AT156" s="889"/>
      <c r="AU156" s="889"/>
      <c r="AV156" s="889"/>
      <c r="AW156" s="889"/>
      <c r="AX156" s="889"/>
      <c r="AY156" s="889"/>
      <c r="AZ156" s="889"/>
      <c r="BA156" s="889"/>
      <c r="BB156" s="889"/>
      <c r="BC156" s="889"/>
      <c r="BD156" s="889"/>
      <c r="BE156" s="889"/>
      <c r="BF156" s="889"/>
      <c r="BG156" s="889"/>
      <c r="BH156" s="889"/>
      <c r="BI156" s="889"/>
      <c r="BJ156" s="889"/>
      <c r="BK156" s="889"/>
    </row>
    <row r="157" spans="1:63">
      <c r="G157" s="3600"/>
      <c r="J157" s="3801"/>
      <c r="K157" s="3789"/>
      <c r="M157" s="888"/>
      <c r="N157" s="888"/>
      <c r="O157" s="888"/>
      <c r="P157" s="888"/>
      <c r="Q157" s="888"/>
      <c r="R157" s="888"/>
      <c r="S157" s="888"/>
      <c r="T157" s="888"/>
      <c r="U157" s="888"/>
      <c r="V157" s="888"/>
      <c r="W157" s="888"/>
      <c r="X157" s="888"/>
      <c r="Y157" s="888"/>
      <c r="Z157" s="888"/>
      <c r="AA157" s="888"/>
      <c r="AB157" s="888"/>
      <c r="AC157" s="888"/>
      <c r="AD157" s="888"/>
      <c r="AE157" s="888"/>
      <c r="AF157" s="888"/>
      <c r="AG157" s="888"/>
      <c r="AH157" s="888"/>
      <c r="AI157" s="888"/>
      <c r="AJ157" s="888"/>
      <c r="AK157" s="888"/>
      <c r="AL157" s="888"/>
      <c r="AM157" s="888"/>
      <c r="AN157" s="888"/>
      <c r="AO157" s="888"/>
      <c r="AP157" s="888"/>
      <c r="AQ157" s="888"/>
      <c r="AR157" s="888"/>
      <c r="AS157" s="888"/>
      <c r="AT157" s="888"/>
      <c r="AU157" s="888"/>
      <c r="AV157" s="888"/>
      <c r="AW157" s="888"/>
      <c r="AX157" s="888"/>
      <c r="AY157" s="888"/>
      <c r="AZ157" s="888"/>
      <c r="BA157" s="888"/>
      <c r="BB157" s="888"/>
      <c r="BC157" s="888"/>
      <c r="BD157" s="888"/>
      <c r="BE157" s="888"/>
      <c r="BF157" s="888"/>
      <c r="BG157" s="888"/>
      <c r="BH157" s="888"/>
      <c r="BI157" s="888"/>
      <c r="BJ157" s="888"/>
      <c r="BK157" s="888"/>
    </row>
    <row r="158" spans="1:63" ht="13.5" customHeight="1">
      <c r="A158" s="5169" t="s">
        <v>862</v>
      </c>
      <c r="B158" s="5201"/>
      <c r="C158" s="5202"/>
      <c r="D158" s="3196" t="s">
        <v>1111</v>
      </c>
      <c r="E158" s="3197"/>
      <c r="F158" s="3601"/>
      <c r="G158" s="3602"/>
      <c r="H158" s="3200">
        <f>H156</f>
        <v>0</v>
      </c>
      <c r="J158" s="3801"/>
      <c r="K158" s="3810"/>
    </row>
    <row r="159" spans="1:63">
      <c r="G159" s="3600"/>
      <c r="K159" s="3811"/>
      <c r="M159" s="3604"/>
      <c r="N159" s="3605"/>
      <c r="O159" s="3606"/>
      <c r="P159" s="3607"/>
      <c r="Q159" s="3499"/>
      <c r="R159" s="3499"/>
      <c r="S159" s="888"/>
      <c r="T159" s="3496"/>
      <c r="U159" s="3497"/>
      <c r="V159" s="3604"/>
      <c r="W159" s="3605"/>
      <c r="X159" s="3606"/>
      <c r="Y159" s="3607"/>
      <c r="Z159" s="3499"/>
      <c r="AA159" s="3499"/>
      <c r="AB159" s="888"/>
      <c r="AC159" s="3496"/>
      <c r="AD159" s="3497"/>
      <c r="AE159" s="3604"/>
      <c r="AF159" s="3605"/>
      <c r="AG159" s="3606"/>
      <c r="AH159" s="3607"/>
      <c r="AI159" s="3499"/>
      <c r="AJ159" s="3499"/>
      <c r="AK159" s="888"/>
      <c r="AL159" s="3496"/>
      <c r="AM159" s="3497"/>
      <c r="AN159" s="3604"/>
      <c r="AO159" s="3605"/>
      <c r="AP159" s="3606"/>
      <c r="AQ159" s="3607"/>
      <c r="AR159" s="3499"/>
      <c r="AS159" s="3499"/>
      <c r="AT159" s="888"/>
      <c r="AU159" s="3496"/>
      <c r="AV159" s="3497"/>
      <c r="AW159" s="3604"/>
      <c r="AX159" s="3605"/>
      <c r="AY159" s="3606"/>
      <c r="AZ159" s="3607"/>
      <c r="BA159" s="3499"/>
      <c r="BB159" s="3499"/>
      <c r="BC159" s="888"/>
      <c r="BD159" s="3496"/>
      <c r="BE159" s="3497"/>
      <c r="BF159" s="3604"/>
      <c r="BG159" s="3605"/>
      <c r="BH159" s="3606"/>
      <c r="BI159" s="3607"/>
      <c r="BJ159" s="3499"/>
      <c r="BK159" s="3499"/>
    </row>
    <row r="160" spans="1:63">
      <c r="A160" s="689" t="s">
        <v>1</v>
      </c>
      <c r="B160" s="1977"/>
      <c r="C160" s="689"/>
      <c r="D160" s="689"/>
      <c r="E160" s="689"/>
      <c r="F160" s="876"/>
      <c r="G160" s="689"/>
      <c r="H160" s="689"/>
      <c r="I160" s="2668"/>
      <c r="J160" s="71"/>
      <c r="K160" s="3812"/>
      <c r="M160" s="3604"/>
      <c r="N160" s="3605"/>
      <c r="O160" s="3606"/>
      <c r="P160" s="3607"/>
      <c r="Q160" s="3499"/>
      <c r="R160" s="3499"/>
      <c r="S160" s="888"/>
      <c r="T160" s="3496"/>
      <c r="U160" s="3497"/>
      <c r="V160" s="3604"/>
      <c r="W160" s="3605"/>
      <c r="X160" s="3606"/>
      <c r="Y160" s="3607"/>
      <c r="Z160" s="3499"/>
      <c r="AA160" s="3499"/>
      <c r="AB160" s="888"/>
      <c r="AC160" s="3496"/>
      <c r="AD160" s="3497"/>
      <c r="AE160" s="3604"/>
      <c r="AF160" s="3605"/>
      <c r="AG160" s="3606"/>
      <c r="AH160" s="3607"/>
      <c r="AI160" s="3499"/>
      <c r="AJ160" s="3499"/>
      <c r="AK160" s="888"/>
      <c r="AL160" s="3496"/>
      <c r="AM160" s="3497"/>
      <c r="AN160" s="3604"/>
      <c r="AO160" s="3605"/>
      <c r="AP160" s="3606"/>
      <c r="AQ160" s="3607"/>
      <c r="AR160" s="3499"/>
      <c r="AS160" s="3499"/>
      <c r="AT160" s="888"/>
      <c r="AU160" s="3496"/>
      <c r="AV160" s="3497"/>
      <c r="AW160" s="3604"/>
      <c r="AX160" s="3605"/>
      <c r="AY160" s="3606"/>
      <c r="AZ160" s="3607"/>
      <c r="BA160" s="3499"/>
      <c r="BB160" s="3499"/>
      <c r="BC160" s="888"/>
      <c r="BD160" s="3496"/>
      <c r="BE160" s="3497"/>
      <c r="BF160" s="3604"/>
      <c r="BG160" s="3605"/>
      <c r="BH160" s="3606"/>
      <c r="BI160" s="3607"/>
      <c r="BJ160" s="3499"/>
      <c r="BK160" s="3499"/>
    </row>
    <row r="161" spans="1:63" ht="27" customHeight="1">
      <c r="A161" s="5159" t="s">
        <v>1112</v>
      </c>
      <c r="B161" s="5172"/>
      <c r="C161" s="5172"/>
      <c r="D161" s="5172"/>
      <c r="E161" s="5172"/>
      <c r="F161" s="5172"/>
      <c r="G161" s="5172"/>
      <c r="H161" s="689"/>
      <c r="I161" s="3151"/>
      <c r="J161" s="3801"/>
      <c r="K161" s="85"/>
      <c r="M161" s="3604"/>
      <c r="N161" s="3605"/>
      <c r="O161" s="3606"/>
      <c r="P161" s="3607"/>
      <c r="Q161" s="3499"/>
      <c r="R161" s="3499"/>
      <c r="S161" s="888"/>
      <c r="T161" s="3496"/>
      <c r="U161" s="3497"/>
      <c r="V161" s="3604"/>
      <c r="W161" s="3605"/>
      <c r="X161" s="3606"/>
      <c r="Y161" s="3607"/>
      <c r="Z161" s="3499"/>
      <c r="AA161" s="3499"/>
      <c r="AB161" s="888"/>
      <c r="AC161" s="3496"/>
      <c r="AD161" s="3497"/>
      <c r="AE161" s="3604"/>
      <c r="AF161" s="3605"/>
      <c r="AG161" s="3606"/>
      <c r="AH161" s="3607"/>
      <c r="AI161" s="3499"/>
      <c r="AJ161" s="3499"/>
      <c r="AK161" s="888"/>
      <c r="AL161" s="3496"/>
      <c r="AM161" s="3497"/>
      <c r="AN161" s="3604"/>
      <c r="AO161" s="3605"/>
      <c r="AP161" s="3606"/>
      <c r="AQ161" s="3607"/>
      <c r="AR161" s="3499"/>
      <c r="AS161" s="3499"/>
      <c r="AT161" s="888"/>
      <c r="AU161" s="3496"/>
      <c r="AV161" s="3497"/>
      <c r="AW161" s="3604"/>
      <c r="AX161" s="3605"/>
      <c r="AY161" s="3606"/>
      <c r="AZ161" s="3607"/>
      <c r="BA161" s="3499"/>
      <c r="BB161" s="3499"/>
      <c r="BC161" s="888"/>
      <c r="BD161" s="3496"/>
      <c r="BE161" s="3497"/>
      <c r="BF161" s="3604"/>
      <c r="BG161" s="3605"/>
      <c r="BH161" s="3606"/>
      <c r="BI161" s="3607"/>
      <c r="BJ161" s="3499"/>
      <c r="BK161" s="3499"/>
    </row>
    <row r="162" spans="1:63" ht="90" customHeight="1">
      <c r="A162" s="5159" t="s">
        <v>1113</v>
      </c>
      <c r="B162" s="5173"/>
      <c r="C162" s="5173"/>
      <c r="D162" s="5173"/>
      <c r="E162" s="5173"/>
      <c r="F162" s="5173"/>
      <c r="G162" s="5173"/>
      <c r="H162" s="689"/>
      <c r="I162" s="689"/>
      <c r="J162" s="3801"/>
      <c r="K162" s="3810"/>
      <c r="M162" s="3604"/>
      <c r="N162" s="3605"/>
      <c r="O162" s="3606"/>
      <c r="P162" s="3607"/>
      <c r="Q162" s="3499"/>
      <c r="R162" s="3499"/>
      <c r="S162" s="888"/>
      <c r="T162" s="3496"/>
      <c r="U162" s="3497"/>
      <c r="V162" s="3604"/>
      <c r="W162" s="3605"/>
      <c r="X162" s="3606"/>
      <c r="Y162" s="3607"/>
      <c r="Z162" s="3499"/>
      <c r="AA162" s="3499"/>
      <c r="AB162" s="888"/>
      <c r="AC162" s="3496"/>
      <c r="AD162" s="3497"/>
      <c r="AE162" s="3604"/>
      <c r="AF162" s="3605"/>
      <c r="AG162" s="3606"/>
      <c r="AH162" s="3607"/>
      <c r="AI162" s="3499"/>
      <c r="AJ162" s="3499"/>
      <c r="AK162" s="888"/>
      <c r="AL162" s="3496"/>
      <c r="AM162" s="3497"/>
      <c r="AN162" s="3604"/>
      <c r="AO162" s="3605"/>
      <c r="AP162" s="3606"/>
      <c r="AQ162" s="3607"/>
      <c r="AR162" s="3499"/>
      <c r="AS162" s="3499"/>
      <c r="AT162" s="888"/>
      <c r="AU162" s="3496"/>
      <c r="AV162" s="3497"/>
      <c r="AW162" s="3604"/>
      <c r="AX162" s="3605"/>
      <c r="AY162" s="3606"/>
      <c r="AZ162" s="3607"/>
      <c r="BA162" s="3499"/>
      <c r="BB162" s="3499"/>
      <c r="BC162" s="888"/>
      <c r="BD162" s="3496"/>
      <c r="BE162" s="3497"/>
      <c r="BF162" s="3604"/>
      <c r="BG162" s="3605"/>
      <c r="BH162" s="3606"/>
      <c r="BI162" s="3607"/>
      <c r="BJ162" s="3499"/>
      <c r="BK162" s="3499"/>
    </row>
    <row r="163" spans="1:63">
      <c r="A163" s="5159" t="s">
        <v>105</v>
      </c>
      <c r="B163" s="5174"/>
      <c r="C163" s="5174"/>
      <c r="D163" s="5174"/>
      <c r="E163" s="5174"/>
      <c r="F163" s="5174"/>
      <c r="G163" s="5174"/>
      <c r="H163" s="691"/>
      <c r="I163" s="691"/>
      <c r="J163" s="71"/>
      <c r="K163" s="3810"/>
      <c r="M163" s="3604"/>
      <c r="N163" s="3605"/>
      <c r="O163" s="3606"/>
      <c r="P163" s="3607"/>
      <c r="Q163" s="3499"/>
      <c r="R163" s="3499"/>
      <c r="S163" s="888"/>
      <c r="T163" s="3496"/>
      <c r="U163" s="3497"/>
      <c r="V163" s="3604"/>
      <c r="W163" s="3605"/>
      <c r="X163" s="3606"/>
      <c r="Y163" s="3607"/>
      <c r="Z163" s="3499"/>
      <c r="AA163" s="3499"/>
      <c r="AB163" s="888"/>
      <c r="AC163" s="3496"/>
      <c r="AD163" s="3497"/>
      <c r="AE163" s="3604"/>
      <c r="AF163" s="3605"/>
      <c r="AG163" s="3606"/>
      <c r="AH163" s="3607"/>
      <c r="AI163" s="3499"/>
      <c r="AJ163" s="3499"/>
      <c r="AK163" s="888"/>
      <c r="AL163" s="3496"/>
      <c r="AM163" s="3497"/>
      <c r="AN163" s="3604"/>
      <c r="AO163" s="3605"/>
      <c r="AP163" s="3606"/>
      <c r="AQ163" s="3607"/>
      <c r="AR163" s="3499"/>
      <c r="AS163" s="3499"/>
      <c r="AT163" s="888"/>
      <c r="AU163" s="3496"/>
      <c r="AV163" s="3497"/>
      <c r="AW163" s="3604"/>
      <c r="AX163" s="3605"/>
      <c r="AY163" s="3606"/>
      <c r="AZ163" s="3607"/>
      <c r="BA163" s="3499"/>
      <c r="BB163" s="3499"/>
      <c r="BC163" s="888"/>
      <c r="BD163" s="3496"/>
      <c r="BE163" s="3497"/>
      <c r="BF163" s="3604"/>
      <c r="BG163" s="3605"/>
      <c r="BH163" s="3606"/>
      <c r="BI163" s="3607"/>
      <c r="BJ163" s="3499"/>
      <c r="BK163" s="3499"/>
    </row>
    <row r="164" spans="1:63">
      <c r="A164" s="5159" t="s">
        <v>106</v>
      </c>
      <c r="B164" s="5174"/>
      <c r="C164" s="5174"/>
      <c r="D164" s="5174"/>
      <c r="E164" s="5174"/>
      <c r="F164" s="5174"/>
      <c r="G164" s="5174"/>
      <c r="H164" s="691"/>
      <c r="I164" s="691"/>
      <c r="K164" s="3789"/>
      <c r="M164" s="3604"/>
      <c r="N164" s="3605"/>
      <c r="O164" s="3606"/>
      <c r="P164" s="3607"/>
      <c r="Q164" s="3499"/>
      <c r="R164" s="3499"/>
      <c r="S164" s="888"/>
      <c r="T164" s="3496"/>
      <c r="U164" s="3497"/>
      <c r="V164" s="3604"/>
      <c r="W164" s="3605"/>
      <c r="X164" s="3606"/>
      <c r="Y164" s="3607"/>
      <c r="Z164" s="3499"/>
      <c r="AA164" s="3499"/>
      <c r="AB164" s="888"/>
      <c r="AC164" s="3496"/>
      <c r="AD164" s="3497"/>
      <c r="AE164" s="3604"/>
      <c r="AF164" s="3605"/>
      <c r="AG164" s="3606"/>
      <c r="AH164" s="3607"/>
      <c r="AI164" s="3499"/>
      <c r="AJ164" s="3499"/>
      <c r="AK164" s="888"/>
      <c r="AL164" s="3496"/>
      <c r="AM164" s="3497"/>
      <c r="AN164" s="3604"/>
      <c r="AO164" s="3605"/>
      <c r="AP164" s="3606"/>
      <c r="AQ164" s="3607"/>
      <c r="AR164" s="3499"/>
      <c r="AS164" s="3499"/>
      <c r="AT164" s="888"/>
      <c r="AU164" s="3496"/>
      <c r="AV164" s="3497"/>
      <c r="AW164" s="3604"/>
      <c r="AX164" s="3605"/>
      <c r="AY164" s="3606"/>
      <c r="AZ164" s="3607"/>
      <c r="BA164" s="3499"/>
      <c r="BB164" s="3499"/>
      <c r="BC164" s="888"/>
      <c r="BD164" s="3496"/>
      <c r="BE164" s="3497"/>
      <c r="BF164" s="3604"/>
      <c r="BG164" s="3605"/>
      <c r="BH164" s="3606"/>
      <c r="BI164" s="3607"/>
      <c r="BJ164" s="3499"/>
      <c r="BK164" s="3499"/>
    </row>
    <row r="165" spans="1:63" ht="40.5" customHeight="1">
      <c r="A165" s="5156" t="s">
        <v>865</v>
      </c>
      <c r="B165" s="5156"/>
      <c r="C165" s="5156"/>
      <c r="D165" s="5156"/>
      <c r="E165" s="5156"/>
      <c r="F165" s="5156"/>
      <c r="G165" s="5156"/>
      <c r="H165" s="1203"/>
      <c r="J165" s="889"/>
      <c r="K165" s="889"/>
    </row>
    <row r="166" spans="1:63" ht="108" customHeight="1">
      <c r="A166" s="5156" t="s">
        <v>1013</v>
      </c>
      <c r="B166" s="5156"/>
      <c r="C166" s="5156"/>
      <c r="D166" s="5156"/>
      <c r="E166" s="5156"/>
      <c r="F166" s="5156"/>
      <c r="G166" s="5156"/>
      <c r="H166" s="1204"/>
      <c r="I166" s="1205"/>
      <c r="J166" s="889"/>
      <c r="K166" s="889"/>
    </row>
    <row r="167" spans="1:63">
      <c r="G167" s="3600"/>
      <c r="K167" s="3810"/>
      <c r="M167" s="3604"/>
      <c r="N167" s="3605"/>
      <c r="O167" s="3606"/>
      <c r="P167" s="3607"/>
      <c r="Q167" s="3499"/>
      <c r="R167" s="3499"/>
      <c r="S167" s="888"/>
      <c r="T167" s="3496"/>
      <c r="U167" s="3497"/>
      <c r="V167" s="3604"/>
      <c r="W167" s="3605"/>
      <c r="X167" s="3606"/>
      <c r="Y167" s="3607"/>
      <c r="Z167" s="3499"/>
      <c r="AA167" s="3499"/>
      <c r="AB167" s="888"/>
      <c r="AC167" s="3496"/>
      <c r="AD167" s="3497"/>
      <c r="AE167" s="3604"/>
      <c r="AF167" s="3605"/>
      <c r="AG167" s="3606"/>
      <c r="AH167" s="3607"/>
      <c r="AI167" s="3499"/>
      <c r="AJ167" s="3499"/>
      <c r="AK167" s="888"/>
      <c r="AL167" s="3496"/>
      <c r="AM167" s="3497"/>
      <c r="AN167" s="3604"/>
      <c r="AO167" s="3605"/>
      <c r="AP167" s="3606"/>
      <c r="AQ167" s="3607"/>
      <c r="AR167" s="3499"/>
      <c r="AS167" s="3499"/>
      <c r="AT167" s="888"/>
      <c r="AU167" s="3496"/>
      <c r="AV167" s="3497"/>
      <c r="AW167" s="3604"/>
      <c r="AX167" s="3605"/>
      <c r="AY167" s="3606"/>
      <c r="AZ167" s="3607"/>
      <c r="BA167" s="3499"/>
      <c r="BB167" s="3499"/>
      <c r="BC167" s="888"/>
      <c r="BD167" s="3496"/>
      <c r="BE167" s="3497"/>
      <c r="BF167" s="3604"/>
      <c r="BG167" s="3605"/>
      <c r="BH167" s="3606"/>
      <c r="BI167" s="3607"/>
      <c r="BJ167" s="3499"/>
      <c r="BK167" s="3499"/>
    </row>
    <row r="168" spans="1:63">
      <c r="G168" s="3600"/>
      <c r="K168" s="3789"/>
      <c r="M168" s="888"/>
      <c r="N168" s="888"/>
      <c r="O168" s="888"/>
      <c r="P168" s="888"/>
      <c r="Q168" s="888"/>
      <c r="R168" s="888"/>
      <c r="S168" s="888"/>
      <c r="T168" s="888"/>
      <c r="U168" s="888"/>
      <c r="V168" s="888"/>
      <c r="W168" s="888"/>
      <c r="X168" s="888"/>
      <c r="Y168" s="888"/>
      <c r="Z168" s="888"/>
      <c r="AA168" s="888"/>
      <c r="AB168" s="888"/>
      <c r="AC168" s="888"/>
      <c r="AD168" s="888"/>
      <c r="AE168" s="888"/>
      <c r="AF168" s="888"/>
      <c r="AG168" s="888"/>
      <c r="AH168" s="888"/>
      <c r="AI168" s="888"/>
      <c r="AJ168" s="888"/>
      <c r="AK168" s="888"/>
      <c r="AL168" s="888"/>
      <c r="AM168" s="888"/>
      <c r="AN168" s="888"/>
      <c r="AO168" s="888"/>
      <c r="AP168" s="888"/>
      <c r="AQ168" s="888"/>
      <c r="AR168" s="888"/>
      <c r="AS168" s="888"/>
      <c r="AT168" s="888"/>
      <c r="AU168" s="888"/>
      <c r="AV168" s="888"/>
      <c r="AW168" s="888"/>
      <c r="AX168" s="888"/>
      <c r="AY168" s="888"/>
      <c r="AZ168" s="888"/>
      <c r="BA168" s="888"/>
      <c r="BB168" s="888"/>
      <c r="BC168" s="888"/>
      <c r="BD168" s="888"/>
      <c r="BE168" s="888"/>
      <c r="BF168" s="888"/>
      <c r="BG168" s="888"/>
      <c r="BH168" s="888"/>
      <c r="BI168" s="888"/>
      <c r="BJ168" s="888"/>
      <c r="BK168" s="888"/>
    </row>
    <row r="169" spans="1:63">
      <c r="G169" s="3600"/>
    </row>
    <row r="170" spans="1:63">
      <c r="G170" s="3600"/>
    </row>
    <row r="171" spans="1:63">
      <c r="G171" s="3600"/>
    </row>
    <row r="172" spans="1:63">
      <c r="G172" s="3600"/>
    </row>
    <row r="173" spans="1:63">
      <c r="G173" s="3600"/>
    </row>
    <row r="174" spans="1:63">
      <c r="G174" s="3600"/>
    </row>
    <row r="175" spans="1:63">
      <c r="G175" s="3600"/>
    </row>
    <row r="176" spans="1:63">
      <c r="G176" s="3600"/>
    </row>
    <row r="177" spans="7:7">
      <c r="G177" s="3600"/>
    </row>
    <row r="178" spans="7:7">
      <c r="G178" s="3600"/>
    </row>
    <row r="179" spans="7:7">
      <c r="G179" s="3600"/>
    </row>
    <row r="180" spans="7:7">
      <c r="G180" s="3600"/>
    </row>
    <row r="181" spans="7:7">
      <c r="G181" s="3600"/>
    </row>
    <row r="182" spans="7:7">
      <c r="G182" s="3600"/>
    </row>
    <row r="183" spans="7:7">
      <c r="G183" s="3600"/>
    </row>
    <row r="184" spans="7:7">
      <c r="G184" s="3600"/>
    </row>
    <row r="185" spans="7:7">
      <c r="G185" s="3600"/>
    </row>
    <row r="186" spans="7:7">
      <c r="G186" s="3600"/>
    </row>
    <row r="187" spans="7:7">
      <c r="G187" s="3600"/>
    </row>
    <row r="188" spans="7:7">
      <c r="G188" s="3600"/>
    </row>
    <row r="189" spans="7:7">
      <c r="G189" s="3600"/>
    </row>
    <row r="190" spans="7:7">
      <c r="G190" s="3600"/>
    </row>
    <row r="191" spans="7:7">
      <c r="G191" s="3600"/>
    </row>
    <row r="192" spans="7:7">
      <c r="G192" s="3600"/>
    </row>
    <row r="193" spans="7:7">
      <c r="G193" s="3600"/>
    </row>
    <row r="194" spans="7:7">
      <c r="G194" s="3600"/>
    </row>
    <row r="195" spans="7:7">
      <c r="G195" s="3600"/>
    </row>
    <row r="196" spans="7:7">
      <c r="G196" s="3600"/>
    </row>
    <row r="197" spans="7:7">
      <c r="G197" s="3600"/>
    </row>
    <row r="198" spans="7:7">
      <c r="G198" s="3600"/>
    </row>
    <row r="199" spans="7:7">
      <c r="G199" s="3600"/>
    </row>
    <row r="200" spans="7:7">
      <c r="G200" s="3600"/>
    </row>
    <row r="201" spans="7:7">
      <c r="G201" s="3600"/>
    </row>
    <row r="202" spans="7:7">
      <c r="G202" s="3600"/>
    </row>
    <row r="203" spans="7:7">
      <c r="G203" s="3600"/>
    </row>
    <row r="204" spans="7:7">
      <c r="G204" s="3600"/>
    </row>
    <row r="205" spans="7:7">
      <c r="G205" s="3600"/>
    </row>
    <row r="206" spans="7:7">
      <c r="G206" s="3600"/>
    </row>
    <row r="207" spans="7:7">
      <c r="G207" s="3600"/>
    </row>
    <row r="208" spans="7:7">
      <c r="G208" s="3600"/>
    </row>
    <row r="209" spans="7:7">
      <c r="G209" s="3600"/>
    </row>
    <row r="210" spans="7:7">
      <c r="G210" s="3600"/>
    </row>
    <row r="211" spans="7:7">
      <c r="G211" s="3600"/>
    </row>
    <row r="212" spans="7:7">
      <c r="G212" s="3600"/>
    </row>
    <row r="213" spans="7:7">
      <c r="G213" s="3600"/>
    </row>
    <row r="214" spans="7:7">
      <c r="G214" s="3600"/>
    </row>
    <row r="215" spans="7:7">
      <c r="G215" s="3600"/>
    </row>
    <row r="216" spans="7:7">
      <c r="G216" s="3600"/>
    </row>
    <row r="217" spans="7:7">
      <c r="G217" s="3600"/>
    </row>
    <row r="218" spans="7:7">
      <c r="G218" s="3600"/>
    </row>
    <row r="219" spans="7:7">
      <c r="G219" s="3600"/>
    </row>
    <row r="220" spans="7:7">
      <c r="G220" s="3600"/>
    </row>
    <row r="221" spans="7:7">
      <c r="G221" s="3600"/>
    </row>
    <row r="222" spans="7:7">
      <c r="G222" s="3600"/>
    </row>
    <row r="223" spans="7:7">
      <c r="G223" s="3600"/>
    </row>
    <row r="224" spans="7:7">
      <c r="G224" s="3600"/>
    </row>
    <row r="225" spans="7:7">
      <c r="G225" s="3600"/>
    </row>
    <row r="226" spans="7:7">
      <c r="G226" s="3600"/>
    </row>
    <row r="227" spans="7:7">
      <c r="G227" s="3600"/>
    </row>
    <row r="228" spans="7:7">
      <c r="G228" s="3600"/>
    </row>
    <row r="229" spans="7:7">
      <c r="G229" s="3600"/>
    </row>
    <row r="230" spans="7:7">
      <c r="G230" s="3600"/>
    </row>
    <row r="231" spans="7:7">
      <c r="G231" s="3600"/>
    </row>
    <row r="232" spans="7:7">
      <c r="G232" s="3600"/>
    </row>
    <row r="233" spans="7:7">
      <c r="G233" s="3600"/>
    </row>
    <row r="234" spans="7:7">
      <c r="G234" s="3600"/>
    </row>
    <row r="235" spans="7:7">
      <c r="G235" s="3600"/>
    </row>
    <row r="236" spans="7:7">
      <c r="G236" s="3600"/>
    </row>
    <row r="237" spans="7:7">
      <c r="G237" s="3600"/>
    </row>
    <row r="238" spans="7:7">
      <c r="G238" s="3600"/>
    </row>
    <row r="239" spans="7:7">
      <c r="G239" s="3600"/>
    </row>
    <row r="240" spans="7:7">
      <c r="G240" s="3600"/>
    </row>
    <row r="241" spans="7:7">
      <c r="G241" s="3600"/>
    </row>
    <row r="242" spans="7:7">
      <c r="G242" s="3600"/>
    </row>
    <row r="243" spans="7:7">
      <c r="G243" s="3600"/>
    </row>
    <row r="244" spans="7:7">
      <c r="G244" s="3600"/>
    </row>
    <row r="245" spans="7:7">
      <c r="G245" s="3600"/>
    </row>
    <row r="246" spans="7:7">
      <c r="G246" s="3600"/>
    </row>
    <row r="247" spans="7:7">
      <c r="G247" s="3600"/>
    </row>
    <row r="248" spans="7:7">
      <c r="G248" s="3600"/>
    </row>
    <row r="249" spans="7:7">
      <c r="G249" s="3600"/>
    </row>
    <row r="250" spans="7:7">
      <c r="G250" s="3600"/>
    </row>
    <row r="251" spans="7:7">
      <c r="G251" s="3600"/>
    </row>
    <row r="252" spans="7:7">
      <c r="G252" s="3600"/>
    </row>
    <row r="253" spans="7:7">
      <c r="G253" s="3600"/>
    </row>
    <row r="254" spans="7:7">
      <c r="G254" s="3600"/>
    </row>
    <row r="255" spans="7:7">
      <c r="G255" s="3600"/>
    </row>
    <row r="256" spans="7:7">
      <c r="G256" s="3600"/>
    </row>
    <row r="257" spans="7:7">
      <c r="G257" s="3600"/>
    </row>
    <row r="258" spans="7:7">
      <c r="G258" s="3600"/>
    </row>
    <row r="259" spans="7:7">
      <c r="G259" s="3600"/>
    </row>
    <row r="260" spans="7:7">
      <c r="G260" s="3600"/>
    </row>
    <row r="261" spans="7:7">
      <c r="G261" s="3600"/>
    </row>
    <row r="262" spans="7:7">
      <c r="G262" s="3600"/>
    </row>
    <row r="263" spans="7:7">
      <c r="G263" s="3600"/>
    </row>
    <row r="264" spans="7:7">
      <c r="G264" s="3600"/>
    </row>
    <row r="265" spans="7:7">
      <c r="G265" s="3600"/>
    </row>
    <row r="266" spans="7:7">
      <c r="G266" s="3600"/>
    </row>
    <row r="267" spans="7:7">
      <c r="G267" s="3600"/>
    </row>
    <row r="268" spans="7:7">
      <c r="G268" s="3600"/>
    </row>
    <row r="269" spans="7:7">
      <c r="G269" s="3600"/>
    </row>
    <row r="270" spans="7:7">
      <c r="G270" s="3600"/>
    </row>
    <row r="271" spans="7:7">
      <c r="G271" s="3600"/>
    </row>
    <row r="272" spans="7:7">
      <c r="G272" s="3600"/>
    </row>
    <row r="273" spans="7:7">
      <c r="G273" s="3600"/>
    </row>
    <row r="274" spans="7:7">
      <c r="G274" s="3600"/>
    </row>
    <row r="275" spans="7:7">
      <c r="G275" s="3600"/>
    </row>
    <row r="276" spans="7:7">
      <c r="G276" s="3600"/>
    </row>
    <row r="277" spans="7:7">
      <c r="G277" s="3600"/>
    </row>
    <row r="278" spans="7:7">
      <c r="G278" s="3600"/>
    </row>
    <row r="279" spans="7:7">
      <c r="G279" s="3600"/>
    </row>
    <row r="280" spans="7:7">
      <c r="G280" s="3600"/>
    </row>
    <row r="281" spans="7:7">
      <c r="G281" s="3600"/>
    </row>
    <row r="282" spans="7:7">
      <c r="G282" s="3600"/>
    </row>
    <row r="283" spans="7:7">
      <c r="G283" s="3600"/>
    </row>
    <row r="284" spans="7:7">
      <c r="G284" s="3600"/>
    </row>
    <row r="285" spans="7:7">
      <c r="G285" s="3600"/>
    </row>
    <row r="286" spans="7:7">
      <c r="G286" s="3600"/>
    </row>
    <row r="287" spans="7:7">
      <c r="G287" s="3600"/>
    </row>
    <row r="288" spans="7:7">
      <c r="G288" s="3600"/>
    </row>
    <row r="289" spans="7:7">
      <c r="G289" s="3600"/>
    </row>
    <row r="290" spans="7:7">
      <c r="G290" s="3600"/>
    </row>
    <row r="291" spans="7:7">
      <c r="G291" s="3600"/>
    </row>
    <row r="292" spans="7:7">
      <c r="G292" s="3600"/>
    </row>
    <row r="293" spans="7:7">
      <c r="G293" s="3600"/>
    </row>
    <row r="294" spans="7:7">
      <c r="G294" s="3600"/>
    </row>
    <row r="295" spans="7:7">
      <c r="G295" s="3600"/>
    </row>
    <row r="296" spans="7:7">
      <c r="G296" s="3600"/>
    </row>
    <row r="297" spans="7:7">
      <c r="G297" s="3600"/>
    </row>
    <row r="298" spans="7:7">
      <c r="G298" s="3600"/>
    </row>
    <row r="299" spans="7:7">
      <c r="G299" s="3600"/>
    </row>
    <row r="300" spans="7:7">
      <c r="G300" s="3600"/>
    </row>
    <row r="301" spans="7:7">
      <c r="G301" s="3600"/>
    </row>
    <row r="302" spans="7:7">
      <c r="G302" s="3600"/>
    </row>
    <row r="303" spans="7:7">
      <c r="G303" s="3600"/>
    </row>
    <row r="304" spans="7:7">
      <c r="G304" s="3600"/>
    </row>
    <row r="305" spans="7:7">
      <c r="G305" s="3600"/>
    </row>
    <row r="306" spans="7:7">
      <c r="G306" s="3600"/>
    </row>
    <row r="307" spans="7:7">
      <c r="G307" s="3600"/>
    </row>
    <row r="308" spans="7:7">
      <c r="G308" s="3600"/>
    </row>
    <row r="309" spans="7:7">
      <c r="G309" s="3600"/>
    </row>
    <row r="310" spans="7:7">
      <c r="G310" s="3600"/>
    </row>
    <row r="311" spans="7:7">
      <c r="G311" s="3600"/>
    </row>
    <row r="312" spans="7:7">
      <c r="G312" s="3600"/>
    </row>
    <row r="313" spans="7:7">
      <c r="G313" s="3600"/>
    </row>
    <row r="314" spans="7:7">
      <c r="G314" s="3600"/>
    </row>
    <row r="315" spans="7:7">
      <c r="G315" s="3600"/>
    </row>
    <row r="316" spans="7:7">
      <c r="G316" s="3600"/>
    </row>
    <row r="317" spans="7:7">
      <c r="G317" s="3600"/>
    </row>
    <row r="318" spans="7:7">
      <c r="G318" s="3600"/>
    </row>
    <row r="319" spans="7:7">
      <c r="G319" s="3600"/>
    </row>
    <row r="320" spans="7:7">
      <c r="G320" s="3600"/>
    </row>
    <row r="321" spans="7:7">
      <c r="G321" s="3600"/>
    </row>
    <row r="322" spans="7:7">
      <c r="G322" s="3600"/>
    </row>
    <row r="323" spans="7:7">
      <c r="G323" s="3600"/>
    </row>
    <row r="324" spans="7:7">
      <c r="G324" s="3600"/>
    </row>
    <row r="325" spans="7:7">
      <c r="G325" s="3600"/>
    </row>
    <row r="326" spans="7:7">
      <c r="G326" s="3600"/>
    </row>
    <row r="327" spans="7:7">
      <c r="G327" s="3600"/>
    </row>
    <row r="328" spans="7:7">
      <c r="G328" s="3600"/>
    </row>
    <row r="329" spans="7:7">
      <c r="G329" s="3600"/>
    </row>
    <row r="330" spans="7:7">
      <c r="G330" s="3600"/>
    </row>
    <row r="331" spans="7:7">
      <c r="G331" s="3600"/>
    </row>
    <row r="332" spans="7:7">
      <c r="G332" s="3600"/>
    </row>
    <row r="333" spans="7:7">
      <c r="G333" s="3600"/>
    </row>
    <row r="334" spans="7:7">
      <c r="G334" s="3600"/>
    </row>
    <row r="335" spans="7:7">
      <c r="G335" s="3600"/>
    </row>
    <row r="336" spans="7:7">
      <c r="G336" s="3600"/>
    </row>
    <row r="337" spans="7:7">
      <c r="G337" s="3600"/>
    </row>
    <row r="338" spans="7:7">
      <c r="G338" s="3600"/>
    </row>
    <row r="339" spans="7:7">
      <c r="G339" s="3600"/>
    </row>
    <row r="340" spans="7:7">
      <c r="G340" s="3600"/>
    </row>
    <row r="341" spans="7:7">
      <c r="G341" s="3600"/>
    </row>
    <row r="342" spans="7:7">
      <c r="G342" s="3600"/>
    </row>
    <row r="343" spans="7:7">
      <c r="G343" s="3600"/>
    </row>
    <row r="344" spans="7:7">
      <c r="G344" s="3600"/>
    </row>
    <row r="345" spans="7:7">
      <c r="G345" s="3600"/>
    </row>
    <row r="346" spans="7:7">
      <c r="G346" s="3600"/>
    </row>
    <row r="347" spans="7:7">
      <c r="G347" s="3600"/>
    </row>
    <row r="348" spans="7:7">
      <c r="G348" s="3600"/>
    </row>
    <row r="349" spans="7:7">
      <c r="G349" s="3600"/>
    </row>
    <row r="350" spans="7:7">
      <c r="G350" s="3600"/>
    </row>
    <row r="351" spans="7:7">
      <c r="G351" s="3600"/>
    </row>
    <row r="352" spans="7:7">
      <c r="G352" s="3600"/>
    </row>
    <row r="353" spans="7:7">
      <c r="G353" s="3600"/>
    </row>
    <row r="354" spans="7:7">
      <c r="G354" s="3600"/>
    </row>
    <row r="355" spans="7:7">
      <c r="G355" s="3600"/>
    </row>
    <row r="356" spans="7:7">
      <c r="G356" s="3600"/>
    </row>
    <row r="357" spans="7:7">
      <c r="G357" s="3600"/>
    </row>
    <row r="358" spans="7:7">
      <c r="G358" s="3600"/>
    </row>
    <row r="359" spans="7:7">
      <c r="G359" s="3600"/>
    </row>
    <row r="360" spans="7:7">
      <c r="G360" s="3600"/>
    </row>
    <row r="361" spans="7:7">
      <c r="G361" s="3600"/>
    </row>
    <row r="362" spans="7:7">
      <c r="G362" s="3600"/>
    </row>
    <row r="363" spans="7:7">
      <c r="G363" s="3600"/>
    </row>
    <row r="364" spans="7:7">
      <c r="G364" s="3600"/>
    </row>
    <row r="365" spans="7:7">
      <c r="G365" s="3600"/>
    </row>
    <row r="366" spans="7:7">
      <c r="G366" s="3600"/>
    </row>
    <row r="367" spans="7:7">
      <c r="G367" s="3600"/>
    </row>
    <row r="368" spans="7:7">
      <c r="G368" s="3600"/>
    </row>
    <row r="369" spans="7:7">
      <c r="G369" s="3600"/>
    </row>
    <row r="370" spans="7:7">
      <c r="G370" s="3600"/>
    </row>
    <row r="371" spans="7:7">
      <c r="G371" s="3600"/>
    </row>
    <row r="372" spans="7:7">
      <c r="G372" s="3600"/>
    </row>
    <row r="373" spans="7:7">
      <c r="G373" s="3600"/>
    </row>
    <row r="374" spans="7:7">
      <c r="G374" s="3600"/>
    </row>
    <row r="375" spans="7:7">
      <c r="G375" s="3600"/>
    </row>
    <row r="376" spans="7:7">
      <c r="G376" s="3600"/>
    </row>
    <row r="377" spans="7:7">
      <c r="G377" s="3600"/>
    </row>
    <row r="378" spans="7:7">
      <c r="G378" s="3600"/>
    </row>
    <row r="379" spans="7:7">
      <c r="G379" s="3600"/>
    </row>
    <row r="380" spans="7:7">
      <c r="G380" s="3600"/>
    </row>
    <row r="381" spans="7:7">
      <c r="G381" s="3600"/>
    </row>
    <row r="382" spans="7:7">
      <c r="G382" s="3600"/>
    </row>
    <row r="383" spans="7:7">
      <c r="G383" s="3600"/>
    </row>
    <row r="384" spans="7:7">
      <c r="G384" s="3600"/>
    </row>
    <row r="385" spans="7:7">
      <c r="G385" s="3600"/>
    </row>
    <row r="386" spans="7:7">
      <c r="G386" s="3600"/>
    </row>
    <row r="387" spans="7:7">
      <c r="G387" s="3600"/>
    </row>
    <row r="388" spans="7:7">
      <c r="G388" s="3600"/>
    </row>
    <row r="389" spans="7:7">
      <c r="G389" s="3600"/>
    </row>
    <row r="390" spans="7:7">
      <c r="G390" s="3600"/>
    </row>
    <row r="391" spans="7:7">
      <c r="G391" s="3600"/>
    </row>
    <row r="392" spans="7:7">
      <c r="G392" s="3600"/>
    </row>
    <row r="393" spans="7:7">
      <c r="G393" s="3600"/>
    </row>
    <row r="394" spans="7:7">
      <c r="G394" s="3600"/>
    </row>
    <row r="395" spans="7:7">
      <c r="G395" s="3600"/>
    </row>
    <row r="396" spans="7:7">
      <c r="G396" s="3600"/>
    </row>
    <row r="397" spans="7:7">
      <c r="G397" s="3600"/>
    </row>
    <row r="398" spans="7:7">
      <c r="G398" s="3600"/>
    </row>
    <row r="399" spans="7:7">
      <c r="G399" s="3600"/>
    </row>
    <row r="400" spans="7:7">
      <c r="G400" s="3600"/>
    </row>
    <row r="401" spans="7:7">
      <c r="G401" s="3600"/>
    </row>
    <row r="402" spans="7:7">
      <c r="G402" s="3600"/>
    </row>
    <row r="403" spans="7:7">
      <c r="G403" s="3600"/>
    </row>
    <row r="404" spans="7:7">
      <c r="G404" s="3600"/>
    </row>
    <row r="405" spans="7:7">
      <c r="G405" s="3600"/>
    </row>
    <row r="406" spans="7:7">
      <c r="G406" s="3600"/>
    </row>
    <row r="407" spans="7:7">
      <c r="G407" s="3600"/>
    </row>
    <row r="408" spans="7:7">
      <c r="G408" s="3600"/>
    </row>
    <row r="409" spans="7:7">
      <c r="G409" s="3600"/>
    </row>
    <row r="410" spans="7:7">
      <c r="G410" s="3600"/>
    </row>
    <row r="411" spans="7:7">
      <c r="G411" s="3600"/>
    </row>
    <row r="412" spans="7:7">
      <c r="G412" s="3600"/>
    </row>
    <row r="413" spans="7:7">
      <c r="G413" s="3600"/>
    </row>
    <row r="414" spans="7:7">
      <c r="G414" s="3600"/>
    </row>
    <row r="415" spans="7:7">
      <c r="G415" s="3600"/>
    </row>
    <row r="416" spans="7:7">
      <c r="G416" s="3600"/>
    </row>
    <row r="417" spans="7:7">
      <c r="G417" s="3600"/>
    </row>
    <row r="418" spans="7:7">
      <c r="G418" s="3600"/>
    </row>
    <row r="419" spans="7:7">
      <c r="G419" s="3600"/>
    </row>
    <row r="420" spans="7:7">
      <c r="G420" s="3600"/>
    </row>
    <row r="421" spans="7:7">
      <c r="G421" s="3600"/>
    </row>
    <row r="422" spans="7:7">
      <c r="G422" s="3600"/>
    </row>
    <row r="423" spans="7:7">
      <c r="G423" s="3600"/>
    </row>
    <row r="424" spans="7:7">
      <c r="G424" s="3600"/>
    </row>
    <row r="425" spans="7:7">
      <c r="G425" s="3600"/>
    </row>
    <row r="426" spans="7:7">
      <c r="G426" s="3600"/>
    </row>
    <row r="427" spans="7:7">
      <c r="G427" s="3600"/>
    </row>
    <row r="428" spans="7:7">
      <c r="G428" s="3600"/>
    </row>
    <row r="429" spans="7:7">
      <c r="G429" s="3600"/>
    </row>
    <row r="430" spans="7:7">
      <c r="G430" s="3600"/>
    </row>
    <row r="431" spans="7:7">
      <c r="G431" s="3600"/>
    </row>
    <row r="432" spans="7:7">
      <c r="G432" s="3600"/>
    </row>
    <row r="433" spans="7:7">
      <c r="G433" s="3600"/>
    </row>
    <row r="434" spans="7:7">
      <c r="G434" s="3600"/>
    </row>
    <row r="435" spans="7:7">
      <c r="G435" s="3600"/>
    </row>
    <row r="436" spans="7:7">
      <c r="G436" s="3600"/>
    </row>
    <row r="437" spans="7:7">
      <c r="G437" s="3600"/>
    </row>
    <row r="438" spans="7:7">
      <c r="G438" s="3600"/>
    </row>
    <row r="439" spans="7:7">
      <c r="G439" s="3600"/>
    </row>
    <row r="440" spans="7:7">
      <c r="G440" s="3600"/>
    </row>
    <row r="441" spans="7:7">
      <c r="G441" s="3600"/>
    </row>
    <row r="442" spans="7:7">
      <c r="G442" s="3600"/>
    </row>
    <row r="443" spans="7:7">
      <c r="G443" s="3600"/>
    </row>
    <row r="444" spans="7:7">
      <c r="G444" s="3600"/>
    </row>
    <row r="445" spans="7:7">
      <c r="G445" s="3600"/>
    </row>
    <row r="446" spans="7:7">
      <c r="G446" s="3600"/>
    </row>
    <row r="447" spans="7:7">
      <c r="G447" s="3600"/>
    </row>
    <row r="448" spans="7:7">
      <c r="G448" s="3600"/>
    </row>
    <row r="449" spans="7:7">
      <c r="G449" s="3600"/>
    </row>
    <row r="450" spans="7:7">
      <c r="G450" s="3600"/>
    </row>
    <row r="451" spans="7:7">
      <c r="G451" s="3600"/>
    </row>
    <row r="452" spans="7:7">
      <c r="G452" s="3600"/>
    </row>
    <row r="453" spans="7:7">
      <c r="G453" s="3600"/>
    </row>
    <row r="454" spans="7:7">
      <c r="G454" s="3600"/>
    </row>
    <row r="455" spans="7:7">
      <c r="G455" s="3600"/>
    </row>
    <row r="456" spans="7:7">
      <c r="G456" s="3600"/>
    </row>
    <row r="457" spans="7:7">
      <c r="G457" s="3600"/>
    </row>
    <row r="458" spans="7:7">
      <c r="G458" s="3600"/>
    </row>
    <row r="459" spans="7:7">
      <c r="G459" s="3600"/>
    </row>
    <row r="460" spans="7:7">
      <c r="G460" s="3600"/>
    </row>
    <row r="461" spans="7:7">
      <c r="G461" s="3600"/>
    </row>
    <row r="462" spans="7:7">
      <c r="G462" s="3600"/>
    </row>
    <row r="463" spans="7:7">
      <c r="G463" s="3600"/>
    </row>
    <row r="464" spans="7:7">
      <c r="G464" s="3600"/>
    </row>
    <row r="465" spans="7:7">
      <c r="G465" s="3600"/>
    </row>
    <row r="466" spans="7:7">
      <c r="G466" s="3600"/>
    </row>
    <row r="467" spans="7:7">
      <c r="G467" s="3600"/>
    </row>
    <row r="468" spans="7:7">
      <c r="G468" s="3600"/>
    </row>
    <row r="469" spans="7:7">
      <c r="G469" s="3600"/>
    </row>
    <row r="470" spans="7:7">
      <c r="G470" s="3600"/>
    </row>
    <row r="471" spans="7:7">
      <c r="G471" s="3600"/>
    </row>
    <row r="472" spans="7:7">
      <c r="G472" s="3600"/>
    </row>
    <row r="473" spans="7:7">
      <c r="G473" s="3600"/>
    </row>
    <row r="474" spans="7:7">
      <c r="G474" s="3600"/>
    </row>
    <row r="475" spans="7:7">
      <c r="G475" s="3600"/>
    </row>
    <row r="476" spans="7:7">
      <c r="G476" s="3600"/>
    </row>
    <row r="477" spans="7:7">
      <c r="G477" s="3600"/>
    </row>
    <row r="478" spans="7:7">
      <c r="G478" s="3600"/>
    </row>
    <row r="479" spans="7:7">
      <c r="G479" s="3600"/>
    </row>
    <row r="480" spans="7:7">
      <c r="G480" s="3600"/>
    </row>
    <row r="481" spans="7:7">
      <c r="G481" s="3600"/>
    </row>
    <row r="482" spans="7:7">
      <c r="G482" s="3600"/>
    </row>
    <row r="483" spans="7:7">
      <c r="G483" s="3600"/>
    </row>
    <row r="484" spans="7:7">
      <c r="G484" s="3600"/>
    </row>
    <row r="485" spans="7:7">
      <c r="G485" s="3600"/>
    </row>
    <row r="486" spans="7:7">
      <c r="G486" s="3600"/>
    </row>
    <row r="487" spans="7:7">
      <c r="G487" s="3600"/>
    </row>
    <row r="488" spans="7:7">
      <c r="G488" s="3600"/>
    </row>
    <row r="489" spans="7:7">
      <c r="G489" s="3600"/>
    </row>
    <row r="490" spans="7:7">
      <c r="G490" s="3600"/>
    </row>
    <row r="491" spans="7:7">
      <c r="G491" s="3600"/>
    </row>
    <row r="492" spans="7:7">
      <c r="G492" s="3600"/>
    </row>
    <row r="493" spans="7:7">
      <c r="G493" s="3600"/>
    </row>
    <row r="494" spans="7:7">
      <c r="G494" s="3600"/>
    </row>
    <row r="495" spans="7:7">
      <c r="G495" s="3600"/>
    </row>
    <row r="496" spans="7:7">
      <c r="G496" s="3600"/>
    </row>
    <row r="497" spans="7:7">
      <c r="G497" s="3600"/>
    </row>
    <row r="498" spans="7:7">
      <c r="G498" s="3600"/>
    </row>
    <row r="499" spans="7:7">
      <c r="G499" s="3600"/>
    </row>
    <row r="500" spans="7:7">
      <c r="G500" s="3600"/>
    </row>
    <row r="501" spans="7:7">
      <c r="G501" s="3600"/>
    </row>
    <row r="502" spans="7:7">
      <c r="G502" s="3600"/>
    </row>
    <row r="503" spans="7:7">
      <c r="G503" s="3600"/>
    </row>
    <row r="504" spans="7:7">
      <c r="G504" s="3600"/>
    </row>
    <row r="505" spans="7:7">
      <c r="G505" s="3600"/>
    </row>
    <row r="506" spans="7:7">
      <c r="G506" s="3600"/>
    </row>
    <row r="507" spans="7:7">
      <c r="G507" s="3600"/>
    </row>
    <row r="508" spans="7:7">
      <c r="G508" s="3600"/>
    </row>
    <row r="509" spans="7:7">
      <c r="G509" s="3600"/>
    </row>
    <row r="510" spans="7:7">
      <c r="G510" s="3600"/>
    </row>
    <row r="511" spans="7:7">
      <c r="G511" s="3600"/>
    </row>
    <row r="512" spans="7:7">
      <c r="G512" s="3600"/>
    </row>
    <row r="513" spans="7:7">
      <c r="G513" s="3600"/>
    </row>
    <row r="514" spans="7:7">
      <c r="G514" s="3600"/>
    </row>
    <row r="515" spans="7:7">
      <c r="G515" s="3600"/>
    </row>
    <row r="516" spans="7:7">
      <c r="G516" s="3600"/>
    </row>
    <row r="517" spans="7:7">
      <c r="G517" s="3600"/>
    </row>
    <row r="518" spans="7:7">
      <c r="G518" s="3600"/>
    </row>
    <row r="519" spans="7:7">
      <c r="G519" s="3600"/>
    </row>
    <row r="520" spans="7:7">
      <c r="G520" s="3600"/>
    </row>
    <row r="521" spans="7:7">
      <c r="G521" s="3600"/>
    </row>
    <row r="522" spans="7:7">
      <c r="G522" s="3600"/>
    </row>
    <row r="523" spans="7:7">
      <c r="G523" s="3600"/>
    </row>
    <row r="524" spans="7:7">
      <c r="G524" s="3600"/>
    </row>
    <row r="525" spans="7:7">
      <c r="G525" s="3600"/>
    </row>
    <row r="526" spans="7:7">
      <c r="G526" s="3600"/>
    </row>
    <row r="527" spans="7:7">
      <c r="G527" s="3600"/>
    </row>
    <row r="528" spans="7:7">
      <c r="G528" s="3600"/>
    </row>
    <row r="529" spans="7:7">
      <c r="G529" s="3600"/>
    </row>
    <row r="530" spans="7:7">
      <c r="G530" s="3600"/>
    </row>
    <row r="531" spans="7:7">
      <c r="G531" s="3600"/>
    </row>
    <row r="532" spans="7:7">
      <c r="G532" s="3600"/>
    </row>
    <row r="533" spans="7:7">
      <c r="G533" s="3600"/>
    </row>
    <row r="534" spans="7:7">
      <c r="G534" s="3600"/>
    </row>
    <row r="535" spans="7:7">
      <c r="G535" s="3600"/>
    </row>
    <row r="536" spans="7:7">
      <c r="G536" s="3600"/>
    </row>
    <row r="537" spans="7:7">
      <c r="G537" s="3600"/>
    </row>
    <row r="538" spans="7:7">
      <c r="G538" s="3600"/>
    </row>
    <row r="539" spans="7:7">
      <c r="G539" s="3600"/>
    </row>
    <row r="540" spans="7:7">
      <c r="G540" s="3600"/>
    </row>
    <row r="541" spans="7:7">
      <c r="G541" s="3600"/>
    </row>
    <row r="542" spans="7:7">
      <c r="G542" s="3600"/>
    </row>
    <row r="543" spans="7:7">
      <c r="G543" s="3600"/>
    </row>
    <row r="544" spans="7:7">
      <c r="G544" s="3600"/>
    </row>
    <row r="545" spans="7:7">
      <c r="G545" s="3600"/>
    </row>
    <row r="546" spans="7:7">
      <c r="G546" s="3600"/>
    </row>
    <row r="547" spans="7:7">
      <c r="G547" s="3600"/>
    </row>
    <row r="548" spans="7:7">
      <c r="G548" s="3600"/>
    </row>
    <row r="549" spans="7:7">
      <c r="G549" s="3600"/>
    </row>
    <row r="550" spans="7:7">
      <c r="G550" s="3600"/>
    </row>
    <row r="551" spans="7:7">
      <c r="G551" s="3600"/>
    </row>
    <row r="552" spans="7:7">
      <c r="G552" s="3600"/>
    </row>
    <row r="553" spans="7:7">
      <c r="G553" s="3600"/>
    </row>
    <row r="554" spans="7:7">
      <c r="G554" s="3600"/>
    </row>
    <row r="555" spans="7:7">
      <c r="G555" s="3600"/>
    </row>
    <row r="556" spans="7:7">
      <c r="G556" s="3600"/>
    </row>
    <row r="557" spans="7:7">
      <c r="G557" s="3600"/>
    </row>
    <row r="558" spans="7:7">
      <c r="G558" s="3600"/>
    </row>
    <row r="559" spans="7:7">
      <c r="G559" s="3600"/>
    </row>
    <row r="560" spans="7:7">
      <c r="G560" s="3600"/>
    </row>
    <row r="561" spans="7:7">
      <c r="G561" s="3600"/>
    </row>
    <row r="562" spans="7:7">
      <c r="G562" s="3600"/>
    </row>
    <row r="563" spans="7:7">
      <c r="G563" s="3600"/>
    </row>
    <row r="564" spans="7:7">
      <c r="G564" s="3600"/>
    </row>
    <row r="565" spans="7:7">
      <c r="G565" s="3600"/>
    </row>
    <row r="566" spans="7:7">
      <c r="G566" s="3600"/>
    </row>
    <row r="567" spans="7:7">
      <c r="G567" s="3600"/>
    </row>
    <row r="568" spans="7:7">
      <c r="G568" s="3600"/>
    </row>
    <row r="569" spans="7:7">
      <c r="G569" s="3600"/>
    </row>
    <row r="570" spans="7:7">
      <c r="G570" s="3600"/>
    </row>
    <row r="571" spans="7:7">
      <c r="G571" s="3600"/>
    </row>
    <row r="572" spans="7:7">
      <c r="G572" s="3600"/>
    </row>
    <row r="573" spans="7:7">
      <c r="G573" s="3600"/>
    </row>
    <row r="574" spans="7:7">
      <c r="G574" s="3600"/>
    </row>
    <row r="575" spans="7:7">
      <c r="G575" s="3600"/>
    </row>
    <row r="576" spans="7:7">
      <c r="G576" s="3600"/>
    </row>
    <row r="577" spans="7:7">
      <c r="G577" s="3600"/>
    </row>
    <row r="578" spans="7:7">
      <c r="G578" s="3600"/>
    </row>
    <row r="579" spans="7:7">
      <c r="G579" s="3600"/>
    </row>
    <row r="580" spans="7:7">
      <c r="G580" s="3600"/>
    </row>
    <row r="581" spans="7:7">
      <c r="G581" s="3600"/>
    </row>
    <row r="582" spans="7:7">
      <c r="G582" s="3600"/>
    </row>
    <row r="583" spans="7:7">
      <c r="G583" s="3600"/>
    </row>
    <row r="584" spans="7:7">
      <c r="G584" s="3600"/>
    </row>
    <row r="585" spans="7:7">
      <c r="G585" s="3600"/>
    </row>
    <row r="586" spans="7:7">
      <c r="G586" s="3600"/>
    </row>
    <row r="587" spans="7:7">
      <c r="G587" s="3600"/>
    </row>
    <row r="588" spans="7:7">
      <c r="G588" s="3600"/>
    </row>
    <row r="589" spans="7:7">
      <c r="G589" s="3600"/>
    </row>
    <row r="590" spans="7:7">
      <c r="G590" s="3600"/>
    </row>
    <row r="591" spans="7:7">
      <c r="G591" s="3600"/>
    </row>
    <row r="592" spans="7:7">
      <c r="G592" s="3600"/>
    </row>
    <row r="593" spans="7:7">
      <c r="G593" s="3600"/>
    </row>
    <row r="594" spans="7:7">
      <c r="G594" s="3600"/>
    </row>
    <row r="595" spans="7:7">
      <c r="G595" s="3600"/>
    </row>
    <row r="596" spans="7:7">
      <c r="G596" s="3600"/>
    </row>
    <row r="597" spans="7:7">
      <c r="G597" s="3600"/>
    </row>
    <row r="598" spans="7:7">
      <c r="G598" s="3600"/>
    </row>
    <row r="599" spans="7:7">
      <c r="G599" s="3600"/>
    </row>
    <row r="600" spans="7:7">
      <c r="G600" s="3600"/>
    </row>
    <row r="601" spans="7:7">
      <c r="G601" s="3600"/>
    </row>
    <row r="602" spans="7:7">
      <c r="G602" s="3600"/>
    </row>
    <row r="603" spans="7:7">
      <c r="G603" s="3600"/>
    </row>
    <row r="604" spans="7:7">
      <c r="G604" s="3600"/>
    </row>
    <row r="605" spans="7:7">
      <c r="G605" s="3600"/>
    </row>
    <row r="606" spans="7:7">
      <c r="G606" s="3600"/>
    </row>
    <row r="607" spans="7:7">
      <c r="G607" s="3600"/>
    </row>
    <row r="608" spans="7:7">
      <c r="G608" s="3600"/>
    </row>
    <row r="609" spans="7:7">
      <c r="G609" s="3600"/>
    </row>
    <row r="610" spans="7:7">
      <c r="G610" s="3600"/>
    </row>
    <row r="611" spans="7:7">
      <c r="G611" s="3600"/>
    </row>
    <row r="612" spans="7:7">
      <c r="G612" s="3600"/>
    </row>
    <row r="613" spans="7:7">
      <c r="G613" s="3600"/>
    </row>
    <row r="614" spans="7:7">
      <c r="G614" s="3600"/>
    </row>
    <row r="615" spans="7:7">
      <c r="G615" s="3600"/>
    </row>
    <row r="616" spans="7:7">
      <c r="G616" s="3600"/>
    </row>
    <row r="617" spans="7:7">
      <c r="G617" s="3600"/>
    </row>
    <row r="618" spans="7:7">
      <c r="G618" s="3600"/>
    </row>
    <row r="619" spans="7:7">
      <c r="G619" s="3600"/>
    </row>
    <row r="620" spans="7:7">
      <c r="G620" s="3600"/>
    </row>
    <row r="621" spans="7:7">
      <c r="G621" s="3600"/>
    </row>
    <row r="622" spans="7:7">
      <c r="G622" s="3600"/>
    </row>
    <row r="623" spans="7:7">
      <c r="G623" s="3600"/>
    </row>
    <row r="624" spans="7:7">
      <c r="G624" s="3600"/>
    </row>
    <row r="625" spans="7:7">
      <c r="G625" s="3600"/>
    </row>
    <row r="626" spans="7:7">
      <c r="G626" s="3600"/>
    </row>
    <row r="627" spans="7:7">
      <c r="G627" s="3600"/>
    </row>
    <row r="628" spans="7:7">
      <c r="G628" s="3600"/>
    </row>
    <row r="629" spans="7:7">
      <c r="G629" s="3600"/>
    </row>
    <row r="630" spans="7:7">
      <c r="G630" s="3600"/>
    </row>
    <row r="631" spans="7:7">
      <c r="G631" s="3600"/>
    </row>
    <row r="632" spans="7:7">
      <c r="G632" s="3600"/>
    </row>
    <row r="633" spans="7:7">
      <c r="G633" s="3600"/>
    </row>
    <row r="634" spans="7:7">
      <c r="G634" s="3600"/>
    </row>
    <row r="635" spans="7:7">
      <c r="G635" s="3600"/>
    </row>
    <row r="636" spans="7:7">
      <c r="G636" s="3600"/>
    </row>
    <row r="637" spans="7:7">
      <c r="G637" s="3600"/>
    </row>
    <row r="638" spans="7:7">
      <c r="G638" s="3600"/>
    </row>
    <row r="639" spans="7:7">
      <c r="G639" s="3600"/>
    </row>
    <row r="640" spans="7:7">
      <c r="G640" s="3600"/>
    </row>
    <row r="641" spans="7:7">
      <c r="G641" s="3600"/>
    </row>
    <row r="642" spans="7:7">
      <c r="G642" s="3600"/>
    </row>
    <row r="643" spans="7:7">
      <c r="G643" s="3600"/>
    </row>
    <row r="644" spans="7:7">
      <c r="G644" s="3600"/>
    </row>
    <row r="645" spans="7:7">
      <c r="G645" s="3600"/>
    </row>
    <row r="646" spans="7:7">
      <c r="G646" s="3600"/>
    </row>
    <row r="647" spans="7:7">
      <c r="G647" s="3600"/>
    </row>
    <row r="648" spans="7:7">
      <c r="G648" s="3600"/>
    </row>
    <row r="649" spans="7:7">
      <c r="G649" s="3600"/>
    </row>
    <row r="650" spans="7:7">
      <c r="G650" s="3600"/>
    </row>
    <row r="651" spans="7:7">
      <c r="G651" s="3600"/>
    </row>
    <row r="652" spans="7:7">
      <c r="G652" s="3600"/>
    </row>
    <row r="653" spans="7:7">
      <c r="G653" s="3600"/>
    </row>
    <row r="654" spans="7:7">
      <c r="G654" s="3600"/>
    </row>
    <row r="655" spans="7:7">
      <c r="G655" s="3600"/>
    </row>
    <row r="656" spans="7:7">
      <c r="G656" s="3600"/>
    </row>
    <row r="657" spans="7:7">
      <c r="G657" s="3600"/>
    </row>
    <row r="658" spans="7:7">
      <c r="G658" s="3600"/>
    </row>
    <row r="659" spans="7:7">
      <c r="G659" s="3600"/>
    </row>
    <row r="660" spans="7:7">
      <c r="G660" s="3600"/>
    </row>
    <row r="661" spans="7:7">
      <c r="G661" s="3600"/>
    </row>
    <row r="662" spans="7:7">
      <c r="G662" s="3600"/>
    </row>
    <row r="663" spans="7:7">
      <c r="G663" s="3600"/>
    </row>
    <row r="664" spans="7:7">
      <c r="G664" s="3600"/>
    </row>
    <row r="665" spans="7:7">
      <c r="G665" s="3600"/>
    </row>
    <row r="666" spans="7:7">
      <c r="G666" s="3600"/>
    </row>
    <row r="667" spans="7:7">
      <c r="G667" s="3600"/>
    </row>
    <row r="668" spans="7:7">
      <c r="G668" s="3600"/>
    </row>
    <row r="669" spans="7:7">
      <c r="G669" s="3600"/>
    </row>
    <row r="670" spans="7:7">
      <c r="G670" s="3600"/>
    </row>
    <row r="671" spans="7:7">
      <c r="G671" s="3600"/>
    </row>
    <row r="672" spans="7:7">
      <c r="G672" s="3600"/>
    </row>
    <row r="673" spans="7:7">
      <c r="G673" s="3600"/>
    </row>
    <row r="674" spans="7:7">
      <c r="G674" s="3600"/>
    </row>
    <row r="675" spans="7:7">
      <c r="G675" s="3600"/>
    </row>
    <row r="676" spans="7:7">
      <c r="G676" s="3600"/>
    </row>
    <row r="677" spans="7:7">
      <c r="G677" s="3600"/>
    </row>
    <row r="678" spans="7:7">
      <c r="G678" s="3600"/>
    </row>
    <row r="679" spans="7:7">
      <c r="G679" s="3600"/>
    </row>
    <row r="680" spans="7:7">
      <c r="G680" s="3600"/>
    </row>
    <row r="681" spans="7:7">
      <c r="G681" s="3600"/>
    </row>
    <row r="682" spans="7:7">
      <c r="G682" s="3600"/>
    </row>
    <row r="683" spans="7:7">
      <c r="G683" s="3600"/>
    </row>
    <row r="684" spans="7:7">
      <c r="G684" s="3600"/>
    </row>
    <row r="685" spans="7:7">
      <c r="G685" s="3600"/>
    </row>
    <row r="686" spans="7:7">
      <c r="G686" s="3600"/>
    </row>
    <row r="687" spans="7:7">
      <c r="G687" s="3600"/>
    </row>
    <row r="688" spans="7:7">
      <c r="G688" s="3600"/>
    </row>
    <row r="689" spans="7:7">
      <c r="G689" s="3600"/>
    </row>
    <row r="690" spans="7:7">
      <c r="G690" s="3600"/>
    </row>
    <row r="691" spans="7:7">
      <c r="G691" s="3600"/>
    </row>
    <row r="692" spans="7:7">
      <c r="G692" s="3600"/>
    </row>
    <row r="693" spans="7:7">
      <c r="G693" s="3600"/>
    </row>
    <row r="694" spans="7:7">
      <c r="G694" s="3600"/>
    </row>
    <row r="695" spans="7:7">
      <c r="G695" s="3600"/>
    </row>
    <row r="696" spans="7:7">
      <c r="G696" s="3600"/>
    </row>
    <row r="697" spans="7:7">
      <c r="G697" s="3600"/>
    </row>
    <row r="698" spans="7:7">
      <c r="G698" s="3600"/>
    </row>
    <row r="699" spans="7:7">
      <c r="G699" s="3600"/>
    </row>
    <row r="700" spans="7:7">
      <c r="G700" s="3600"/>
    </row>
    <row r="701" spans="7:7">
      <c r="G701" s="3600"/>
    </row>
    <row r="702" spans="7:7">
      <c r="G702" s="3600"/>
    </row>
    <row r="703" spans="7:7">
      <c r="G703" s="3600"/>
    </row>
    <row r="704" spans="7:7">
      <c r="G704" s="3600"/>
    </row>
    <row r="705" spans="7:7">
      <c r="G705" s="3600"/>
    </row>
    <row r="706" spans="7:7">
      <c r="G706" s="3600"/>
    </row>
    <row r="707" spans="7:7">
      <c r="G707" s="3600"/>
    </row>
    <row r="708" spans="7:7">
      <c r="G708" s="3600"/>
    </row>
    <row r="709" spans="7:7">
      <c r="G709" s="3600"/>
    </row>
    <row r="710" spans="7:7">
      <c r="G710" s="3600"/>
    </row>
    <row r="711" spans="7:7">
      <c r="G711" s="3600"/>
    </row>
    <row r="712" spans="7:7">
      <c r="G712" s="3600"/>
    </row>
    <row r="713" spans="7:7">
      <c r="G713" s="3600"/>
    </row>
    <row r="714" spans="7:7">
      <c r="G714" s="3600"/>
    </row>
    <row r="715" spans="7:7">
      <c r="G715" s="3600"/>
    </row>
    <row r="716" spans="7:7">
      <c r="G716" s="3600"/>
    </row>
    <row r="717" spans="7:7">
      <c r="G717" s="3600"/>
    </row>
    <row r="718" spans="7:7">
      <c r="G718" s="3600"/>
    </row>
    <row r="719" spans="7:7">
      <c r="G719" s="3600"/>
    </row>
    <row r="720" spans="7:7">
      <c r="G720" s="3600"/>
    </row>
    <row r="721" spans="7:7">
      <c r="G721" s="3600"/>
    </row>
    <row r="722" spans="7:7">
      <c r="G722" s="3600"/>
    </row>
    <row r="723" spans="7:7">
      <c r="G723" s="3600"/>
    </row>
    <row r="724" spans="7:7">
      <c r="G724" s="3600"/>
    </row>
    <row r="725" spans="7:7">
      <c r="G725" s="3600"/>
    </row>
    <row r="726" spans="7:7">
      <c r="G726" s="3600"/>
    </row>
    <row r="727" spans="7:7">
      <c r="G727" s="3600"/>
    </row>
    <row r="728" spans="7:7">
      <c r="G728" s="3600"/>
    </row>
    <row r="729" spans="7:7">
      <c r="G729" s="3600"/>
    </row>
    <row r="730" spans="7:7">
      <c r="G730" s="3600"/>
    </row>
    <row r="731" spans="7:7">
      <c r="G731" s="3600"/>
    </row>
    <row r="732" spans="7:7">
      <c r="G732" s="3600"/>
    </row>
    <row r="733" spans="7:7">
      <c r="G733" s="3600"/>
    </row>
    <row r="734" spans="7:7">
      <c r="G734" s="3600"/>
    </row>
    <row r="735" spans="7:7">
      <c r="G735" s="3600"/>
    </row>
    <row r="736" spans="7:7">
      <c r="G736" s="3600"/>
    </row>
    <row r="737" spans="7:7">
      <c r="G737" s="3600"/>
    </row>
    <row r="738" spans="7:7">
      <c r="G738" s="3600"/>
    </row>
    <row r="739" spans="7:7">
      <c r="G739" s="3600"/>
    </row>
    <row r="740" spans="7:7">
      <c r="G740" s="3600"/>
    </row>
    <row r="741" spans="7:7">
      <c r="G741" s="3600"/>
    </row>
    <row r="742" spans="7:7">
      <c r="G742" s="3600"/>
    </row>
    <row r="743" spans="7:7">
      <c r="G743" s="3600"/>
    </row>
    <row r="744" spans="7:7">
      <c r="G744" s="3600"/>
    </row>
    <row r="745" spans="7:7">
      <c r="G745" s="3600"/>
    </row>
    <row r="746" spans="7:7">
      <c r="G746" s="3600"/>
    </row>
    <row r="747" spans="7:7">
      <c r="G747" s="3600"/>
    </row>
    <row r="748" spans="7:7">
      <c r="G748" s="3600"/>
    </row>
    <row r="749" spans="7:7">
      <c r="G749" s="3600"/>
    </row>
    <row r="750" spans="7:7">
      <c r="G750" s="3600"/>
    </row>
    <row r="751" spans="7:7">
      <c r="G751" s="3600"/>
    </row>
    <row r="752" spans="7:7">
      <c r="G752" s="3600"/>
    </row>
    <row r="753" spans="7:7">
      <c r="G753" s="3600"/>
    </row>
    <row r="754" spans="7:7">
      <c r="G754" s="3600"/>
    </row>
    <row r="755" spans="7:7">
      <c r="G755" s="3600"/>
    </row>
    <row r="756" spans="7:7">
      <c r="G756" s="3600"/>
    </row>
    <row r="757" spans="7:7">
      <c r="G757" s="3600"/>
    </row>
    <row r="758" spans="7:7">
      <c r="G758" s="3600"/>
    </row>
    <row r="759" spans="7:7">
      <c r="G759" s="3600"/>
    </row>
    <row r="760" spans="7:7">
      <c r="G760" s="3600"/>
    </row>
    <row r="761" spans="7:7">
      <c r="G761" s="3600"/>
    </row>
    <row r="762" spans="7:7">
      <c r="G762" s="3600"/>
    </row>
    <row r="763" spans="7:7">
      <c r="G763" s="3600"/>
    </row>
    <row r="764" spans="7:7">
      <c r="G764" s="3600"/>
    </row>
    <row r="765" spans="7:7">
      <c r="G765" s="3600"/>
    </row>
    <row r="766" spans="7:7">
      <c r="G766" s="3600"/>
    </row>
    <row r="767" spans="7:7">
      <c r="G767" s="3600"/>
    </row>
    <row r="768" spans="7:7">
      <c r="G768" s="3600"/>
    </row>
    <row r="769" spans="7:7">
      <c r="G769" s="3600"/>
    </row>
    <row r="770" spans="7:7">
      <c r="G770" s="3600"/>
    </row>
    <row r="771" spans="7:7">
      <c r="G771" s="3600"/>
    </row>
    <row r="772" spans="7:7">
      <c r="G772" s="3600"/>
    </row>
    <row r="773" spans="7:7">
      <c r="G773" s="3600"/>
    </row>
    <row r="774" spans="7:7">
      <c r="G774" s="3600"/>
    </row>
    <row r="775" spans="7:7">
      <c r="G775" s="3600"/>
    </row>
    <row r="776" spans="7:7">
      <c r="G776" s="3600"/>
    </row>
    <row r="777" spans="7:7">
      <c r="G777" s="3600"/>
    </row>
    <row r="778" spans="7:7">
      <c r="G778" s="3600"/>
    </row>
    <row r="779" spans="7:7">
      <c r="G779" s="3600"/>
    </row>
    <row r="780" spans="7:7">
      <c r="G780" s="3600"/>
    </row>
    <row r="781" spans="7:7">
      <c r="G781" s="3600"/>
    </row>
    <row r="782" spans="7:7">
      <c r="G782" s="3600"/>
    </row>
    <row r="783" spans="7:7">
      <c r="G783" s="3600"/>
    </row>
    <row r="784" spans="7:7">
      <c r="G784" s="3600"/>
    </row>
    <row r="785" spans="7:7">
      <c r="G785" s="3600"/>
    </row>
    <row r="786" spans="7:7">
      <c r="G786" s="3600"/>
    </row>
    <row r="787" spans="7:7">
      <c r="G787" s="3600"/>
    </row>
    <row r="788" spans="7:7">
      <c r="G788" s="3600"/>
    </row>
    <row r="789" spans="7:7">
      <c r="G789" s="3600"/>
    </row>
    <row r="790" spans="7:7">
      <c r="G790" s="3600"/>
    </row>
    <row r="791" spans="7:7">
      <c r="G791" s="3600"/>
    </row>
    <row r="792" spans="7:7">
      <c r="G792" s="3600"/>
    </row>
    <row r="793" spans="7:7">
      <c r="G793" s="3600"/>
    </row>
    <row r="794" spans="7:7">
      <c r="G794" s="3600"/>
    </row>
    <row r="795" spans="7:7">
      <c r="G795" s="3600"/>
    </row>
    <row r="796" spans="7:7">
      <c r="G796" s="3600"/>
    </row>
    <row r="797" spans="7:7">
      <c r="G797" s="3600"/>
    </row>
    <row r="798" spans="7:7">
      <c r="G798" s="3600"/>
    </row>
    <row r="799" spans="7:7">
      <c r="G799" s="3600"/>
    </row>
    <row r="800" spans="7:7">
      <c r="G800" s="3600"/>
    </row>
    <row r="801" spans="7:7">
      <c r="G801" s="3600"/>
    </row>
    <row r="802" spans="7:7">
      <c r="G802" s="3600"/>
    </row>
    <row r="803" spans="7:7">
      <c r="G803" s="3600"/>
    </row>
    <row r="804" spans="7:7">
      <c r="G804" s="3600"/>
    </row>
    <row r="805" spans="7:7">
      <c r="G805" s="3600"/>
    </row>
    <row r="806" spans="7:7">
      <c r="G806" s="3600"/>
    </row>
    <row r="807" spans="7:7">
      <c r="G807" s="3600"/>
    </row>
  </sheetData>
  <sheetProtection algorithmName="SHA-512" hashValue="lZPWSPzyyjrh2qvoeITG9zc/Ae1m9sFE3q7RKSQ1LVyjpXmIiUUtMN9DG2FLjdI+1SVEXLEn+bjh4zgTD9IlkQ==" saltValue="aecppdPM1BC5Jbfyi/mHcQ==" spinCount="100000" sheet="1" objects="1" scenarios="1"/>
  <mergeCells count="8">
    <mergeCell ref="A166:G166"/>
    <mergeCell ref="A165:G165"/>
    <mergeCell ref="A2:I2"/>
    <mergeCell ref="A158:C158"/>
    <mergeCell ref="A161:G161"/>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A0C7-2CE8-4A33-BA2B-DE734A28E679}">
  <sheetPr>
    <pageSetUpPr fitToPage="1"/>
  </sheetPr>
  <dimension ref="A1:BK109"/>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731" customWidth="1"/>
    <col min="7" max="7" width="13.6640625" style="3600" customWidth="1"/>
    <col min="8" max="8" width="18.33203125" style="3600" customWidth="1"/>
    <col min="9" max="10" width="20.1640625" style="888" customWidth="1"/>
    <col min="11" max="11" width="16.1640625" style="3544" customWidth="1"/>
    <col min="12" max="16384" width="9.33203125" style="889"/>
  </cols>
  <sheetData>
    <row r="1" spans="1:25" ht="18">
      <c r="A1" s="1" t="s">
        <v>2760</v>
      </c>
      <c r="B1" s="887"/>
      <c r="C1" s="887"/>
      <c r="D1" s="887"/>
      <c r="E1" s="887"/>
      <c r="F1" s="887"/>
      <c r="G1" s="887"/>
      <c r="H1" s="887"/>
      <c r="J1" s="3052"/>
      <c r="K1" s="3052"/>
      <c r="L1" s="3052"/>
      <c r="M1" s="3052"/>
      <c r="N1" s="3052"/>
    </row>
    <row r="2" spans="1:25" ht="13.5" customHeight="1">
      <c r="A2" s="5199" t="s">
        <v>115</v>
      </c>
      <c r="B2" s="5200"/>
      <c r="C2" s="5200"/>
      <c r="D2" s="5200"/>
      <c r="E2" s="5200"/>
      <c r="F2" s="5200"/>
      <c r="G2" s="5200"/>
      <c r="H2" s="5200"/>
      <c r="I2" s="5200"/>
      <c r="J2" s="71"/>
      <c r="K2" s="3052"/>
      <c r="L2" s="3052"/>
      <c r="M2" s="3052"/>
      <c r="N2" s="3052"/>
    </row>
    <row r="3" spans="1:25" ht="13.5" customHeight="1">
      <c r="A3" s="885" t="s">
        <v>1649</v>
      </c>
      <c r="B3" s="3735"/>
      <c r="C3" s="886"/>
      <c r="D3" s="886"/>
      <c r="E3" s="886"/>
      <c r="F3" s="887"/>
      <c r="G3" s="887"/>
      <c r="H3" s="888"/>
      <c r="J3" s="3736"/>
      <c r="K3" s="3737"/>
      <c r="L3" s="3737"/>
      <c r="M3" s="3737"/>
      <c r="N3" s="3737"/>
    </row>
    <row r="4" spans="1:25" ht="13.5" customHeight="1">
      <c r="A4" s="885"/>
      <c r="B4" s="886"/>
      <c r="C4" s="886"/>
      <c r="D4" s="886"/>
      <c r="E4" s="886"/>
      <c r="F4" s="887"/>
      <c r="G4" s="887"/>
      <c r="H4" s="888"/>
      <c r="L4" s="3738"/>
      <c r="M4" s="3052"/>
      <c r="N4" s="3052"/>
      <c r="O4" s="3052"/>
    </row>
    <row r="5" spans="1:25" ht="13.5" customHeight="1">
      <c r="A5" s="885"/>
      <c r="B5" s="886"/>
      <c r="C5" s="886"/>
      <c r="D5" s="886"/>
      <c r="E5" s="886"/>
      <c r="F5" s="887"/>
      <c r="G5" s="887"/>
      <c r="H5" s="888"/>
      <c r="L5" s="3739"/>
      <c r="M5" s="3052"/>
      <c r="N5" s="3740"/>
      <c r="O5" s="3052"/>
    </row>
    <row r="6" spans="1:25" ht="22.5">
      <c r="A6" s="3491" t="s">
        <v>118</v>
      </c>
      <c r="B6" s="3491" t="s">
        <v>119</v>
      </c>
      <c r="C6" s="3491" t="s">
        <v>120</v>
      </c>
      <c r="D6" s="3491" t="s">
        <v>121</v>
      </c>
      <c r="E6" s="3491" t="s">
        <v>122</v>
      </c>
      <c r="F6" s="3491" t="s">
        <v>123</v>
      </c>
      <c r="G6" s="3491" t="s">
        <v>124</v>
      </c>
      <c r="H6" s="3491" t="s">
        <v>2</v>
      </c>
      <c r="I6" s="3491" t="s">
        <v>46</v>
      </c>
      <c r="J6" s="3741"/>
      <c r="K6" s="3621"/>
    </row>
    <row r="7" spans="1:25">
      <c r="A7" s="3491" t="s">
        <v>125</v>
      </c>
      <c r="B7" s="3491" t="s">
        <v>126</v>
      </c>
      <c r="C7" s="3491" t="s">
        <v>127</v>
      </c>
      <c r="D7" s="3491" t="s">
        <v>128</v>
      </c>
      <c r="E7" s="3491" t="s">
        <v>129</v>
      </c>
      <c r="F7" s="3491" t="s">
        <v>130</v>
      </c>
      <c r="G7" s="3491" t="s">
        <v>131</v>
      </c>
      <c r="H7" s="3491">
        <v>8</v>
      </c>
      <c r="I7" s="3491">
        <v>9</v>
      </c>
      <c r="J7" s="3741"/>
    </row>
    <row r="8" spans="1:25" s="888" customFormat="1" ht="21" customHeight="1">
      <c r="A8" s="3496"/>
      <c r="B8" s="3497"/>
      <c r="C8" s="3497" t="s">
        <v>366</v>
      </c>
      <c r="D8" s="3497" t="s">
        <v>367</v>
      </c>
      <c r="E8" s="3497"/>
      <c r="F8" s="3710"/>
      <c r="G8" s="3742"/>
      <c r="H8" s="3742">
        <f>H9</f>
        <v>0</v>
      </c>
      <c r="K8" s="3487"/>
    </row>
    <row r="9" spans="1:25" ht="13.5" customHeight="1">
      <c r="A9" s="3501"/>
      <c r="B9" s="3502"/>
      <c r="C9" s="3502">
        <v>766</v>
      </c>
      <c r="D9" s="3502" t="s">
        <v>1015</v>
      </c>
      <c r="E9" s="3502"/>
      <c r="F9" s="3743"/>
      <c r="G9" s="3634"/>
      <c r="H9" s="3634">
        <f>SUM(H19:H21,H10:H11,H30:H32,H44:H46,H57:H59,H71:H73,H81:H94)</f>
        <v>0</v>
      </c>
      <c r="I9" s="3506"/>
    </row>
    <row r="10" spans="1:25" ht="27" customHeight="1">
      <c r="A10" s="3744" t="s">
        <v>125</v>
      </c>
      <c r="B10" s="3507">
        <v>766</v>
      </c>
      <c r="C10" s="3507" t="s">
        <v>1650</v>
      </c>
      <c r="D10" s="3507" t="s">
        <v>1651</v>
      </c>
      <c r="E10" s="3507" t="s">
        <v>49</v>
      </c>
      <c r="F10" s="3531">
        <f>SUM(F11)</f>
        <v>1</v>
      </c>
      <c r="G10" s="3509">
        <f>SUM(H12:H18)/F10</f>
        <v>0</v>
      </c>
      <c r="H10" s="3745">
        <f t="shared" ref="H10" si="0">ROUND(F10*G10,2)</f>
        <v>0</v>
      </c>
      <c r="I10" s="3510" t="s">
        <v>111</v>
      </c>
      <c r="J10" s="3746"/>
      <c r="K10" s="3542"/>
    </row>
    <row r="11" spans="1:25" ht="13.5" customHeight="1">
      <c r="A11" s="3513"/>
      <c r="B11" s="3514"/>
      <c r="C11" s="3514"/>
      <c r="D11" s="3514" t="s">
        <v>1652</v>
      </c>
      <c r="E11" s="3514"/>
      <c r="F11" s="3515">
        <v>1</v>
      </c>
      <c r="G11" s="15"/>
      <c r="H11" s="3546"/>
      <c r="I11" s="3747"/>
      <c r="J11" s="3748"/>
      <c r="K11" s="3542"/>
      <c r="P11" s="3529"/>
    </row>
    <row r="12" spans="1:25" ht="27" customHeight="1">
      <c r="A12" s="3749" t="s">
        <v>1118</v>
      </c>
      <c r="B12" s="3514"/>
      <c r="C12" s="3285" t="s">
        <v>1653</v>
      </c>
      <c r="D12" s="3514" t="s">
        <v>1654</v>
      </c>
      <c r="E12" s="3514" t="s">
        <v>205</v>
      </c>
      <c r="F12" s="3515">
        <v>1</v>
      </c>
      <c r="G12" s="106"/>
      <c r="H12" s="3546">
        <f t="shared" ref="H12" si="1">ROUND(F12*G12,2)</f>
        <v>0</v>
      </c>
      <c r="I12" s="2532" t="s">
        <v>112</v>
      </c>
      <c r="J12" s="2748"/>
      <c r="N12" s="3750"/>
    </row>
    <row r="13" spans="1:25" ht="13.5" customHeight="1">
      <c r="A13" s="3513"/>
      <c r="B13" s="3514"/>
      <c r="C13" s="3514"/>
      <c r="D13" s="3514" t="s">
        <v>1655</v>
      </c>
      <c r="E13" s="3514"/>
      <c r="F13" s="3515"/>
      <c r="G13" s="15"/>
      <c r="H13" s="3546"/>
      <c r="I13" s="3519"/>
      <c r="J13" s="3751"/>
      <c r="K13" s="3752"/>
      <c r="L13" s="5203"/>
      <c r="M13" s="5203"/>
      <c r="N13" s="3753"/>
      <c r="Y13" s="3606"/>
    </row>
    <row r="14" spans="1:25" ht="27" customHeight="1">
      <c r="A14" s="3749" t="s">
        <v>1121</v>
      </c>
      <c r="B14" s="3514"/>
      <c r="C14" s="3285" t="s">
        <v>1656</v>
      </c>
      <c r="D14" s="3514" t="s">
        <v>4133</v>
      </c>
      <c r="E14" s="3514" t="s">
        <v>205</v>
      </c>
      <c r="F14" s="3515">
        <v>1</v>
      </c>
      <c r="G14" s="106"/>
      <c r="H14" s="3546">
        <f t="shared" ref="H14:H18" si="2">ROUND(F14*G14,2)</f>
        <v>0</v>
      </c>
      <c r="I14" s="2532" t="s">
        <v>112</v>
      </c>
      <c r="J14" s="3134"/>
      <c r="K14" s="3754"/>
      <c r="N14" s="3755"/>
      <c r="Y14" s="3606"/>
    </row>
    <row r="15" spans="1:25" s="2206" customFormat="1" ht="13.5" customHeight="1">
      <c r="A15" s="3284" t="s">
        <v>1657</v>
      </c>
      <c r="B15" s="2224"/>
      <c r="C15" s="3285" t="s">
        <v>1658</v>
      </c>
      <c r="D15" s="2277" t="s">
        <v>1659</v>
      </c>
      <c r="E15" s="2347" t="s">
        <v>205</v>
      </c>
      <c r="F15" s="2300">
        <v>1</v>
      </c>
      <c r="G15" s="209"/>
      <c r="H15" s="2624">
        <f t="shared" si="2"/>
        <v>0</v>
      </c>
      <c r="I15" s="2532" t="s">
        <v>112</v>
      </c>
      <c r="J15" s="647"/>
      <c r="K15" s="647"/>
      <c r="L15" s="612"/>
      <c r="M15" s="612"/>
      <c r="N15" s="612"/>
      <c r="O15" s="612"/>
      <c r="P15" s="612"/>
      <c r="Q15" s="612"/>
      <c r="R15" s="612"/>
      <c r="S15" s="788"/>
      <c r="V15" s="612"/>
    </row>
    <row r="16" spans="1:25" s="2206" customFormat="1" ht="13.5" customHeight="1">
      <c r="A16" s="3294" t="s">
        <v>4134</v>
      </c>
      <c r="B16" s="3756"/>
      <c r="C16" s="2452" t="s">
        <v>1667</v>
      </c>
      <c r="D16" s="3756" t="s">
        <v>1668</v>
      </c>
      <c r="E16" s="3756" t="s">
        <v>205</v>
      </c>
      <c r="F16" s="3757">
        <v>1</v>
      </c>
      <c r="G16" s="476"/>
      <c r="H16" s="3758">
        <f t="shared" si="2"/>
        <v>0</v>
      </c>
      <c r="I16" s="3759" t="s">
        <v>112</v>
      </c>
      <c r="J16" s="647"/>
      <c r="K16" s="647"/>
      <c r="L16" s="612"/>
      <c r="M16" s="612"/>
      <c r="N16" s="612"/>
      <c r="O16" s="612"/>
      <c r="P16" s="612"/>
      <c r="Q16" s="612"/>
      <c r="R16" s="612"/>
      <c r="S16" s="788"/>
      <c r="V16" s="612"/>
    </row>
    <row r="17" spans="1:25" s="2206" customFormat="1" ht="13.5" customHeight="1">
      <c r="A17" s="3284" t="s">
        <v>1660</v>
      </c>
      <c r="B17" s="2224"/>
      <c r="C17" s="3285" t="s">
        <v>1661</v>
      </c>
      <c r="D17" s="2277" t="s">
        <v>1662</v>
      </c>
      <c r="E17" s="2347" t="s">
        <v>205</v>
      </c>
      <c r="F17" s="2300">
        <v>2</v>
      </c>
      <c r="G17" s="209"/>
      <c r="H17" s="2624">
        <f t="shared" si="2"/>
        <v>0</v>
      </c>
      <c r="I17" s="2532" t="s">
        <v>112</v>
      </c>
      <c r="J17" s="647"/>
      <c r="K17" s="647"/>
      <c r="L17" s="612"/>
      <c r="M17" s="612"/>
      <c r="N17" s="612"/>
      <c r="O17" s="612"/>
      <c r="P17" s="612"/>
      <c r="Q17" s="612"/>
      <c r="R17" s="612"/>
      <c r="S17" s="788"/>
      <c r="V17" s="612"/>
    </row>
    <row r="18" spans="1:25" ht="27" customHeight="1">
      <c r="A18" s="3760" t="s">
        <v>4135</v>
      </c>
      <c r="B18" s="3761"/>
      <c r="C18" s="2452" t="s">
        <v>1800</v>
      </c>
      <c r="D18" s="3761" t="s">
        <v>4136</v>
      </c>
      <c r="E18" s="3761" t="s">
        <v>141</v>
      </c>
      <c r="F18" s="3762">
        <f>(2.55)*1.05</f>
        <v>2.6774999999999998</v>
      </c>
      <c r="G18" s="269"/>
      <c r="H18" s="3763">
        <f t="shared" si="2"/>
        <v>0</v>
      </c>
      <c r="I18" s="3759" t="s">
        <v>112</v>
      </c>
      <c r="J18" s="2034"/>
      <c r="K18" s="2035"/>
      <c r="L18" s="2036"/>
      <c r="M18" s="2036"/>
      <c r="N18" s="2036"/>
      <c r="O18" s="2037"/>
      <c r="P18" s="2037"/>
      <c r="Q18" s="2037"/>
      <c r="R18" s="2036"/>
      <c r="S18" s="2036"/>
      <c r="T18" s="2039"/>
      <c r="Y18" s="3606"/>
    </row>
    <row r="19" spans="1:25" ht="27" customHeight="1">
      <c r="A19" s="3588"/>
      <c r="B19" s="3502"/>
      <c r="C19" s="3502"/>
      <c r="D19" s="3514" t="s">
        <v>1663</v>
      </c>
      <c r="E19" s="3502"/>
      <c r="F19" s="3504"/>
      <c r="G19" s="19"/>
      <c r="H19" s="3634"/>
      <c r="I19" s="3747"/>
      <c r="J19" s="3467"/>
      <c r="K19" s="2036"/>
      <c r="L19" s="2036"/>
      <c r="M19" s="2036"/>
      <c r="N19" s="2036"/>
      <c r="O19" s="2037"/>
      <c r="P19" s="2037"/>
      <c r="Q19" s="2037"/>
      <c r="R19" s="2036"/>
      <c r="S19" s="2036"/>
      <c r="T19" s="2039"/>
    </row>
    <row r="20" spans="1:25" ht="27" customHeight="1">
      <c r="A20" s="3744" t="s">
        <v>126</v>
      </c>
      <c r="B20" s="3507">
        <v>766</v>
      </c>
      <c r="C20" s="3507" t="s">
        <v>1650</v>
      </c>
      <c r="D20" s="3507" t="s">
        <v>1664</v>
      </c>
      <c r="E20" s="3507" t="s">
        <v>49</v>
      </c>
      <c r="F20" s="3531">
        <f>SUM(F21)</f>
        <v>1</v>
      </c>
      <c r="G20" s="3509">
        <f>SUM(H22:H29)/F20</f>
        <v>0</v>
      </c>
      <c r="H20" s="3745">
        <f t="shared" ref="H20" si="3">ROUND(F20*G20,2)</f>
        <v>0</v>
      </c>
      <c r="I20" s="3510" t="s">
        <v>111</v>
      </c>
      <c r="J20" s="2034"/>
      <c r="K20" s="2035"/>
      <c r="L20" s="1836"/>
      <c r="M20" s="1836"/>
      <c r="N20" s="1836"/>
      <c r="O20" s="2037"/>
      <c r="P20" s="2037"/>
      <c r="Q20" s="2037"/>
      <c r="R20" s="1836"/>
      <c r="S20" s="1836"/>
      <c r="T20" s="2039"/>
    </row>
    <row r="21" spans="1:25" ht="13.5" customHeight="1">
      <c r="A21" s="3513"/>
      <c r="B21" s="3514"/>
      <c r="C21" s="3514"/>
      <c r="D21" s="3514" t="s">
        <v>1652</v>
      </c>
      <c r="E21" s="3514"/>
      <c r="F21" s="3515">
        <v>1</v>
      </c>
      <c r="G21" s="15"/>
      <c r="H21" s="3546"/>
      <c r="I21" s="3747"/>
      <c r="J21" s="2034"/>
      <c r="K21" s="2035"/>
      <c r="L21" s="1836"/>
      <c r="M21" s="1836"/>
      <c r="N21" s="1836"/>
      <c r="O21" s="2037"/>
      <c r="P21" s="2037"/>
      <c r="Q21" s="2037"/>
      <c r="R21" s="1836"/>
      <c r="S21" s="1836"/>
      <c r="T21" s="2039"/>
    </row>
    <row r="22" spans="1:25" ht="27" customHeight="1">
      <c r="A22" s="3749" t="s">
        <v>1128</v>
      </c>
      <c r="B22" s="3514"/>
      <c r="C22" s="3285" t="s">
        <v>1653</v>
      </c>
      <c r="D22" s="3514" t="s">
        <v>1665</v>
      </c>
      <c r="E22" s="3514" t="s">
        <v>205</v>
      </c>
      <c r="F22" s="3515">
        <v>1</v>
      </c>
      <c r="G22" s="106"/>
      <c r="H22" s="3546">
        <f t="shared" ref="H22" si="4">ROUND(F22*G22,2)</f>
        <v>0</v>
      </c>
      <c r="I22" s="2532" t="s">
        <v>112</v>
      </c>
      <c r="J22" s="2034"/>
      <c r="K22" s="2035"/>
      <c r="L22" s="1836"/>
      <c r="M22" s="1836"/>
      <c r="N22" s="1836"/>
      <c r="O22" s="2037"/>
      <c r="P22" s="2037"/>
      <c r="Q22" s="2037"/>
      <c r="R22" s="1836"/>
      <c r="S22" s="1836"/>
      <c r="T22" s="2039"/>
    </row>
    <row r="23" spans="1:25" ht="13.5" customHeight="1">
      <c r="A23" s="3513"/>
      <c r="B23" s="3514"/>
      <c r="C23" s="3514"/>
      <c r="D23" s="3514" t="s">
        <v>1655</v>
      </c>
      <c r="E23" s="3514"/>
      <c r="F23" s="3515"/>
      <c r="G23" s="15"/>
      <c r="H23" s="3546"/>
      <c r="I23" s="3519"/>
      <c r="J23" s="2034"/>
      <c r="K23" s="2035"/>
      <c r="L23" s="1836"/>
      <c r="M23" s="1836"/>
      <c r="N23" s="1836"/>
      <c r="O23" s="2037"/>
      <c r="P23" s="2037"/>
      <c r="Q23" s="2037"/>
      <c r="R23" s="1836"/>
      <c r="S23" s="1836"/>
      <c r="T23" s="2039"/>
      <c r="Y23" s="3606"/>
    </row>
    <row r="24" spans="1:25" ht="27" customHeight="1">
      <c r="A24" s="3749" t="s">
        <v>1130</v>
      </c>
      <c r="B24" s="3514"/>
      <c r="C24" s="3285" t="s">
        <v>1656</v>
      </c>
      <c r="D24" s="3514" t="s">
        <v>4133</v>
      </c>
      <c r="E24" s="3514" t="s">
        <v>205</v>
      </c>
      <c r="F24" s="3515">
        <v>1</v>
      </c>
      <c r="G24" s="106"/>
      <c r="H24" s="3546">
        <f t="shared" ref="H24:H29" si="5">ROUND(F24*G24,2)</f>
        <v>0</v>
      </c>
      <c r="I24" s="2532" t="s">
        <v>112</v>
      </c>
      <c r="J24" s="2034"/>
      <c r="K24" s="2035"/>
      <c r="L24" s="1836"/>
      <c r="M24" s="1836"/>
      <c r="N24" s="1836"/>
      <c r="O24" s="2037"/>
      <c r="P24" s="2037"/>
      <c r="Q24" s="2037"/>
      <c r="R24" s="1836"/>
      <c r="S24" s="1836"/>
      <c r="T24" s="2039"/>
      <c r="Y24" s="3606"/>
    </row>
    <row r="25" spans="1:25" s="2206" customFormat="1" ht="13.5" customHeight="1">
      <c r="A25" s="3284" t="s">
        <v>1666</v>
      </c>
      <c r="B25" s="2224"/>
      <c r="C25" s="3285" t="s">
        <v>1667</v>
      </c>
      <c r="D25" s="2277" t="s">
        <v>1668</v>
      </c>
      <c r="E25" s="2347" t="s">
        <v>205</v>
      </c>
      <c r="F25" s="2300">
        <v>1</v>
      </c>
      <c r="G25" s="209"/>
      <c r="H25" s="2624">
        <f t="shared" si="5"/>
        <v>0</v>
      </c>
      <c r="I25" s="2532" t="s">
        <v>112</v>
      </c>
      <c r="J25" s="647"/>
      <c r="K25" s="647"/>
      <c r="L25" s="612"/>
      <c r="M25" s="612"/>
      <c r="N25" s="612"/>
      <c r="O25" s="612"/>
      <c r="P25" s="612"/>
      <c r="Q25" s="612"/>
      <c r="R25" s="612"/>
      <c r="S25" s="788"/>
      <c r="V25" s="612"/>
    </row>
    <row r="26" spans="1:25" s="2206" customFormat="1" ht="13.5" customHeight="1">
      <c r="A26" s="3284" t="s">
        <v>1669</v>
      </c>
      <c r="B26" s="2224"/>
      <c r="C26" s="3285" t="s">
        <v>1658</v>
      </c>
      <c r="D26" s="2277" t="s">
        <v>1659</v>
      </c>
      <c r="E26" s="2347" t="s">
        <v>205</v>
      </c>
      <c r="F26" s="2300">
        <v>1</v>
      </c>
      <c r="G26" s="209"/>
      <c r="H26" s="2624">
        <f t="shared" si="5"/>
        <v>0</v>
      </c>
      <c r="I26" s="2532" t="s">
        <v>112</v>
      </c>
      <c r="J26" s="647"/>
      <c r="K26" s="647"/>
      <c r="L26" s="612"/>
      <c r="M26" s="612"/>
      <c r="N26" s="612"/>
      <c r="O26" s="612"/>
      <c r="P26" s="612"/>
      <c r="Q26" s="612"/>
      <c r="R26" s="612"/>
      <c r="S26" s="788"/>
      <c r="V26" s="612"/>
    </row>
    <row r="27" spans="1:25" s="2206" customFormat="1" ht="13.5" customHeight="1">
      <c r="A27" s="3294" t="s">
        <v>4137</v>
      </c>
      <c r="B27" s="3756"/>
      <c r="C27" s="2452" t="s">
        <v>4138</v>
      </c>
      <c r="D27" s="3756" t="s">
        <v>4139</v>
      </c>
      <c r="E27" s="3756" t="s">
        <v>205</v>
      </c>
      <c r="F27" s="3757">
        <v>1</v>
      </c>
      <c r="G27" s="476"/>
      <c r="H27" s="3758">
        <f t="shared" si="5"/>
        <v>0</v>
      </c>
      <c r="I27" s="3759" t="s">
        <v>112</v>
      </c>
      <c r="J27" s="647"/>
      <c r="K27" s="647"/>
      <c r="L27" s="612"/>
      <c r="M27" s="612"/>
      <c r="N27" s="612"/>
      <c r="O27" s="612"/>
      <c r="P27" s="612"/>
      <c r="Q27" s="612"/>
      <c r="R27" s="612"/>
      <c r="S27" s="788"/>
      <c r="V27" s="612"/>
    </row>
    <row r="28" spans="1:25" s="2206" customFormat="1" ht="13.5" customHeight="1">
      <c r="A28" s="3284" t="s">
        <v>1670</v>
      </c>
      <c r="B28" s="2224"/>
      <c r="C28" s="3285" t="s">
        <v>1661</v>
      </c>
      <c r="D28" s="2277" t="s">
        <v>1662</v>
      </c>
      <c r="E28" s="2347" t="s">
        <v>205</v>
      </c>
      <c r="F28" s="2300">
        <v>1</v>
      </c>
      <c r="G28" s="209"/>
      <c r="H28" s="2624">
        <f t="shared" si="5"/>
        <v>0</v>
      </c>
      <c r="I28" s="2532" t="s">
        <v>112</v>
      </c>
      <c r="J28" s="647"/>
      <c r="K28" s="647"/>
      <c r="L28" s="612"/>
      <c r="M28" s="612"/>
      <c r="N28" s="612"/>
      <c r="O28" s="612"/>
      <c r="P28" s="612"/>
      <c r="Q28" s="612"/>
      <c r="R28" s="612"/>
      <c r="S28" s="788"/>
      <c r="V28" s="612"/>
    </row>
    <row r="29" spans="1:25" ht="27" customHeight="1">
      <c r="A29" s="3760" t="s">
        <v>4140</v>
      </c>
      <c r="B29" s="3761"/>
      <c r="C29" s="2452" t="s">
        <v>1800</v>
      </c>
      <c r="D29" s="3761" t="s">
        <v>4141</v>
      </c>
      <c r="E29" s="3761" t="s">
        <v>141</v>
      </c>
      <c r="F29" s="3762">
        <f xml:space="preserve"> (1.6)*1.05</f>
        <v>1.6800000000000002</v>
      </c>
      <c r="G29" s="269"/>
      <c r="H29" s="3763">
        <f t="shared" si="5"/>
        <v>0</v>
      </c>
      <c r="I29" s="3759" t="s">
        <v>112</v>
      </c>
      <c r="J29" s="2748"/>
      <c r="K29" s="3621"/>
      <c r="N29" s="71"/>
      <c r="Y29" s="3606"/>
    </row>
    <row r="30" spans="1:25" ht="27" customHeight="1">
      <c r="A30" s="3588"/>
      <c r="B30" s="3502"/>
      <c r="C30" s="3502"/>
      <c r="D30" s="3514" t="s">
        <v>1663</v>
      </c>
      <c r="E30" s="3502"/>
      <c r="F30" s="3504"/>
      <c r="G30" s="19"/>
      <c r="H30" s="3634"/>
      <c r="I30" s="3747"/>
      <c r="J30" s="3746"/>
      <c r="K30" s="3764"/>
    </row>
    <row r="31" spans="1:25" ht="27" customHeight="1">
      <c r="A31" s="3744" t="s">
        <v>127</v>
      </c>
      <c r="B31" s="3507">
        <v>766</v>
      </c>
      <c r="C31" s="3507" t="s">
        <v>1650</v>
      </c>
      <c r="D31" s="3507" t="s">
        <v>1671</v>
      </c>
      <c r="E31" s="3507" t="s">
        <v>49</v>
      </c>
      <c r="F31" s="3531">
        <f>SUM(F32)</f>
        <v>1</v>
      </c>
      <c r="G31" s="3509">
        <f>SUM(H33:H43)/F31</f>
        <v>0</v>
      </c>
      <c r="H31" s="3745">
        <f t="shared" ref="H31" si="6">ROUND(F31*G31,2)</f>
        <v>0</v>
      </c>
      <c r="I31" s="3510" t="s">
        <v>111</v>
      </c>
      <c r="J31" s="3746"/>
      <c r="K31" s="3542"/>
    </row>
    <row r="32" spans="1:25" ht="13.5" customHeight="1">
      <c r="A32" s="3513"/>
      <c r="B32" s="3514"/>
      <c r="C32" s="3514"/>
      <c r="D32" s="3514" t="s">
        <v>1652</v>
      </c>
      <c r="E32" s="3514"/>
      <c r="F32" s="3515">
        <v>1</v>
      </c>
      <c r="G32" s="15"/>
      <c r="H32" s="3546"/>
      <c r="I32" s="3747"/>
      <c r="J32" s="3748"/>
      <c r="K32" s="3542"/>
      <c r="P32" s="3529"/>
    </row>
    <row r="33" spans="1:25" ht="27" customHeight="1">
      <c r="A33" s="3749" t="s">
        <v>1133</v>
      </c>
      <c r="B33" s="3514"/>
      <c r="C33" s="3285" t="s">
        <v>1653</v>
      </c>
      <c r="D33" s="3514" t="s">
        <v>1672</v>
      </c>
      <c r="E33" s="3514" t="s">
        <v>205</v>
      </c>
      <c r="F33" s="3515">
        <v>1</v>
      </c>
      <c r="G33" s="106"/>
      <c r="H33" s="3546">
        <f t="shared" ref="H33" si="7">ROUND(F33*G33,2)</f>
        <v>0</v>
      </c>
      <c r="I33" s="2532" t="s">
        <v>112</v>
      </c>
      <c r="J33" s="2748"/>
      <c r="N33" s="3750"/>
    </row>
    <row r="34" spans="1:25" ht="13.5" customHeight="1">
      <c r="A34" s="3513"/>
      <c r="B34" s="3514"/>
      <c r="C34" s="3514"/>
      <c r="D34" s="3514" t="s">
        <v>1655</v>
      </c>
      <c r="E34" s="3514"/>
      <c r="F34" s="3515"/>
      <c r="G34" s="15"/>
      <c r="H34" s="3546"/>
      <c r="I34" s="3519"/>
      <c r="J34" s="3751"/>
      <c r="K34" s="3752"/>
      <c r="L34" s="5203"/>
      <c r="M34" s="5203"/>
      <c r="N34" s="3753"/>
      <c r="Y34" s="3606"/>
    </row>
    <row r="35" spans="1:25" ht="27" customHeight="1">
      <c r="A35" s="3749" t="s">
        <v>1135</v>
      </c>
      <c r="B35" s="3514"/>
      <c r="C35" s="3285" t="s">
        <v>1656</v>
      </c>
      <c r="D35" s="3514" t="s">
        <v>4142</v>
      </c>
      <c r="E35" s="3514" t="s">
        <v>205</v>
      </c>
      <c r="F35" s="3762">
        <v>2</v>
      </c>
      <c r="G35" s="106"/>
      <c r="H35" s="3546">
        <f t="shared" ref="H35:H43" si="8">ROUND(F35*G35,2)</f>
        <v>0</v>
      </c>
      <c r="I35" s="2532" t="s">
        <v>112</v>
      </c>
      <c r="J35" s="3134"/>
      <c r="K35" s="3754"/>
      <c r="N35" s="3755"/>
      <c r="Y35" s="3606"/>
    </row>
    <row r="36" spans="1:25" s="2206" customFormat="1" ht="13.5" customHeight="1">
      <c r="A36" s="3284" t="s">
        <v>1673</v>
      </c>
      <c r="B36" s="2224"/>
      <c r="C36" s="3285" t="s">
        <v>1658</v>
      </c>
      <c r="D36" s="2277" t="s">
        <v>1659</v>
      </c>
      <c r="E36" s="2347" t="s">
        <v>205</v>
      </c>
      <c r="F36" s="2300">
        <v>1</v>
      </c>
      <c r="G36" s="209"/>
      <c r="H36" s="2624">
        <f t="shared" si="8"/>
        <v>0</v>
      </c>
      <c r="I36" s="2532" t="s">
        <v>112</v>
      </c>
      <c r="J36" s="647"/>
      <c r="K36" s="647"/>
      <c r="L36" s="612"/>
      <c r="M36" s="612"/>
      <c r="N36" s="612"/>
      <c r="O36" s="612"/>
      <c r="P36" s="612"/>
      <c r="Q36" s="612"/>
      <c r="R36" s="612"/>
      <c r="S36" s="788"/>
      <c r="V36" s="612"/>
    </row>
    <row r="37" spans="1:25" s="2206" customFormat="1" ht="13.5" customHeight="1">
      <c r="A37" s="3284" t="s">
        <v>1674</v>
      </c>
      <c r="B37" s="2224"/>
      <c r="C37" s="3285" t="s">
        <v>1667</v>
      </c>
      <c r="D37" s="2277" t="s">
        <v>1668</v>
      </c>
      <c r="E37" s="2347" t="s">
        <v>205</v>
      </c>
      <c r="F37" s="2300">
        <v>2</v>
      </c>
      <c r="G37" s="209"/>
      <c r="H37" s="2624">
        <f t="shared" si="8"/>
        <v>0</v>
      </c>
      <c r="I37" s="2532" t="s">
        <v>112</v>
      </c>
      <c r="J37" s="647"/>
      <c r="K37" s="647"/>
      <c r="L37" s="612"/>
      <c r="M37" s="612"/>
      <c r="N37" s="612"/>
      <c r="O37" s="612"/>
      <c r="P37" s="612"/>
      <c r="Q37" s="612"/>
      <c r="R37" s="612"/>
      <c r="S37" s="788"/>
      <c r="V37" s="612"/>
    </row>
    <row r="38" spans="1:25" s="2206" customFormat="1" ht="13.5" customHeight="1">
      <c r="A38" s="3284" t="s">
        <v>1675</v>
      </c>
      <c r="B38" s="2224"/>
      <c r="C38" s="3285" t="s">
        <v>1676</v>
      </c>
      <c r="D38" s="2277" t="s">
        <v>1677</v>
      </c>
      <c r="E38" s="2347" t="s">
        <v>205</v>
      </c>
      <c r="F38" s="2300">
        <v>1</v>
      </c>
      <c r="G38" s="209"/>
      <c r="H38" s="2624">
        <f t="shared" si="8"/>
        <v>0</v>
      </c>
      <c r="I38" s="2532" t="s">
        <v>112</v>
      </c>
      <c r="J38" s="647"/>
      <c r="K38" s="647"/>
      <c r="L38" s="612"/>
      <c r="M38" s="612"/>
      <c r="N38" s="612"/>
      <c r="O38" s="612"/>
      <c r="P38" s="612"/>
      <c r="Q38" s="612"/>
      <c r="R38" s="612"/>
      <c r="S38" s="788"/>
      <c r="V38" s="612"/>
    </row>
    <row r="39" spans="1:25" s="2206" customFormat="1" ht="13.5" customHeight="1">
      <c r="A39" s="3284" t="s">
        <v>1678</v>
      </c>
      <c r="B39" s="2224"/>
      <c r="C39" s="3285" t="s">
        <v>1679</v>
      </c>
      <c r="D39" s="2277" t="s">
        <v>1680</v>
      </c>
      <c r="E39" s="2347" t="s">
        <v>205</v>
      </c>
      <c r="F39" s="2300">
        <v>2</v>
      </c>
      <c r="G39" s="209"/>
      <c r="H39" s="2624">
        <f t="shared" si="8"/>
        <v>0</v>
      </c>
      <c r="I39" s="2532" t="s">
        <v>112</v>
      </c>
      <c r="J39" s="647"/>
      <c r="K39" s="647"/>
      <c r="L39" s="612"/>
      <c r="M39" s="612"/>
      <c r="N39" s="612"/>
      <c r="O39" s="612"/>
      <c r="P39" s="612"/>
      <c r="Q39" s="612"/>
      <c r="R39" s="612"/>
      <c r="S39" s="788"/>
      <c r="V39" s="612"/>
    </row>
    <row r="40" spans="1:25" s="2206" customFormat="1" ht="13.5" customHeight="1">
      <c r="A40" s="3284" t="s">
        <v>1681</v>
      </c>
      <c r="B40" s="2224"/>
      <c r="C40" s="3285" t="s">
        <v>1682</v>
      </c>
      <c r="D40" s="2277" t="s">
        <v>1683</v>
      </c>
      <c r="E40" s="2347" t="s">
        <v>205</v>
      </c>
      <c r="F40" s="2300">
        <v>2</v>
      </c>
      <c r="G40" s="209"/>
      <c r="H40" s="2624">
        <f t="shared" si="8"/>
        <v>0</v>
      </c>
      <c r="I40" s="2532" t="s">
        <v>112</v>
      </c>
      <c r="J40" s="647"/>
      <c r="K40" s="647"/>
      <c r="L40" s="612"/>
      <c r="M40" s="612"/>
      <c r="N40" s="612"/>
      <c r="O40" s="612"/>
      <c r="P40" s="612"/>
      <c r="Q40" s="612"/>
      <c r="R40" s="612"/>
      <c r="S40" s="788"/>
      <c r="V40" s="612"/>
    </row>
    <row r="41" spans="1:25" s="2206" customFormat="1" ht="13.5" customHeight="1">
      <c r="A41" s="3284" t="s">
        <v>1684</v>
      </c>
      <c r="B41" s="2224"/>
      <c r="C41" s="3285" t="s">
        <v>1685</v>
      </c>
      <c r="D41" s="2277" t="s">
        <v>1686</v>
      </c>
      <c r="E41" s="2347" t="s">
        <v>205</v>
      </c>
      <c r="F41" s="2300">
        <v>2</v>
      </c>
      <c r="G41" s="209"/>
      <c r="H41" s="2624">
        <f t="shared" si="8"/>
        <v>0</v>
      </c>
      <c r="I41" s="2532" t="s">
        <v>112</v>
      </c>
      <c r="J41" s="647"/>
      <c r="K41" s="647"/>
      <c r="L41" s="612"/>
      <c r="M41" s="612"/>
      <c r="N41" s="612"/>
      <c r="O41" s="612"/>
      <c r="P41" s="612"/>
      <c r="Q41" s="612"/>
      <c r="R41" s="612"/>
      <c r="S41" s="788"/>
      <c r="V41" s="612"/>
    </row>
    <row r="42" spans="1:25" s="2206" customFormat="1" ht="13.5" customHeight="1">
      <c r="A42" s="3284" t="s">
        <v>1687</v>
      </c>
      <c r="B42" s="2224"/>
      <c r="C42" s="3285" t="s">
        <v>1661</v>
      </c>
      <c r="D42" s="2277" t="s">
        <v>1662</v>
      </c>
      <c r="E42" s="2347" t="s">
        <v>205</v>
      </c>
      <c r="F42" s="2300">
        <v>1</v>
      </c>
      <c r="G42" s="209"/>
      <c r="H42" s="2624">
        <f t="shared" si="8"/>
        <v>0</v>
      </c>
      <c r="I42" s="2532" t="s">
        <v>112</v>
      </c>
      <c r="J42" s="647"/>
      <c r="K42" s="647"/>
      <c r="L42" s="612"/>
      <c r="M42" s="612"/>
      <c r="N42" s="612"/>
      <c r="O42" s="612"/>
      <c r="P42" s="612"/>
      <c r="Q42" s="612"/>
      <c r="R42" s="612"/>
      <c r="S42" s="788"/>
      <c r="V42" s="612"/>
    </row>
    <row r="43" spans="1:25" ht="27" customHeight="1">
      <c r="A43" s="3760" t="s">
        <v>4143</v>
      </c>
      <c r="B43" s="3761"/>
      <c r="C43" s="2452" t="s">
        <v>1800</v>
      </c>
      <c r="D43" s="3761" t="s">
        <v>4144</v>
      </c>
      <c r="E43" s="3761" t="s">
        <v>141</v>
      </c>
      <c r="F43" s="3762">
        <f>(6.98)*1.05</f>
        <v>7.3290000000000006</v>
      </c>
      <c r="G43" s="269"/>
      <c r="H43" s="3763">
        <f t="shared" si="8"/>
        <v>0</v>
      </c>
      <c r="I43" s="3759" t="s">
        <v>112</v>
      </c>
      <c r="J43" s="2748"/>
      <c r="K43" s="3621"/>
      <c r="N43" s="71"/>
      <c r="Y43" s="3606"/>
    </row>
    <row r="44" spans="1:25" ht="27" customHeight="1">
      <c r="A44" s="3588"/>
      <c r="B44" s="3502"/>
      <c r="C44" s="3502"/>
      <c r="D44" s="3514" t="s">
        <v>1663</v>
      </c>
      <c r="E44" s="3502"/>
      <c r="F44" s="3504"/>
      <c r="G44" s="19"/>
      <c r="H44" s="3634"/>
      <c r="I44" s="3747"/>
      <c r="J44" s="3746"/>
      <c r="K44" s="3764"/>
    </row>
    <row r="45" spans="1:25" ht="27" customHeight="1">
      <c r="A45" s="3744" t="s">
        <v>128</v>
      </c>
      <c r="B45" s="3507">
        <v>766</v>
      </c>
      <c r="C45" s="3507" t="s">
        <v>1650</v>
      </c>
      <c r="D45" s="3507" t="s">
        <v>1688</v>
      </c>
      <c r="E45" s="3507" t="s">
        <v>49</v>
      </c>
      <c r="F45" s="3531">
        <f>SUM(F46)</f>
        <v>1</v>
      </c>
      <c r="G45" s="3509">
        <f>SUM(H47:H56)/F45</f>
        <v>0</v>
      </c>
      <c r="H45" s="3745">
        <f t="shared" ref="H45" si="9">ROUND(F45*G45,2)</f>
        <v>0</v>
      </c>
      <c r="I45" s="3510" t="s">
        <v>111</v>
      </c>
      <c r="J45" s="2668"/>
    </row>
    <row r="46" spans="1:25" ht="13.5" customHeight="1">
      <c r="A46" s="3513"/>
      <c r="B46" s="3514"/>
      <c r="C46" s="3514"/>
      <c r="D46" s="3514" t="s">
        <v>1652</v>
      </c>
      <c r="E46" s="3514"/>
      <c r="F46" s="3515">
        <v>1</v>
      </c>
      <c r="G46" s="15"/>
      <c r="H46" s="3546"/>
      <c r="I46" s="3747"/>
      <c r="J46" s="3746"/>
      <c r="K46" s="3542"/>
    </row>
    <row r="47" spans="1:25" ht="27" customHeight="1">
      <c r="A47" s="3749" t="s">
        <v>1139</v>
      </c>
      <c r="B47" s="3514"/>
      <c r="C47" s="3285" t="s">
        <v>1653</v>
      </c>
      <c r="D47" s="3514" t="s">
        <v>1689</v>
      </c>
      <c r="E47" s="3514" t="s">
        <v>205</v>
      </c>
      <c r="F47" s="3515">
        <v>1</v>
      </c>
      <c r="G47" s="106"/>
      <c r="H47" s="3546">
        <f t="shared" ref="H47" si="10">ROUND(F47*G47,2)</f>
        <v>0</v>
      </c>
      <c r="I47" s="2532" t="s">
        <v>112</v>
      </c>
      <c r="J47" s="3748"/>
      <c r="K47" s="3542"/>
      <c r="P47" s="3529"/>
    </row>
    <row r="48" spans="1:25" ht="13.5" customHeight="1">
      <c r="A48" s="3513"/>
      <c r="B48" s="3514"/>
      <c r="C48" s="3514"/>
      <c r="D48" s="3514" t="s">
        <v>1655</v>
      </c>
      <c r="E48" s="3514"/>
      <c r="F48" s="3515"/>
      <c r="G48" s="15"/>
      <c r="H48" s="3546"/>
      <c r="I48" s="3519"/>
      <c r="J48" s="2748"/>
      <c r="N48" s="3750"/>
      <c r="Y48" s="3606"/>
    </row>
    <row r="49" spans="1:25" ht="27" customHeight="1">
      <c r="A49" s="3749" t="s">
        <v>1141</v>
      </c>
      <c r="B49" s="3514"/>
      <c r="C49" s="3285" t="s">
        <v>1656</v>
      </c>
      <c r="D49" s="3514" t="s">
        <v>4133</v>
      </c>
      <c r="E49" s="3514" t="s">
        <v>205</v>
      </c>
      <c r="F49" s="3515">
        <v>1</v>
      </c>
      <c r="G49" s="106"/>
      <c r="H49" s="3546">
        <f t="shared" ref="H49:H56" si="11">ROUND(F49*G49,2)</f>
        <v>0</v>
      </c>
      <c r="I49" s="2532" t="s">
        <v>112</v>
      </c>
      <c r="J49" s="3751"/>
      <c r="K49" s="3752"/>
      <c r="L49" s="5203"/>
      <c r="M49" s="5203"/>
      <c r="N49" s="3753"/>
      <c r="Y49" s="3606"/>
    </row>
    <row r="50" spans="1:25" s="2206" customFormat="1" ht="13.5" customHeight="1">
      <c r="A50" s="3284" t="s">
        <v>1144</v>
      </c>
      <c r="B50" s="2224"/>
      <c r="C50" s="3285" t="s">
        <v>1667</v>
      </c>
      <c r="D50" s="2277" t="s">
        <v>1668</v>
      </c>
      <c r="E50" s="2347" t="s">
        <v>205</v>
      </c>
      <c r="F50" s="2300">
        <v>1</v>
      </c>
      <c r="G50" s="209"/>
      <c r="H50" s="2624">
        <f t="shared" si="11"/>
        <v>0</v>
      </c>
      <c r="I50" s="2532" t="s">
        <v>112</v>
      </c>
      <c r="J50" s="647"/>
      <c r="K50" s="647"/>
      <c r="L50" s="612"/>
      <c r="M50" s="612"/>
      <c r="N50" s="612"/>
      <c r="O50" s="612"/>
      <c r="P50" s="612"/>
      <c r="Q50" s="612"/>
      <c r="R50" s="612"/>
      <c r="S50" s="788"/>
      <c r="V50" s="612"/>
    </row>
    <row r="51" spans="1:25" s="2206" customFormat="1" ht="13.5" customHeight="1">
      <c r="A51" s="3284" t="s">
        <v>1146</v>
      </c>
      <c r="B51" s="2224"/>
      <c r="C51" s="3285" t="s">
        <v>1690</v>
      </c>
      <c r="D51" s="2277" t="s">
        <v>1691</v>
      </c>
      <c r="E51" s="2347" t="s">
        <v>205</v>
      </c>
      <c r="F51" s="2300">
        <v>1</v>
      </c>
      <c r="G51" s="209"/>
      <c r="H51" s="2624">
        <f t="shared" si="11"/>
        <v>0</v>
      </c>
      <c r="I51" s="2532" t="s">
        <v>112</v>
      </c>
      <c r="J51" s="647"/>
      <c r="K51" s="647"/>
      <c r="L51" s="612"/>
      <c r="M51" s="612"/>
      <c r="N51" s="612"/>
      <c r="O51" s="612"/>
      <c r="P51" s="612"/>
      <c r="Q51" s="612"/>
      <c r="R51" s="612"/>
      <c r="S51" s="788"/>
      <c r="V51" s="612"/>
    </row>
    <row r="52" spans="1:25" s="2206" customFormat="1" ht="13.5" customHeight="1">
      <c r="A52" s="3284" t="s">
        <v>1692</v>
      </c>
      <c r="B52" s="2224"/>
      <c r="C52" s="3285" t="s">
        <v>1679</v>
      </c>
      <c r="D52" s="2277" t="s">
        <v>1680</v>
      </c>
      <c r="E52" s="2347" t="s">
        <v>205</v>
      </c>
      <c r="F52" s="2300">
        <v>1</v>
      </c>
      <c r="G52" s="209"/>
      <c r="H52" s="2624">
        <f t="shared" si="11"/>
        <v>0</v>
      </c>
      <c r="I52" s="2532" t="s">
        <v>112</v>
      </c>
      <c r="J52" s="647"/>
      <c r="K52" s="647"/>
      <c r="L52" s="612"/>
      <c r="M52" s="612"/>
      <c r="N52" s="612"/>
      <c r="O52" s="612"/>
      <c r="P52" s="612"/>
      <c r="Q52" s="612"/>
      <c r="R52" s="612"/>
      <c r="S52" s="788"/>
      <c r="V52" s="612"/>
    </row>
    <row r="53" spans="1:25" s="2206" customFormat="1" ht="13.5" customHeight="1">
      <c r="A53" s="3284" t="s">
        <v>1693</v>
      </c>
      <c r="B53" s="2224"/>
      <c r="C53" s="3285" t="s">
        <v>1682</v>
      </c>
      <c r="D53" s="2277" t="s">
        <v>1683</v>
      </c>
      <c r="E53" s="2347" t="s">
        <v>205</v>
      </c>
      <c r="F53" s="2300">
        <v>1</v>
      </c>
      <c r="G53" s="209"/>
      <c r="H53" s="2624">
        <f t="shared" si="11"/>
        <v>0</v>
      </c>
      <c r="I53" s="2532" t="s">
        <v>112</v>
      </c>
      <c r="J53" s="647"/>
      <c r="K53" s="647"/>
      <c r="L53" s="612"/>
      <c r="M53" s="612"/>
      <c r="N53" s="612"/>
      <c r="O53" s="612"/>
      <c r="P53" s="612"/>
      <c r="Q53" s="612"/>
      <c r="R53" s="612"/>
      <c r="S53" s="788"/>
      <c r="V53" s="612"/>
    </row>
    <row r="54" spans="1:25" s="2206" customFormat="1" ht="13.5" customHeight="1">
      <c r="A54" s="3284" t="s">
        <v>1694</v>
      </c>
      <c r="B54" s="2224"/>
      <c r="C54" s="3285" t="s">
        <v>1685</v>
      </c>
      <c r="D54" s="2277" t="s">
        <v>1686</v>
      </c>
      <c r="E54" s="2347" t="s">
        <v>205</v>
      </c>
      <c r="F54" s="2300">
        <v>1</v>
      </c>
      <c r="G54" s="209"/>
      <c r="H54" s="2624">
        <f t="shared" si="11"/>
        <v>0</v>
      </c>
      <c r="I54" s="2532" t="s">
        <v>112</v>
      </c>
      <c r="J54" s="647"/>
      <c r="K54" s="647"/>
      <c r="L54" s="612"/>
      <c r="M54" s="612"/>
      <c r="N54" s="612"/>
      <c r="O54" s="612"/>
      <c r="P54" s="612"/>
      <c r="Q54" s="612"/>
      <c r="R54" s="612"/>
      <c r="S54" s="788"/>
      <c r="V54" s="612"/>
    </row>
    <row r="55" spans="1:25" s="2206" customFormat="1" ht="13.5" customHeight="1">
      <c r="A55" s="3284" t="s">
        <v>1695</v>
      </c>
      <c r="B55" s="2224"/>
      <c r="C55" s="3285" t="s">
        <v>1661</v>
      </c>
      <c r="D55" s="2277" t="s">
        <v>1662</v>
      </c>
      <c r="E55" s="2347" t="s">
        <v>205</v>
      </c>
      <c r="F55" s="2300">
        <v>1</v>
      </c>
      <c r="G55" s="209"/>
      <c r="H55" s="2624">
        <f t="shared" si="11"/>
        <v>0</v>
      </c>
      <c r="I55" s="2532" t="s">
        <v>112</v>
      </c>
      <c r="J55" s="647"/>
      <c r="K55" s="647"/>
      <c r="L55" s="612"/>
      <c r="M55" s="612"/>
      <c r="N55" s="612"/>
      <c r="O55" s="612"/>
      <c r="P55" s="612"/>
      <c r="Q55" s="612"/>
      <c r="R55" s="612"/>
      <c r="S55" s="788"/>
      <c r="V55" s="612"/>
    </row>
    <row r="56" spans="1:25" ht="27" customHeight="1">
      <c r="A56" s="3760" t="s">
        <v>4145</v>
      </c>
      <c r="B56" s="3761"/>
      <c r="C56" s="2452" t="s">
        <v>1800</v>
      </c>
      <c r="D56" s="3761" t="s">
        <v>4146</v>
      </c>
      <c r="E56" s="3761" t="s">
        <v>141</v>
      </c>
      <c r="F56" s="3762">
        <f xml:space="preserve"> (3.2)*1.05</f>
        <v>3.3600000000000003</v>
      </c>
      <c r="G56" s="269"/>
      <c r="H56" s="3763">
        <f t="shared" si="11"/>
        <v>0</v>
      </c>
      <c r="I56" s="3759" t="s">
        <v>112</v>
      </c>
      <c r="J56" s="2748"/>
      <c r="K56" s="3621"/>
      <c r="N56" s="71"/>
      <c r="Y56" s="3606"/>
    </row>
    <row r="57" spans="1:25" ht="27" customHeight="1">
      <c r="A57" s="3588"/>
      <c r="B57" s="3502"/>
      <c r="C57" s="3502"/>
      <c r="D57" s="3514" t="s">
        <v>1663</v>
      </c>
      <c r="E57" s="3502"/>
      <c r="F57" s="3504"/>
      <c r="G57" s="19"/>
      <c r="H57" s="3634"/>
      <c r="I57" s="3747"/>
      <c r="J57" s="3746"/>
      <c r="K57" s="3764"/>
    </row>
    <row r="58" spans="1:25" ht="27" customHeight="1">
      <c r="A58" s="3744" t="s">
        <v>129</v>
      </c>
      <c r="B58" s="3507">
        <v>766</v>
      </c>
      <c r="C58" s="3507" t="s">
        <v>1650</v>
      </c>
      <c r="D58" s="3507" t="s">
        <v>1696</v>
      </c>
      <c r="E58" s="3507" t="s">
        <v>49</v>
      </c>
      <c r="F58" s="3531">
        <f>SUM(F59)</f>
        <v>1</v>
      </c>
      <c r="G58" s="3509">
        <f>SUM(H60:H70)/F58</f>
        <v>0</v>
      </c>
      <c r="H58" s="3745">
        <f t="shared" ref="H58" si="12">ROUND(F58*G58,2)</f>
        <v>0</v>
      </c>
      <c r="I58" s="3510" t="s">
        <v>111</v>
      </c>
      <c r="J58" s="3746"/>
      <c r="K58" s="3542"/>
    </row>
    <row r="59" spans="1:25" ht="13.5" customHeight="1">
      <c r="A59" s="3513"/>
      <c r="B59" s="3514"/>
      <c r="C59" s="3514"/>
      <c r="D59" s="3514" t="s">
        <v>1652</v>
      </c>
      <c r="E59" s="3514"/>
      <c r="F59" s="3515">
        <v>1</v>
      </c>
      <c r="G59" s="15"/>
      <c r="H59" s="3546"/>
      <c r="I59" s="3747"/>
      <c r="J59" s="3748"/>
      <c r="K59" s="3542"/>
      <c r="P59" s="3529"/>
    </row>
    <row r="60" spans="1:25" ht="27" customHeight="1">
      <c r="A60" s="3749" t="s">
        <v>1153</v>
      </c>
      <c r="B60" s="3514"/>
      <c r="C60" s="3285" t="s">
        <v>1653</v>
      </c>
      <c r="D60" s="3514" t="s">
        <v>1697</v>
      </c>
      <c r="E60" s="3514" t="s">
        <v>205</v>
      </c>
      <c r="F60" s="3515">
        <v>1</v>
      </c>
      <c r="G60" s="106"/>
      <c r="H60" s="3546">
        <f t="shared" ref="H60" si="13">ROUND(F60*G60,2)</f>
        <v>0</v>
      </c>
      <c r="I60" s="2532" t="s">
        <v>112</v>
      </c>
      <c r="J60" s="2748"/>
      <c r="N60" s="3750"/>
    </row>
    <row r="61" spans="1:25" ht="13.5" customHeight="1">
      <c r="A61" s="3513"/>
      <c r="B61" s="3514"/>
      <c r="C61" s="3514"/>
      <c r="D61" s="3514" t="s">
        <v>1655</v>
      </c>
      <c r="E61" s="3514"/>
      <c r="F61" s="3515"/>
      <c r="G61" s="15"/>
      <c r="H61" s="3546"/>
      <c r="I61" s="3519"/>
      <c r="J61" s="3751"/>
      <c r="K61" s="3752"/>
      <c r="L61" s="5203"/>
      <c r="M61" s="5203"/>
      <c r="N61" s="3753"/>
      <c r="Y61" s="3606"/>
    </row>
    <row r="62" spans="1:25" ht="27" customHeight="1">
      <c r="A62" s="3749" t="s">
        <v>1155</v>
      </c>
      <c r="B62" s="3514"/>
      <c r="C62" s="3285" t="s">
        <v>1656</v>
      </c>
      <c r="D62" s="3514" t="s">
        <v>4133</v>
      </c>
      <c r="E62" s="3514" t="s">
        <v>205</v>
      </c>
      <c r="F62" s="3515">
        <v>1</v>
      </c>
      <c r="G62" s="106"/>
      <c r="H62" s="3546">
        <f t="shared" ref="H62:H70" si="14">ROUND(F62*G62,2)</f>
        <v>0</v>
      </c>
      <c r="I62" s="2532" t="s">
        <v>112</v>
      </c>
      <c r="J62" s="3134"/>
      <c r="K62" s="3754"/>
      <c r="N62" s="3755"/>
      <c r="Y62" s="3606"/>
    </row>
    <row r="63" spans="1:25" s="2206" customFormat="1" ht="13.5" customHeight="1">
      <c r="A63" s="3284" t="s">
        <v>1158</v>
      </c>
      <c r="B63" s="2224"/>
      <c r="C63" s="3285" t="s">
        <v>1658</v>
      </c>
      <c r="D63" s="2277" t="s">
        <v>1659</v>
      </c>
      <c r="E63" s="2347" t="s">
        <v>205</v>
      </c>
      <c r="F63" s="2300">
        <v>1</v>
      </c>
      <c r="G63" s="209"/>
      <c r="H63" s="2624">
        <f t="shared" si="14"/>
        <v>0</v>
      </c>
      <c r="I63" s="2532" t="s">
        <v>112</v>
      </c>
      <c r="J63" s="647"/>
      <c r="K63" s="647"/>
      <c r="L63" s="612"/>
      <c r="M63" s="612"/>
      <c r="N63" s="612"/>
      <c r="O63" s="612"/>
      <c r="P63" s="612"/>
      <c r="Q63" s="612"/>
      <c r="R63" s="612"/>
      <c r="S63" s="788"/>
      <c r="V63" s="612"/>
    </row>
    <row r="64" spans="1:25" s="2206" customFormat="1" ht="13.5" customHeight="1">
      <c r="A64" s="3284" t="s">
        <v>1160</v>
      </c>
      <c r="B64" s="2224"/>
      <c r="C64" s="3285" t="s">
        <v>1667</v>
      </c>
      <c r="D64" s="2277" t="s">
        <v>1668</v>
      </c>
      <c r="E64" s="2347" t="s">
        <v>205</v>
      </c>
      <c r="F64" s="2300">
        <v>1</v>
      </c>
      <c r="G64" s="209"/>
      <c r="H64" s="2624">
        <f t="shared" si="14"/>
        <v>0</v>
      </c>
      <c r="I64" s="2532" t="s">
        <v>112</v>
      </c>
      <c r="J64" s="647"/>
      <c r="K64" s="647"/>
      <c r="L64" s="612"/>
      <c r="M64" s="612"/>
      <c r="N64" s="612"/>
      <c r="O64" s="612"/>
      <c r="P64" s="612"/>
      <c r="Q64" s="612"/>
      <c r="R64" s="612"/>
      <c r="S64" s="788"/>
      <c r="V64" s="612"/>
    </row>
    <row r="65" spans="1:25" s="2206" customFormat="1" ht="13.5" customHeight="1">
      <c r="A65" s="3284" t="s">
        <v>1698</v>
      </c>
      <c r="B65" s="2224"/>
      <c r="C65" s="3285" t="s">
        <v>1676</v>
      </c>
      <c r="D65" s="2277" t="s">
        <v>1677</v>
      </c>
      <c r="E65" s="2347" t="s">
        <v>205</v>
      </c>
      <c r="F65" s="2300">
        <v>1</v>
      </c>
      <c r="G65" s="209"/>
      <c r="H65" s="2624">
        <f t="shared" si="14"/>
        <v>0</v>
      </c>
      <c r="I65" s="2532" t="s">
        <v>112</v>
      </c>
      <c r="J65" s="647"/>
      <c r="K65" s="647"/>
      <c r="L65" s="612"/>
      <c r="M65" s="612"/>
      <c r="N65" s="612"/>
      <c r="O65" s="612"/>
      <c r="P65" s="612"/>
      <c r="Q65" s="612"/>
      <c r="R65" s="612"/>
      <c r="S65" s="788"/>
      <c r="V65" s="612"/>
    </row>
    <row r="66" spans="1:25" s="2206" customFormat="1" ht="13.5" customHeight="1">
      <c r="A66" s="3284" t="s">
        <v>1699</v>
      </c>
      <c r="B66" s="2224"/>
      <c r="C66" s="3285" t="s">
        <v>1679</v>
      </c>
      <c r="D66" s="2277" t="s">
        <v>1680</v>
      </c>
      <c r="E66" s="2347" t="s">
        <v>205</v>
      </c>
      <c r="F66" s="2300">
        <v>1</v>
      </c>
      <c r="G66" s="209"/>
      <c r="H66" s="2624">
        <f t="shared" si="14"/>
        <v>0</v>
      </c>
      <c r="I66" s="2532" t="s">
        <v>112</v>
      </c>
      <c r="J66" s="647"/>
      <c r="K66" s="647"/>
      <c r="L66" s="612"/>
      <c r="M66" s="612"/>
      <c r="N66" s="612"/>
      <c r="O66" s="612"/>
      <c r="P66" s="612"/>
      <c r="Q66" s="612"/>
      <c r="R66" s="612"/>
      <c r="S66" s="788"/>
      <c r="V66" s="612"/>
    </row>
    <row r="67" spans="1:25" s="2206" customFormat="1" ht="13.5" customHeight="1">
      <c r="A67" s="3284" t="s">
        <v>1700</v>
      </c>
      <c r="B67" s="2224"/>
      <c r="C67" s="3285" t="s">
        <v>1682</v>
      </c>
      <c r="D67" s="2277" t="s">
        <v>1683</v>
      </c>
      <c r="E67" s="2347" t="s">
        <v>205</v>
      </c>
      <c r="F67" s="2300">
        <v>1</v>
      </c>
      <c r="G67" s="209"/>
      <c r="H67" s="2624">
        <f t="shared" si="14"/>
        <v>0</v>
      </c>
      <c r="I67" s="2532" t="s">
        <v>112</v>
      </c>
      <c r="J67" s="647"/>
      <c r="K67" s="647"/>
      <c r="L67" s="612"/>
      <c r="M67" s="612"/>
      <c r="N67" s="612"/>
      <c r="O67" s="612"/>
      <c r="P67" s="612"/>
      <c r="Q67" s="612"/>
      <c r="R67" s="612"/>
      <c r="S67" s="788"/>
      <c r="V67" s="612"/>
    </row>
    <row r="68" spans="1:25" s="2206" customFormat="1" ht="13.5" customHeight="1">
      <c r="A68" s="3284" t="s">
        <v>1701</v>
      </c>
      <c r="B68" s="2224"/>
      <c r="C68" s="3285" t="s">
        <v>1685</v>
      </c>
      <c r="D68" s="2277" t="s">
        <v>1686</v>
      </c>
      <c r="E68" s="2347" t="s">
        <v>205</v>
      </c>
      <c r="F68" s="2300">
        <v>1</v>
      </c>
      <c r="G68" s="209"/>
      <c r="H68" s="2624">
        <f t="shared" si="14"/>
        <v>0</v>
      </c>
      <c r="I68" s="2532" t="s">
        <v>112</v>
      </c>
      <c r="J68" s="647"/>
      <c r="K68" s="647"/>
      <c r="L68" s="612"/>
      <c r="M68" s="612"/>
      <c r="N68" s="612"/>
      <c r="O68" s="612"/>
      <c r="P68" s="612"/>
      <c r="Q68" s="612"/>
      <c r="R68" s="612"/>
      <c r="S68" s="788"/>
      <c r="V68" s="612"/>
    </row>
    <row r="69" spans="1:25" s="2206" customFormat="1" ht="13.5" customHeight="1">
      <c r="A69" s="3284" t="s">
        <v>1702</v>
      </c>
      <c r="B69" s="2224"/>
      <c r="C69" s="3285" t="s">
        <v>1661</v>
      </c>
      <c r="D69" s="2277" t="s">
        <v>1662</v>
      </c>
      <c r="E69" s="2347" t="s">
        <v>205</v>
      </c>
      <c r="F69" s="2300">
        <v>1</v>
      </c>
      <c r="G69" s="209"/>
      <c r="H69" s="2624">
        <f t="shared" si="14"/>
        <v>0</v>
      </c>
      <c r="I69" s="2532" t="s">
        <v>112</v>
      </c>
      <c r="J69" s="647"/>
      <c r="K69" s="647"/>
      <c r="L69" s="612"/>
      <c r="M69" s="612"/>
      <c r="N69" s="612"/>
      <c r="O69" s="612"/>
      <c r="P69" s="612"/>
      <c r="Q69" s="612"/>
      <c r="R69" s="612"/>
      <c r="S69" s="788"/>
      <c r="V69" s="612"/>
    </row>
    <row r="70" spans="1:25" ht="27" customHeight="1">
      <c r="A70" s="3760" t="s">
        <v>4147</v>
      </c>
      <c r="B70" s="3761"/>
      <c r="C70" s="2452" t="s">
        <v>1800</v>
      </c>
      <c r="D70" s="3761" t="s">
        <v>4148</v>
      </c>
      <c r="E70" s="3761" t="s">
        <v>141</v>
      </c>
      <c r="F70" s="3762">
        <f>(6.53)*1.05</f>
        <v>6.8565000000000005</v>
      </c>
      <c r="G70" s="269"/>
      <c r="H70" s="3763">
        <f t="shared" si="14"/>
        <v>0</v>
      </c>
      <c r="I70" s="3759" t="s">
        <v>112</v>
      </c>
      <c r="J70" s="2748"/>
      <c r="K70" s="3621"/>
      <c r="N70" s="71"/>
      <c r="Y70" s="3606"/>
    </row>
    <row r="71" spans="1:25" ht="27" customHeight="1">
      <c r="A71" s="3588"/>
      <c r="B71" s="3502"/>
      <c r="C71" s="3502"/>
      <c r="D71" s="3514" t="s">
        <v>1663</v>
      </c>
      <c r="E71" s="3502"/>
      <c r="F71" s="3504"/>
      <c r="G71" s="19"/>
      <c r="H71" s="3634"/>
      <c r="I71" s="3747"/>
      <c r="J71" s="3746"/>
      <c r="K71" s="3764"/>
    </row>
    <row r="72" spans="1:25" ht="27" customHeight="1">
      <c r="A72" s="3744" t="s">
        <v>130</v>
      </c>
      <c r="B72" s="3507">
        <v>766</v>
      </c>
      <c r="C72" s="3507" t="s">
        <v>1650</v>
      </c>
      <c r="D72" s="3507" t="s">
        <v>1703</v>
      </c>
      <c r="E72" s="3507" t="s">
        <v>49</v>
      </c>
      <c r="F72" s="3531">
        <f>SUM(F73)</f>
        <v>1</v>
      </c>
      <c r="G72" s="3509">
        <f>SUM(H74:H80)/F72</f>
        <v>0</v>
      </c>
      <c r="H72" s="3745">
        <f t="shared" ref="H72" si="15">ROUND(F72*G72,2)</f>
        <v>0</v>
      </c>
      <c r="I72" s="3510" t="s">
        <v>111</v>
      </c>
      <c r="J72" s="2668"/>
    </row>
    <row r="73" spans="1:25" ht="13.5" customHeight="1">
      <c r="A73" s="3513"/>
      <c r="B73" s="3514"/>
      <c r="C73" s="3514"/>
      <c r="D73" s="3514" t="s">
        <v>1652</v>
      </c>
      <c r="E73" s="3514"/>
      <c r="F73" s="3515">
        <v>1</v>
      </c>
      <c r="G73" s="15"/>
      <c r="H73" s="3546"/>
      <c r="I73" s="3747"/>
      <c r="J73" s="3746"/>
      <c r="K73" s="3542"/>
    </row>
    <row r="74" spans="1:25" ht="27" customHeight="1">
      <c r="A74" s="3749" t="s">
        <v>1335</v>
      </c>
      <c r="B74" s="3514"/>
      <c r="C74" s="3285" t="s">
        <v>1653</v>
      </c>
      <c r="D74" s="3514" t="s">
        <v>1704</v>
      </c>
      <c r="E74" s="3514" t="s">
        <v>205</v>
      </c>
      <c r="F74" s="3515">
        <v>1</v>
      </c>
      <c r="G74" s="106"/>
      <c r="H74" s="3546">
        <f t="shared" ref="H74" si="16">ROUND(F74*G74,2)</f>
        <v>0</v>
      </c>
      <c r="I74" s="2532" t="s">
        <v>112</v>
      </c>
      <c r="J74" s="3748"/>
      <c r="K74" s="3542"/>
      <c r="P74" s="3529"/>
    </row>
    <row r="75" spans="1:25" ht="13.5" customHeight="1">
      <c r="A75" s="3513"/>
      <c r="B75" s="3514"/>
      <c r="C75" s="3514"/>
      <c r="D75" s="3514" t="s">
        <v>1655</v>
      </c>
      <c r="E75" s="3514"/>
      <c r="F75" s="3515"/>
      <c r="G75" s="15"/>
      <c r="H75" s="3546"/>
      <c r="I75" s="3519"/>
      <c r="J75" s="2748"/>
      <c r="N75" s="3750"/>
      <c r="Y75" s="3606"/>
    </row>
    <row r="76" spans="1:25" ht="27" customHeight="1">
      <c r="A76" s="3749" t="s">
        <v>1337</v>
      </c>
      <c r="B76" s="3514"/>
      <c r="C76" s="3285" t="s">
        <v>1656</v>
      </c>
      <c r="D76" s="3514" t="s">
        <v>4133</v>
      </c>
      <c r="E76" s="3514" t="s">
        <v>205</v>
      </c>
      <c r="F76" s="3515">
        <v>1</v>
      </c>
      <c r="G76" s="106"/>
      <c r="H76" s="3546">
        <f t="shared" ref="H76:H80" si="17">ROUND(F76*G76,2)</f>
        <v>0</v>
      </c>
      <c r="I76" s="2532" t="s">
        <v>112</v>
      </c>
      <c r="J76" s="3751"/>
      <c r="K76" s="3752"/>
      <c r="L76" s="5203"/>
      <c r="M76" s="5203"/>
      <c r="N76" s="3753"/>
      <c r="Y76" s="3606"/>
    </row>
    <row r="77" spans="1:25" s="2206" customFormat="1" ht="13.5" customHeight="1">
      <c r="A77" s="3284" t="s">
        <v>1340</v>
      </c>
      <c r="B77" s="2224"/>
      <c r="C77" s="3285" t="s">
        <v>1658</v>
      </c>
      <c r="D77" s="2277" t="s">
        <v>1659</v>
      </c>
      <c r="E77" s="2347" t="s">
        <v>205</v>
      </c>
      <c r="F77" s="2300">
        <v>1</v>
      </c>
      <c r="G77" s="209"/>
      <c r="H77" s="2624">
        <f t="shared" si="17"/>
        <v>0</v>
      </c>
      <c r="I77" s="2532" t="s">
        <v>112</v>
      </c>
      <c r="J77" s="647"/>
      <c r="K77" s="647"/>
      <c r="L77" s="612"/>
      <c r="M77" s="612"/>
      <c r="N77" s="612"/>
      <c r="O77" s="612"/>
      <c r="P77" s="612"/>
      <c r="Q77" s="612"/>
      <c r="R77" s="612"/>
      <c r="S77" s="788"/>
      <c r="V77" s="612"/>
    </row>
    <row r="78" spans="1:25" s="2206" customFormat="1" ht="13.5" customHeight="1">
      <c r="A78" s="3294" t="s">
        <v>4149</v>
      </c>
      <c r="B78" s="3756"/>
      <c r="C78" s="2452" t="s">
        <v>1667</v>
      </c>
      <c r="D78" s="3756" t="s">
        <v>1668</v>
      </c>
      <c r="E78" s="3756" t="s">
        <v>205</v>
      </c>
      <c r="F78" s="3757">
        <v>1</v>
      </c>
      <c r="G78" s="476"/>
      <c r="H78" s="3758">
        <f t="shared" si="17"/>
        <v>0</v>
      </c>
      <c r="I78" s="3759" t="s">
        <v>112</v>
      </c>
      <c r="J78" s="647"/>
      <c r="K78" s="647"/>
      <c r="L78" s="612"/>
      <c r="M78" s="612"/>
      <c r="N78" s="612"/>
      <c r="O78" s="612"/>
      <c r="P78" s="612"/>
      <c r="Q78" s="612"/>
      <c r="R78" s="612"/>
      <c r="S78" s="788"/>
      <c r="V78" s="612"/>
    </row>
    <row r="79" spans="1:25" s="2206" customFormat="1" ht="13.5" customHeight="1">
      <c r="A79" s="3284" t="s">
        <v>1342</v>
      </c>
      <c r="B79" s="2224"/>
      <c r="C79" s="3285" t="s">
        <v>1661</v>
      </c>
      <c r="D79" s="2277" t="s">
        <v>1662</v>
      </c>
      <c r="E79" s="2347" t="s">
        <v>205</v>
      </c>
      <c r="F79" s="2300">
        <v>1</v>
      </c>
      <c r="G79" s="209"/>
      <c r="H79" s="2624">
        <f t="shared" si="17"/>
        <v>0</v>
      </c>
      <c r="I79" s="2532" t="s">
        <v>112</v>
      </c>
      <c r="J79" s="647"/>
      <c r="K79" s="647"/>
      <c r="L79" s="612"/>
      <c r="M79" s="612"/>
      <c r="N79" s="612"/>
      <c r="O79" s="612"/>
      <c r="P79" s="612"/>
      <c r="Q79" s="612"/>
      <c r="R79" s="612"/>
      <c r="S79" s="788"/>
      <c r="V79" s="612"/>
    </row>
    <row r="80" spans="1:25" ht="27" customHeight="1">
      <c r="A80" s="3760" t="s">
        <v>4150</v>
      </c>
      <c r="B80" s="3761"/>
      <c r="C80" s="2452" t="s">
        <v>1800</v>
      </c>
      <c r="D80" s="3761" t="s">
        <v>4151</v>
      </c>
      <c r="E80" s="3761" t="s">
        <v>141</v>
      </c>
      <c r="F80" s="3762">
        <f>(1.8)*1.05</f>
        <v>1.8900000000000001</v>
      </c>
      <c r="G80" s="269"/>
      <c r="H80" s="3763">
        <f t="shared" si="17"/>
        <v>0</v>
      </c>
      <c r="I80" s="3759" t="s">
        <v>112</v>
      </c>
      <c r="J80" s="2748"/>
      <c r="K80" s="3621"/>
      <c r="N80" s="71"/>
      <c r="Y80" s="3606"/>
    </row>
    <row r="81" spans="1:63" ht="27" customHeight="1">
      <c r="A81" s="3588"/>
      <c r="B81" s="3502"/>
      <c r="C81" s="3502"/>
      <c r="D81" s="3514" t="s">
        <v>1663</v>
      </c>
      <c r="E81" s="3502"/>
      <c r="F81" s="3504"/>
      <c r="G81" s="19"/>
      <c r="H81" s="3634"/>
      <c r="I81" s="3747"/>
      <c r="J81" s="3746"/>
      <c r="K81" s="3764"/>
    </row>
    <row r="82" spans="1:63" ht="27" customHeight="1">
      <c r="A82" s="3744" t="s">
        <v>131</v>
      </c>
      <c r="B82" s="3507">
        <v>766</v>
      </c>
      <c r="C82" s="3507" t="s">
        <v>1705</v>
      </c>
      <c r="D82" s="3507" t="s">
        <v>1706</v>
      </c>
      <c r="E82" s="3507" t="s">
        <v>141</v>
      </c>
      <c r="F82" s="3765">
        <f>SUM(F84:F85)</f>
        <v>111.07</v>
      </c>
      <c r="G82" s="5"/>
      <c r="H82" s="3745">
        <f t="shared" ref="H82" si="18">ROUND(F82*G82,2)</f>
        <v>0</v>
      </c>
      <c r="I82" s="3510" t="s">
        <v>111</v>
      </c>
      <c r="J82" s="3766"/>
    </row>
    <row r="83" spans="1:63" ht="13.5" customHeight="1">
      <c r="A83" s="3513"/>
      <c r="B83" s="3514"/>
      <c r="C83" s="3514"/>
      <c r="D83" s="3530" t="s">
        <v>1707</v>
      </c>
      <c r="E83" s="3514"/>
      <c r="G83" s="15"/>
      <c r="H83" s="3546"/>
      <c r="I83" s="3747"/>
      <c r="J83" s="3748"/>
    </row>
    <row r="84" spans="1:63" ht="13.5" customHeight="1">
      <c r="A84" s="3749"/>
      <c r="B84" s="3514"/>
      <c r="C84" s="3285"/>
      <c r="D84" s="3514" t="s">
        <v>1708</v>
      </c>
      <c r="E84" s="3514"/>
      <c r="F84" s="3762">
        <v>38.69</v>
      </c>
      <c r="G84" s="15"/>
      <c r="H84" s="3745"/>
      <c r="I84" s="2532"/>
      <c r="J84" s="3767"/>
      <c r="K84" s="3752"/>
      <c r="L84" s="1204"/>
      <c r="M84" s="1204"/>
      <c r="N84" s="3753"/>
      <c r="Y84" s="3606"/>
    </row>
    <row r="85" spans="1:63" ht="13.5" customHeight="1">
      <c r="A85" s="3749"/>
      <c r="B85" s="3514"/>
      <c r="C85" s="3285"/>
      <c r="D85" s="3514" t="s">
        <v>1709</v>
      </c>
      <c r="E85" s="3514"/>
      <c r="F85" s="3762">
        <v>72.38</v>
      </c>
      <c r="G85" s="15"/>
      <c r="H85" s="3745"/>
      <c r="I85" s="2532"/>
      <c r="J85" s="3767"/>
      <c r="K85" s="3752"/>
      <c r="L85" s="5203"/>
      <c r="M85" s="5203"/>
      <c r="N85" s="3753"/>
      <c r="Y85" s="3606"/>
    </row>
    <row r="86" spans="1:63" ht="13.5" customHeight="1">
      <c r="A86" s="3749"/>
      <c r="B86" s="3514"/>
      <c r="C86" s="3285"/>
      <c r="D86" s="3514" t="s">
        <v>1710</v>
      </c>
      <c r="E86" s="3514"/>
      <c r="F86" s="3515"/>
      <c r="G86" s="15"/>
      <c r="H86" s="3745"/>
      <c r="I86" s="2532"/>
      <c r="J86" s="3751"/>
      <c r="K86" s="3752"/>
      <c r="L86" s="5203"/>
      <c r="M86" s="5203"/>
      <c r="N86" s="3753"/>
      <c r="Y86" s="3606"/>
    </row>
    <row r="87" spans="1:63" s="3772" customFormat="1" ht="27" customHeight="1">
      <c r="A87" s="3744" t="s">
        <v>1752</v>
      </c>
      <c r="B87" s="3761">
        <v>766</v>
      </c>
      <c r="C87" s="3761" t="s">
        <v>1705</v>
      </c>
      <c r="D87" s="3761" t="s">
        <v>4152</v>
      </c>
      <c r="E87" s="3761" t="s">
        <v>1315</v>
      </c>
      <c r="F87" s="3765">
        <f>SUM(F89:F89)</f>
        <v>1</v>
      </c>
      <c r="G87" s="257"/>
      <c r="H87" s="3768">
        <f t="shared" ref="H87" si="19">ROUND(F87*G87,2)</f>
        <v>0</v>
      </c>
      <c r="I87" s="3769" t="s">
        <v>111</v>
      </c>
      <c r="J87" s="3770"/>
      <c r="K87" s="3771"/>
    </row>
    <row r="88" spans="1:63" s="3772" customFormat="1" ht="13.5" customHeight="1">
      <c r="A88" s="3760"/>
      <c r="B88" s="3761"/>
      <c r="C88" s="3761"/>
      <c r="D88" s="3761" t="s">
        <v>4153</v>
      </c>
      <c r="E88" s="3761"/>
      <c r="F88" s="3773"/>
      <c r="G88" s="257"/>
      <c r="H88" s="3763"/>
      <c r="I88" s="3774"/>
      <c r="J88" s="3775"/>
      <c r="K88" s="3771"/>
    </row>
    <row r="89" spans="1:63" s="3772" customFormat="1" ht="13.5" customHeight="1">
      <c r="A89" s="3760"/>
      <c r="B89" s="3761"/>
      <c r="C89" s="2452"/>
      <c r="D89" s="3761" t="s">
        <v>1708</v>
      </c>
      <c r="E89" s="3761"/>
      <c r="F89" s="3762">
        <v>1</v>
      </c>
      <c r="G89" s="257"/>
      <c r="H89" s="3768"/>
      <c r="I89" s="3759"/>
      <c r="J89" s="3776"/>
      <c r="K89" s="3777"/>
      <c r="L89" s="3778"/>
      <c r="M89" s="3778"/>
      <c r="N89" s="3779"/>
      <c r="Y89" s="3780"/>
    </row>
    <row r="90" spans="1:63" s="3772" customFormat="1" ht="13.5" customHeight="1">
      <c r="A90" s="3760"/>
      <c r="B90" s="3761"/>
      <c r="C90" s="2452"/>
      <c r="D90" s="3761" t="s">
        <v>1710</v>
      </c>
      <c r="E90" s="3761"/>
      <c r="F90" s="3762"/>
      <c r="G90" s="257"/>
      <c r="H90" s="3768"/>
      <c r="I90" s="3759"/>
      <c r="J90" s="3776"/>
      <c r="K90" s="3777"/>
      <c r="L90" s="5204"/>
      <c r="M90" s="5204"/>
      <c r="N90" s="3779"/>
      <c r="Y90" s="3780"/>
    </row>
    <row r="91" spans="1:63" ht="13.5" customHeight="1">
      <c r="A91" s="3381" t="s">
        <v>1171</v>
      </c>
      <c r="B91" s="3507">
        <v>766</v>
      </c>
      <c r="C91" s="3507">
        <v>998766202</v>
      </c>
      <c r="D91" s="3507" t="s">
        <v>1070</v>
      </c>
      <c r="E91" s="3507" t="s">
        <v>10</v>
      </c>
      <c r="F91" s="3540">
        <v>0.59</v>
      </c>
      <c r="G91" s="5"/>
      <c r="H91" s="3745">
        <f t="shared" ref="H91:H92" si="20">ROUND(F91*G91,2)</f>
        <v>0</v>
      </c>
      <c r="I91" s="3510" t="s">
        <v>137</v>
      </c>
      <c r="J91" s="2668"/>
      <c r="K91" s="3781"/>
      <c r="L91" s="3591"/>
    </row>
    <row r="92" spans="1:63" s="1204" customFormat="1" ht="13.5" customHeight="1">
      <c r="A92" s="3381" t="s">
        <v>311</v>
      </c>
      <c r="B92" s="3507" t="s">
        <v>362</v>
      </c>
      <c r="C92" s="3507" t="s">
        <v>1009</v>
      </c>
      <c r="D92" s="3507" t="s">
        <v>1010</v>
      </c>
      <c r="E92" s="3507" t="s">
        <v>69</v>
      </c>
      <c r="F92" s="3540">
        <f>F93</f>
        <v>20</v>
      </c>
      <c r="G92" s="5"/>
      <c r="H92" s="3745">
        <f t="shared" si="20"/>
        <v>0</v>
      </c>
      <c r="I92" s="3510" t="s">
        <v>137</v>
      </c>
      <c r="J92" s="2668"/>
      <c r="K92" s="3542"/>
      <c r="L92" s="889"/>
    </row>
    <row r="93" spans="1:63" s="888" customFormat="1" ht="13.5" customHeight="1">
      <c r="A93" s="3782"/>
      <c r="B93" s="3594"/>
      <c r="C93" s="3594"/>
      <c r="D93" s="3514" t="s">
        <v>1011</v>
      </c>
      <c r="E93" s="3594"/>
      <c r="F93" s="3515">
        <v>20</v>
      </c>
      <c r="G93" s="5"/>
      <c r="H93" s="3509"/>
      <c r="I93" s="3506"/>
      <c r="K93" s="3487"/>
      <c r="L93" s="889"/>
    </row>
    <row r="94" spans="1:63" s="888" customFormat="1" ht="13.5" customHeight="1">
      <c r="A94" s="3782"/>
      <c r="B94" s="3594"/>
      <c r="C94" s="3594"/>
      <c r="D94" s="3514" t="s">
        <v>526</v>
      </c>
      <c r="E94" s="3594"/>
      <c r="F94" s="3515"/>
      <c r="G94" s="5"/>
      <c r="H94" s="3509"/>
      <c r="I94" s="3506"/>
      <c r="K94" s="3487"/>
      <c r="L94" s="889"/>
    </row>
    <row r="95" spans="1:63" s="888" customFormat="1" ht="21" customHeight="1">
      <c r="A95" s="3187"/>
      <c r="B95" s="3188"/>
      <c r="C95" s="3188"/>
      <c r="D95" s="3188" t="s">
        <v>0</v>
      </c>
      <c r="E95" s="3188"/>
      <c r="F95" s="3189"/>
      <c r="G95" s="3190"/>
      <c r="H95" s="3682">
        <f>H8</f>
        <v>0</v>
      </c>
      <c r="K95" s="3544"/>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89"/>
      <c r="AY95" s="889"/>
      <c r="AZ95" s="889"/>
      <c r="BA95" s="889"/>
      <c r="BB95" s="889"/>
      <c r="BC95" s="889"/>
      <c r="BD95" s="889"/>
      <c r="BE95" s="889"/>
      <c r="BF95" s="889"/>
      <c r="BG95" s="889"/>
      <c r="BH95" s="889"/>
      <c r="BI95" s="889"/>
      <c r="BJ95" s="889"/>
      <c r="BK95" s="889"/>
    </row>
    <row r="96" spans="1:63">
      <c r="H96" s="3684"/>
      <c r="K96" s="3487"/>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row>
    <row r="97" spans="1:63" ht="13.5" customHeight="1">
      <c r="A97" s="5169" t="s">
        <v>862</v>
      </c>
      <c r="B97" s="5201"/>
      <c r="C97" s="5202"/>
      <c r="D97" s="3196" t="s">
        <v>1711</v>
      </c>
      <c r="E97" s="3197"/>
      <c r="F97" s="3198"/>
      <c r="G97" s="3602"/>
      <c r="H97" s="3686">
        <f>H95</f>
        <v>0</v>
      </c>
      <c r="K97" s="3783"/>
    </row>
    <row r="98" spans="1:63">
      <c r="K98" s="3784"/>
      <c r="M98" s="3604"/>
      <c r="N98" s="3605"/>
      <c r="O98" s="3606"/>
      <c r="P98" s="3607"/>
      <c r="Q98" s="3499"/>
      <c r="R98" s="3499"/>
      <c r="S98" s="888"/>
      <c r="T98" s="3496"/>
      <c r="U98" s="3497"/>
      <c r="V98" s="3604"/>
      <c r="W98" s="3605"/>
      <c r="X98" s="3606"/>
      <c r="Y98" s="3607"/>
      <c r="Z98" s="3499"/>
      <c r="AA98" s="3499"/>
      <c r="AB98" s="888"/>
      <c r="AC98" s="3496"/>
      <c r="AD98" s="3497"/>
      <c r="AE98" s="3604"/>
      <c r="AF98" s="3605"/>
      <c r="AG98" s="3606"/>
      <c r="AH98" s="3607"/>
      <c r="AI98" s="3499"/>
      <c r="AJ98" s="3499"/>
      <c r="AK98" s="888"/>
      <c r="AL98" s="3496"/>
      <c r="AM98" s="3497"/>
      <c r="AN98" s="3604"/>
      <c r="AO98" s="3605"/>
      <c r="AP98" s="3606"/>
      <c r="AQ98" s="3607"/>
      <c r="AR98" s="3499"/>
      <c r="AS98" s="3499"/>
      <c r="AT98" s="888"/>
      <c r="AU98" s="3496"/>
      <c r="AV98" s="3497"/>
      <c r="AW98" s="3604"/>
      <c r="AX98" s="3605"/>
      <c r="AY98" s="3606"/>
      <c r="AZ98" s="3607"/>
      <c r="BA98" s="3499"/>
      <c r="BB98" s="3499"/>
      <c r="BC98" s="888"/>
      <c r="BD98" s="3496"/>
      <c r="BE98" s="3497"/>
      <c r="BF98" s="3604"/>
      <c r="BG98" s="3605"/>
      <c r="BH98" s="3606"/>
      <c r="BI98" s="3607"/>
      <c r="BJ98" s="3499"/>
      <c r="BK98" s="3499"/>
    </row>
    <row r="99" spans="1:63">
      <c r="A99" s="689" t="s">
        <v>1</v>
      </c>
      <c r="B99" s="1977"/>
      <c r="C99" s="689"/>
      <c r="D99" s="689"/>
      <c r="E99" s="689"/>
      <c r="F99" s="689"/>
      <c r="G99" s="689"/>
      <c r="H99" s="689"/>
      <c r="I99" s="2668"/>
      <c r="J99" s="2668"/>
      <c r="K99" s="3785"/>
      <c r="M99" s="3604"/>
      <c r="N99" s="3605"/>
      <c r="O99" s="3606"/>
      <c r="P99" s="3607"/>
      <c r="Q99" s="3499"/>
      <c r="R99" s="3499"/>
      <c r="S99" s="888"/>
      <c r="T99" s="3496"/>
      <c r="U99" s="3497"/>
      <c r="V99" s="3604"/>
      <c r="W99" s="3605"/>
      <c r="X99" s="3606"/>
      <c r="Y99" s="3607"/>
      <c r="Z99" s="3499"/>
      <c r="AA99" s="3499"/>
      <c r="AB99" s="888"/>
      <c r="AC99" s="3496"/>
      <c r="AD99" s="3497"/>
      <c r="AE99" s="3604"/>
      <c r="AF99" s="3605"/>
      <c r="AG99" s="3606"/>
      <c r="AH99" s="3607"/>
      <c r="AI99" s="3499"/>
      <c r="AJ99" s="3499"/>
      <c r="AK99" s="888"/>
      <c r="AL99" s="3496"/>
      <c r="AM99" s="3497"/>
      <c r="AN99" s="3604"/>
      <c r="AO99" s="3605"/>
      <c r="AP99" s="3606"/>
      <c r="AQ99" s="3607"/>
      <c r="AR99" s="3499"/>
      <c r="AS99" s="3499"/>
      <c r="AT99" s="888"/>
      <c r="AU99" s="3496"/>
      <c r="AV99" s="3497"/>
      <c r="AW99" s="3604"/>
      <c r="AX99" s="3605"/>
      <c r="AY99" s="3606"/>
      <c r="AZ99" s="3607"/>
      <c r="BA99" s="3499"/>
      <c r="BB99" s="3499"/>
      <c r="BC99" s="888"/>
      <c r="BD99" s="3496"/>
      <c r="BE99" s="3497"/>
      <c r="BF99" s="3604"/>
      <c r="BG99" s="3605"/>
      <c r="BH99" s="3606"/>
      <c r="BI99" s="3607"/>
      <c r="BJ99" s="3499"/>
      <c r="BK99" s="3499"/>
    </row>
    <row r="100" spans="1:63" ht="27" customHeight="1">
      <c r="A100" s="5159" t="s">
        <v>1112</v>
      </c>
      <c r="B100" s="5172"/>
      <c r="C100" s="5172"/>
      <c r="D100" s="5172"/>
      <c r="E100" s="5172"/>
      <c r="F100" s="5172"/>
      <c r="G100" s="5172"/>
      <c r="H100" s="689"/>
      <c r="I100" s="3151"/>
      <c r="J100" s="3151"/>
      <c r="K100" s="107"/>
      <c r="M100" s="3604"/>
      <c r="N100" s="3605"/>
      <c r="O100" s="3606"/>
      <c r="P100" s="3607"/>
      <c r="Q100" s="3499"/>
      <c r="R100" s="3499"/>
      <c r="S100" s="888"/>
      <c r="T100" s="3496"/>
      <c r="U100" s="3497"/>
      <c r="V100" s="3604"/>
      <c r="W100" s="3605"/>
      <c r="X100" s="3606"/>
      <c r="Y100" s="3607"/>
      <c r="Z100" s="3499"/>
      <c r="AA100" s="3499"/>
      <c r="AB100" s="888"/>
      <c r="AC100" s="3496"/>
      <c r="AD100" s="3497"/>
      <c r="AE100" s="3604"/>
      <c r="AF100" s="3605"/>
      <c r="AG100" s="3606"/>
      <c r="AH100" s="3607"/>
      <c r="AI100" s="3499"/>
      <c r="AJ100" s="3499"/>
      <c r="AK100" s="888"/>
      <c r="AL100" s="3496"/>
      <c r="AM100" s="3497"/>
      <c r="AN100" s="3604"/>
      <c r="AO100" s="3605"/>
      <c r="AP100" s="3606"/>
      <c r="AQ100" s="3607"/>
      <c r="AR100" s="3499"/>
      <c r="AS100" s="3499"/>
      <c r="AT100" s="888"/>
      <c r="AU100" s="3496"/>
      <c r="AV100" s="3497"/>
      <c r="AW100" s="3604"/>
      <c r="AX100" s="3605"/>
      <c r="AY100" s="3606"/>
      <c r="AZ100" s="3607"/>
      <c r="BA100" s="3499"/>
      <c r="BB100" s="3499"/>
      <c r="BC100" s="888"/>
      <c r="BD100" s="3496"/>
      <c r="BE100" s="3497"/>
      <c r="BF100" s="3604"/>
      <c r="BG100" s="3605"/>
      <c r="BH100" s="3606"/>
      <c r="BI100" s="3607"/>
      <c r="BJ100" s="3499"/>
      <c r="BK100" s="3499"/>
    </row>
    <row r="101" spans="1:63" ht="90" customHeight="1">
      <c r="A101" s="5159" t="s">
        <v>1113</v>
      </c>
      <c r="B101" s="5173"/>
      <c r="C101" s="5173"/>
      <c r="D101" s="5173"/>
      <c r="E101" s="5173"/>
      <c r="F101" s="5173"/>
      <c r="G101" s="5173"/>
      <c r="H101" s="689"/>
      <c r="I101" s="689"/>
      <c r="J101" s="689"/>
      <c r="K101" s="3783"/>
      <c r="M101" s="3604"/>
      <c r="N101" s="3605"/>
      <c r="O101" s="3606"/>
      <c r="P101" s="3607"/>
      <c r="Q101" s="3499"/>
      <c r="R101" s="3499"/>
      <c r="S101" s="888"/>
      <c r="T101" s="3496"/>
      <c r="U101" s="3497"/>
      <c r="V101" s="3604"/>
      <c r="W101" s="3605"/>
      <c r="X101" s="3606"/>
      <c r="Y101" s="3607"/>
      <c r="Z101" s="3499"/>
      <c r="AA101" s="3499"/>
      <c r="AB101" s="888"/>
      <c r="AC101" s="3496"/>
      <c r="AD101" s="3497"/>
      <c r="AE101" s="3604"/>
      <c r="AF101" s="3605"/>
      <c r="AG101" s="3606"/>
      <c r="AH101" s="3607"/>
      <c r="AI101" s="3499"/>
      <c r="AJ101" s="3499"/>
      <c r="AK101" s="888"/>
      <c r="AL101" s="3496"/>
      <c r="AM101" s="3497"/>
      <c r="AN101" s="3604"/>
      <c r="AO101" s="3605"/>
      <c r="AP101" s="3606"/>
      <c r="AQ101" s="3607"/>
      <c r="AR101" s="3499"/>
      <c r="AS101" s="3499"/>
      <c r="AT101" s="888"/>
      <c r="AU101" s="3496"/>
      <c r="AV101" s="3497"/>
      <c r="AW101" s="3604"/>
      <c r="AX101" s="3605"/>
      <c r="AY101" s="3606"/>
      <c r="AZ101" s="3607"/>
      <c r="BA101" s="3499"/>
      <c r="BB101" s="3499"/>
      <c r="BC101" s="888"/>
      <c r="BD101" s="3496"/>
      <c r="BE101" s="3497"/>
      <c r="BF101" s="3604"/>
      <c r="BG101" s="3605"/>
      <c r="BH101" s="3606"/>
      <c r="BI101" s="3607"/>
      <c r="BJ101" s="3499"/>
      <c r="BK101" s="3499"/>
    </row>
    <row r="102" spans="1:63">
      <c r="A102" s="5159" t="s">
        <v>105</v>
      </c>
      <c r="B102" s="5174"/>
      <c r="C102" s="5174"/>
      <c r="D102" s="5174"/>
      <c r="E102" s="5174"/>
      <c r="F102" s="5174"/>
      <c r="G102" s="5174"/>
      <c r="H102" s="691"/>
      <c r="I102" s="691"/>
      <c r="J102" s="691"/>
      <c r="K102" s="3783"/>
      <c r="M102" s="3604"/>
      <c r="N102" s="3605"/>
      <c r="O102" s="3606"/>
      <c r="P102" s="3607"/>
      <c r="Q102" s="3499"/>
      <c r="R102" s="3499"/>
      <c r="S102" s="888"/>
      <c r="T102" s="3496"/>
      <c r="U102" s="3497"/>
      <c r="V102" s="3604"/>
      <c r="W102" s="3605"/>
      <c r="X102" s="3606"/>
      <c r="Y102" s="3607"/>
      <c r="Z102" s="3499"/>
      <c r="AA102" s="3499"/>
      <c r="AB102" s="888"/>
      <c r="AC102" s="3496"/>
      <c r="AD102" s="3497"/>
      <c r="AE102" s="3604"/>
      <c r="AF102" s="3605"/>
      <c r="AG102" s="3606"/>
      <c r="AH102" s="3607"/>
      <c r="AI102" s="3499"/>
      <c r="AJ102" s="3499"/>
      <c r="AK102" s="888"/>
      <c r="AL102" s="3496"/>
      <c r="AM102" s="3497"/>
      <c r="AN102" s="3604"/>
      <c r="AO102" s="3605"/>
      <c r="AP102" s="3606"/>
      <c r="AQ102" s="3607"/>
      <c r="AR102" s="3499"/>
      <c r="AS102" s="3499"/>
      <c r="AT102" s="888"/>
      <c r="AU102" s="3496"/>
      <c r="AV102" s="3497"/>
      <c r="AW102" s="3604"/>
      <c r="AX102" s="3605"/>
      <c r="AY102" s="3606"/>
      <c r="AZ102" s="3607"/>
      <c r="BA102" s="3499"/>
      <c r="BB102" s="3499"/>
      <c r="BC102" s="888"/>
      <c r="BD102" s="3496"/>
      <c r="BE102" s="3497"/>
      <c r="BF102" s="3604"/>
      <c r="BG102" s="3605"/>
      <c r="BH102" s="3606"/>
      <c r="BI102" s="3607"/>
      <c r="BJ102" s="3499"/>
      <c r="BK102" s="3499"/>
    </row>
    <row r="103" spans="1:63">
      <c r="A103" s="5159" t="s">
        <v>106</v>
      </c>
      <c r="B103" s="5174"/>
      <c r="C103" s="5174"/>
      <c r="D103" s="5174"/>
      <c r="E103" s="5174"/>
      <c r="F103" s="5174"/>
      <c r="G103" s="5174"/>
      <c r="H103" s="691"/>
      <c r="I103" s="691"/>
      <c r="J103" s="691"/>
      <c r="K103" s="3487"/>
      <c r="M103" s="3604"/>
      <c r="N103" s="3605"/>
      <c r="O103" s="3606"/>
      <c r="P103" s="3607"/>
      <c r="Q103" s="3499"/>
      <c r="R103" s="3499"/>
      <c r="S103" s="888"/>
      <c r="T103" s="3496"/>
      <c r="U103" s="3497"/>
      <c r="V103" s="3604"/>
      <c r="W103" s="3605"/>
      <c r="X103" s="3606"/>
      <c r="Y103" s="3607"/>
      <c r="Z103" s="3499"/>
      <c r="AA103" s="3499"/>
      <c r="AB103" s="888"/>
      <c r="AC103" s="3496"/>
      <c r="AD103" s="3497"/>
      <c r="AE103" s="3604"/>
      <c r="AF103" s="3605"/>
      <c r="AG103" s="3606"/>
      <c r="AH103" s="3607"/>
      <c r="AI103" s="3499"/>
      <c r="AJ103" s="3499"/>
      <c r="AK103" s="888"/>
      <c r="AL103" s="3496"/>
      <c r="AM103" s="3497"/>
      <c r="AN103" s="3604"/>
      <c r="AO103" s="3605"/>
      <c r="AP103" s="3606"/>
      <c r="AQ103" s="3607"/>
      <c r="AR103" s="3499"/>
      <c r="AS103" s="3499"/>
      <c r="AT103" s="888"/>
      <c r="AU103" s="3496"/>
      <c r="AV103" s="3497"/>
      <c r="AW103" s="3604"/>
      <c r="AX103" s="3605"/>
      <c r="AY103" s="3606"/>
      <c r="AZ103" s="3607"/>
      <c r="BA103" s="3499"/>
      <c r="BB103" s="3499"/>
      <c r="BC103" s="888"/>
      <c r="BD103" s="3496"/>
      <c r="BE103" s="3497"/>
      <c r="BF103" s="3604"/>
      <c r="BG103" s="3605"/>
      <c r="BH103" s="3606"/>
      <c r="BI103" s="3607"/>
      <c r="BJ103" s="3499"/>
      <c r="BK103" s="3499"/>
    </row>
    <row r="104" spans="1:63" ht="40.5" customHeight="1">
      <c r="A104" s="5156" t="s">
        <v>865</v>
      </c>
      <c r="B104" s="5156"/>
      <c r="C104" s="5156"/>
      <c r="D104" s="5156"/>
      <c r="E104" s="5156"/>
      <c r="F104" s="5156"/>
      <c r="G104" s="5156"/>
      <c r="H104" s="1203"/>
      <c r="J104" s="889"/>
      <c r="K104" s="889"/>
    </row>
    <row r="105" spans="1:63" ht="108" customHeight="1">
      <c r="A105" s="5156" t="s">
        <v>1013</v>
      </c>
      <c r="B105" s="5156"/>
      <c r="C105" s="5156"/>
      <c r="D105" s="5156"/>
      <c r="E105" s="5156"/>
      <c r="F105" s="5156"/>
      <c r="G105" s="5156"/>
      <c r="H105" s="1204"/>
      <c r="I105" s="1205"/>
      <c r="J105" s="889"/>
      <c r="K105" s="889"/>
    </row>
    <row r="106" spans="1:63">
      <c r="A106" s="690"/>
      <c r="B106" s="3207"/>
      <c r="C106" s="3207"/>
      <c r="D106" s="3207"/>
      <c r="E106" s="3207"/>
      <c r="F106" s="3207"/>
      <c r="G106" s="3207"/>
      <c r="H106" s="691"/>
      <c r="I106" s="691"/>
      <c r="J106" s="691"/>
      <c r="K106" s="3487"/>
      <c r="M106" s="3604"/>
      <c r="N106" s="3605"/>
      <c r="O106" s="3606"/>
      <c r="P106" s="3607"/>
      <c r="Q106" s="3499"/>
      <c r="R106" s="3499"/>
      <c r="S106" s="888"/>
      <c r="T106" s="3496"/>
      <c r="U106" s="3497"/>
      <c r="V106" s="3604"/>
      <c r="W106" s="3605"/>
      <c r="X106" s="3606"/>
      <c r="Y106" s="3607"/>
      <c r="Z106" s="3499"/>
      <c r="AA106" s="3499"/>
      <c r="AB106" s="888"/>
      <c r="AC106" s="3496"/>
      <c r="AD106" s="3497"/>
      <c r="AE106" s="3604"/>
      <c r="AF106" s="3605"/>
      <c r="AG106" s="3606"/>
      <c r="AH106" s="3607"/>
      <c r="AI106" s="3499"/>
      <c r="AJ106" s="3499"/>
      <c r="AK106" s="888"/>
      <c r="AL106" s="3496"/>
      <c r="AM106" s="3497"/>
      <c r="AN106" s="3604"/>
      <c r="AO106" s="3605"/>
      <c r="AP106" s="3606"/>
      <c r="AQ106" s="3607"/>
      <c r="AR106" s="3499"/>
      <c r="AS106" s="3499"/>
      <c r="AT106" s="888"/>
      <c r="AU106" s="3496"/>
      <c r="AV106" s="3497"/>
      <c r="AW106" s="3604"/>
      <c r="AX106" s="3605"/>
      <c r="AY106" s="3606"/>
      <c r="AZ106" s="3607"/>
      <c r="BA106" s="3499"/>
      <c r="BB106" s="3499"/>
      <c r="BC106" s="888"/>
      <c r="BD106" s="3496"/>
      <c r="BE106" s="3497"/>
      <c r="BF106" s="3604"/>
      <c r="BG106" s="3605"/>
      <c r="BH106" s="3606"/>
      <c r="BI106" s="3607"/>
      <c r="BJ106" s="3499"/>
      <c r="BK106" s="3499"/>
    </row>
    <row r="107" spans="1:63">
      <c r="K107" s="3783"/>
      <c r="M107" s="3604"/>
      <c r="N107" s="3605"/>
      <c r="O107" s="3606"/>
      <c r="P107" s="3607"/>
      <c r="Q107" s="3499"/>
      <c r="R107" s="3499"/>
      <c r="S107" s="888"/>
      <c r="T107" s="3496"/>
      <c r="U107" s="3497"/>
      <c r="V107" s="3604"/>
      <c r="W107" s="3605"/>
      <c r="X107" s="3606"/>
      <c r="Y107" s="3607"/>
      <c r="Z107" s="3499"/>
      <c r="AA107" s="3499"/>
      <c r="AB107" s="888"/>
      <c r="AC107" s="3496"/>
      <c r="AD107" s="3497"/>
      <c r="AE107" s="3604"/>
      <c r="AF107" s="3605"/>
      <c r="AG107" s="3606"/>
      <c r="AH107" s="3607"/>
      <c r="AI107" s="3499"/>
      <c r="AJ107" s="3499"/>
      <c r="AK107" s="888"/>
      <c r="AL107" s="3496"/>
      <c r="AM107" s="3497"/>
      <c r="AN107" s="3604"/>
      <c r="AO107" s="3605"/>
      <c r="AP107" s="3606"/>
      <c r="AQ107" s="3607"/>
      <c r="AR107" s="3499"/>
      <c r="AS107" s="3499"/>
      <c r="AT107" s="888"/>
      <c r="AU107" s="3496"/>
      <c r="AV107" s="3497"/>
      <c r="AW107" s="3604"/>
      <c r="AX107" s="3605"/>
      <c r="AY107" s="3606"/>
      <c r="AZ107" s="3607"/>
      <c r="BA107" s="3499"/>
      <c r="BB107" s="3499"/>
      <c r="BC107" s="888"/>
      <c r="BD107" s="3496"/>
      <c r="BE107" s="3497"/>
      <c r="BF107" s="3604"/>
      <c r="BG107" s="3605"/>
      <c r="BH107" s="3606"/>
      <c r="BI107" s="3607"/>
      <c r="BJ107" s="3499"/>
      <c r="BK107" s="3499"/>
    </row>
    <row r="108" spans="1:63">
      <c r="K108" s="3783"/>
      <c r="M108" s="3604"/>
      <c r="N108" s="3605"/>
      <c r="O108" s="3606"/>
      <c r="P108" s="3607"/>
      <c r="Q108" s="3499"/>
      <c r="R108" s="3499"/>
      <c r="S108" s="888"/>
      <c r="T108" s="3496"/>
      <c r="U108" s="3497"/>
      <c r="V108" s="3604"/>
      <c r="W108" s="3605"/>
      <c r="X108" s="3606"/>
      <c r="Y108" s="3607"/>
      <c r="Z108" s="3499"/>
      <c r="AA108" s="3499"/>
      <c r="AB108" s="888"/>
      <c r="AC108" s="3496"/>
      <c r="AD108" s="3497"/>
      <c r="AE108" s="3604"/>
      <c r="AF108" s="3605"/>
      <c r="AG108" s="3606"/>
      <c r="AH108" s="3607"/>
      <c r="AI108" s="3499"/>
      <c r="AJ108" s="3499"/>
      <c r="AK108" s="888"/>
      <c r="AL108" s="3496"/>
      <c r="AM108" s="3497"/>
      <c r="AN108" s="3604"/>
      <c r="AO108" s="3605"/>
      <c r="AP108" s="3606"/>
      <c r="AQ108" s="3607"/>
      <c r="AR108" s="3499"/>
      <c r="AS108" s="3499"/>
      <c r="AT108" s="888"/>
      <c r="AU108" s="3496"/>
      <c r="AV108" s="3497"/>
      <c r="AW108" s="3604"/>
      <c r="AX108" s="3605"/>
      <c r="AY108" s="3606"/>
      <c r="AZ108" s="3607"/>
      <c r="BA108" s="3499"/>
      <c r="BB108" s="3499"/>
      <c r="BC108" s="888"/>
      <c r="BD108" s="3496"/>
      <c r="BE108" s="3497"/>
      <c r="BF108" s="3604"/>
      <c r="BG108" s="3605"/>
      <c r="BH108" s="3606"/>
      <c r="BI108" s="3607"/>
      <c r="BJ108" s="3499"/>
      <c r="BK108" s="3499"/>
    </row>
    <row r="109" spans="1:63">
      <c r="K109" s="3487"/>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888"/>
      <c r="AK109" s="888"/>
      <c r="AL109" s="888"/>
      <c r="AM109" s="888"/>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8"/>
      <c r="BJ109" s="888"/>
      <c r="BK109" s="888"/>
    </row>
  </sheetData>
  <sheetProtection algorithmName="SHA-512" hashValue="J3z6kUymH31eiqghPhMyOM8b7yDURVzuwgY9Z48+aMMgigGGIHiKcYRRp7lJsRBgUo7zytX8zYKqmVGwWpGA3A==" saltValue="bEXCLKu4STogpLU5Q05aTA==" spinCount="100000" sheet="1" objects="1" scenarios="1"/>
  <mergeCells count="16">
    <mergeCell ref="A100:G100"/>
    <mergeCell ref="A2:I2"/>
    <mergeCell ref="L13:M13"/>
    <mergeCell ref="L34:M34"/>
    <mergeCell ref="L49:M49"/>
    <mergeCell ref="L61:M61"/>
    <mergeCell ref="L76:M76"/>
    <mergeCell ref="L85:M85"/>
    <mergeCell ref="L86:M86"/>
    <mergeCell ref="L90:M90"/>
    <mergeCell ref="A97:C97"/>
    <mergeCell ref="A101:G101"/>
    <mergeCell ref="A102:G102"/>
    <mergeCell ref="A103:G103"/>
    <mergeCell ref="A104:G104"/>
    <mergeCell ref="A105:G10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D746-DB19-4201-BE88-C059102EA577}">
  <sheetPr>
    <pageSetUpPr fitToPage="1"/>
  </sheetPr>
  <dimension ref="A1:IP117"/>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33203125" style="3731" customWidth="1"/>
    <col min="7" max="7" width="13.6640625" style="3600" customWidth="1"/>
    <col min="8" max="8" width="18.33203125" style="3600" customWidth="1"/>
    <col min="9" max="9" width="20.1640625" style="888" customWidth="1"/>
    <col min="10" max="10" width="20.33203125" style="3708" customWidth="1"/>
    <col min="11" max="11" width="34.1640625" style="889" customWidth="1"/>
    <col min="12" max="14" width="9.33203125" style="889"/>
    <col min="15" max="15" width="17.6640625" style="889" customWidth="1"/>
    <col min="16" max="17" width="9.33203125" style="889"/>
    <col min="18" max="18" width="14.5" style="889" customWidth="1"/>
    <col min="19" max="16384" width="9.33203125" style="889"/>
  </cols>
  <sheetData>
    <row r="1" spans="1:19" ht="18">
      <c r="A1" s="1" t="s">
        <v>2760</v>
      </c>
      <c r="B1" s="887"/>
      <c r="C1" s="887"/>
      <c r="D1" s="887"/>
      <c r="E1" s="887"/>
      <c r="F1" s="887"/>
      <c r="G1" s="887"/>
      <c r="H1" s="887"/>
    </row>
    <row r="2" spans="1:19" ht="15" customHeight="1">
      <c r="A2" s="5199" t="s">
        <v>115</v>
      </c>
      <c r="B2" s="5205"/>
      <c r="C2" s="5205"/>
      <c r="D2" s="5205"/>
      <c r="E2" s="5205"/>
      <c r="F2" s="5205"/>
      <c r="G2" s="5205"/>
      <c r="H2" s="5205"/>
      <c r="I2" s="5205"/>
    </row>
    <row r="3" spans="1:19" ht="13.5" customHeight="1">
      <c r="A3" s="5193" t="s">
        <v>1312</v>
      </c>
      <c r="B3" s="5194"/>
      <c r="C3" s="5194"/>
      <c r="D3" s="5194"/>
      <c r="E3" s="86"/>
      <c r="F3" s="86"/>
      <c r="G3" s="88"/>
      <c r="H3" s="88"/>
      <c r="I3" s="3489"/>
    </row>
    <row r="4" spans="1:19" ht="15.75">
      <c r="A4" s="887"/>
      <c r="B4" s="887"/>
      <c r="C4" s="887"/>
      <c r="D4" s="887"/>
      <c r="E4" s="887"/>
      <c r="F4" s="887"/>
      <c r="G4" s="887"/>
      <c r="H4" s="887"/>
      <c r="K4" s="3052"/>
      <c r="L4" s="3052"/>
      <c r="M4" s="3052"/>
      <c r="N4" s="3052"/>
    </row>
    <row r="5" spans="1:19" ht="33.200000000000003" customHeight="1">
      <c r="A5" s="3491" t="s">
        <v>118</v>
      </c>
      <c r="B5" s="3491" t="s">
        <v>119</v>
      </c>
      <c r="C5" s="3491" t="s">
        <v>120</v>
      </c>
      <c r="D5" s="3491" t="s">
        <v>121</v>
      </c>
      <c r="E5" s="3491" t="s">
        <v>122</v>
      </c>
      <c r="F5" s="3491" t="s">
        <v>123</v>
      </c>
      <c r="G5" s="3491" t="s">
        <v>124</v>
      </c>
      <c r="H5" s="1228" t="s">
        <v>2</v>
      </c>
      <c r="I5" s="3491" t="s">
        <v>46</v>
      </c>
      <c r="J5" s="3709"/>
      <c r="K5" s="97"/>
    </row>
    <row r="6" spans="1:19">
      <c r="A6" s="3491" t="s">
        <v>125</v>
      </c>
      <c r="B6" s="3491" t="s">
        <v>126</v>
      </c>
      <c r="C6" s="3491" t="s">
        <v>127</v>
      </c>
      <c r="D6" s="3491" t="s">
        <v>128</v>
      </c>
      <c r="E6" s="3491" t="s">
        <v>129</v>
      </c>
      <c r="F6" s="3491" t="s">
        <v>130</v>
      </c>
      <c r="G6" s="3491" t="s">
        <v>131</v>
      </c>
      <c r="H6" s="3491">
        <v>8</v>
      </c>
      <c r="I6" s="3491">
        <v>9</v>
      </c>
    </row>
    <row r="7" spans="1:19" s="888" customFormat="1" ht="21" customHeight="1">
      <c r="A7" s="3496"/>
      <c r="B7" s="3497"/>
      <c r="C7" s="3497" t="s">
        <v>366</v>
      </c>
      <c r="D7" s="3497" t="s">
        <v>367</v>
      </c>
      <c r="E7" s="3497"/>
      <c r="F7" s="3710"/>
      <c r="G7" s="3064"/>
      <c r="H7" s="3499">
        <f>H8</f>
        <v>0</v>
      </c>
      <c r="J7" s="3711"/>
    </row>
    <row r="8" spans="1:19" s="593" customFormat="1" ht="13.5" customHeight="1">
      <c r="A8" s="3712"/>
      <c r="B8" s="3713"/>
      <c r="C8" s="3503">
        <v>767</v>
      </c>
      <c r="D8" s="3503" t="s">
        <v>1072</v>
      </c>
      <c r="E8" s="3713"/>
      <c r="F8" s="3714"/>
      <c r="G8" s="3714"/>
      <c r="H8" s="3715">
        <f>SUM(H9:H31,H44:H103)</f>
        <v>0</v>
      </c>
      <c r="I8" s="3716"/>
      <c r="J8" s="3717"/>
      <c r="K8" s="917"/>
    </row>
    <row r="9" spans="1:19" s="593" customFormat="1" ht="27" customHeight="1">
      <c r="A9" s="3555">
        <v>1</v>
      </c>
      <c r="B9" s="3539" t="s">
        <v>1077</v>
      </c>
      <c r="C9" s="3507" t="s">
        <v>1313</v>
      </c>
      <c r="D9" s="83" t="s">
        <v>1314</v>
      </c>
      <c r="E9" s="76" t="s">
        <v>1315</v>
      </c>
      <c r="F9" s="3540">
        <f>ROUND(SUM(F11),3)</f>
        <v>1</v>
      </c>
      <c r="G9" s="3615"/>
      <c r="H9" s="2231">
        <f>ROUND(F9*G9,2)</f>
        <v>0</v>
      </c>
      <c r="I9" s="3718" t="s">
        <v>112</v>
      </c>
      <c r="J9" s="3719"/>
      <c r="K9" s="2261"/>
      <c r="L9" s="3720"/>
      <c r="M9" s="3561"/>
      <c r="N9" s="193"/>
      <c r="O9" s="1562"/>
    </row>
    <row r="10" spans="1:19" s="888" customFormat="1" ht="27" customHeight="1">
      <c r="A10" s="3562"/>
      <c r="B10" s="3539"/>
      <c r="C10" s="3507"/>
      <c r="D10" s="3514" t="s">
        <v>1316</v>
      </c>
      <c r="E10" s="3507"/>
      <c r="F10" s="3515"/>
      <c r="G10" s="6"/>
      <c r="H10" s="3532"/>
      <c r="I10" s="3721"/>
      <c r="J10" s="98"/>
      <c r="K10" s="889"/>
      <c r="L10" s="889"/>
      <c r="M10" s="889"/>
      <c r="N10" s="889"/>
      <c r="O10" s="889"/>
      <c r="P10" s="889"/>
      <c r="Q10" s="889"/>
      <c r="R10" s="889"/>
      <c r="S10" s="889"/>
    </row>
    <row r="11" spans="1:19" s="888" customFormat="1" ht="13.5" customHeight="1">
      <c r="A11" s="3562"/>
      <c r="B11" s="3539"/>
      <c r="C11" s="3507"/>
      <c r="D11" s="3514" t="s">
        <v>1317</v>
      </c>
      <c r="E11" s="3507"/>
      <c r="F11" s="3515">
        <v>1</v>
      </c>
      <c r="G11" s="6"/>
      <c r="H11" s="3532"/>
      <c r="I11" s="3722"/>
      <c r="J11" s="3723"/>
      <c r="K11" s="3566"/>
      <c r="L11" s="1204"/>
      <c r="M11" s="1204"/>
      <c r="N11" s="1204"/>
      <c r="O11" s="1204"/>
      <c r="P11" s="1204"/>
      <c r="Q11" s="1204"/>
      <c r="R11" s="3134"/>
      <c r="S11" s="2668"/>
    </row>
    <row r="12" spans="1:19" s="888" customFormat="1" ht="13.5" customHeight="1">
      <c r="A12" s="3562"/>
      <c r="B12" s="3539"/>
      <c r="C12" s="3507"/>
      <c r="D12" s="3514" t="s">
        <v>1318</v>
      </c>
      <c r="E12" s="3507"/>
      <c r="F12" s="3515"/>
      <c r="G12" s="6"/>
      <c r="H12" s="3532"/>
      <c r="I12" s="3722"/>
      <c r="J12" s="3723"/>
      <c r="K12" s="3566"/>
      <c r="L12" s="1204"/>
      <c r="M12" s="1204"/>
      <c r="N12" s="1204"/>
      <c r="O12" s="1204"/>
      <c r="P12" s="1204"/>
      <c r="Q12" s="1204"/>
      <c r="R12" s="3134"/>
      <c r="S12" s="2668"/>
    </row>
    <row r="13" spans="1:19" s="593" customFormat="1" ht="27" customHeight="1">
      <c r="A13" s="3555">
        <v>2</v>
      </c>
      <c r="B13" s="3539" t="s">
        <v>1077</v>
      </c>
      <c r="C13" s="3507" t="s">
        <v>1319</v>
      </c>
      <c r="D13" s="83" t="s">
        <v>1320</v>
      </c>
      <c r="E13" s="76" t="s">
        <v>141</v>
      </c>
      <c r="F13" s="3540">
        <f>ROUND(SUM(F15),3)</f>
        <v>2.2000000000000002</v>
      </c>
      <c r="G13" s="3615"/>
      <c r="H13" s="2231">
        <f>ROUND(F13*G13,2)</f>
        <v>0</v>
      </c>
      <c r="I13" s="3718" t="s">
        <v>112</v>
      </c>
      <c r="J13" s="3719"/>
      <c r="K13" s="1562"/>
      <c r="L13" s="3720"/>
      <c r="M13" s="3561"/>
      <c r="N13" s="193"/>
      <c r="O13" s="1562"/>
    </row>
    <row r="14" spans="1:19" s="888" customFormat="1" ht="13.5" customHeight="1">
      <c r="A14" s="3562"/>
      <c r="B14" s="3539"/>
      <c r="C14" s="3507"/>
      <c r="D14" s="3514" t="s">
        <v>1321</v>
      </c>
      <c r="E14" s="3507"/>
      <c r="F14" s="3515"/>
      <c r="G14" s="6"/>
      <c r="H14" s="3532"/>
      <c r="I14" s="3721"/>
      <c r="J14" s="99"/>
      <c r="K14" s="889"/>
      <c r="L14" s="889"/>
      <c r="M14" s="889"/>
      <c r="N14" s="889"/>
      <c r="O14" s="889"/>
      <c r="P14" s="889"/>
      <c r="Q14" s="889"/>
      <c r="R14" s="889"/>
      <c r="S14" s="889"/>
    </row>
    <row r="15" spans="1:19" s="888" customFormat="1" ht="13.5" customHeight="1">
      <c r="A15" s="3562"/>
      <c r="B15" s="3539"/>
      <c r="C15" s="3507"/>
      <c r="D15" s="3514" t="s">
        <v>1322</v>
      </c>
      <c r="E15" s="3507"/>
      <c r="F15" s="3515">
        <v>2.2000000000000002</v>
      </c>
      <c r="G15" s="6"/>
      <c r="H15" s="3532"/>
      <c r="I15" s="3722"/>
      <c r="J15" s="3723"/>
      <c r="K15" s="3566"/>
      <c r="L15" s="1204"/>
      <c r="M15" s="1204"/>
      <c r="N15" s="1204"/>
      <c r="O15" s="1204"/>
      <c r="P15" s="1204"/>
      <c r="Q15" s="1204"/>
      <c r="R15" s="3134"/>
      <c r="S15" s="2668"/>
    </row>
    <row r="16" spans="1:19" s="888" customFormat="1" ht="13.5" customHeight="1">
      <c r="A16" s="3562"/>
      <c r="B16" s="3539"/>
      <c r="C16" s="3507"/>
      <c r="D16" s="3514" t="s">
        <v>1318</v>
      </c>
      <c r="E16" s="3507"/>
      <c r="F16" s="3515"/>
      <c r="G16" s="6"/>
      <c r="H16" s="3532"/>
      <c r="I16" s="3722"/>
      <c r="J16" s="3723"/>
      <c r="K16" s="3566"/>
      <c r="L16" s="1204"/>
      <c r="M16" s="1204"/>
      <c r="N16" s="1204"/>
      <c r="O16" s="1204"/>
      <c r="P16" s="1204"/>
      <c r="Q16" s="1204"/>
      <c r="R16" s="3134"/>
      <c r="S16" s="2668"/>
    </row>
    <row r="17" spans="1:249" s="593" customFormat="1" ht="27" customHeight="1">
      <c r="A17" s="3555">
        <v>3</v>
      </c>
      <c r="B17" s="3539" t="s">
        <v>1077</v>
      </c>
      <c r="C17" s="3507" t="s">
        <v>1323</v>
      </c>
      <c r="D17" s="83" t="s">
        <v>1324</v>
      </c>
      <c r="E17" s="76" t="s">
        <v>141</v>
      </c>
      <c r="F17" s="3540">
        <f>ROUND(SUM(F19),3)</f>
        <v>2.2000000000000002</v>
      </c>
      <c r="G17" s="3615"/>
      <c r="H17" s="2231">
        <f>ROUND(F17*G17,2)</f>
        <v>0</v>
      </c>
      <c r="I17" s="3718" t="s">
        <v>112</v>
      </c>
      <c r="J17" s="3719"/>
      <c r="K17" s="1562"/>
      <c r="L17" s="3720"/>
      <c r="M17" s="3561"/>
      <c r="N17" s="193"/>
      <c r="O17" s="1562"/>
    </row>
    <row r="18" spans="1:249" s="888" customFormat="1" ht="13.5" customHeight="1">
      <c r="A18" s="3562"/>
      <c r="B18" s="3539"/>
      <c r="C18" s="3507"/>
      <c r="D18" s="3514" t="s">
        <v>1325</v>
      </c>
      <c r="E18" s="3507"/>
      <c r="F18" s="3515"/>
      <c r="G18" s="6"/>
      <c r="H18" s="3532"/>
      <c r="I18" s="3721"/>
      <c r="J18" s="99"/>
      <c r="K18" s="889"/>
      <c r="L18" s="889"/>
      <c r="M18" s="889"/>
      <c r="N18" s="889"/>
      <c r="O18" s="889"/>
      <c r="P18" s="889"/>
      <c r="Q18" s="889"/>
      <c r="R18" s="889"/>
      <c r="S18" s="889"/>
    </row>
    <row r="19" spans="1:249" s="888" customFormat="1" ht="13.5" customHeight="1">
      <c r="A19" s="3562"/>
      <c r="B19" s="3539"/>
      <c r="C19" s="3507"/>
      <c r="D19" s="3514" t="s">
        <v>1322</v>
      </c>
      <c r="E19" s="3507"/>
      <c r="F19" s="3515">
        <v>2.2000000000000002</v>
      </c>
      <c r="G19" s="6"/>
      <c r="H19" s="3532"/>
      <c r="I19" s="3722"/>
      <c r="J19" s="3723"/>
      <c r="K19" s="3566"/>
      <c r="L19" s="1204"/>
      <c r="M19" s="1204"/>
      <c r="N19" s="1204"/>
      <c r="O19" s="1204"/>
      <c r="P19" s="1204"/>
      <c r="Q19" s="1204"/>
      <c r="R19" s="3134"/>
      <c r="S19" s="2668"/>
    </row>
    <row r="20" spans="1:249" s="888" customFormat="1" ht="13.5" customHeight="1">
      <c r="A20" s="3562"/>
      <c r="B20" s="3539"/>
      <c r="C20" s="3507"/>
      <c r="D20" s="3514" t="s">
        <v>1318</v>
      </c>
      <c r="E20" s="3507"/>
      <c r="F20" s="3515"/>
      <c r="G20" s="6"/>
      <c r="H20" s="3532"/>
      <c r="I20" s="3722"/>
      <c r="J20" s="3723"/>
      <c r="K20" s="3566"/>
      <c r="L20" s="1204"/>
      <c r="M20" s="1204"/>
      <c r="N20" s="1204"/>
      <c r="O20" s="1204"/>
      <c r="P20" s="1204"/>
      <c r="Q20" s="1204"/>
      <c r="R20" s="3134"/>
      <c r="S20" s="2668"/>
    </row>
    <row r="21" spans="1:249" s="593" customFormat="1" ht="27" customHeight="1">
      <c r="A21" s="3555">
        <v>4</v>
      </c>
      <c r="B21" s="3539" t="s">
        <v>1077</v>
      </c>
      <c r="C21" s="3507" t="s">
        <v>1326</v>
      </c>
      <c r="D21" s="83" t="s">
        <v>1327</v>
      </c>
      <c r="E21" s="76" t="s">
        <v>141</v>
      </c>
      <c r="F21" s="3540">
        <f>ROUND(SUM(F23:F23),3)</f>
        <v>1.5</v>
      </c>
      <c r="G21" s="5"/>
      <c r="H21" s="2231">
        <f>ROUND(F21*G21,2)</f>
        <v>0</v>
      </c>
      <c r="I21" s="3718" t="s">
        <v>112</v>
      </c>
      <c r="J21" s="3719"/>
      <c r="K21" s="1562"/>
      <c r="L21" s="3720"/>
      <c r="M21" s="3561"/>
      <c r="N21" s="193"/>
      <c r="O21" s="1562"/>
    </row>
    <row r="22" spans="1:249" s="888" customFormat="1" ht="13.5" customHeight="1">
      <c r="A22" s="3562"/>
      <c r="B22" s="3539"/>
      <c r="C22" s="3507"/>
      <c r="D22" s="3514" t="s">
        <v>1328</v>
      </c>
      <c r="E22" s="3507"/>
      <c r="F22" s="3515"/>
      <c r="G22" s="6"/>
      <c r="H22" s="3532"/>
      <c r="I22" s="3722"/>
      <c r="J22" s="3723"/>
      <c r="K22" s="3566"/>
      <c r="L22" s="1204"/>
      <c r="M22" s="1204"/>
      <c r="N22" s="1204"/>
      <c r="O22" s="1204"/>
      <c r="P22" s="1204"/>
      <c r="Q22" s="1204"/>
      <c r="R22" s="3134"/>
      <c r="S22" s="2668"/>
    </row>
    <row r="23" spans="1:249" s="888" customFormat="1" ht="13.5" customHeight="1">
      <c r="A23" s="3562"/>
      <c r="B23" s="3539"/>
      <c r="C23" s="3507"/>
      <c r="D23" s="3514" t="s">
        <v>1169</v>
      </c>
      <c r="E23" s="3507"/>
      <c r="F23" s="3515">
        <v>1.5</v>
      </c>
      <c r="G23" s="6"/>
      <c r="H23" s="3532"/>
      <c r="I23" s="3722"/>
      <c r="J23" s="3723"/>
      <c r="K23" s="3566"/>
      <c r="L23" s="1204"/>
      <c r="M23" s="1204"/>
      <c r="N23" s="1204"/>
      <c r="O23" s="1204"/>
      <c r="P23" s="1204"/>
      <c r="Q23" s="1204"/>
      <c r="R23" s="3134"/>
      <c r="S23" s="2668"/>
    </row>
    <row r="24" spans="1:249" s="888" customFormat="1" ht="13.5" customHeight="1">
      <c r="A24" s="3562"/>
      <c r="B24" s="3539"/>
      <c r="C24" s="3507"/>
      <c r="D24" s="3514" t="s">
        <v>1318</v>
      </c>
      <c r="E24" s="3507"/>
      <c r="F24" s="3515"/>
      <c r="G24" s="6"/>
      <c r="H24" s="3532"/>
      <c r="I24" s="3722"/>
      <c r="J24" s="3723"/>
      <c r="K24" s="3566"/>
      <c r="L24" s="1204"/>
      <c r="M24" s="1204"/>
      <c r="N24" s="1204"/>
      <c r="O24" s="1204"/>
      <c r="P24" s="1204"/>
      <c r="Q24" s="1204"/>
      <c r="R24" s="3134"/>
      <c r="S24" s="2668"/>
    </row>
    <row r="25" spans="1:249" s="593" customFormat="1" ht="27" customHeight="1">
      <c r="A25" s="3555">
        <v>5</v>
      </c>
      <c r="B25" s="3539" t="s">
        <v>1077</v>
      </c>
      <c r="C25" s="3507" t="s">
        <v>1329</v>
      </c>
      <c r="D25" s="83" t="s">
        <v>1330</v>
      </c>
      <c r="E25" s="76" t="s">
        <v>141</v>
      </c>
      <c r="F25" s="3540">
        <f>ROUND(SUM(F27:F27),3)</f>
        <v>22.54</v>
      </c>
      <c r="G25" s="5"/>
      <c r="H25" s="2231">
        <f>ROUND(F25*G25,2)</f>
        <v>0</v>
      </c>
      <c r="I25" s="3718" t="s">
        <v>112</v>
      </c>
      <c r="J25" s="3719"/>
      <c r="K25" s="1562"/>
      <c r="L25" s="3720"/>
      <c r="M25" s="3561"/>
      <c r="N25" s="193"/>
      <c r="O25" s="1562"/>
    </row>
    <row r="26" spans="1:249" s="888" customFormat="1" ht="13.5" customHeight="1">
      <c r="A26" s="3562"/>
      <c r="B26" s="3539"/>
      <c r="C26" s="3507"/>
      <c r="D26" s="3514" t="s">
        <v>1331</v>
      </c>
      <c r="E26" s="3507"/>
      <c r="F26" s="3515"/>
      <c r="G26" s="6"/>
      <c r="H26" s="3532"/>
      <c r="I26" s="3722"/>
      <c r="J26" s="3723"/>
      <c r="K26" s="3566"/>
      <c r="L26" s="1204"/>
      <c r="M26" s="1204"/>
      <c r="N26" s="1204"/>
      <c r="O26" s="1204"/>
      <c r="P26" s="1204"/>
      <c r="Q26" s="1204"/>
      <c r="R26" s="3134"/>
      <c r="S26" s="2668"/>
    </row>
    <row r="27" spans="1:249" s="888" customFormat="1" ht="13.5" customHeight="1">
      <c r="A27" s="3562"/>
      <c r="B27" s="3539"/>
      <c r="C27" s="3507"/>
      <c r="D27" s="3514" t="s">
        <v>1169</v>
      </c>
      <c r="E27" s="3507"/>
      <c r="F27" s="3515">
        <v>22.54</v>
      </c>
      <c r="G27" s="6"/>
      <c r="H27" s="3532"/>
      <c r="I27" s="3722"/>
      <c r="J27" s="3723"/>
      <c r="K27" s="3566"/>
      <c r="L27" s="1204"/>
      <c r="M27" s="1204"/>
      <c r="N27" s="1204"/>
      <c r="O27" s="1204"/>
      <c r="P27" s="1204"/>
      <c r="Q27" s="1204"/>
      <c r="R27" s="3134"/>
      <c r="S27" s="2668"/>
    </row>
    <row r="28" spans="1:249" s="888" customFormat="1" ht="13.5" customHeight="1">
      <c r="A28" s="3562"/>
      <c r="B28" s="3539"/>
      <c r="C28" s="3507"/>
      <c r="D28" s="3514" t="s">
        <v>1318</v>
      </c>
      <c r="E28" s="3507"/>
      <c r="F28" s="3515"/>
      <c r="G28" s="6"/>
      <c r="H28" s="3532"/>
      <c r="I28" s="3722"/>
      <c r="J28" s="3723"/>
      <c r="K28" s="3566"/>
      <c r="L28" s="1204"/>
      <c r="M28" s="1204"/>
      <c r="N28" s="1204"/>
      <c r="O28" s="1204"/>
      <c r="P28" s="1204"/>
      <c r="Q28" s="1204"/>
      <c r="R28" s="3134"/>
      <c r="S28" s="2668"/>
    </row>
    <row r="29" spans="1:249" s="593" customFormat="1" ht="27" customHeight="1">
      <c r="A29" s="5287">
        <v>6</v>
      </c>
      <c r="B29" s="5288" t="s">
        <v>1077</v>
      </c>
      <c r="C29" s="5289" t="s">
        <v>1332</v>
      </c>
      <c r="D29" s="5284" t="s">
        <v>1333</v>
      </c>
      <c r="E29" s="5285" t="s">
        <v>49</v>
      </c>
      <c r="F29" s="5290">
        <f>ROUND(SUM(F44),3)</f>
        <v>1</v>
      </c>
      <c r="G29" s="5291">
        <f>ROUND(SUM(H33:H43)/F29,2)</f>
        <v>0</v>
      </c>
      <c r="H29" s="5292">
        <f>ROUND(F29*G29,2)</f>
        <v>0</v>
      </c>
      <c r="I29" s="5293" t="s">
        <v>112</v>
      </c>
      <c r="J29" s="5294"/>
      <c r="L29" s="3560"/>
      <c r="M29" s="3561"/>
      <c r="O29" s="2350"/>
      <c r="P29" s="193"/>
      <c r="V29" s="193"/>
    </row>
    <row r="30" spans="1:249" s="5300" customFormat="1" ht="40.5" customHeight="1">
      <c r="A30" s="5295"/>
      <c r="B30" s="5289"/>
      <c r="C30" s="5289"/>
      <c r="D30" s="5296" t="s">
        <v>6863</v>
      </c>
      <c r="E30" s="5289"/>
      <c r="F30" s="5290"/>
      <c r="G30" s="5297"/>
      <c r="H30" s="5298"/>
      <c r="I30" s="5299"/>
      <c r="J30" s="3726"/>
      <c r="O30" s="5301"/>
      <c r="P30" s="5302"/>
      <c r="Q30" s="5303"/>
      <c r="R30" s="5303"/>
      <c r="S30" s="5304"/>
      <c r="T30" s="5305"/>
      <c r="U30" s="5306"/>
      <c r="V30" s="5301"/>
      <c r="W30" s="5307"/>
      <c r="X30" s="5301"/>
      <c r="AG30" s="5308"/>
      <c r="AH30" s="5309"/>
      <c r="AI30" s="5309"/>
      <c r="AJ30" s="5310"/>
      <c r="AK30" s="5309"/>
      <c r="AL30" s="5311"/>
      <c r="AM30" s="5312"/>
      <c r="AN30" s="5313"/>
      <c r="AO30" s="5314"/>
      <c r="AW30" s="5308"/>
      <c r="AX30" s="5309"/>
      <c r="AY30" s="5309"/>
      <c r="AZ30" s="5310"/>
      <c r="BA30" s="5309"/>
      <c r="BB30" s="5311"/>
      <c r="BC30" s="5312"/>
      <c r="BD30" s="5313"/>
      <c r="BE30" s="5314"/>
      <c r="BM30" s="5308"/>
      <c r="BN30" s="5309"/>
      <c r="BO30" s="5309"/>
      <c r="BP30" s="5310"/>
      <c r="BQ30" s="5309"/>
      <c r="BR30" s="5311"/>
      <c r="BS30" s="5312"/>
      <c r="BT30" s="5313"/>
      <c r="BU30" s="5314"/>
      <c r="CC30" s="5308"/>
      <c r="CD30" s="5309"/>
      <c r="CE30" s="5309"/>
      <c r="CF30" s="5310"/>
      <c r="CG30" s="5309"/>
      <c r="CH30" s="5311"/>
      <c r="CI30" s="5312"/>
      <c r="CJ30" s="5313"/>
      <c r="CK30" s="5314"/>
      <c r="CS30" s="5308"/>
      <c r="CT30" s="5309"/>
      <c r="CU30" s="5309"/>
      <c r="CV30" s="5310"/>
      <c r="CW30" s="5309"/>
      <c r="CX30" s="5311"/>
      <c r="CY30" s="5312"/>
      <c r="CZ30" s="5313"/>
      <c r="DA30" s="5314"/>
      <c r="DI30" s="5308"/>
      <c r="DJ30" s="5309"/>
      <c r="DK30" s="5309"/>
      <c r="DL30" s="5310"/>
      <c r="DM30" s="5309"/>
      <c r="DN30" s="5311"/>
      <c r="DO30" s="5312"/>
      <c r="DP30" s="5313"/>
      <c r="DQ30" s="5314"/>
      <c r="DY30" s="5308"/>
      <c r="DZ30" s="5309"/>
      <c r="EA30" s="5309"/>
      <c r="EB30" s="5310"/>
      <c r="EC30" s="5309"/>
      <c r="ED30" s="5311"/>
      <c r="EE30" s="5312"/>
      <c r="EF30" s="5313"/>
      <c r="EG30" s="5314"/>
      <c r="EO30" s="5308"/>
      <c r="EP30" s="5309"/>
      <c r="EQ30" s="5309"/>
      <c r="ER30" s="5310"/>
      <c r="ES30" s="5309"/>
      <c r="ET30" s="5311"/>
      <c r="EU30" s="5312"/>
      <c r="EV30" s="5313"/>
      <c r="EW30" s="5314"/>
      <c r="FE30" s="5308"/>
      <c r="FF30" s="5309"/>
      <c r="FG30" s="5309"/>
      <c r="FH30" s="5310"/>
      <c r="FI30" s="5309"/>
      <c r="FJ30" s="5311"/>
      <c r="FK30" s="5312"/>
      <c r="FL30" s="5313"/>
      <c r="FM30" s="5314"/>
      <c r="FU30" s="5308"/>
      <c r="FV30" s="5309"/>
      <c r="FW30" s="5309"/>
      <c r="FX30" s="5310"/>
      <c r="FY30" s="5309"/>
      <c r="FZ30" s="5311"/>
      <c r="GA30" s="5312"/>
      <c r="GB30" s="5313"/>
      <c r="GC30" s="5314"/>
      <c r="GK30" s="5308"/>
      <c r="GL30" s="5309"/>
      <c r="GM30" s="5309"/>
      <c r="GN30" s="5310"/>
      <c r="GO30" s="5309"/>
      <c r="GP30" s="5311"/>
      <c r="GQ30" s="5312"/>
      <c r="GR30" s="5313"/>
      <c r="GS30" s="5314"/>
      <c r="HA30" s="5308"/>
      <c r="HB30" s="5309"/>
      <c r="HC30" s="5309"/>
      <c r="HD30" s="5310"/>
      <c r="HE30" s="5309"/>
      <c r="HF30" s="5311"/>
      <c r="HG30" s="5312"/>
      <c r="HH30" s="5313"/>
      <c r="HI30" s="5314"/>
      <c r="HQ30" s="5308"/>
      <c r="HR30" s="5309"/>
      <c r="HS30" s="5309"/>
      <c r="HT30" s="5310"/>
      <c r="HU30" s="5309"/>
      <c r="HV30" s="5311"/>
      <c r="HW30" s="5312"/>
      <c r="HX30" s="5313"/>
      <c r="HY30" s="5314"/>
      <c r="IG30" s="5308"/>
      <c r="IH30" s="5309"/>
      <c r="II30" s="5309"/>
      <c r="IJ30" s="5310"/>
      <c r="IK30" s="5309"/>
      <c r="IL30" s="5311"/>
      <c r="IM30" s="5312"/>
      <c r="IN30" s="5313"/>
      <c r="IO30" s="5314"/>
    </row>
    <row r="31" spans="1:249" s="5300" customFormat="1" ht="27" customHeight="1">
      <c r="A31" s="5295"/>
      <c r="B31" s="5289"/>
      <c r="C31" s="5289"/>
      <c r="D31" s="5296" t="s">
        <v>1334</v>
      </c>
      <c r="E31" s="5289"/>
      <c r="F31" s="5290"/>
      <c r="G31" s="5297"/>
      <c r="H31" s="5298"/>
      <c r="I31" s="5299"/>
      <c r="J31" s="5315"/>
      <c r="Q31" s="5308"/>
      <c r="R31" s="5309"/>
      <c r="S31" s="5309"/>
      <c r="T31" s="5310"/>
      <c r="U31" s="5309"/>
      <c r="V31" s="5311"/>
      <c r="W31" s="5312"/>
      <c r="X31" s="5313"/>
      <c r="Y31" s="5314"/>
      <c r="AG31" s="5308"/>
      <c r="AH31" s="5309"/>
      <c r="AI31" s="5309"/>
      <c r="AJ31" s="5310"/>
      <c r="AK31" s="5309"/>
      <c r="AL31" s="5311"/>
      <c r="AM31" s="5312"/>
      <c r="AN31" s="5313"/>
      <c r="AO31" s="5314"/>
      <c r="AW31" s="5308"/>
      <c r="AX31" s="5309"/>
      <c r="AY31" s="5309"/>
      <c r="AZ31" s="5310"/>
      <c r="BA31" s="5309"/>
      <c r="BB31" s="5311"/>
      <c r="BC31" s="5312"/>
      <c r="BD31" s="5313"/>
      <c r="BE31" s="5314"/>
      <c r="BM31" s="5308"/>
      <c r="BN31" s="5309"/>
      <c r="BO31" s="5309"/>
      <c r="BP31" s="5310"/>
      <c r="BQ31" s="5309"/>
      <c r="BR31" s="5311"/>
      <c r="BS31" s="5312"/>
      <c r="BT31" s="5313"/>
      <c r="BU31" s="5314"/>
      <c r="CC31" s="5308"/>
      <c r="CD31" s="5309"/>
      <c r="CE31" s="5309"/>
      <c r="CF31" s="5310"/>
      <c r="CG31" s="5309"/>
      <c r="CH31" s="5311"/>
      <c r="CI31" s="5312"/>
      <c r="CJ31" s="5313"/>
      <c r="CK31" s="5314"/>
      <c r="CS31" s="5308"/>
      <c r="CT31" s="5309"/>
      <c r="CU31" s="5309"/>
      <c r="CV31" s="5310"/>
      <c r="CW31" s="5309"/>
      <c r="CX31" s="5311"/>
      <c r="CY31" s="5312"/>
      <c r="CZ31" s="5313"/>
      <c r="DA31" s="5314"/>
      <c r="DI31" s="5308"/>
      <c r="DJ31" s="5309"/>
      <c r="DK31" s="5309"/>
      <c r="DL31" s="5310"/>
      <c r="DM31" s="5309"/>
      <c r="DN31" s="5311"/>
      <c r="DO31" s="5312"/>
      <c r="DP31" s="5313"/>
      <c r="DQ31" s="5314"/>
      <c r="DY31" s="5308"/>
      <c r="DZ31" s="5309"/>
      <c r="EA31" s="5309"/>
      <c r="EB31" s="5310"/>
      <c r="EC31" s="5309"/>
      <c r="ED31" s="5311"/>
      <c r="EE31" s="5312"/>
      <c r="EF31" s="5313"/>
      <c r="EG31" s="5314"/>
      <c r="EO31" s="5308"/>
      <c r="EP31" s="5309"/>
      <c r="EQ31" s="5309"/>
      <c r="ER31" s="5310"/>
      <c r="ES31" s="5309"/>
      <c r="ET31" s="5311"/>
      <c r="EU31" s="5312"/>
      <c r="EV31" s="5313"/>
      <c r="EW31" s="5314"/>
      <c r="FE31" s="5308"/>
      <c r="FF31" s="5309"/>
      <c r="FG31" s="5309"/>
      <c r="FH31" s="5310"/>
      <c r="FI31" s="5309"/>
      <c r="FJ31" s="5311"/>
      <c r="FK31" s="5312"/>
      <c r="FL31" s="5313"/>
      <c r="FM31" s="5314"/>
      <c r="FU31" s="5308"/>
      <c r="FV31" s="5309"/>
      <c r="FW31" s="5309"/>
      <c r="FX31" s="5310"/>
      <c r="FY31" s="5309"/>
      <c r="FZ31" s="5311"/>
      <c r="GA31" s="5312"/>
      <c r="GB31" s="5313"/>
      <c r="GC31" s="5314"/>
      <c r="GK31" s="5308"/>
      <c r="GL31" s="5309"/>
      <c r="GM31" s="5309"/>
      <c r="GN31" s="5310"/>
      <c r="GO31" s="5309"/>
      <c r="GP31" s="5311"/>
      <c r="GQ31" s="5312"/>
      <c r="GR31" s="5313"/>
      <c r="GS31" s="5314"/>
      <c r="HA31" s="5308"/>
      <c r="HB31" s="5309"/>
      <c r="HC31" s="5309"/>
      <c r="HD31" s="5310"/>
      <c r="HE31" s="5309"/>
      <c r="HF31" s="5311"/>
      <c r="HG31" s="5312"/>
      <c r="HH31" s="5313"/>
      <c r="HI31" s="5314"/>
      <c r="HQ31" s="5308"/>
      <c r="HR31" s="5309"/>
      <c r="HS31" s="5309"/>
      <c r="HT31" s="5310"/>
      <c r="HU31" s="5309"/>
      <c r="HV31" s="5311"/>
      <c r="HW31" s="5312"/>
      <c r="HX31" s="5313"/>
      <c r="HY31" s="5314"/>
      <c r="IG31" s="5308"/>
      <c r="IH31" s="5309"/>
      <c r="II31" s="5309"/>
      <c r="IJ31" s="5310"/>
      <c r="IK31" s="5309"/>
      <c r="IL31" s="5311"/>
      <c r="IM31" s="5312"/>
      <c r="IN31" s="5313"/>
      <c r="IO31" s="5314"/>
    </row>
    <row r="32" spans="1:249" s="5300" customFormat="1" ht="27" customHeight="1">
      <c r="A32" s="5295"/>
      <c r="B32" s="5289"/>
      <c r="C32" s="5289"/>
      <c r="D32" s="5316" t="s">
        <v>6864</v>
      </c>
      <c r="E32" s="5289"/>
      <c r="F32" s="5290"/>
      <c r="G32" s="5297"/>
      <c r="H32" s="5298"/>
      <c r="I32" s="5299"/>
      <c r="J32" s="5315"/>
      <c r="Q32" s="5308"/>
      <c r="R32" s="5309"/>
      <c r="S32" s="5309"/>
      <c r="T32" s="5310"/>
      <c r="U32" s="5309"/>
      <c r="V32" s="5311"/>
      <c r="W32" s="5312"/>
      <c r="X32" s="5313"/>
      <c r="Y32" s="5314"/>
      <c r="AG32" s="5308"/>
      <c r="AH32" s="5309"/>
      <c r="AI32" s="5309"/>
      <c r="AJ32" s="5310"/>
      <c r="AK32" s="5309"/>
      <c r="AL32" s="5311"/>
      <c r="AM32" s="5312"/>
      <c r="AN32" s="5313"/>
      <c r="AO32" s="5314"/>
      <c r="AW32" s="5308"/>
      <c r="AX32" s="5309"/>
      <c r="AY32" s="5309"/>
      <c r="AZ32" s="5310"/>
      <c r="BA32" s="5309"/>
      <c r="BB32" s="5311"/>
      <c r="BC32" s="5312"/>
      <c r="BD32" s="5313"/>
      <c r="BE32" s="5314"/>
      <c r="BM32" s="5308"/>
      <c r="BN32" s="5309"/>
      <c r="BO32" s="5309"/>
      <c r="BP32" s="5310"/>
      <c r="BQ32" s="5309"/>
      <c r="BR32" s="5311"/>
      <c r="BS32" s="5312"/>
      <c r="BT32" s="5313"/>
      <c r="BU32" s="5314"/>
      <c r="CC32" s="5308"/>
      <c r="CD32" s="5309"/>
      <c r="CE32" s="5309"/>
      <c r="CF32" s="5310"/>
      <c r="CG32" s="5309"/>
      <c r="CH32" s="5311"/>
      <c r="CI32" s="5312"/>
      <c r="CJ32" s="5313"/>
      <c r="CK32" s="5314"/>
      <c r="CS32" s="5308"/>
      <c r="CT32" s="5309"/>
      <c r="CU32" s="5309"/>
      <c r="CV32" s="5310"/>
      <c r="CW32" s="5309"/>
      <c r="CX32" s="5311"/>
      <c r="CY32" s="5312"/>
      <c r="CZ32" s="5313"/>
      <c r="DA32" s="5314"/>
      <c r="DI32" s="5308"/>
      <c r="DJ32" s="5309"/>
      <c r="DK32" s="5309"/>
      <c r="DL32" s="5310"/>
      <c r="DM32" s="5309"/>
      <c r="DN32" s="5311"/>
      <c r="DO32" s="5312"/>
      <c r="DP32" s="5313"/>
      <c r="DQ32" s="5314"/>
      <c r="DY32" s="5308"/>
      <c r="DZ32" s="5309"/>
      <c r="EA32" s="5309"/>
      <c r="EB32" s="5310"/>
      <c r="EC32" s="5309"/>
      <c r="ED32" s="5311"/>
      <c r="EE32" s="5312"/>
      <c r="EF32" s="5313"/>
      <c r="EG32" s="5314"/>
      <c r="EO32" s="5308"/>
      <c r="EP32" s="5309"/>
      <c r="EQ32" s="5309"/>
      <c r="ER32" s="5310"/>
      <c r="ES32" s="5309"/>
      <c r="ET32" s="5311"/>
      <c r="EU32" s="5312"/>
      <c r="EV32" s="5313"/>
      <c r="EW32" s="5314"/>
      <c r="FE32" s="5308"/>
      <c r="FF32" s="5309"/>
      <c r="FG32" s="5309"/>
      <c r="FH32" s="5310"/>
      <c r="FI32" s="5309"/>
      <c r="FJ32" s="5311"/>
      <c r="FK32" s="5312"/>
      <c r="FL32" s="5313"/>
      <c r="FM32" s="5314"/>
      <c r="FU32" s="5308"/>
      <c r="FV32" s="5309"/>
      <c r="FW32" s="5309"/>
      <c r="FX32" s="5310"/>
      <c r="FY32" s="5309"/>
      <c r="FZ32" s="5311"/>
      <c r="GA32" s="5312"/>
      <c r="GB32" s="5313"/>
      <c r="GC32" s="5314"/>
      <c r="GK32" s="5308"/>
      <c r="GL32" s="5309"/>
      <c r="GM32" s="5309"/>
      <c r="GN32" s="5310"/>
      <c r="GO32" s="5309"/>
      <c r="GP32" s="5311"/>
      <c r="GQ32" s="5312"/>
      <c r="GR32" s="5313"/>
      <c r="GS32" s="5314"/>
      <c r="HA32" s="5308"/>
      <c r="HB32" s="5309"/>
      <c r="HC32" s="5309"/>
      <c r="HD32" s="5310"/>
      <c r="HE32" s="5309"/>
      <c r="HF32" s="5311"/>
      <c r="HG32" s="5312"/>
      <c r="HH32" s="5313"/>
      <c r="HI32" s="5314"/>
      <c r="HQ32" s="5308"/>
      <c r="HR32" s="5309"/>
      <c r="HS32" s="5309"/>
      <c r="HT32" s="5310"/>
      <c r="HU32" s="5309"/>
      <c r="HV32" s="5311"/>
      <c r="HW32" s="5312"/>
      <c r="HX32" s="5313"/>
      <c r="HY32" s="5314"/>
      <c r="IG32" s="5308"/>
      <c r="IH32" s="5309"/>
      <c r="II32" s="5309"/>
      <c r="IJ32" s="5310"/>
      <c r="IK32" s="5309"/>
      <c r="IL32" s="5311"/>
      <c r="IM32" s="5312"/>
      <c r="IN32" s="5313"/>
      <c r="IO32" s="5314"/>
    </row>
    <row r="33" spans="1:250" s="5300" customFormat="1" ht="13.5" customHeight="1">
      <c r="A33" s="5317" t="s">
        <v>1335</v>
      </c>
      <c r="B33" s="5318"/>
      <c r="C33" s="5319" t="s">
        <v>1336</v>
      </c>
      <c r="D33" s="5296" t="s">
        <v>6865</v>
      </c>
      <c r="E33" s="5320" t="s">
        <v>141</v>
      </c>
      <c r="F33" s="5321">
        <f>(109.2)*1.1</f>
        <v>120.12000000000002</v>
      </c>
      <c r="G33" s="5282"/>
      <c r="H33" s="5322">
        <f t="shared" ref="H33:H43" si="0">ROUND(F33*G33,2)</f>
        <v>0</v>
      </c>
      <c r="I33" s="5283" t="s">
        <v>112</v>
      </c>
      <c r="J33" s="5323"/>
      <c r="L33" s="5307"/>
      <c r="S33" s="5324"/>
      <c r="U33" s="5324"/>
      <c r="AG33" s="5325"/>
      <c r="AH33" s="5326"/>
      <c r="AI33" s="5326"/>
      <c r="AJ33" s="5310"/>
      <c r="AK33" s="5326"/>
      <c r="AL33" s="5327"/>
      <c r="AM33" s="5328"/>
      <c r="AN33" s="5313"/>
      <c r="AP33" s="5329"/>
      <c r="AW33" s="5325"/>
      <c r="AX33" s="5326"/>
      <c r="AY33" s="5326"/>
      <c r="AZ33" s="5310"/>
      <c r="BA33" s="5326"/>
      <c r="BB33" s="5327"/>
      <c r="BC33" s="5328"/>
      <c r="BD33" s="5313"/>
      <c r="BF33" s="5329"/>
      <c r="BM33" s="5325"/>
      <c r="BN33" s="5326"/>
      <c r="BO33" s="5326"/>
      <c r="BP33" s="5310"/>
      <c r="BQ33" s="5326"/>
      <c r="BR33" s="5327"/>
      <c r="BS33" s="5328"/>
      <c r="BT33" s="5313"/>
      <c r="BV33" s="5329"/>
      <c r="CC33" s="5325"/>
      <c r="CD33" s="5326"/>
      <c r="CE33" s="5326"/>
      <c r="CF33" s="5310"/>
      <c r="CG33" s="5326"/>
      <c r="CH33" s="5327"/>
      <c r="CI33" s="5328"/>
      <c r="CJ33" s="5313"/>
      <c r="CL33" s="5329"/>
      <c r="CS33" s="5325"/>
      <c r="CT33" s="5326"/>
      <c r="CU33" s="5326"/>
      <c r="CV33" s="5310"/>
      <c r="CW33" s="5326"/>
      <c r="CX33" s="5327"/>
      <c r="CY33" s="5328"/>
      <c r="CZ33" s="5313"/>
      <c r="DB33" s="5329"/>
      <c r="DI33" s="5325"/>
      <c r="DJ33" s="5326"/>
      <c r="DK33" s="5326"/>
      <c r="DL33" s="5310"/>
      <c r="DM33" s="5326"/>
      <c r="DN33" s="5327"/>
      <c r="DO33" s="5328"/>
      <c r="DP33" s="5313"/>
      <c r="DR33" s="5329"/>
      <c r="DY33" s="5325"/>
      <c r="DZ33" s="5326"/>
      <c r="EA33" s="5326"/>
      <c r="EB33" s="5310"/>
      <c r="EC33" s="5326"/>
      <c r="ED33" s="5327"/>
      <c r="EE33" s="5328"/>
      <c r="EF33" s="5313"/>
      <c r="EH33" s="5329"/>
      <c r="EO33" s="5325"/>
      <c r="EP33" s="5326"/>
      <c r="EQ33" s="5326"/>
      <c r="ER33" s="5310"/>
      <c r="ES33" s="5326"/>
      <c r="ET33" s="5327"/>
      <c r="EU33" s="5328"/>
      <c r="EV33" s="5313"/>
      <c r="EX33" s="5329"/>
      <c r="FE33" s="5325"/>
      <c r="FF33" s="5326"/>
      <c r="FG33" s="5326"/>
      <c r="FH33" s="5310"/>
      <c r="FI33" s="5326"/>
      <c r="FJ33" s="5327"/>
      <c r="FK33" s="5328"/>
      <c r="FL33" s="5313"/>
      <c r="FN33" s="5329"/>
      <c r="FU33" s="5325"/>
      <c r="FV33" s="5326"/>
      <c r="FW33" s="5326"/>
      <c r="FX33" s="5310"/>
      <c r="FY33" s="5326"/>
      <c r="FZ33" s="5327"/>
      <c r="GA33" s="5328"/>
      <c r="GB33" s="5313"/>
      <c r="GD33" s="5329"/>
      <c r="GK33" s="5325"/>
      <c r="GL33" s="5326"/>
      <c r="GM33" s="5326"/>
      <c r="GN33" s="5310"/>
      <c r="GO33" s="5326"/>
      <c r="GP33" s="5327"/>
      <c r="GQ33" s="5328"/>
      <c r="GR33" s="5313"/>
      <c r="GT33" s="5329"/>
      <c r="HA33" s="5325"/>
      <c r="HB33" s="5326"/>
      <c r="HC33" s="5326"/>
      <c r="HD33" s="5310"/>
      <c r="HE33" s="5326"/>
      <c r="HF33" s="5327"/>
      <c r="HG33" s="5328"/>
      <c r="HH33" s="5313"/>
      <c r="HJ33" s="5329"/>
      <c r="HQ33" s="5325"/>
      <c r="HR33" s="5326"/>
      <c r="HS33" s="5326"/>
      <c r="HT33" s="5310"/>
      <c r="HU33" s="5326"/>
      <c r="HV33" s="5327"/>
      <c r="HW33" s="5328"/>
      <c r="HX33" s="5313"/>
      <c r="HZ33" s="5329"/>
      <c r="IG33" s="5325"/>
      <c r="IH33" s="5326"/>
      <c r="II33" s="5326"/>
      <c r="IJ33" s="5310"/>
      <c r="IK33" s="5326"/>
      <c r="IL33" s="5327"/>
      <c r="IM33" s="5328"/>
      <c r="IN33" s="5313"/>
      <c r="IP33" s="5329"/>
    </row>
    <row r="34" spans="1:250" s="5300" customFormat="1" ht="27" customHeight="1">
      <c r="A34" s="5317" t="s">
        <v>1337</v>
      </c>
      <c r="B34" s="5318"/>
      <c r="C34" s="5319" t="s">
        <v>1338</v>
      </c>
      <c r="D34" s="5296" t="s">
        <v>1339</v>
      </c>
      <c r="E34" s="5320" t="s">
        <v>205</v>
      </c>
      <c r="F34" s="5321">
        <v>1</v>
      </c>
      <c r="G34" s="5282"/>
      <c r="H34" s="5322">
        <f t="shared" si="0"/>
        <v>0</v>
      </c>
      <c r="I34" s="5283" t="s">
        <v>112</v>
      </c>
      <c r="J34" s="5323"/>
      <c r="K34" s="5301"/>
      <c r="L34" s="5307"/>
      <c r="M34" s="5301"/>
      <c r="N34" s="5301"/>
      <c r="O34" s="5301"/>
      <c r="R34" s="5301"/>
      <c r="S34" s="5324"/>
      <c r="T34" s="5301"/>
      <c r="U34" s="5301"/>
      <c r="V34" s="2261"/>
      <c r="Z34" s="5301"/>
      <c r="AA34" s="5301"/>
      <c r="AD34" s="2261"/>
      <c r="AE34" s="5301"/>
      <c r="AF34" s="5301"/>
      <c r="AH34" s="5301"/>
      <c r="AM34" s="5328"/>
      <c r="AN34" s="5313"/>
      <c r="AO34" s="5330"/>
      <c r="AW34" s="5325"/>
      <c r="AX34" s="5326"/>
      <c r="AY34" s="5326"/>
      <c r="AZ34" s="5310"/>
      <c r="BA34" s="5331"/>
      <c r="BB34" s="5327"/>
      <c r="BC34" s="5328"/>
      <c r="BD34" s="5313"/>
      <c r="BE34" s="5330"/>
      <c r="BM34" s="5325"/>
      <c r="BN34" s="5326"/>
      <c r="BO34" s="5326"/>
      <c r="BP34" s="5310"/>
      <c r="BQ34" s="5331"/>
      <c r="BR34" s="5327"/>
      <c r="BS34" s="5328"/>
      <c r="BT34" s="5313"/>
      <c r="BU34" s="5330"/>
      <c r="CC34" s="5325"/>
      <c r="CD34" s="5326"/>
      <c r="CE34" s="5326"/>
      <c r="CF34" s="5310"/>
      <c r="CG34" s="5331"/>
      <c r="CH34" s="5327"/>
      <c r="CI34" s="5328"/>
      <c r="CJ34" s="5313"/>
      <c r="CK34" s="5330"/>
      <c r="CS34" s="5325"/>
      <c r="CT34" s="5326"/>
      <c r="CU34" s="5326"/>
      <c r="CV34" s="5310"/>
      <c r="CW34" s="5331"/>
      <c r="CX34" s="5327"/>
      <c r="CY34" s="5328"/>
      <c r="CZ34" s="5313"/>
      <c r="DA34" s="5330"/>
      <c r="DI34" s="5325"/>
      <c r="DJ34" s="5326"/>
      <c r="DK34" s="5326"/>
      <c r="DL34" s="5310"/>
      <c r="DM34" s="5331"/>
      <c r="DN34" s="5327"/>
      <c r="DO34" s="5328"/>
      <c r="DP34" s="5313"/>
      <c r="DQ34" s="5330"/>
      <c r="DY34" s="5325"/>
      <c r="DZ34" s="5326"/>
      <c r="EA34" s="5326"/>
      <c r="EB34" s="5310"/>
      <c r="EC34" s="5331"/>
      <c r="ED34" s="5327"/>
      <c r="EE34" s="5328"/>
      <c r="EF34" s="5313"/>
      <c r="EG34" s="5330"/>
      <c r="EO34" s="5325"/>
      <c r="EP34" s="5326"/>
      <c r="EQ34" s="5326"/>
      <c r="ER34" s="5310"/>
      <c r="ES34" s="5331"/>
      <c r="ET34" s="5327"/>
      <c r="EU34" s="5328"/>
      <c r="EV34" s="5313"/>
      <c r="EW34" s="5330"/>
      <c r="FE34" s="5325"/>
      <c r="FF34" s="5326"/>
      <c r="FG34" s="5326"/>
      <c r="FH34" s="5310"/>
      <c r="FI34" s="5331"/>
      <c r="FJ34" s="5327"/>
      <c r="FK34" s="5328"/>
      <c r="FL34" s="5313"/>
      <c r="FM34" s="5330"/>
      <c r="FU34" s="5325"/>
      <c r="FV34" s="5326"/>
      <c r="FW34" s="5326"/>
      <c r="FX34" s="5310"/>
      <c r="FY34" s="5331"/>
      <c r="FZ34" s="5327"/>
      <c r="GA34" s="5328"/>
      <c r="GB34" s="5313"/>
      <c r="GC34" s="5330"/>
      <c r="GK34" s="5325"/>
      <c r="GL34" s="5326"/>
      <c r="GM34" s="5326"/>
      <c r="GN34" s="5310"/>
      <c r="GO34" s="5331"/>
      <c r="GP34" s="5327"/>
      <c r="GQ34" s="5328"/>
      <c r="GR34" s="5313"/>
      <c r="GS34" s="5330"/>
      <c r="HA34" s="5325"/>
      <c r="HB34" s="5326"/>
      <c r="HC34" s="5326"/>
      <c r="HD34" s="5310"/>
      <c r="HE34" s="5331"/>
      <c r="HF34" s="5327"/>
      <c r="HG34" s="5328"/>
      <c r="HH34" s="5313"/>
      <c r="HI34" s="5330"/>
      <c r="HQ34" s="5325"/>
      <c r="HR34" s="5326"/>
      <c r="HS34" s="5326"/>
      <c r="HT34" s="5310"/>
      <c r="HU34" s="5331"/>
      <c r="HV34" s="5327"/>
      <c r="HW34" s="5328"/>
      <c r="HX34" s="5313"/>
      <c r="HY34" s="5330"/>
      <c r="IG34" s="5325"/>
      <c r="IH34" s="5326"/>
      <c r="II34" s="5326"/>
      <c r="IJ34" s="5310"/>
      <c r="IK34" s="5331"/>
      <c r="IL34" s="5327"/>
      <c r="IM34" s="5328"/>
      <c r="IN34" s="5313"/>
      <c r="IO34" s="5330"/>
    </row>
    <row r="35" spans="1:250" s="5300" customFormat="1" ht="27" customHeight="1">
      <c r="A35" s="5317" t="s">
        <v>1340</v>
      </c>
      <c r="B35" s="5318"/>
      <c r="C35" s="5319" t="s">
        <v>1338</v>
      </c>
      <c r="D35" s="5296" t="s">
        <v>1341</v>
      </c>
      <c r="E35" s="5320" t="s">
        <v>205</v>
      </c>
      <c r="F35" s="5321">
        <v>1</v>
      </c>
      <c r="G35" s="5282"/>
      <c r="H35" s="5322">
        <f t="shared" si="0"/>
        <v>0</v>
      </c>
      <c r="I35" s="5283" t="s">
        <v>112</v>
      </c>
      <c r="J35" s="5323"/>
      <c r="K35" s="5301"/>
      <c r="L35" s="5307"/>
      <c r="M35" s="5301"/>
      <c r="N35" s="5301"/>
      <c r="O35" s="5301"/>
      <c r="R35" s="5301"/>
      <c r="S35" s="5324"/>
      <c r="T35" s="5326"/>
      <c r="U35" s="5301"/>
      <c r="V35" s="2261"/>
      <c r="W35" s="5327"/>
      <c r="X35" s="5328"/>
      <c r="Y35" s="5313"/>
      <c r="Z35" s="5301"/>
      <c r="AG35" s="5325"/>
      <c r="AH35" s="5326"/>
      <c r="AI35" s="5326"/>
      <c r="AJ35" s="5310"/>
      <c r="AK35" s="5331"/>
      <c r="AL35" s="5327"/>
      <c r="AM35" s="5328"/>
      <c r="AN35" s="5313"/>
      <c r="AO35" s="5330"/>
      <c r="AW35" s="5325"/>
      <c r="AX35" s="5326"/>
      <c r="AY35" s="5326"/>
      <c r="AZ35" s="5310"/>
      <c r="BA35" s="5331"/>
      <c r="BB35" s="5327"/>
      <c r="BC35" s="5328"/>
      <c r="BD35" s="5313"/>
      <c r="BE35" s="5330"/>
      <c r="BM35" s="5325"/>
      <c r="BN35" s="5326"/>
      <c r="BO35" s="5326"/>
      <c r="BP35" s="5310"/>
      <c r="BQ35" s="5331"/>
      <c r="BR35" s="5327"/>
      <c r="BS35" s="5328"/>
      <c r="BT35" s="5313"/>
      <c r="BU35" s="5330"/>
      <c r="CC35" s="5325"/>
      <c r="CD35" s="5326"/>
      <c r="CE35" s="5326"/>
      <c r="CF35" s="5310"/>
      <c r="CG35" s="5331"/>
      <c r="CH35" s="5327"/>
      <c r="CI35" s="5328"/>
      <c r="CJ35" s="5313"/>
      <c r="CK35" s="5330"/>
      <c r="CS35" s="5325"/>
      <c r="CT35" s="5326"/>
      <c r="CU35" s="5326"/>
      <c r="CV35" s="5310"/>
      <c r="CW35" s="5331"/>
      <c r="CX35" s="5327"/>
      <c r="CY35" s="5328"/>
      <c r="CZ35" s="5313"/>
      <c r="DA35" s="5330"/>
      <c r="DI35" s="5325"/>
      <c r="DJ35" s="5326"/>
      <c r="DK35" s="5326"/>
      <c r="DL35" s="5310"/>
      <c r="DM35" s="5331"/>
      <c r="DN35" s="5327"/>
      <c r="DO35" s="5328"/>
      <c r="DP35" s="5313"/>
      <c r="DQ35" s="5330"/>
      <c r="DY35" s="5325"/>
      <c r="DZ35" s="5326"/>
      <c r="EA35" s="5326"/>
      <c r="EB35" s="5310"/>
      <c r="EC35" s="5331"/>
      <c r="ED35" s="5327"/>
      <c r="EE35" s="5328"/>
      <c r="EF35" s="5313"/>
      <c r="EG35" s="5330"/>
      <c r="EO35" s="5325"/>
      <c r="EP35" s="5326"/>
      <c r="EQ35" s="5326"/>
      <c r="ER35" s="5310"/>
      <c r="ES35" s="5331"/>
      <c r="ET35" s="5327"/>
      <c r="EU35" s="5328"/>
      <c r="EV35" s="5313"/>
      <c r="EW35" s="5330"/>
      <c r="FE35" s="5325"/>
      <c r="FF35" s="5326"/>
      <c r="FG35" s="5326"/>
      <c r="FH35" s="5310"/>
      <c r="FI35" s="5331"/>
      <c r="FJ35" s="5327"/>
      <c r="FK35" s="5328"/>
      <c r="FL35" s="5313"/>
      <c r="FM35" s="5330"/>
      <c r="FU35" s="5325"/>
      <c r="FV35" s="5326"/>
      <c r="FW35" s="5326"/>
      <c r="FX35" s="5310"/>
      <c r="FY35" s="5331"/>
      <c r="FZ35" s="5327"/>
      <c r="GA35" s="5328"/>
      <c r="GB35" s="5313"/>
      <c r="GC35" s="5330"/>
      <c r="GK35" s="5325"/>
      <c r="GL35" s="5326"/>
      <c r="GM35" s="5326"/>
      <c r="GN35" s="5310"/>
      <c r="GO35" s="5331"/>
      <c r="GP35" s="5327"/>
      <c r="GQ35" s="5328"/>
      <c r="GR35" s="5313"/>
      <c r="GS35" s="5330"/>
      <c r="HA35" s="5325"/>
      <c r="HB35" s="5326"/>
      <c r="HC35" s="5326"/>
      <c r="HD35" s="5310"/>
      <c r="HE35" s="5331"/>
      <c r="HF35" s="5327"/>
      <c r="HG35" s="5328"/>
      <c r="HH35" s="5313"/>
      <c r="HI35" s="5330"/>
      <c r="HQ35" s="5325"/>
      <c r="HR35" s="5326"/>
      <c r="HS35" s="5326"/>
      <c r="HT35" s="5310"/>
      <c r="HU35" s="5331"/>
      <c r="HV35" s="5327"/>
      <c r="HW35" s="5328"/>
      <c r="HX35" s="5313"/>
      <c r="HY35" s="5330"/>
      <c r="IG35" s="5325"/>
      <c r="IH35" s="5326"/>
      <c r="II35" s="5326"/>
      <c r="IJ35" s="5310"/>
      <c r="IK35" s="5331"/>
      <c r="IL35" s="5327"/>
      <c r="IM35" s="5328"/>
      <c r="IN35" s="5313"/>
      <c r="IO35" s="5330"/>
    </row>
    <row r="36" spans="1:250" s="5300" customFormat="1" ht="27" customHeight="1">
      <c r="A36" s="5332" t="s">
        <v>1342</v>
      </c>
      <c r="B36" s="5318"/>
      <c r="C36" s="5319" t="s">
        <v>1338</v>
      </c>
      <c r="D36" s="5296" t="s">
        <v>1343</v>
      </c>
      <c r="E36" s="5320" t="s">
        <v>205</v>
      </c>
      <c r="F36" s="5333">
        <v>1</v>
      </c>
      <c r="G36" s="5334" t="s">
        <v>3512</v>
      </c>
      <c r="H36" s="5335"/>
      <c r="I36" s="5283" t="s">
        <v>112</v>
      </c>
      <c r="J36" s="5323"/>
      <c r="K36" s="5301"/>
      <c r="L36" s="5307"/>
      <c r="M36" s="5301"/>
      <c r="N36" s="5301"/>
      <c r="O36" s="5301"/>
      <c r="R36" s="5301"/>
      <c r="S36" s="5324"/>
      <c r="T36" s="5326"/>
      <c r="U36" s="5301"/>
      <c r="V36" s="2261"/>
      <c r="W36" s="5327"/>
      <c r="X36" s="5328"/>
      <c r="Y36" s="5313"/>
      <c r="Z36" s="5301"/>
      <c r="AG36" s="5325"/>
      <c r="AH36" s="5326"/>
      <c r="AI36" s="5326"/>
      <c r="AJ36" s="5310"/>
      <c r="AK36" s="5331"/>
      <c r="AL36" s="5327"/>
      <c r="AM36" s="5328"/>
      <c r="AN36" s="5313"/>
      <c r="AO36" s="5330"/>
      <c r="AW36" s="5325"/>
      <c r="AX36" s="5326"/>
      <c r="AY36" s="5326"/>
      <c r="AZ36" s="5310"/>
      <c r="BA36" s="5331"/>
      <c r="BB36" s="5327"/>
      <c r="BC36" s="5328"/>
      <c r="BD36" s="5313"/>
      <c r="BE36" s="5330"/>
      <c r="BM36" s="5325"/>
      <c r="BN36" s="5326"/>
      <c r="BO36" s="5326"/>
      <c r="BP36" s="5310"/>
      <c r="BQ36" s="5331"/>
      <c r="BR36" s="5327"/>
      <c r="BS36" s="5328"/>
      <c r="BT36" s="5313"/>
      <c r="BU36" s="5330"/>
      <c r="CC36" s="5325"/>
      <c r="CD36" s="5326"/>
      <c r="CE36" s="5326"/>
      <c r="CF36" s="5310"/>
      <c r="CG36" s="5331"/>
      <c r="CH36" s="5327"/>
      <c r="CI36" s="5328"/>
      <c r="CJ36" s="5313"/>
      <c r="CK36" s="5330"/>
      <c r="CS36" s="5325"/>
      <c r="CT36" s="5326"/>
      <c r="CU36" s="5326"/>
      <c r="CV36" s="5310"/>
      <c r="CW36" s="5331"/>
      <c r="CX36" s="5327"/>
      <c r="CY36" s="5328"/>
      <c r="CZ36" s="5313"/>
      <c r="DA36" s="5330"/>
      <c r="DI36" s="5325"/>
      <c r="DJ36" s="5326"/>
      <c r="DK36" s="5326"/>
      <c r="DL36" s="5310"/>
      <c r="DM36" s="5331"/>
      <c r="DN36" s="5327"/>
      <c r="DO36" s="5328"/>
      <c r="DP36" s="5313"/>
      <c r="DQ36" s="5330"/>
      <c r="DY36" s="5325"/>
      <c r="DZ36" s="5326"/>
      <c r="EA36" s="5326"/>
      <c r="EB36" s="5310"/>
      <c r="EC36" s="5331"/>
      <c r="ED36" s="5327"/>
      <c r="EE36" s="5328"/>
      <c r="EF36" s="5313"/>
      <c r="EG36" s="5330"/>
      <c r="EO36" s="5325"/>
      <c r="EP36" s="5326"/>
      <c r="EQ36" s="5326"/>
      <c r="ER36" s="5310"/>
      <c r="ES36" s="5331"/>
      <c r="ET36" s="5327"/>
      <c r="EU36" s="5328"/>
      <c r="EV36" s="5313"/>
      <c r="EW36" s="5330"/>
      <c r="FE36" s="5325"/>
      <c r="FF36" s="5326"/>
      <c r="FG36" s="5326"/>
      <c r="FH36" s="5310"/>
      <c r="FI36" s="5331"/>
      <c r="FJ36" s="5327"/>
      <c r="FK36" s="5328"/>
      <c r="FL36" s="5313"/>
      <c r="FM36" s="5330"/>
      <c r="FU36" s="5325"/>
      <c r="FV36" s="5326"/>
      <c r="FW36" s="5326"/>
      <c r="FX36" s="5310"/>
      <c r="FY36" s="5331"/>
      <c r="FZ36" s="5327"/>
      <c r="GA36" s="5328"/>
      <c r="GB36" s="5313"/>
      <c r="GC36" s="5330"/>
      <c r="GK36" s="5325"/>
      <c r="GL36" s="5326"/>
      <c r="GM36" s="5326"/>
      <c r="GN36" s="5310"/>
      <c r="GO36" s="5331"/>
      <c r="GP36" s="5327"/>
      <c r="GQ36" s="5328"/>
      <c r="GR36" s="5313"/>
      <c r="GS36" s="5330"/>
      <c r="HA36" s="5325"/>
      <c r="HB36" s="5326"/>
      <c r="HC36" s="5326"/>
      <c r="HD36" s="5310"/>
      <c r="HE36" s="5331"/>
      <c r="HF36" s="5327"/>
      <c r="HG36" s="5328"/>
      <c r="HH36" s="5313"/>
      <c r="HI36" s="5330"/>
      <c r="HQ36" s="5325"/>
      <c r="HR36" s="5326"/>
      <c r="HS36" s="5326"/>
      <c r="HT36" s="5310"/>
      <c r="HU36" s="5331"/>
      <c r="HV36" s="5327"/>
      <c r="HW36" s="5328"/>
      <c r="HX36" s="5313"/>
      <c r="HY36" s="5330"/>
      <c r="IG36" s="5325"/>
      <c r="IH36" s="5326"/>
      <c r="II36" s="5326"/>
      <c r="IJ36" s="5310"/>
      <c r="IK36" s="5331"/>
      <c r="IL36" s="5327"/>
      <c r="IM36" s="5328"/>
      <c r="IN36" s="5313"/>
      <c r="IO36" s="5330"/>
    </row>
    <row r="37" spans="1:250" s="5300" customFormat="1" ht="27" customHeight="1">
      <c r="A37" s="5317" t="s">
        <v>4150</v>
      </c>
      <c r="B37" s="5316"/>
      <c r="C37" s="5336" t="s">
        <v>6866</v>
      </c>
      <c r="D37" s="5316" t="s">
        <v>6867</v>
      </c>
      <c r="E37" s="5337" t="s">
        <v>205</v>
      </c>
      <c r="F37" s="5321">
        <v>8</v>
      </c>
      <c r="G37" s="5286"/>
      <c r="H37" s="5338">
        <f t="shared" ref="H37:H38" si="1">ROUND(F37*G37,2)</f>
        <v>0</v>
      </c>
      <c r="I37" s="4697" t="s">
        <v>112</v>
      </c>
      <c r="J37" s="5323"/>
      <c r="K37" s="5301"/>
      <c r="L37" s="5307"/>
      <c r="M37" s="5301"/>
      <c r="N37" s="5301"/>
      <c r="O37" s="5301"/>
      <c r="R37" s="5301"/>
      <c r="S37" s="5324"/>
      <c r="T37" s="5326"/>
      <c r="U37" s="5301"/>
      <c r="V37" s="2261"/>
      <c r="W37" s="5327"/>
      <c r="X37" s="5328"/>
      <c r="Y37" s="5313"/>
      <c r="Z37" s="5301"/>
      <c r="AG37" s="5325"/>
      <c r="AH37" s="5326"/>
      <c r="AI37" s="5326"/>
      <c r="AJ37" s="5310"/>
      <c r="AK37" s="5331"/>
      <c r="AL37" s="5327"/>
      <c r="AM37" s="5328"/>
      <c r="AN37" s="5313"/>
      <c r="AO37" s="5330"/>
      <c r="AW37" s="5325"/>
      <c r="AX37" s="5326"/>
      <c r="AY37" s="5326"/>
      <c r="AZ37" s="5310"/>
      <c r="BA37" s="5331"/>
      <c r="BB37" s="5327"/>
      <c r="BC37" s="5328"/>
      <c r="BD37" s="5313"/>
      <c r="BE37" s="5330"/>
      <c r="BM37" s="5325"/>
      <c r="BN37" s="5326"/>
      <c r="BO37" s="5326"/>
      <c r="BP37" s="5310"/>
      <c r="BQ37" s="5331"/>
      <c r="BR37" s="5327"/>
      <c r="BS37" s="5328"/>
      <c r="BT37" s="5313"/>
      <c r="BU37" s="5330"/>
      <c r="CC37" s="5325"/>
      <c r="CD37" s="5326"/>
      <c r="CE37" s="5326"/>
      <c r="CF37" s="5310"/>
      <c r="CG37" s="5331"/>
      <c r="CH37" s="5327"/>
      <c r="CI37" s="5328"/>
      <c r="CJ37" s="5313"/>
      <c r="CK37" s="5330"/>
      <c r="CS37" s="5325"/>
      <c r="CT37" s="5326"/>
      <c r="CU37" s="5326"/>
      <c r="CV37" s="5310"/>
      <c r="CW37" s="5331"/>
      <c r="CX37" s="5327"/>
      <c r="CY37" s="5328"/>
      <c r="CZ37" s="5313"/>
      <c r="DA37" s="5330"/>
      <c r="DI37" s="5325"/>
      <c r="DJ37" s="5326"/>
      <c r="DK37" s="5326"/>
      <c r="DL37" s="5310"/>
      <c r="DM37" s="5331"/>
      <c r="DN37" s="5327"/>
      <c r="DO37" s="5328"/>
      <c r="DP37" s="5313"/>
      <c r="DQ37" s="5330"/>
      <c r="DY37" s="5325"/>
      <c r="DZ37" s="5326"/>
      <c r="EA37" s="5326"/>
      <c r="EB37" s="5310"/>
      <c r="EC37" s="5331"/>
      <c r="ED37" s="5327"/>
      <c r="EE37" s="5328"/>
      <c r="EF37" s="5313"/>
      <c r="EG37" s="5330"/>
      <c r="EO37" s="5325"/>
      <c r="EP37" s="5326"/>
      <c r="EQ37" s="5326"/>
      <c r="ER37" s="5310"/>
      <c r="ES37" s="5331"/>
      <c r="ET37" s="5327"/>
      <c r="EU37" s="5328"/>
      <c r="EV37" s="5313"/>
      <c r="EW37" s="5330"/>
      <c r="FE37" s="5325"/>
      <c r="FF37" s="5326"/>
      <c r="FG37" s="5326"/>
      <c r="FH37" s="5310"/>
      <c r="FI37" s="5331"/>
      <c r="FJ37" s="5327"/>
      <c r="FK37" s="5328"/>
      <c r="FL37" s="5313"/>
      <c r="FM37" s="5330"/>
      <c r="FU37" s="5325"/>
      <c r="FV37" s="5326"/>
      <c r="FW37" s="5326"/>
      <c r="FX37" s="5310"/>
      <c r="FY37" s="5331"/>
      <c r="FZ37" s="5327"/>
      <c r="GA37" s="5328"/>
      <c r="GB37" s="5313"/>
      <c r="GC37" s="5330"/>
      <c r="GK37" s="5325"/>
      <c r="GL37" s="5326"/>
      <c r="GM37" s="5326"/>
      <c r="GN37" s="5310"/>
      <c r="GO37" s="5331"/>
      <c r="GP37" s="5327"/>
      <c r="GQ37" s="5328"/>
      <c r="GR37" s="5313"/>
      <c r="GS37" s="5330"/>
      <c r="HA37" s="5325"/>
      <c r="HB37" s="5326"/>
      <c r="HC37" s="5326"/>
      <c r="HD37" s="5310"/>
      <c r="HE37" s="5331"/>
      <c r="HF37" s="5327"/>
      <c r="HG37" s="5328"/>
      <c r="HH37" s="5313"/>
      <c r="HI37" s="5330"/>
      <c r="HQ37" s="5325"/>
      <c r="HR37" s="5326"/>
      <c r="HS37" s="5326"/>
      <c r="HT37" s="5310"/>
      <c r="HU37" s="5331"/>
      <c r="HV37" s="5327"/>
      <c r="HW37" s="5328"/>
      <c r="HX37" s="5313"/>
      <c r="HY37" s="5330"/>
      <c r="IG37" s="5325"/>
      <c r="IH37" s="5326"/>
      <c r="II37" s="5326"/>
      <c r="IJ37" s="5310"/>
      <c r="IK37" s="5331"/>
      <c r="IL37" s="5327"/>
      <c r="IM37" s="5328"/>
      <c r="IN37" s="5313"/>
      <c r="IO37" s="5330"/>
    </row>
    <row r="38" spans="1:250" s="5300" customFormat="1" ht="27" customHeight="1">
      <c r="A38" s="5317" t="s">
        <v>6868</v>
      </c>
      <c r="B38" s="5316"/>
      <c r="C38" s="5336" t="s">
        <v>6869</v>
      </c>
      <c r="D38" s="5316" t="s">
        <v>6870</v>
      </c>
      <c r="E38" s="5337" t="s">
        <v>205</v>
      </c>
      <c r="F38" s="5321">
        <v>7</v>
      </c>
      <c r="G38" s="5286"/>
      <c r="H38" s="5338">
        <f t="shared" si="1"/>
        <v>0</v>
      </c>
      <c r="I38" s="4697" t="s">
        <v>112</v>
      </c>
      <c r="J38" s="5323"/>
      <c r="K38" s="5301"/>
      <c r="L38" s="5307"/>
      <c r="M38" s="5301"/>
      <c r="N38" s="5301"/>
      <c r="O38" s="5301"/>
      <c r="R38" s="5301"/>
      <c r="S38" s="5324"/>
      <c r="T38" s="5326"/>
      <c r="U38" s="5301"/>
      <c r="V38" s="2261"/>
      <c r="W38" s="5327"/>
      <c r="X38" s="5328"/>
      <c r="Y38" s="5313"/>
      <c r="Z38" s="5301"/>
      <c r="AG38" s="5325"/>
      <c r="AH38" s="5326"/>
      <c r="AI38" s="5326"/>
      <c r="AJ38" s="5310"/>
      <c r="AK38" s="5331"/>
      <c r="AL38" s="5327"/>
      <c r="AM38" s="5328"/>
      <c r="AN38" s="5313"/>
      <c r="AO38" s="5330"/>
      <c r="AW38" s="5325"/>
      <c r="AX38" s="5326"/>
      <c r="AY38" s="5326"/>
      <c r="AZ38" s="5310"/>
      <c r="BA38" s="5331"/>
      <c r="BB38" s="5327"/>
      <c r="BC38" s="5328"/>
      <c r="BD38" s="5313"/>
      <c r="BE38" s="5330"/>
      <c r="BM38" s="5325"/>
      <c r="BN38" s="5326"/>
      <c r="BO38" s="5326"/>
      <c r="BP38" s="5310"/>
      <c r="BQ38" s="5331"/>
      <c r="BR38" s="5327"/>
      <c r="BS38" s="5328"/>
      <c r="BT38" s="5313"/>
      <c r="BU38" s="5330"/>
      <c r="CC38" s="5325"/>
      <c r="CD38" s="5326"/>
      <c r="CE38" s="5326"/>
      <c r="CF38" s="5310"/>
      <c r="CG38" s="5331"/>
      <c r="CH38" s="5327"/>
      <c r="CI38" s="5328"/>
      <c r="CJ38" s="5313"/>
      <c r="CK38" s="5330"/>
      <c r="CS38" s="5325"/>
      <c r="CT38" s="5326"/>
      <c r="CU38" s="5326"/>
      <c r="CV38" s="5310"/>
      <c r="CW38" s="5331"/>
      <c r="CX38" s="5327"/>
      <c r="CY38" s="5328"/>
      <c r="CZ38" s="5313"/>
      <c r="DA38" s="5330"/>
      <c r="DI38" s="5325"/>
      <c r="DJ38" s="5326"/>
      <c r="DK38" s="5326"/>
      <c r="DL38" s="5310"/>
      <c r="DM38" s="5331"/>
      <c r="DN38" s="5327"/>
      <c r="DO38" s="5328"/>
      <c r="DP38" s="5313"/>
      <c r="DQ38" s="5330"/>
      <c r="DY38" s="5325"/>
      <c r="DZ38" s="5326"/>
      <c r="EA38" s="5326"/>
      <c r="EB38" s="5310"/>
      <c r="EC38" s="5331"/>
      <c r="ED38" s="5327"/>
      <c r="EE38" s="5328"/>
      <c r="EF38" s="5313"/>
      <c r="EG38" s="5330"/>
      <c r="EO38" s="5325"/>
      <c r="EP38" s="5326"/>
      <c r="EQ38" s="5326"/>
      <c r="ER38" s="5310"/>
      <c r="ES38" s="5331"/>
      <c r="ET38" s="5327"/>
      <c r="EU38" s="5328"/>
      <c r="EV38" s="5313"/>
      <c r="EW38" s="5330"/>
      <c r="FE38" s="5325"/>
      <c r="FF38" s="5326"/>
      <c r="FG38" s="5326"/>
      <c r="FH38" s="5310"/>
      <c r="FI38" s="5331"/>
      <c r="FJ38" s="5327"/>
      <c r="FK38" s="5328"/>
      <c r="FL38" s="5313"/>
      <c r="FM38" s="5330"/>
      <c r="FU38" s="5325"/>
      <c r="FV38" s="5326"/>
      <c r="FW38" s="5326"/>
      <c r="FX38" s="5310"/>
      <c r="FY38" s="5331"/>
      <c r="FZ38" s="5327"/>
      <c r="GA38" s="5328"/>
      <c r="GB38" s="5313"/>
      <c r="GC38" s="5330"/>
      <c r="GK38" s="5325"/>
      <c r="GL38" s="5326"/>
      <c r="GM38" s="5326"/>
      <c r="GN38" s="5310"/>
      <c r="GO38" s="5331"/>
      <c r="GP38" s="5327"/>
      <c r="GQ38" s="5328"/>
      <c r="GR38" s="5313"/>
      <c r="GS38" s="5330"/>
      <c r="HA38" s="5325"/>
      <c r="HB38" s="5326"/>
      <c r="HC38" s="5326"/>
      <c r="HD38" s="5310"/>
      <c r="HE38" s="5331"/>
      <c r="HF38" s="5327"/>
      <c r="HG38" s="5328"/>
      <c r="HH38" s="5313"/>
      <c r="HI38" s="5330"/>
      <c r="HQ38" s="5325"/>
      <c r="HR38" s="5326"/>
      <c r="HS38" s="5326"/>
      <c r="HT38" s="5310"/>
      <c r="HU38" s="5331"/>
      <c r="HV38" s="5327"/>
      <c r="HW38" s="5328"/>
      <c r="HX38" s="5313"/>
      <c r="HY38" s="5330"/>
      <c r="IG38" s="5325"/>
      <c r="IH38" s="5326"/>
      <c r="II38" s="5326"/>
      <c r="IJ38" s="5310"/>
      <c r="IK38" s="5331"/>
      <c r="IL38" s="5327"/>
      <c r="IM38" s="5328"/>
      <c r="IN38" s="5313"/>
      <c r="IO38" s="5330"/>
    </row>
    <row r="39" spans="1:250" s="5300" customFormat="1" ht="27" customHeight="1">
      <c r="A39" s="5317" t="s">
        <v>1344</v>
      </c>
      <c r="B39" s="5318"/>
      <c r="C39" s="5319" t="s">
        <v>1345</v>
      </c>
      <c r="D39" s="5296" t="s">
        <v>6871</v>
      </c>
      <c r="E39" s="5320" t="s">
        <v>205</v>
      </c>
      <c r="F39" s="5321">
        <v>2</v>
      </c>
      <c r="G39" s="5282"/>
      <c r="H39" s="5322">
        <f t="shared" si="0"/>
        <v>0</v>
      </c>
      <c r="I39" s="5283" t="s">
        <v>112</v>
      </c>
      <c r="J39" s="5323"/>
      <c r="L39" s="5307"/>
      <c r="M39" s="2261"/>
      <c r="N39" s="5301"/>
      <c r="O39" s="5301"/>
      <c r="P39" s="5301"/>
      <c r="Q39" s="5302"/>
      <c r="R39" s="5303"/>
      <c r="S39" s="5324"/>
      <c r="T39" s="5310"/>
      <c r="U39" s="5324"/>
      <c r="V39" s="5327"/>
      <c r="W39" s="5328"/>
      <c r="Y39" s="5313"/>
      <c r="Z39" s="5301"/>
      <c r="AG39" s="5325"/>
      <c r="AH39" s="5326"/>
      <c r="AI39" s="5326"/>
      <c r="AJ39" s="5310"/>
      <c r="AK39" s="5331"/>
      <c r="AL39" s="5327"/>
      <c r="AM39" s="5328"/>
      <c r="AN39" s="5313"/>
      <c r="AO39" s="5330"/>
      <c r="AW39" s="5325"/>
      <c r="AX39" s="5326"/>
      <c r="AY39" s="5326"/>
      <c r="AZ39" s="5310"/>
      <c r="BA39" s="5331"/>
      <c r="BB39" s="5327"/>
      <c r="BC39" s="5328"/>
      <c r="BD39" s="5313"/>
      <c r="BE39" s="5330"/>
      <c r="BM39" s="5325"/>
      <c r="BN39" s="5326"/>
      <c r="BO39" s="5326"/>
      <c r="BP39" s="5310"/>
      <c r="BQ39" s="5331"/>
      <c r="BR39" s="5327"/>
      <c r="BS39" s="5328"/>
      <c r="BT39" s="5313"/>
      <c r="BU39" s="5330"/>
      <c r="CC39" s="5325"/>
      <c r="CD39" s="5326"/>
      <c r="CE39" s="5326"/>
      <c r="CF39" s="5310"/>
      <c r="CG39" s="5331"/>
      <c r="CH39" s="5327"/>
      <c r="CI39" s="5328"/>
      <c r="CJ39" s="5313"/>
      <c r="CK39" s="5330"/>
      <c r="CS39" s="5325"/>
      <c r="CT39" s="5326"/>
      <c r="CU39" s="5326"/>
      <c r="CV39" s="5310"/>
      <c r="CW39" s="5331"/>
      <c r="CX39" s="5327"/>
      <c r="CY39" s="5328"/>
      <c r="CZ39" s="5313"/>
      <c r="DA39" s="5330"/>
      <c r="DI39" s="5325"/>
      <c r="DJ39" s="5326"/>
      <c r="DK39" s="5326"/>
      <c r="DL39" s="5310"/>
      <c r="DM39" s="5331"/>
      <c r="DN39" s="5327"/>
      <c r="DO39" s="5328"/>
      <c r="DP39" s="5313"/>
      <c r="DQ39" s="5330"/>
      <c r="DY39" s="5325"/>
      <c r="DZ39" s="5326"/>
      <c r="EA39" s="5326"/>
      <c r="EB39" s="5310"/>
      <c r="EC39" s="5331"/>
      <c r="ED39" s="5327"/>
      <c r="EE39" s="5328"/>
      <c r="EF39" s="5313"/>
      <c r="EG39" s="5330"/>
      <c r="EO39" s="5325"/>
      <c r="EP39" s="5326"/>
      <c r="EQ39" s="5326"/>
      <c r="ER39" s="5310"/>
      <c r="ES39" s="5331"/>
      <c r="ET39" s="5327"/>
      <c r="EU39" s="5328"/>
      <c r="EV39" s="5313"/>
      <c r="EW39" s="5330"/>
      <c r="FE39" s="5325"/>
      <c r="FF39" s="5326"/>
      <c r="FG39" s="5326"/>
      <c r="FH39" s="5310"/>
      <c r="FI39" s="5331"/>
      <c r="FJ39" s="5327"/>
      <c r="FK39" s="5328"/>
      <c r="FL39" s="5313"/>
      <c r="FM39" s="5330"/>
      <c r="FU39" s="5325"/>
      <c r="FV39" s="5326"/>
      <c r="FW39" s="5326"/>
      <c r="FX39" s="5310"/>
      <c r="FY39" s="5331"/>
      <c r="FZ39" s="5327"/>
      <c r="GA39" s="5328"/>
      <c r="GB39" s="5313"/>
      <c r="GC39" s="5330"/>
      <c r="GK39" s="5325"/>
      <c r="GL39" s="5326"/>
      <c r="GM39" s="5326"/>
      <c r="GN39" s="5310"/>
      <c r="GO39" s="5331"/>
      <c r="GP39" s="5327"/>
      <c r="GQ39" s="5328"/>
      <c r="GR39" s="5313"/>
      <c r="GS39" s="5330"/>
      <c r="HA39" s="5325"/>
      <c r="HB39" s="5326"/>
      <c r="HC39" s="5326"/>
      <c r="HD39" s="5310"/>
      <c r="HE39" s="5331"/>
      <c r="HF39" s="5327"/>
      <c r="HG39" s="5328"/>
      <c r="HH39" s="5313"/>
      <c r="HI39" s="5330"/>
      <c r="HQ39" s="5325"/>
      <c r="HR39" s="5326"/>
      <c r="HS39" s="5326"/>
      <c r="HT39" s="5310"/>
      <c r="HU39" s="5331"/>
      <c r="HV39" s="5327"/>
      <c r="HW39" s="5328"/>
      <c r="HX39" s="5313"/>
      <c r="HY39" s="5330"/>
      <c r="IG39" s="5325"/>
      <c r="IH39" s="5326"/>
      <c r="II39" s="5326"/>
      <c r="IJ39" s="5310"/>
      <c r="IK39" s="5331"/>
      <c r="IL39" s="5327"/>
      <c r="IM39" s="5328"/>
      <c r="IN39" s="5313"/>
      <c r="IO39" s="5330"/>
    </row>
    <row r="40" spans="1:250" s="5300" customFormat="1" ht="27" customHeight="1">
      <c r="A40" s="5317" t="s">
        <v>1346</v>
      </c>
      <c r="B40" s="5318"/>
      <c r="C40" s="5319" t="s">
        <v>1347</v>
      </c>
      <c r="D40" s="5296" t="s">
        <v>1348</v>
      </c>
      <c r="E40" s="5320" t="s">
        <v>205</v>
      </c>
      <c r="F40" s="5321">
        <v>2</v>
      </c>
      <c r="G40" s="5282"/>
      <c r="H40" s="5322">
        <f t="shared" si="0"/>
        <v>0</v>
      </c>
      <c r="I40" s="5283" t="s">
        <v>112</v>
      </c>
      <c r="J40" s="5323"/>
      <c r="L40" s="5307"/>
      <c r="M40" s="2261"/>
      <c r="N40" s="5301"/>
      <c r="O40" s="5301"/>
      <c r="P40" s="5301"/>
      <c r="Q40" s="5302"/>
      <c r="R40" s="5303"/>
      <c r="S40" s="5324"/>
      <c r="T40" s="5310"/>
      <c r="U40" s="5324"/>
      <c r="V40" s="5327"/>
      <c r="W40" s="5328"/>
      <c r="Y40" s="5313"/>
      <c r="Z40" s="5301"/>
      <c r="AG40" s="5325"/>
      <c r="AH40" s="5326"/>
      <c r="AI40" s="5326"/>
      <c r="AJ40" s="5310"/>
      <c r="AK40" s="5331"/>
      <c r="AL40" s="5327"/>
      <c r="AM40" s="5328"/>
      <c r="AN40" s="5313"/>
      <c r="AO40" s="5330"/>
      <c r="AW40" s="5325"/>
      <c r="AX40" s="5326"/>
      <c r="AY40" s="5326"/>
      <c r="AZ40" s="5310"/>
      <c r="BA40" s="5331"/>
      <c r="BB40" s="5327"/>
      <c r="BC40" s="5328"/>
      <c r="BD40" s="5313"/>
      <c r="BE40" s="5330"/>
      <c r="BM40" s="5325"/>
      <c r="BN40" s="5326"/>
      <c r="BO40" s="5326"/>
      <c r="BP40" s="5310"/>
      <c r="BQ40" s="5331"/>
      <c r="BR40" s="5327"/>
      <c r="BS40" s="5328"/>
      <c r="BT40" s="5313"/>
      <c r="BU40" s="5330"/>
      <c r="CC40" s="5325"/>
      <c r="CD40" s="5326"/>
      <c r="CE40" s="5326"/>
      <c r="CF40" s="5310"/>
      <c r="CG40" s="5331"/>
      <c r="CH40" s="5327"/>
      <c r="CI40" s="5328"/>
      <c r="CJ40" s="5313"/>
      <c r="CK40" s="5330"/>
      <c r="CS40" s="5325"/>
      <c r="CT40" s="5326"/>
      <c r="CU40" s="5326"/>
      <c r="CV40" s="5310"/>
      <c r="CW40" s="5331"/>
      <c r="CX40" s="5327"/>
      <c r="CY40" s="5328"/>
      <c r="CZ40" s="5313"/>
      <c r="DA40" s="5330"/>
      <c r="DI40" s="5325"/>
      <c r="DJ40" s="5326"/>
      <c r="DK40" s="5326"/>
      <c r="DL40" s="5310"/>
      <c r="DM40" s="5331"/>
      <c r="DN40" s="5327"/>
      <c r="DO40" s="5328"/>
      <c r="DP40" s="5313"/>
      <c r="DQ40" s="5330"/>
      <c r="DY40" s="5325"/>
      <c r="DZ40" s="5326"/>
      <c r="EA40" s="5326"/>
      <c r="EB40" s="5310"/>
      <c r="EC40" s="5331"/>
      <c r="ED40" s="5327"/>
      <c r="EE40" s="5328"/>
      <c r="EF40" s="5313"/>
      <c r="EG40" s="5330"/>
      <c r="EO40" s="5325"/>
      <c r="EP40" s="5326"/>
      <c r="EQ40" s="5326"/>
      <c r="ER40" s="5310"/>
      <c r="ES40" s="5331"/>
      <c r="ET40" s="5327"/>
      <c r="EU40" s="5328"/>
      <c r="EV40" s="5313"/>
      <c r="EW40" s="5330"/>
      <c r="FE40" s="5325"/>
      <c r="FF40" s="5326"/>
      <c r="FG40" s="5326"/>
      <c r="FH40" s="5310"/>
      <c r="FI40" s="5331"/>
      <c r="FJ40" s="5327"/>
      <c r="FK40" s="5328"/>
      <c r="FL40" s="5313"/>
      <c r="FM40" s="5330"/>
      <c r="FU40" s="5325"/>
      <c r="FV40" s="5326"/>
      <c r="FW40" s="5326"/>
      <c r="FX40" s="5310"/>
      <c r="FY40" s="5331"/>
      <c r="FZ40" s="5327"/>
      <c r="GA40" s="5328"/>
      <c r="GB40" s="5313"/>
      <c r="GC40" s="5330"/>
      <c r="GK40" s="5325"/>
      <c r="GL40" s="5326"/>
      <c r="GM40" s="5326"/>
      <c r="GN40" s="5310"/>
      <c r="GO40" s="5331"/>
      <c r="GP40" s="5327"/>
      <c r="GQ40" s="5328"/>
      <c r="GR40" s="5313"/>
      <c r="GS40" s="5330"/>
      <c r="HA40" s="5325"/>
      <c r="HB40" s="5326"/>
      <c r="HC40" s="5326"/>
      <c r="HD40" s="5310"/>
      <c r="HE40" s="5331"/>
      <c r="HF40" s="5327"/>
      <c r="HG40" s="5328"/>
      <c r="HH40" s="5313"/>
      <c r="HI40" s="5330"/>
      <c r="HQ40" s="5325"/>
      <c r="HR40" s="5326"/>
      <c r="HS40" s="5326"/>
      <c r="HT40" s="5310"/>
      <c r="HU40" s="5331"/>
      <c r="HV40" s="5327"/>
      <c r="HW40" s="5328"/>
      <c r="HX40" s="5313"/>
      <c r="HY40" s="5330"/>
      <c r="IG40" s="5325"/>
      <c r="IH40" s="5326"/>
      <c r="II40" s="5326"/>
      <c r="IJ40" s="5310"/>
      <c r="IK40" s="5331"/>
      <c r="IL40" s="5327"/>
      <c r="IM40" s="5328"/>
      <c r="IN40" s="5313"/>
      <c r="IO40" s="5330"/>
    </row>
    <row r="41" spans="1:250" s="5300" customFormat="1" ht="27" customHeight="1">
      <c r="A41" s="5317" t="s">
        <v>1349</v>
      </c>
      <c r="B41" s="5318"/>
      <c r="C41" s="5319" t="s">
        <v>1350</v>
      </c>
      <c r="D41" s="5296" t="s">
        <v>6872</v>
      </c>
      <c r="E41" s="5320" t="s">
        <v>205</v>
      </c>
      <c r="F41" s="5321">
        <v>2</v>
      </c>
      <c r="G41" s="5282"/>
      <c r="H41" s="5322">
        <f t="shared" si="0"/>
        <v>0</v>
      </c>
      <c r="I41" s="5283" t="s">
        <v>112</v>
      </c>
      <c r="J41" s="5323"/>
      <c r="L41" s="5307"/>
      <c r="M41" s="2261"/>
      <c r="N41" s="5301"/>
      <c r="O41" s="5301"/>
      <c r="P41" s="5301"/>
      <c r="Q41" s="5324"/>
      <c r="R41" s="5303"/>
      <c r="S41" s="5324"/>
      <c r="T41" s="5310"/>
      <c r="U41" s="5324"/>
      <c r="V41" s="5327"/>
      <c r="W41" s="5328"/>
      <c r="Y41" s="5313"/>
      <c r="Z41" s="5301"/>
      <c r="AG41" s="5325"/>
      <c r="AH41" s="5326"/>
      <c r="AI41" s="5326"/>
      <c r="AJ41" s="5310"/>
      <c r="AK41" s="5331"/>
      <c r="AL41" s="5327"/>
      <c r="AM41" s="5328"/>
      <c r="AN41" s="5313"/>
      <c r="AO41" s="5330"/>
      <c r="AW41" s="5325"/>
      <c r="AX41" s="5326"/>
      <c r="AY41" s="5326"/>
      <c r="AZ41" s="5310"/>
      <c r="BA41" s="5331"/>
      <c r="BB41" s="5327"/>
      <c r="BC41" s="5328"/>
      <c r="BD41" s="5313"/>
      <c r="BE41" s="5330"/>
      <c r="BM41" s="5325"/>
      <c r="BN41" s="5326"/>
      <c r="BO41" s="5326"/>
      <c r="BP41" s="5310"/>
      <c r="BQ41" s="5331"/>
      <c r="BR41" s="5327"/>
      <c r="BS41" s="5328"/>
      <c r="BT41" s="5313"/>
      <c r="BU41" s="5330"/>
      <c r="CC41" s="5325"/>
      <c r="CD41" s="5326"/>
      <c r="CE41" s="5326"/>
      <c r="CF41" s="5310"/>
      <c r="CG41" s="5331"/>
      <c r="CH41" s="5327"/>
      <c r="CI41" s="5328"/>
      <c r="CJ41" s="5313"/>
      <c r="CK41" s="5330"/>
      <c r="CS41" s="5325"/>
      <c r="CT41" s="5326"/>
      <c r="CU41" s="5326"/>
      <c r="CV41" s="5310"/>
      <c r="CW41" s="5331"/>
      <c r="CX41" s="5327"/>
      <c r="CY41" s="5328"/>
      <c r="CZ41" s="5313"/>
      <c r="DA41" s="5330"/>
      <c r="DI41" s="5325"/>
      <c r="DJ41" s="5326"/>
      <c r="DK41" s="5326"/>
      <c r="DL41" s="5310"/>
      <c r="DM41" s="5331"/>
      <c r="DN41" s="5327"/>
      <c r="DO41" s="5328"/>
      <c r="DP41" s="5313"/>
      <c r="DQ41" s="5330"/>
      <c r="DY41" s="5325"/>
      <c r="DZ41" s="5326"/>
      <c r="EA41" s="5326"/>
      <c r="EB41" s="5310"/>
      <c r="EC41" s="5331"/>
      <c r="ED41" s="5327"/>
      <c r="EE41" s="5328"/>
      <c r="EF41" s="5313"/>
      <c r="EG41" s="5330"/>
      <c r="EO41" s="5325"/>
      <c r="EP41" s="5326"/>
      <c r="EQ41" s="5326"/>
      <c r="ER41" s="5310"/>
      <c r="ES41" s="5331"/>
      <c r="ET41" s="5327"/>
      <c r="EU41" s="5328"/>
      <c r="EV41" s="5313"/>
      <c r="EW41" s="5330"/>
      <c r="FE41" s="5325"/>
      <c r="FF41" s="5326"/>
      <c r="FG41" s="5326"/>
      <c r="FH41" s="5310"/>
      <c r="FI41" s="5331"/>
      <c r="FJ41" s="5327"/>
      <c r="FK41" s="5328"/>
      <c r="FL41" s="5313"/>
      <c r="FM41" s="5330"/>
      <c r="FU41" s="5325"/>
      <c r="FV41" s="5326"/>
      <c r="FW41" s="5326"/>
      <c r="FX41" s="5310"/>
      <c r="FY41" s="5331"/>
      <c r="FZ41" s="5327"/>
      <c r="GA41" s="5328"/>
      <c r="GB41" s="5313"/>
      <c r="GC41" s="5330"/>
      <c r="GK41" s="5325"/>
      <c r="GL41" s="5326"/>
      <c r="GM41" s="5326"/>
      <c r="GN41" s="5310"/>
      <c r="GO41" s="5331"/>
      <c r="GP41" s="5327"/>
      <c r="GQ41" s="5328"/>
      <c r="GR41" s="5313"/>
      <c r="GS41" s="5330"/>
      <c r="HA41" s="5325"/>
      <c r="HB41" s="5326"/>
      <c r="HC41" s="5326"/>
      <c r="HD41" s="5310"/>
      <c r="HE41" s="5331"/>
      <c r="HF41" s="5327"/>
      <c r="HG41" s="5328"/>
      <c r="HH41" s="5313"/>
      <c r="HI41" s="5330"/>
      <c r="HQ41" s="5325"/>
      <c r="HR41" s="5326"/>
      <c r="HS41" s="5326"/>
      <c r="HT41" s="5310"/>
      <c r="HU41" s="5331"/>
      <c r="HV41" s="5327"/>
      <c r="HW41" s="5328"/>
      <c r="HX41" s="5313"/>
      <c r="HY41" s="5330"/>
      <c r="IG41" s="5325"/>
      <c r="IH41" s="5326"/>
      <c r="II41" s="5326"/>
      <c r="IJ41" s="5310"/>
      <c r="IK41" s="5331"/>
      <c r="IL41" s="5327"/>
      <c r="IM41" s="5328"/>
      <c r="IN41" s="5313"/>
      <c r="IO41" s="5330"/>
    </row>
    <row r="42" spans="1:250" s="5300" customFormat="1" ht="27" customHeight="1">
      <c r="A42" s="5332" t="s">
        <v>1351</v>
      </c>
      <c r="B42" s="5318"/>
      <c r="C42" s="5319" t="s">
        <v>1352</v>
      </c>
      <c r="D42" s="5296" t="s">
        <v>1353</v>
      </c>
      <c r="E42" s="5320" t="s">
        <v>205</v>
      </c>
      <c r="F42" s="5333">
        <v>1</v>
      </c>
      <c r="G42" s="5282"/>
      <c r="H42" s="5322">
        <f t="shared" si="0"/>
        <v>0</v>
      </c>
      <c r="I42" s="5283" t="s">
        <v>112</v>
      </c>
      <c r="J42" s="5323"/>
      <c r="L42" s="5307"/>
      <c r="M42" s="2261"/>
      <c r="N42" s="5301"/>
      <c r="O42" s="5301"/>
      <c r="P42" s="5301"/>
      <c r="R42" s="5303"/>
      <c r="S42" s="5324"/>
      <c r="T42" s="5310"/>
      <c r="U42" s="5331"/>
      <c r="V42" s="5327"/>
      <c r="W42" s="5328"/>
      <c r="Y42" s="5313"/>
      <c r="Z42" s="5301"/>
      <c r="AG42" s="5325"/>
      <c r="AH42" s="5326"/>
      <c r="AI42" s="5326"/>
      <c r="AJ42" s="5310"/>
      <c r="AK42" s="5331"/>
      <c r="AL42" s="5327"/>
      <c r="AM42" s="5328"/>
      <c r="AN42" s="5313"/>
      <c r="AO42" s="5330"/>
      <c r="AW42" s="5325"/>
      <c r="AX42" s="5326"/>
      <c r="AY42" s="5326"/>
      <c r="AZ42" s="5310"/>
      <c r="BA42" s="5331"/>
      <c r="BB42" s="5327"/>
      <c r="BC42" s="5328"/>
      <c r="BD42" s="5313"/>
      <c r="BE42" s="5330"/>
      <c r="BM42" s="5325"/>
      <c r="BN42" s="5326"/>
      <c r="BO42" s="5326"/>
      <c r="BP42" s="5310"/>
      <c r="BQ42" s="5331"/>
      <c r="BR42" s="5327"/>
      <c r="BS42" s="5328"/>
      <c r="BT42" s="5313"/>
      <c r="BU42" s="5330"/>
      <c r="CC42" s="5325"/>
      <c r="CD42" s="5326"/>
      <c r="CE42" s="5326"/>
      <c r="CF42" s="5310"/>
      <c r="CG42" s="5331"/>
      <c r="CH42" s="5327"/>
      <c r="CI42" s="5328"/>
      <c r="CJ42" s="5313"/>
      <c r="CK42" s="5330"/>
      <c r="CS42" s="5325"/>
      <c r="CT42" s="5326"/>
      <c r="CU42" s="5326"/>
      <c r="CV42" s="5310"/>
      <c r="CW42" s="5331"/>
      <c r="CX42" s="5327"/>
      <c r="CY42" s="5328"/>
      <c r="CZ42" s="5313"/>
      <c r="DA42" s="5330"/>
      <c r="DI42" s="5325"/>
      <c r="DJ42" s="5326"/>
      <c r="DK42" s="5326"/>
      <c r="DL42" s="5310"/>
      <c r="DM42" s="5331"/>
      <c r="DN42" s="5327"/>
      <c r="DO42" s="5328"/>
      <c r="DP42" s="5313"/>
      <c r="DQ42" s="5330"/>
      <c r="DY42" s="5325"/>
      <c r="DZ42" s="5326"/>
      <c r="EA42" s="5326"/>
      <c r="EB42" s="5310"/>
      <c r="EC42" s="5331"/>
      <c r="ED42" s="5327"/>
      <c r="EE42" s="5328"/>
      <c r="EF42" s="5313"/>
      <c r="EG42" s="5330"/>
      <c r="EO42" s="5325"/>
      <c r="EP42" s="5326"/>
      <c r="EQ42" s="5326"/>
      <c r="ER42" s="5310"/>
      <c r="ES42" s="5331"/>
      <c r="ET42" s="5327"/>
      <c r="EU42" s="5328"/>
      <c r="EV42" s="5313"/>
      <c r="EW42" s="5330"/>
      <c r="FE42" s="5325"/>
      <c r="FF42" s="5326"/>
      <c r="FG42" s="5326"/>
      <c r="FH42" s="5310"/>
      <c r="FI42" s="5331"/>
      <c r="FJ42" s="5327"/>
      <c r="FK42" s="5328"/>
      <c r="FL42" s="5313"/>
      <c r="FM42" s="5330"/>
      <c r="FU42" s="5325"/>
      <c r="FV42" s="5326"/>
      <c r="FW42" s="5326"/>
      <c r="FX42" s="5310"/>
      <c r="FY42" s="5331"/>
      <c r="FZ42" s="5327"/>
      <c r="GA42" s="5328"/>
      <c r="GB42" s="5313"/>
      <c r="GC42" s="5330"/>
      <c r="GK42" s="5325"/>
      <c r="GL42" s="5326"/>
      <c r="GM42" s="5326"/>
      <c r="GN42" s="5310"/>
      <c r="GO42" s="5331"/>
      <c r="GP42" s="5327"/>
      <c r="GQ42" s="5328"/>
      <c r="GR42" s="5313"/>
      <c r="GS42" s="5330"/>
      <c r="HA42" s="5325"/>
      <c r="HB42" s="5326"/>
      <c r="HC42" s="5326"/>
      <c r="HD42" s="5310"/>
      <c r="HE42" s="5331"/>
      <c r="HF42" s="5327"/>
      <c r="HG42" s="5328"/>
      <c r="HH42" s="5313"/>
      <c r="HI42" s="5330"/>
      <c r="HQ42" s="5325"/>
      <c r="HR42" s="5326"/>
      <c r="HS42" s="5326"/>
      <c r="HT42" s="5310"/>
      <c r="HU42" s="5331"/>
      <c r="HV42" s="5327"/>
      <c r="HW42" s="5328"/>
      <c r="HX42" s="5313"/>
      <c r="HY42" s="5330"/>
      <c r="IG42" s="5325"/>
      <c r="IH42" s="5326"/>
      <c r="II42" s="5326"/>
      <c r="IJ42" s="5310"/>
      <c r="IK42" s="5331"/>
      <c r="IL42" s="5327"/>
      <c r="IM42" s="5328"/>
      <c r="IN42" s="5313"/>
      <c r="IO42" s="5330"/>
    </row>
    <row r="43" spans="1:250" s="5300" customFormat="1" ht="13.5" customHeight="1">
      <c r="A43" s="5332" t="s">
        <v>1354</v>
      </c>
      <c r="B43" s="5318"/>
      <c r="C43" s="5319" t="s">
        <v>1355</v>
      </c>
      <c r="D43" s="5296" t="s">
        <v>1356</v>
      </c>
      <c r="E43" s="5320" t="s">
        <v>205</v>
      </c>
      <c r="F43" s="5333">
        <v>1</v>
      </c>
      <c r="G43" s="5282"/>
      <c r="H43" s="5322">
        <f t="shared" si="0"/>
        <v>0</v>
      </c>
      <c r="I43" s="5283" t="s">
        <v>112</v>
      </c>
      <c r="J43" s="5323"/>
      <c r="K43" s="5301"/>
      <c r="L43" s="5307"/>
      <c r="M43" s="2261"/>
      <c r="N43" s="5301"/>
      <c r="O43" s="5301"/>
      <c r="P43" s="5339"/>
      <c r="Q43" s="2261"/>
      <c r="R43" s="5301"/>
      <c r="S43" s="5324"/>
      <c r="T43" s="5301"/>
      <c r="U43" s="5301"/>
      <c r="V43" s="5301"/>
      <c r="W43" s="5307"/>
      <c r="Y43" s="5340"/>
      <c r="Z43" s="5301"/>
      <c r="AA43" s="5301"/>
      <c r="AB43" s="5301"/>
      <c r="AC43" s="5301"/>
      <c r="AD43" s="5301"/>
      <c r="AE43" s="5301"/>
      <c r="AF43" s="5301"/>
      <c r="AG43" s="5339"/>
      <c r="AH43" s="5303"/>
      <c r="AI43" s="5326"/>
      <c r="AJ43" s="5310"/>
      <c r="AK43" s="5331"/>
      <c r="AL43" s="5327"/>
      <c r="AM43" s="5328"/>
      <c r="AN43" s="5313"/>
      <c r="AO43" s="5330"/>
      <c r="AW43" s="5325"/>
      <c r="AX43" s="5326"/>
      <c r="AY43" s="5326"/>
      <c r="AZ43" s="5310"/>
      <c r="BA43" s="5331"/>
      <c r="BB43" s="5327"/>
      <c r="BC43" s="5328"/>
      <c r="BD43" s="5313"/>
      <c r="BE43" s="5330"/>
      <c r="BM43" s="5325"/>
      <c r="BN43" s="5326"/>
      <c r="BO43" s="5326"/>
      <c r="BP43" s="5310"/>
      <c r="BQ43" s="5331"/>
      <c r="BR43" s="5327"/>
      <c r="BS43" s="5328"/>
      <c r="BT43" s="5313"/>
      <c r="BU43" s="5330"/>
      <c r="CC43" s="5325"/>
      <c r="CD43" s="5326"/>
      <c r="CE43" s="5326"/>
      <c r="CF43" s="5310"/>
      <c r="CG43" s="5331"/>
      <c r="CH43" s="5327"/>
      <c r="CI43" s="5328"/>
      <c r="CJ43" s="5313"/>
      <c r="CK43" s="5330"/>
      <c r="CS43" s="5325"/>
      <c r="CT43" s="5326"/>
      <c r="CU43" s="5326"/>
      <c r="CV43" s="5310"/>
      <c r="CW43" s="5331"/>
      <c r="CX43" s="5327"/>
      <c r="CY43" s="5328"/>
      <c r="CZ43" s="5313"/>
      <c r="DA43" s="5330"/>
      <c r="DI43" s="5325"/>
      <c r="DJ43" s="5326"/>
      <c r="DK43" s="5326"/>
      <c r="DL43" s="5310"/>
      <c r="DM43" s="5331"/>
      <c r="DN43" s="5327"/>
      <c r="DO43" s="5328"/>
      <c r="DP43" s="5313"/>
      <c r="DQ43" s="5330"/>
      <c r="DY43" s="5325"/>
      <c r="DZ43" s="5326"/>
      <c r="EA43" s="5326"/>
      <c r="EB43" s="5310"/>
      <c r="EC43" s="5331"/>
      <c r="ED43" s="5327"/>
      <c r="EE43" s="5328"/>
      <c r="EF43" s="5313"/>
      <c r="EG43" s="5330"/>
      <c r="EO43" s="5325"/>
      <c r="EP43" s="5326"/>
      <c r="EQ43" s="5326"/>
      <c r="ER43" s="5310"/>
      <c r="ES43" s="5331"/>
      <c r="ET43" s="5327"/>
      <c r="EU43" s="5328"/>
      <c r="EV43" s="5313"/>
      <c r="EW43" s="5330"/>
      <c r="FE43" s="5325"/>
      <c r="FF43" s="5326"/>
      <c r="FG43" s="5326"/>
      <c r="FH43" s="5310"/>
      <c r="FI43" s="5331"/>
      <c r="FJ43" s="5327"/>
      <c r="FK43" s="5328"/>
      <c r="FL43" s="5313"/>
      <c r="FM43" s="5330"/>
      <c r="FU43" s="5325"/>
      <c r="FV43" s="5326"/>
      <c r="FW43" s="5326"/>
      <c r="FX43" s="5310"/>
      <c r="FY43" s="5331"/>
      <c r="FZ43" s="5327"/>
      <c r="GA43" s="5328"/>
      <c r="GB43" s="5313"/>
      <c r="GC43" s="5330"/>
      <c r="GK43" s="5325"/>
      <c r="GL43" s="5326"/>
      <c r="GM43" s="5326"/>
      <c r="GN43" s="5310"/>
      <c r="GO43" s="5331"/>
      <c r="GP43" s="5327"/>
      <c r="GQ43" s="5328"/>
      <c r="GR43" s="5313"/>
      <c r="GS43" s="5330"/>
      <c r="HA43" s="5325"/>
      <c r="HB43" s="5326"/>
      <c r="HC43" s="5326"/>
      <c r="HD43" s="5310"/>
      <c r="HE43" s="5331"/>
      <c r="HF43" s="5327"/>
      <c r="HG43" s="5328"/>
      <c r="HH43" s="5313"/>
      <c r="HI43" s="5330"/>
      <c r="HQ43" s="5325"/>
      <c r="HR43" s="5326"/>
      <c r="HS43" s="5326"/>
      <c r="HT43" s="5310"/>
      <c r="HU43" s="5331"/>
      <c r="HV43" s="5327"/>
      <c r="HW43" s="5328"/>
      <c r="HX43" s="5313"/>
      <c r="HY43" s="5330"/>
      <c r="IG43" s="5325"/>
      <c r="IH43" s="5326"/>
      <c r="II43" s="5326"/>
      <c r="IJ43" s="5310"/>
      <c r="IK43" s="5331"/>
      <c r="IL43" s="5327"/>
      <c r="IM43" s="5328"/>
      <c r="IN43" s="5313"/>
      <c r="IO43" s="5330"/>
    </row>
    <row r="44" spans="1:250" s="5300" customFormat="1" ht="13.5" customHeight="1">
      <c r="A44" s="5341"/>
      <c r="B44" s="5288"/>
      <c r="C44" s="5289"/>
      <c r="D44" s="5296" t="s">
        <v>6873</v>
      </c>
      <c r="E44" s="5289"/>
      <c r="F44" s="5333">
        <v>1</v>
      </c>
      <c r="G44" s="5298"/>
      <c r="H44" s="5298"/>
      <c r="I44" s="5342"/>
      <c r="J44" s="5323"/>
      <c r="R44" s="5343"/>
      <c r="S44" s="5314"/>
    </row>
    <row r="45" spans="1:250" s="5300" customFormat="1" ht="40.5" customHeight="1">
      <c r="A45" s="5295"/>
      <c r="B45" s="5289"/>
      <c r="C45" s="5289"/>
      <c r="D45" s="5296" t="s">
        <v>1357</v>
      </c>
      <c r="E45" s="5289"/>
      <c r="F45" s="5290"/>
      <c r="G45" s="5297"/>
      <c r="H45" s="5298"/>
      <c r="I45" s="5299"/>
      <c r="J45" s="3726"/>
      <c r="O45" s="5301"/>
      <c r="P45" s="5302"/>
      <c r="Q45" s="5303"/>
      <c r="R45" s="5303"/>
      <c r="S45" s="5304"/>
      <c r="T45" s="5305"/>
      <c r="U45" s="5306"/>
      <c r="V45" s="5301"/>
      <c r="W45" s="5307"/>
      <c r="X45" s="5301"/>
      <c r="AG45" s="5308"/>
      <c r="AH45" s="5309"/>
      <c r="AI45" s="5309"/>
      <c r="AJ45" s="5310"/>
      <c r="AK45" s="5309"/>
      <c r="AL45" s="5311"/>
      <c r="AM45" s="5312"/>
      <c r="AN45" s="5313"/>
      <c r="AO45" s="5314"/>
      <c r="AW45" s="5308"/>
      <c r="AX45" s="5309"/>
      <c r="AY45" s="5309"/>
      <c r="AZ45" s="5310"/>
      <c r="BA45" s="5309"/>
      <c r="BB45" s="5311"/>
      <c r="BC45" s="5312"/>
      <c r="BD45" s="5313"/>
      <c r="BE45" s="5314"/>
      <c r="BM45" s="5308"/>
      <c r="BN45" s="5309"/>
      <c r="BO45" s="5309"/>
      <c r="BP45" s="5310"/>
      <c r="BQ45" s="5309"/>
      <c r="BR45" s="5311"/>
      <c r="BS45" s="5312"/>
      <c r="BT45" s="5313"/>
      <c r="BU45" s="5314"/>
      <c r="CC45" s="5308"/>
      <c r="CD45" s="5309"/>
      <c r="CE45" s="5309"/>
      <c r="CF45" s="5310"/>
      <c r="CG45" s="5309"/>
      <c r="CH45" s="5311"/>
      <c r="CI45" s="5312"/>
      <c r="CJ45" s="5313"/>
      <c r="CK45" s="5314"/>
      <c r="CS45" s="5308"/>
      <c r="CT45" s="5309"/>
      <c r="CU45" s="5309"/>
      <c r="CV45" s="5310"/>
      <c r="CW45" s="5309"/>
      <c r="CX45" s="5311"/>
      <c r="CY45" s="5312"/>
      <c r="CZ45" s="5313"/>
      <c r="DA45" s="5314"/>
      <c r="DI45" s="5308"/>
      <c r="DJ45" s="5309"/>
      <c r="DK45" s="5309"/>
      <c r="DL45" s="5310"/>
      <c r="DM45" s="5309"/>
      <c r="DN45" s="5311"/>
      <c r="DO45" s="5312"/>
      <c r="DP45" s="5313"/>
      <c r="DQ45" s="5314"/>
      <c r="DY45" s="5308"/>
      <c r="DZ45" s="5309"/>
      <c r="EA45" s="5309"/>
      <c r="EB45" s="5310"/>
      <c r="EC45" s="5309"/>
      <c r="ED45" s="5311"/>
      <c r="EE45" s="5312"/>
      <c r="EF45" s="5313"/>
      <c r="EG45" s="5314"/>
      <c r="EO45" s="5308"/>
      <c r="EP45" s="5309"/>
      <c r="EQ45" s="5309"/>
      <c r="ER45" s="5310"/>
      <c r="ES45" s="5309"/>
      <c r="ET45" s="5311"/>
      <c r="EU45" s="5312"/>
      <c r="EV45" s="5313"/>
      <c r="EW45" s="5314"/>
      <c r="FE45" s="5308"/>
      <c r="FF45" s="5309"/>
      <c r="FG45" s="5309"/>
      <c r="FH45" s="5310"/>
      <c r="FI45" s="5309"/>
      <c r="FJ45" s="5311"/>
      <c r="FK45" s="5312"/>
      <c r="FL45" s="5313"/>
      <c r="FM45" s="5314"/>
      <c r="FU45" s="5308"/>
      <c r="FV45" s="5309"/>
      <c r="FW45" s="5309"/>
      <c r="FX45" s="5310"/>
      <c r="FY45" s="5309"/>
      <c r="FZ45" s="5311"/>
      <c r="GA45" s="5312"/>
      <c r="GB45" s="5313"/>
      <c r="GC45" s="5314"/>
      <c r="GK45" s="5308"/>
      <c r="GL45" s="5309"/>
      <c r="GM45" s="5309"/>
      <c r="GN45" s="5310"/>
      <c r="GO45" s="5309"/>
      <c r="GP45" s="5311"/>
      <c r="GQ45" s="5312"/>
      <c r="GR45" s="5313"/>
      <c r="GS45" s="5314"/>
      <c r="HA45" s="5308"/>
      <c r="HB45" s="5309"/>
      <c r="HC45" s="5309"/>
      <c r="HD45" s="5310"/>
      <c r="HE45" s="5309"/>
      <c r="HF45" s="5311"/>
      <c r="HG45" s="5312"/>
      <c r="HH45" s="5313"/>
      <c r="HI45" s="5314"/>
      <c r="HQ45" s="5308"/>
      <c r="HR45" s="5309"/>
      <c r="HS45" s="5309"/>
      <c r="HT45" s="5310"/>
      <c r="HU45" s="5309"/>
      <c r="HV45" s="5311"/>
      <c r="HW45" s="5312"/>
      <c r="HX45" s="5313"/>
      <c r="HY45" s="5314"/>
      <c r="IG45" s="5308"/>
      <c r="IH45" s="5309"/>
      <c r="II45" s="5309"/>
      <c r="IJ45" s="5310"/>
      <c r="IK45" s="5309"/>
      <c r="IL45" s="5311"/>
      <c r="IM45" s="5312"/>
      <c r="IN45" s="5313"/>
      <c r="IO45" s="5314"/>
    </row>
    <row r="46" spans="1:250" s="5300" customFormat="1" ht="27" customHeight="1">
      <c r="A46" s="5295"/>
      <c r="B46" s="5289"/>
      <c r="C46" s="5289"/>
      <c r="D46" s="5296" t="s">
        <v>1358</v>
      </c>
      <c r="E46" s="5289"/>
      <c r="F46" s="5290"/>
      <c r="G46" s="5297"/>
      <c r="H46" s="5298"/>
      <c r="I46" s="5299"/>
      <c r="J46" s="3726"/>
      <c r="O46" s="5301"/>
      <c r="P46" s="5302"/>
      <c r="Q46" s="5303"/>
      <c r="R46" s="5303"/>
      <c r="S46" s="5304"/>
      <c r="T46" s="5305"/>
      <c r="U46" s="5306"/>
      <c r="V46" s="5301"/>
      <c r="W46" s="5307"/>
      <c r="X46" s="5301"/>
      <c r="AG46" s="5308"/>
      <c r="AH46" s="5309"/>
      <c r="AI46" s="5309"/>
      <c r="AJ46" s="5310"/>
      <c r="AK46" s="5309"/>
      <c r="AL46" s="5311"/>
      <c r="AM46" s="5312"/>
      <c r="AN46" s="5313"/>
      <c r="AO46" s="5314"/>
      <c r="AW46" s="5308"/>
      <c r="AX46" s="5309"/>
      <c r="AY46" s="5309"/>
      <c r="AZ46" s="5310"/>
      <c r="BA46" s="5309"/>
      <c r="BB46" s="5311"/>
      <c r="BC46" s="5312"/>
      <c r="BD46" s="5313"/>
      <c r="BE46" s="5314"/>
      <c r="BM46" s="5308"/>
      <c r="BN46" s="5309"/>
      <c r="BO46" s="5309"/>
      <c r="BP46" s="5310"/>
      <c r="BQ46" s="5309"/>
      <c r="BR46" s="5311"/>
      <c r="BS46" s="5312"/>
      <c r="BT46" s="5313"/>
      <c r="BU46" s="5314"/>
      <c r="CC46" s="5308"/>
      <c r="CD46" s="5309"/>
      <c r="CE46" s="5309"/>
      <c r="CF46" s="5310"/>
      <c r="CG46" s="5309"/>
      <c r="CH46" s="5311"/>
      <c r="CI46" s="5312"/>
      <c r="CJ46" s="5313"/>
      <c r="CK46" s="5314"/>
      <c r="CS46" s="5308"/>
      <c r="CT46" s="5309"/>
      <c r="CU46" s="5309"/>
      <c r="CV46" s="5310"/>
      <c r="CW46" s="5309"/>
      <c r="CX46" s="5311"/>
      <c r="CY46" s="5312"/>
      <c r="CZ46" s="5313"/>
      <c r="DA46" s="5314"/>
      <c r="DI46" s="5308"/>
      <c r="DJ46" s="5309"/>
      <c r="DK46" s="5309"/>
      <c r="DL46" s="5310"/>
      <c r="DM46" s="5309"/>
      <c r="DN46" s="5311"/>
      <c r="DO46" s="5312"/>
      <c r="DP46" s="5313"/>
      <c r="DQ46" s="5314"/>
      <c r="DY46" s="5308"/>
      <c r="DZ46" s="5309"/>
      <c r="EA46" s="5309"/>
      <c r="EB46" s="5310"/>
      <c r="EC46" s="5309"/>
      <c r="ED46" s="5311"/>
      <c r="EE46" s="5312"/>
      <c r="EF46" s="5313"/>
      <c r="EG46" s="5314"/>
      <c r="EO46" s="5308"/>
      <c r="EP46" s="5309"/>
      <c r="EQ46" s="5309"/>
      <c r="ER46" s="5310"/>
      <c r="ES46" s="5309"/>
      <c r="ET46" s="5311"/>
      <c r="EU46" s="5312"/>
      <c r="EV46" s="5313"/>
      <c r="EW46" s="5314"/>
      <c r="FE46" s="5308"/>
      <c r="FF46" s="5309"/>
      <c r="FG46" s="5309"/>
      <c r="FH46" s="5310"/>
      <c r="FI46" s="5309"/>
      <c r="FJ46" s="5311"/>
      <c r="FK46" s="5312"/>
      <c r="FL46" s="5313"/>
      <c r="FM46" s="5314"/>
      <c r="FU46" s="5308"/>
      <c r="FV46" s="5309"/>
      <c r="FW46" s="5309"/>
      <c r="FX46" s="5310"/>
      <c r="FY46" s="5309"/>
      <c r="FZ46" s="5311"/>
      <c r="GA46" s="5312"/>
      <c r="GB46" s="5313"/>
      <c r="GC46" s="5314"/>
      <c r="GK46" s="5308"/>
      <c r="GL46" s="5309"/>
      <c r="GM46" s="5309"/>
      <c r="GN46" s="5310"/>
      <c r="GO46" s="5309"/>
      <c r="GP46" s="5311"/>
      <c r="GQ46" s="5312"/>
      <c r="GR46" s="5313"/>
      <c r="GS46" s="5314"/>
      <c r="HA46" s="5308"/>
      <c r="HB46" s="5309"/>
      <c r="HC46" s="5309"/>
      <c r="HD46" s="5310"/>
      <c r="HE46" s="5309"/>
      <c r="HF46" s="5311"/>
      <c r="HG46" s="5312"/>
      <c r="HH46" s="5313"/>
      <c r="HI46" s="5314"/>
      <c r="HQ46" s="5308"/>
      <c r="HR46" s="5309"/>
      <c r="HS46" s="5309"/>
      <c r="HT46" s="5310"/>
      <c r="HU46" s="5309"/>
      <c r="HV46" s="5311"/>
      <c r="HW46" s="5312"/>
      <c r="HX46" s="5313"/>
      <c r="HY46" s="5314"/>
      <c r="IG46" s="5308"/>
      <c r="IH46" s="5309"/>
      <c r="II46" s="5309"/>
      <c r="IJ46" s="5310"/>
      <c r="IK46" s="5309"/>
      <c r="IL46" s="5311"/>
      <c r="IM46" s="5312"/>
      <c r="IN46" s="5313"/>
      <c r="IO46" s="5314"/>
    </row>
    <row r="47" spans="1:250" s="5300" customFormat="1" ht="27" customHeight="1">
      <c r="A47" s="5295"/>
      <c r="B47" s="5289"/>
      <c r="C47" s="5289"/>
      <c r="D47" s="5296" t="s">
        <v>6874</v>
      </c>
      <c r="E47" s="5289"/>
      <c r="F47" s="5290"/>
      <c r="G47" s="5297"/>
      <c r="H47" s="5298"/>
      <c r="I47" s="5299"/>
      <c r="J47" s="3726"/>
      <c r="O47" s="5301"/>
      <c r="P47" s="5302"/>
      <c r="Q47" s="5303"/>
      <c r="R47" s="5303"/>
      <c r="S47" s="5304"/>
      <c r="T47" s="5305"/>
      <c r="U47" s="5306"/>
      <c r="V47" s="5301"/>
      <c r="W47" s="5307"/>
      <c r="X47" s="5301"/>
      <c r="AG47" s="5308"/>
      <c r="AH47" s="5309"/>
      <c r="AI47" s="5309"/>
      <c r="AJ47" s="5310"/>
      <c r="AK47" s="5309"/>
      <c r="AL47" s="5311"/>
      <c r="AM47" s="5312"/>
      <c r="AN47" s="5313"/>
      <c r="AO47" s="5314"/>
      <c r="AW47" s="5308"/>
      <c r="AX47" s="5309"/>
      <c r="AY47" s="5309"/>
      <c r="AZ47" s="5310"/>
      <c r="BA47" s="5309"/>
      <c r="BB47" s="5311"/>
      <c r="BC47" s="5312"/>
      <c r="BD47" s="5313"/>
      <c r="BE47" s="5314"/>
      <c r="BM47" s="5308"/>
      <c r="BN47" s="5309"/>
      <c r="BO47" s="5309"/>
      <c r="BP47" s="5310"/>
      <c r="BQ47" s="5309"/>
      <c r="BR47" s="5311"/>
      <c r="BS47" s="5312"/>
      <c r="BT47" s="5313"/>
      <c r="BU47" s="5314"/>
      <c r="CC47" s="5308"/>
      <c r="CD47" s="5309"/>
      <c r="CE47" s="5309"/>
      <c r="CF47" s="5310"/>
      <c r="CG47" s="5309"/>
      <c r="CH47" s="5311"/>
      <c r="CI47" s="5312"/>
      <c r="CJ47" s="5313"/>
      <c r="CK47" s="5314"/>
      <c r="CS47" s="5308"/>
      <c r="CT47" s="5309"/>
      <c r="CU47" s="5309"/>
      <c r="CV47" s="5310"/>
      <c r="CW47" s="5309"/>
      <c r="CX47" s="5311"/>
      <c r="CY47" s="5312"/>
      <c r="CZ47" s="5313"/>
      <c r="DA47" s="5314"/>
      <c r="DI47" s="5308"/>
      <c r="DJ47" s="5309"/>
      <c r="DK47" s="5309"/>
      <c r="DL47" s="5310"/>
      <c r="DM47" s="5309"/>
      <c r="DN47" s="5311"/>
      <c r="DO47" s="5312"/>
      <c r="DP47" s="5313"/>
      <c r="DQ47" s="5314"/>
      <c r="DY47" s="5308"/>
      <c r="DZ47" s="5309"/>
      <c r="EA47" s="5309"/>
      <c r="EB47" s="5310"/>
      <c r="EC47" s="5309"/>
      <c r="ED47" s="5311"/>
      <c r="EE47" s="5312"/>
      <c r="EF47" s="5313"/>
      <c r="EG47" s="5314"/>
      <c r="EO47" s="5308"/>
      <c r="EP47" s="5309"/>
      <c r="EQ47" s="5309"/>
      <c r="ER47" s="5310"/>
      <c r="ES47" s="5309"/>
      <c r="ET47" s="5311"/>
      <c r="EU47" s="5312"/>
      <c r="EV47" s="5313"/>
      <c r="EW47" s="5314"/>
      <c r="FE47" s="5308"/>
      <c r="FF47" s="5309"/>
      <c r="FG47" s="5309"/>
      <c r="FH47" s="5310"/>
      <c r="FI47" s="5309"/>
      <c r="FJ47" s="5311"/>
      <c r="FK47" s="5312"/>
      <c r="FL47" s="5313"/>
      <c r="FM47" s="5314"/>
      <c r="FU47" s="5308"/>
      <c r="FV47" s="5309"/>
      <c r="FW47" s="5309"/>
      <c r="FX47" s="5310"/>
      <c r="FY47" s="5309"/>
      <c r="FZ47" s="5311"/>
      <c r="GA47" s="5312"/>
      <c r="GB47" s="5313"/>
      <c r="GC47" s="5314"/>
      <c r="GK47" s="5308"/>
      <c r="GL47" s="5309"/>
      <c r="GM47" s="5309"/>
      <c r="GN47" s="5310"/>
      <c r="GO47" s="5309"/>
      <c r="GP47" s="5311"/>
      <c r="GQ47" s="5312"/>
      <c r="GR47" s="5313"/>
      <c r="GS47" s="5314"/>
      <c r="HA47" s="5308"/>
      <c r="HB47" s="5309"/>
      <c r="HC47" s="5309"/>
      <c r="HD47" s="5310"/>
      <c r="HE47" s="5309"/>
      <c r="HF47" s="5311"/>
      <c r="HG47" s="5312"/>
      <c r="HH47" s="5313"/>
      <c r="HI47" s="5314"/>
      <c r="HQ47" s="5308"/>
      <c r="HR47" s="5309"/>
      <c r="HS47" s="5309"/>
      <c r="HT47" s="5310"/>
      <c r="HU47" s="5309"/>
      <c r="HV47" s="5311"/>
      <c r="HW47" s="5312"/>
      <c r="HX47" s="5313"/>
      <c r="HY47" s="5314"/>
      <c r="IG47" s="5308"/>
      <c r="IH47" s="5309"/>
      <c r="II47" s="5309"/>
      <c r="IJ47" s="5310"/>
      <c r="IK47" s="5309"/>
      <c r="IL47" s="5311"/>
      <c r="IM47" s="5312"/>
      <c r="IN47" s="5313"/>
      <c r="IO47" s="5314"/>
    </row>
    <row r="48" spans="1:250" s="593" customFormat="1" ht="27" customHeight="1">
      <c r="A48" s="3555">
        <v>7</v>
      </c>
      <c r="B48" s="3539" t="s">
        <v>1077</v>
      </c>
      <c r="C48" s="3507" t="s">
        <v>1359</v>
      </c>
      <c r="D48" s="83" t="s">
        <v>1360</v>
      </c>
      <c r="E48" s="76" t="s">
        <v>205</v>
      </c>
      <c r="F48" s="3540">
        <f>ROUND(SUM(F50),3)</f>
        <v>3</v>
      </c>
      <c r="G48" s="3615"/>
      <c r="H48" s="2231">
        <f>ROUND(F48*G48,2)</f>
        <v>0</v>
      </c>
      <c r="I48" s="3718" t="s">
        <v>112</v>
      </c>
      <c r="J48" s="3719"/>
      <c r="K48" s="1562"/>
      <c r="L48" s="3720"/>
      <c r="M48" s="3561"/>
      <c r="N48" s="193"/>
      <c r="O48" s="1562"/>
    </row>
    <row r="49" spans="1:19" s="888" customFormat="1" ht="13.5" customHeight="1">
      <c r="A49" s="3562"/>
      <c r="B49" s="3539"/>
      <c r="C49" s="3507"/>
      <c r="D49" s="3514" t="s">
        <v>1361</v>
      </c>
      <c r="E49" s="3507"/>
      <c r="F49" s="3515"/>
      <c r="G49" s="6"/>
      <c r="H49" s="3532"/>
      <c r="I49" s="3722"/>
      <c r="J49" s="3723"/>
      <c r="K49" s="3566"/>
      <c r="L49" s="1204"/>
      <c r="M49" s="1204"/>
      <c r="N49" s="1204"/>
      <c r="O49" s="1204"/>
      <c r="P49" s="1204"/>
      <c r="Q49" s="1204"/>
      <c r="R49" s="3134"/>
      <c r="S49" s="2668"/>
    </row>
    <row r="50" spans="1:19" s="888" customFormat="1" ht="13.5" customHeight="1">
      <c r="A50" s="3562"/>
      <c r="B50" s="3539"/>
      <c r="C50" s="3507"/>
      <c r="D50" s="3514" t="s">
        <v>1362</v>
      </c>
      <c r="E50" s="3507"/>
      <c r="F50" s="3515">
        <v>3</v>
      </c>
      <c r="G50" s="6"/>
      <c r="H50" s="3532"/>
      <c r="I50" s="3722"/>
      <c r="J50" s="3723"/>
      <c r="K50" s="3566"/>
      <c r="L50" s="1204"/>
      <c r="M50" s="1204"/>
      <c r="N50" s="1204"/>
      <c r="O50" s="1204"/>
      <c r="P50" s="1204"/>
      <c r="Q50" s="1204"/>
      <c r="R50" s="3134"/>
      <c r="S50" s="2668"/>
    </row>
    <row r="51" spans="1:19" s="888" customFormat="1" ht="13.5" customHeight="1">
      <c r="A51" s="3562"/>
      <c r="B51" s="3539"/>
      <c r="C51" s="3507"/>
      <c r="D51" s="3514" t="s">
        <v>1318</v>
      </c>
      <c r="E51" s="3507"/>
      <c r="F51" s="3515"/>
      <c r="G51" s="6"/>
      <c r="H51" s="3532"/>
      <c r="I51" s="3722"/>
      <c r="J51" s="3723"/>
      <c r="K51" s="3566"/>
      <c r="L51" s="1204"/>
      <c r="M51" s="1204"/>
      <c r="N51" s="1204"/>
      <c r="O51" s="1204"/>
      <c r="P51" s="1204"/>
      <c r="Q51" s="1204"/>
      <c r="R51" s="3134"/>
      <c r="S51" s="2668"/>
    </row>
    <row r="52" spans="1:19" s="593" customFormat="1" ht="27" customHeight="1">
      <c r="A52" s="3555">
        <v>8</v>
      </c>
      <c r="B52" s="3539" t="s">
        <v>1077</v>
      </c>
      <c r="C52" s="3507" t="s">
        <v>1363</v>
      </c>
      <c r="D52" s="83" t="s">
        <v>1364</v>
      </c>
      <c r="E52" s="76" t="s">
        <v>205</v>
      </c>
      <c r="F52" s="3540">
        <f>ROUND(SUM(F54),3)</f>
        <v>2</v>
      </c>
      <c r="G52" s="3615"/>
      <c r="H52" s="2231">
        <f>ROUND(F52*G52,2)</f>
        <v>0</v>
      </c>
      <c r="I52" s="3718" t="s">
        <v>112</v>
      </c>
      <c r="J52" s="3719"/>
      <c r="K52" s="1562"/>
      <c r="L52" s="3720"/>
      <c r="M52" s="3561"/>
      <c r="N52" s="193"/>
      <c r="O52" s="1562"/>
    </row>
    <row r="53" spans="1:19" s="888" customFormat="1" ht="13.5" customHeight="1">
      <c r="A53" s="3562"/>
      <c r="B53" s="3539"/>
      <c r="C53" s="3507"/>
      <c r="D53" s="3514" t="s">
        <v>1361</v>
      </c>
      <c r="E53" s="3507"/>
      <c r="F53" s="3515"/>
      <c r="G53" s="6"/>
      <c r="H53" s="3532"/>
      <c r="I53" s="3722"/>
      <c r="J53" s="3723"/>
      <c r="K53" s="3566"/>
      <c r="L53" s="1204"/>
      <c r="M53" s="1204"/>
      <c r="N53" s="1204"/>
      <c r="O53" s="1204"/>
      <c r="P53" s="1204"/>
      <c r="Q53" s="1204"/>
      <c r="R53" s="3134"/>
      <c r="S53" s="2668"/>
    </row>
    <row r="54" spans="1:19" s="888" customFormat="1" ht="13.5" customHeight="1">
      <c r="A54" s="3562"/>
      <c r="B54" s="3539"/>
      <c r="C54" s="3507"/>
      <c r="D54" s="3514" t="s">
        <v>1365</v>
      </c>
      <c r="E54" s="3507"/>
      <c r="F54" s="3515">
        <v>2</v>
      </c>
      <c r="G54" s="6"/>
      <c r="H54" s="3532"/>
      <c r="I54" s="3722"/>
      <c r="J54" s="3723"/>
      <c r="K54" s="3566"/>
      <c r="L54" s="1204"/>
      <c r="M54" s="1204"/>
      <c r="N54" s="1204"/>
      <c r="O54" s="1204"/>
      <c r="P54" s="1204"/>
      <c r="Q54" s="1204"/>
      <c r="R54" s="3134"/>
      <c r="S54" s="2668"/>
    </row>
    <row r="55" spans="1:19" s="888" customFormat="1" ht="13.5" customHeight="1">
      <c r="A55" s="3562"/>
      <c r="B55" s="3539"/>
      <c r="C55" s="3507"/>
      <c r="D55" s="3514" t="s">
        <v>1318</v>
      </c>
      <c r="E55" s="3507"/>
      <c r="F55" s="3515"/>
      <c r="G55" s="6"/>
      <c r="H55" s="3532"/>
      <c r="I55" s="3722"/>
      <c r="J55" s="3723"/>
      <c r="K55" s="3566"/>
      <c r="L55" s="1204"/>
      <c r="M55" s="1204"/>
      <c r="N55" s="1204"/>
      <c r="O55" s="1204"/>
      <c r="P55" s="1204"/>
      <c r="Q55" s="1204"/>
      <c r="R55" s="3134"/>
      <c r="S55" s="2668"/>
    </row>
    <row r="56" spans="1:19" s="593" customFormat="1" ht="27" customHeight="1">
      <c r="A56" s="3555">
        <v>9</v>
      </c>
      <c r="B56" s="3539" t="s">
        <v>1077</v>
      </c>
      <c r="C56" s="3507" t="s">
        <v>1366</v>
      </c>
      <c r="D56" s="83" t="s">
        <v>1367</v>
      </c>
      <c r="E56" s="76" t="s">
        <v>141</v>
      </c>
      <c r="F56" s="3540">
        <f>ROUND(SUM(F58:F58),3)</f>
        <v>4.3600000000000003</v>
      </c>
      <c r="G56" s="3615"/>
      <c r="H56" s="2231">
        <f>ROUND(F56*G56,2)</f>
        <v>0</v>
      </c>
      <c r="I56" s="3718" t="s">
        <v>112</v>
      </c>
      <c r="J56" s="3719"/>
      <c r="K56" s="1562"/>
      <c r="L56" s="3720"/>
      <c r="M56" s="3561"/>
      <c r="N56" s="193"/>
      <c r="O56" s="1562"/>
    </row>
    <row r="57" spans="1:19" s="888" customFormat="1" ht="27" customHeight="1">
      <c r="A57" s="3562"/>
      <c r="B57" s="3539"/>
      <c r="C57" s="3507"/>
      <c r="D57" s="3514" t="s">
        <v>1368</v>
      </c>
      <c r="E57" s="3507"/>
      <c r="F57" s="3515"/>
      <c r="G57" s="6"/>
      <c r="H57" s="3532"/>
      <c r="I57" s="3722"/>
      <c r="J57" s="3723"/>
      <c r="K57" s="3566"/>
      <c r="L57" s="1204"/>
      <c r="M57" s="1204"/>
      <c r="N57" s="1204"/>
      <c r="O57" s="1204"/>
      <c r="P57" s="1204"/>
      <c r="Q57" s="1204"/>
      <c r="R57" s="3134"/>
      <c r="S57" s="2668"/>
    </row>
    <row r="58" spans="1:19" s="888" customFormat="1" ht="13.5" customHeight="1">
      <c r="A58" s="3562"/>
      <c r="B58" s="3539"/>
      <c r="C58" s="3507"/>
      <c r="D58" s="3514" t="s">
        <v>1169</v>
      </c>
      <c r="E58" s="3507"/>
      <c r="F58" s="3515">
        <v>4.3600000000000003</v>
      </c>
      <c r="G58" s="6"/>
      <c r="H58" s="3532"/>
      <c r="I58" s="3722"/>
      <c r="J58" s="3723"/>
      <c r="K58" s="3566"/>
      <c r="L58" s="1204"/>
      <c r="M58" s="1204"/>
      <c r="N58" s="1204"/>
      <c r="O58" s="1204"/>
      <c r="P58" s="1204"/>
      <c r="Q58" s="1204"/>
      <c r="R58" s="3134"/>
      <c r="S58" s="2668"/>
    </row>
    <row r="59" spans="1:19" s="888" customFormat="1" ht="13.5" customHeight="1">
      <c r="A59" s="3562"/>
      <c r="B59" s="3539"/>
      <c r="C59" s="3507"/>
      <c r="D59" s="3514" t="s">
        <v>1318</v>
      </c>
      <c r="E59" s="3507"/>
      <c r="F59" s="3515"/>
      <c r="G59" s="6"/>
      <c r="H59" s="3532"/>
      <c r="I59" s="3722"/>
      <c r="J59" s="3723"/>
      <c r="K59" s="3566"/>
      <c r="L59" s="1204"/>
      <c r="M59" s="1204"/>
      <c r="N59" s="1204"/>
      <c r="O59" s="1204"/>
      <c r="P59" s="1204"/>
      <c r="Q59" s="1204"/>
      <c r="R59" s="3134"/>
      <c r="S59" s="2668"/>
    </row>
    <row r="60" spans="1:19" s="593" customFormat="1" ht="27" customHeight="1">
      <c r="A60" s="3555">
        <v>10</v>
      </c>
      <c r="B60" s="3539" t="s">
        <v>1077</v>
      </c>
      <c r="C60" s="3507" t="s">
        <v>1369</v>
      </c>
      <c r="D60" s="83" t="s">
        <v>1370</v>
      </c>
      <c r="E60" s="76" t="s">
        <v>1315</v>
      </c>
      <c r="F60" s="3540">
        <f>ROUND(SUM(F62),3)</f>
        <v>1</v>
      </c>
      <c r="G60" s="3615"/>
      <c r="H60" s="2231">
        <f>ROUND(F60*G60,2)</f>
        <v>0</v>
      </c>
      <c r="I60" s="3718" t="s">
        <v>112</v>
      </c>
      <c r="J60" s="3719"/>
      <c r="K60" s="1562"/>
      <c r="L60" s="3720"/>
      <c r="M60" s="3561"/>
      <c r="N60" s="193"/>
      <c r="O60" s="1562"/>
    </row>
    <row r="61" spans="1:19" s="888" customFormat="1" ht="27" customHeight="1">
      <c r="A61" s="3562"/>
      <c r="B61" s="3539"/>
      <c r="C61" s="3507"/>
      <c r="D61" s="3514" t="s">
        <v>1371</v>
      </c>
      <c r="E61" s="3507"/>
      <c r="F61" s="3515"/>
      <c r="G61" s="6"/>
      <c r="H61" s="3532"/>
      <c r="I61" s="3722"/>
      <c r="J61" s="3708"/>
      <c r="K61" s="101"/>
      <c r="L61" s="889"/>
      <c r="M61" s="889"/>
      <c r="N61" s="889"/>
      <c r="O61" s="889"/>
      <c r="P61" s="889"/>
      <c r="Q61" s="889"/>
      <c r="R61" s="889"/>
      <c r="S61" s="3529"/>
    </row>
    <row r="62" spans="1:19" s="888" customFormat="1" ht="13.5" customHeight="1">
      <c r="A62" s="3562"/>
      <c r="B62" s="3539"/>
      <c r="C62" s="3507"/>
      <c r="D62" s="3514" t="s">
        <v>1169</v>
      </c>
      <c r="E62" s="3507"/>
      <c r="F62" s="3515">
        <v>1</v>
      </c>
      <c r="G62" s="6"/>
      <c r="H62" s="3532"/>
      <c r="I62" s="3722"/>
      <c r="J62" s="3723"/>
      <c r="K62" s="3566"/>
      <c r="L62" s="1204"/>
      <c r="M62" s="1204"/>
      <c r="N62" s="1204"/>
      <c r="O62" s="1204"/>
      <c r="P62" s="1204"/>
      <c r="Q62" s="1204"/>
      <c r="R62" s="3134"/>
      <c r="S62" s="2668"/>
    </row>
    <row r="63" spans="1:19" s="888" customFormat="1" ht="13.5" customHeight="1">
      <c r="A63" s="3562"/>
      <c r="B63" s="3539"/>
      <c r="C63" s="3507"/>
      <c r="D63" s="3514" t="s">
        <v>1372</v>
      </c>
      <c r="E63" s="3507"/>
      <c r="F63" s="3515"/>
      <c r="G63" s="6"/>
      <c r="H63" s="3532"/>
      <c r="I63" s="3722"/>
      <c r="J63" s="3723"/>
      <c r="K63" s="3566"/>
      <c r="L63" s="1204"/>
      <c r="M63" s="1204"/>
      <c r="N63" s="1204"/>
      <c r="O63" s="1204"/>
      <c r="P63" s="1204"/>
      <c r="Q63" s="1204"/>
      <c r="R63" s="3134"/>
      <c r="S63" s="2668"/>
    </row>
    <row r="64" spans="1:19" s="593" customFormat="1" ht="27" customHeight="1">
      <c r="A64" s="3555">
        <v>11</v>
      </c>
      <c r="B64" s="3539" t="s">
        <v>1077</v>
      </c>
      <c r="C64" s="3507" t="s">
        <v>1373</v>
      </c>
      <c r="D64" s="83" t="s">
        <v>1374</v>
      </c>
      <c r="E64" s="76" t="s">
        <v>205</v>
      </c>
      <c r="F64" s="3540">
        <f>ROUND(SUM(F66:F66),3)</f>
        <v>1</v>
      </c>
      <c r="G64" s="3615"/>
      <c r="H64" s="2231">
        <f>ROUND(F64*G64,2)</f>
        <v>0</v>
      </c>
      <c r="I64" s="3718" t="s">
        <v>112</v>
      </c>
      <c r="J64" s="3719"/>
      <c r="L64" s="3560"/>
      <c r="M64" s="3723"/>
    </row>
    <row r="65" spans="1:19" s="888" customFormat="1" ht="27" customHeight="1">
      <c r="A65" s="3562"/>
      <c r="B65" s="3539"/>
      <c r="C65" s="3507"/>
      <c r="D65" s="3671" t="s">
        <v>1375</v>
      </c>
      <c r="E65" s="3507"/>
      <c r="F65" s="3515"/>
      <c r="G65" s="6"/>
      <c r="H65" s="3532"/>
      <c r="I65" s="3729"/>
      <c r="J65" s="3708"/>
      <c r="K65" s="889"/>
      <c r="L65" s="889"/>
      <c r="M65" s="889"/>
      <c r="N65" s="889"/>
      <c r="O65" s="889"/>
      <c r="P65" s="889"/>
      <c r="Q65" s="889"/>
      <c r="R65" s="889"/>
      <c r="S65" s="889"/>
    </row>
    <row r="66" spans="1:19" s="888" customFormat="1" ht="13.5" customHeight="1">
      <c r="A66" s="3562"/>
      <c r="B66" s="3539"/>
      <c r="C66" s="3507"/>
      <c r="D66" s="3514" t="s">
        <v>1169</v>
      </c>
      <c r="E66" s="3507"/>
      <c r="F66" s="3515">
        <v>1</v>
      </c>
      <c r="G66" s="6"/>
      <c r="H66" s="3532"/>
      <c r="I66" s="3722"/>
      <c r="J66" s="3730"/>
      <c r="K66" s="3565"/>
      <c r="L66" s="1204"/>
      <c r="M66" s="1204"/>
      <c r="N66" s="1204"/>
      <c r="O66" s="1204"/>
      <c r="P66" s="1204"/>
      <c r="Q66" s="1204"/>
      <c r="R66" s="3134"/>
      <c r="S66" s="2668"/>
    </row>
    <row r="67" spans="1:19" s="888" customFormat="1" ht="13.5" customHeight="1">
      <c r="A67" s="3562"/>
      <c r="B67" s="3539"/>
      <c r="C67" s="3507"/>
      <c r="D67" s="3514" t="s">
        <v>1372</v>
      </c>
      <c r="E67" s="3507"/>
      <c r="F67" s="3515"/>
      <c r="G67" s="6"/>
      <c r="H67" s="3532"/>
      <c r="I67" s="3564"/>
      <c r="J67" s="3730"/>
      <c r="K67" s="3566"/>
      <c r="L67" s="1204"/>
      <c r="M67" s="1204"/>
      <c r="N67" s="1204"/>
      <c r="O67" s="1204"/>
      <c r="P67" s="1204"/>
      <c r="Q67" s="1204"/>
      <c r="R67" s="3134"/>
      <c r="S67" s="2668"/>
    </row>
    <row r="68" spans="1:19" s="593" customFormat="1" ht="27" customHeight="1">
      <c r="A68" s="3555">
        <v>12</v>
      </c>
      <c r="B68" s="3539" t="s">
        <v>1077</v>
      </c>
      <c r="C68" s="3507" t="s">
        <v>1376</v>
      </c>
      <c r="D68" s="83" t="s">
        <v>1377</v>
      </c>
      <c r="E68" s="76" t="s">
        <v>205</v>
      </c>
      <c r="F68" s="3540">
        <f>ROUND(SUM(F70:F70),3)</f>
        <v>1</v>
      </c>
      <c r="G68" s="3615"/>
      <c r="H68" s="2231">
        <f>ROUND(F68*G68,2)</f>
        <v>0</v>
      </c>
      <c r="I68" s="3718" t="s">
        <v>112</v>
      </c>
      <c r="J68" s="3719"/>
      <c r="L68" s="3560"/>
      <c r="M68" s="3723"/>
    </row>
    <row r="69" spans="1:19" s="888" customFormat="1" ht="27" customHeight="1">
      <c r="A69" s="3562"/>
      <c r="B69" s="3539"/>
      <c r="C69" s="3507"/>
      <c r="D69" s="3671" t="s">
        <v>1378</v>
      </c>
      <c r="E69" s="3507"/>
      <c r="F69" s="3515"/>
      <c r="G69" s="6"/>
      <c r="H69" s="3532"/>
      <c r="I69" s="3729"/>
      <c r="J69" s="3708"/>
      <c r="K69" s="889"/>
      <c r="L69" s="889"/>
      <c r="M69" s="889"/>
      <c r="N69" s="889"/>
      <c r="O69" s="889"/>
      <c r="P69" s="889"/>
      <c r="Q69" s="889"/>
      <c r="R69" s="889"/>
      <c r="S69" s="889"/>
    </row>
    <row r="70" spans="1:19" s="888" customFormat="1" ht="13.5" customHeight="1">
      <c r="A70" s="3562"/>
      <c r="B70" s="3539"/>
      <c r="C70" s="3507"/>
      <c r="D70" s="3514" t="s">
        <v>1169</v>
      </c>
      <c r="E70" s="3507"/>
      <c r="F70" s="3515">
        <v>1</v>
      </c>
      <c r="G70" s="6"/>
      <c r="H70" s="3532"/>
      <c r="I70" s="3722"/>
      <c r="J70" s="3730"/>
      <c r="K70" s="3565"/>
      <c r="L70" s="1204"/>
      <c r="M70" s="1204"/>
      <c r="N70" s="1204"/>
      <c r="O70" s="1204"/>
      <c r="P70" s="1204"/>
      <c r="Q70" s="1204"/>
      <c r="R70" s="3134"/>
      <c r="S70" s="2668"/>
    </row>
    <row r="71" spans="1:19" s="888" customFormat="1" ht="13.5" customHeight="1">
      <c r="A71" s="3562"/>
      <c r="B71" s="3539"/>
      <c r="C71" s="3507"/>
      <c r="D71" s="3514" t="s">
        <v>1372</v>
      </c>
      <c r="E71" s="3507"/>
      <c r="F71" s="3515"/>
      <c r="G71" s="6"/>
      <c r="H71" s="3532"/>
      <c r="I71" s="3564"/>
      <c r="J71" s="3730"/>
      <c r="K71" s="3566"/>
      <c r="L71" s="1204"/>
      <c r="M71" s="1204"/>
      <c r="N71" s="1204"/>
      <c r="O71" s="1204"/>
      <c r="P71" s="1204"/>
      <c r="Q71" s="1204"/>
      <c r="R71" s="3134"/>
      <c r="S71" s="2668"/>
    </row>
    <row r="72" spans="1:19" s="593" customFormat="1" ht="27" customHeight="1">
      <c r="A72" s="3555">
        <v>13</v>
      </c>
      <c r="B72" s="3539" t="s">
        <v>1077</v>
      </c>
      <c r="C72" s="3507" t="s">
        <v>1379</v>
      </c>
      <c r="D72" s="83" t="s">
        <v>1380</v>
      </c>
      <c r="E72" s="76" t="s">
        <v>205</v>
      </c>
      <c r="F72" s="3540">
        <f>ROUND(SUM(F74),3)</f>
        <v>2</v>
      </c>
      <c r="G72" s="3615"/>
      <c r="H72" s="2231">
        <f>ROUND(F72*G72,2)</f>
        <v>0</v>
      </c>
      <c r="I72" s="3718" t="s">
        <v>112</v>
      </c>
      <c r="J72" s="3719"/>
      <c r="K72" s="1562"/>
      <c r="L72" s="3720"/>
      <c r="M72" s="3561"/>
      <c r="N72" s="193"/>
      <c r="O72" s="1562"/>
    </row>
    <row r="73" spans="1:19" s="888" customFormat="1" ht="27" customHeight="1">
      <c r="A73" s="3562"/>
      <c r="B73" s="3539"/>
      <c r="C73" s="3507"/>
      <c r="D73" s="3514" t="s">
        <v>1381</v>
      </c>
      <c r="E73" s="3507"/>
      <c r="F73" s="3515"/>
      <c r="G73" s="6"/>
      <c r="H73" s="3532"/>
      <c r="I73" s="3722"/>
      <c r="J73" s="3723"/>
      <c r="K73" s="3566"/>
      <c r="L73" s="1204"/>
      <c r="M73" s="1204"/>
      <c r="N73" s="1204"/>
      <c r="O73" s="1204"/>
      <c r="P73" s="1204"/>
      <c r="Q73" s="1204"/>
      <c r="R73" s="3134"/>
      <c r="S73" s="2668"/>
    </row>
    <row r="74" spans="1:19" s="888" customFormat="1" ht="13.5" customHeight="1">
      <c r="A74" s="3562"/>
      <c r="B74" s="3539"/>
      <c r="C74" s="3507"/>
      <c r="D74" s="3514" t="s">
        <v>1365</v>
      </c>
      <c r="E74" s="3507"/>
      <c r="F74" s="3515">
        <v>2</v>
      </c>
      <c r="G74" s="6"/>
      <c r="H74" s="3532"/>
      <c r="I74" s="3722"/>
      <c r="J74" s="3723"/>
      <c r="K74" s="3566"/>
      <c r="L74" s="1204"/>
      <c r="M74" s="1204"/>
      <c r="N74" s="1204"/>
      <c r="O74" s="1204"/>
      <c r="P74" s="1204"/>
      <c r="Q74" s="1204"/>
      <c r="R74" s="3134"/>
      <c r="S74" s="2668"/>
    </row>
    <row r="75" spans="1:19" s="888" customFormat="1" ht="13.5" customHeight="1">
      <c r="A75" s="3562"/>
      <c r="B75" s="3539"/>
      <c r="C75" s="3507"/>
      <c r="D75" s="3514" t="s">
        <v>1372</v>
      </c>
      <c r="E75" s="3507"/>
      <c r="F75" s="3515"/>
      <c r="G75" s="6"/>
      <c r="H75" s="3532"/>
      <c r="I75" s="3722"/>
      <c r="J75" s="3723"/>
      <c r="K75" s="3566"/>
      <c r="L75" s="1204"/>
      <c r="M75" s="1204"/>
      <c r="N75" s="1204"/>
      <c r="O75" s="1204"/>
      <c r="P75" s="1204"/>
      <c r="Q75" s="1204"/>
      <c r="R75" s="3134"/>
      <c r="S75" s="2668"/>
    </row>
    <row r="76" spans="1:19" s="593" customFormat="1" ht="27" customHeight="1">
      <c r="A76" s="3555">
        <v>14</v>
      </c>
      <c r="B76" s="3539" t="s">
        <v>1077</v>
      </c>
      <c r="C76" s="3507" t="s">
        <v>1382</v>
      </c>
      <c r="D76" s="83" t="s">
        <v>1383</v>
      </c>
      <c r="E76" s="76" t="s">
        <v>49</v>
      </c>
      <c r="F76" s="3540">
        <f>ROUND(SUM(F78:F78),3)</f>
        <v>1</v>
      </c>
      <c r="G76" s="3615"/>
      <c r="H76" s="2231">
        <f>ROUND(F76*G76,2)</f>
        <v>0</v>
      </c>
      <c r="I76" s="3718" t="s">
        <v>112</v>
      </c>
      <c r="J76" s="3719"/>
      <c r="K76" s="1562"/>
      <c r="L76" s="3720"/>
      <c r="M76" s="3561"/>
      <c r="N76" s="193"/>
      <c r="O76" s="1562"/>
    </row>
    <row r="77" spans="1:19" s="888" customFormat="1" ht="13.5" customHeight="1">
      <c r="A77" s="3562"/>
      <c r="B77" s="3539"/>
      <c r="C77" s="3507"/>
      <c r="D77" s="3514" t="s">
        <v>1384</v>
      </c>
      <c r="E77" s="3507"/>
      <c r="F77" s="3515"/>
      <c r="G77" s="6"/>
      <c r="H77" s="3532"/>
      <c r="I77" s="3722"/>
      <c r="J77" s="3708"/>
      <c r="K77" s="71"/>
      <c r="L77" s="889"/>
      <c r="M77" s="889"/>
      <c r="N77" s="889"/>
      <c r="O77" s="889"/>
      <c r="P77" s="889"/>
      <c r="Q77" s="889"/>
      <c r="R77" s="889"/>
      <c r="S77" s="3529"/>
    </row>
    <row r="78" spans="1:19" s="888" customFormat="1" ht="13.5" customHeight="1">
      <c r="A78" s="3562"/>
      <c r="B78" s="3539"/>
      <c r="C78" s="3507"/>
      <c r="D78" s="3514" t="s">
        <v>1169</v>
      </c>
      <c r="E78" s="3507"/>
      <c r="F78" s="3515">
        <v>1</v>
      </c>
      <c r="G78" s="6"/>
      <c r="H78" s="3532"/>
      <c r="I78" s="3722"/>
      <c r="J78" s="3708"/>
      <c r="K78" s="3566"/>
      <c r="L78" s="1204"/>
      <c r="M78" s="1204"/>
      <c r="N78" s="1204"/>
      <c r="O78" s="1204"/>
      <c r="P78" s="1204"/>
      <c r="Q78" s="1204"/>
      <c r="R78" s="3134"/>
      <c r="S78" s="2668"/>
    </row>
    <row r="79" spans="1:19" s="888" customFormat="1" ht="13.5" customHeight="1">
      <c r="A79" s="3562"/>
      <c r="B79" s="3539"/>
      <c r="C79" s="3507"/>
      <c r="D79" s="3514" t="s">
        <v>1372</v>
      </c>
      <c r="E79" s="3507"/>
      <c r="F79" s="3515"/>
      <c r="G79" s="6"/>
      <c r="H79" s="3532"/>
      <c r="I79" s="3722"/>
      <c r="J79" s="3723"/>
      <c r="K79" s="3566"/>
      <c r="L79" s="1204"/>
      <c r="M79" s="1204"/>
      <c r="N79" s="1204"/>
      <c r="O79" s="1204"/>
      <c r="P79" s="1204"/>
      <c r="Q79" s="1204"/>
      <c r="R79" s="3134"/>
      <c r="S79" s="2668"/>
    </row>
    <row r="80" spans="1:19" s="593" customFormat="1" ht="27" customHeight="1">
      <c r="A80" s="3555">
        <v>15</v>
      </c>
      <c r="B80" s="3539" t="s">
        <v>1077</v>
      </c>
      <c r="C80" s="3507" t="s">
        <v>1385</v>
      </c>
      <c r="D80" s="83" t="s">
        <v>1386</v>
      </c>
      <c r="E80" s="76" t="s">
        <v>141</v>
      </c>
      <c r="F80" s="3540">
        <f>ROUND(SUM(F82:F82),3)</f>
        <v>7.5</v>
      </c>
      <c r="G80" s="3615"/>
      <c r="H80" s="2231">
        <f>ROUND(F80*G80,2)</f>
        <v>0</v>
      </c>
      <c r="I80" s="3718" t="s">
        <v>112</v>
      </c>
      <c r="J80" s="3719"/>
      <c r="K80" s="1562"/>
      <c r="L80" s="3720"/>
      <c r="M80" s="3561"/>
      <c r="N80" s="193"/>
      <c r="O80" s="1562"/>
    </row>
    <row r="81" spans="1:19" s="888" customFormat="1" ht="54" customHeight="1">
      <c r="A81" s="3562"/>
      <c r="B81" s="3539"/>
      <c r="C81" s="3507"/>
      <c r="D81" s="3514" t="s">
        <v>1387</v>
      </c>
      <c r="E81" s="3507"/>
      <c r="F81" s="3515"/>
      <c r="G81" s="6"/>
      <c r="H81" s="3532"/>
      <c r="I81" s="3722"/>
      <c r="J81" s="3708"/>
      <c r="K81" s="71"/>
      <c r="L81" s="889"/>
      <c r="M81" s="889"/>
      <c r="N81" s="889"/>
      <c r="O81" s="889"/>
      <c r="P81" s="889"/>
      <c r="Q81" s="889"/>
      <c r="R81" s="889"/>
      <c r="S81" s="3529"/>
    </row>
    <row r="82" spans="1:19" s="888" customFormat="1" ht="13.5" customHeight="1">
      <c r="A82" s="3562"/>
      <c r="B82" s="3539"/>
      <c r="C82" s="3507"/>
      <c r="D82" s="3514" t="s">
        <v>1169</v>
      </c>
      <c r="E82" s="3507"/>
      <c r="F82" s="3515">
        <v>7.5</v>
      </c>
      <c r="G82" s="6"/>
      <c r="H82" s="3532"/>
      <c r="I82" s="3722"/>
      <c r="J82" s="3723"/>
      <c r="K82" s="3566"/>
      <c r="L82" s="1204"/>
      <c r="M82" s="1204"/>
      <c r="N82" s="1204"/>
      <c r="O82" s="1204"/>
      <c r="P82" s="1204"/>
      <c r="Q82" s="1204"/>
      <c r="R82" s="3134"/>
      <c r="S82" s="2668"/>
    </row>
    <row r="83" spans="1:19" s="888" customFormat="1" ht="13.5" customHeight="1">
      <c r="A83" s="3562"/>
      <c r="B83" s="3539"/>
      <c r="C83" s="3507"/>
      <c r="D83" s="3514" t="s">
        <v>1372</v>
      </c>
      <c r="E83" s="3507"/>
      <c r="F83" s="3515"/>
      <c r="G83" s="6"/>
      <c r="H83" s="3532"/>
      <c r="I83" s="3722"/>
      <c r="J83" s="3723"/>
      <c r="K83" s="3566"/>
      <c r="L83" s="1204"/>
      <c r="M83" s="1204"/>
      <c r="N83" s="1204"/>
      <c r="O83" s="1204"/>
      <c r="P83" s="1204"/>
      <c r="Q83" s="1204"/>
      <c r="R83" s="3134"/>
      <c r="S83" s="2668"/>
    </row>
    <row r="84" spans="1:19" s="593" customFormat="1" ht="27" customHeight="1">
      <c r="A84" s="3555">
        <v>16</v>
      </c>
      <c r="B84" s="3539" t="s">
        <v>1077</v>
      </c>
      <c r="C84" s="3507" t="s">
        <v>1388</v>
      </c>
      <c r="D84" s="83" t="s">
        <v>1389</v>
      </c>
      <c r="E84" s="76" t="s">
        <v>141</v>
      </c>
      <c r="F84" s="3540">
        <f>ROUND(SUM(F86:F86),3)</f>
        <v>10.15</v>
      </c>
      <c r="G84" s="3615"/>
      <c r="H84" s="2231">
        <f>ROUND(F84*G84,2)</f>
        <v>0</v>
      </c>
      <c r="I84" s="3718" t="s">
        <v>112</v>
      </c>
      <c r="J84" s="3719"/>
      <c r="K84" s="1562"/>
      <c r="L84" s="3720"/>
      <c r="M84" s="3561"/>
      <c r="N84" s="193"/>
      <c r="O84" s="1562"/>
    </row>
    <row r="85" spans="1:19" s="888" customFormat="1" ht="40.5" customHeight="1">
      <c r="A85" s="3562"/>
      <c r="B85" s="3539"/>
      <c r="C85" s="3507"/>
      <c r="D85" s="3514" t="s">
        <v>1390</v>
      </c>
      <c r="E85" s="3507"/>
      <c r="F85" s="3515"/>
      <c r="G85" s="6"/>
      <c r="H85" s="3532"/>
      <c r="I85" s="3722"/>
      <c r="J85" s="3708"/>
      <c r="K85" s="71"/>
      <c r="L85" s="889"/>
      <c r="M85" s="889"/>
      <c r="N85" s="889"/>
      <c r="O85" s="889"/>
      <c r="P85" s="889"/>
      <c r="Q85" s="889"/>
      <c r="R85" s="889"/>
      <c r="S85" s="3529"/>
    </row>
    <row r="86" spans="1:19" s="888" customFormat="1" ht="13.5" customHeight="1">
      <c r="A86" s="3562"/>
      <c r="B86" s="3539"/>
      <c r="C86" s="3507"/>
      <c r="D86" s="3514" t="s">
        <v>1169</v>
      </c>
      <c r="E86" s="3507"/>
      <c r="F86" s="3515">
        <v>10.15</v>
      </c>
      <c r="G86" s="6"/>
      <c r="H86" s="3532"/>
      <c r="I86" s="3722"/>
      <c r="J86" s="3723"/>
      <c r="K86" s="3566"/>
      <c r="L86" s="1204"/>
      <c r="M86" s="1204"/>
      <c r="N86" s="1204"/>
      <c r="O86" s="1204"/>
      <c r="P86" s="1204"/>
      <c r="Q86" s="1204"/>
      <c r="R86" s="3134"/>
      <c r="S86" s="2668"/>
    </row>
    <row r="87" spans="1:19" s="888" customFormat="1" ht="13.5" customHeight="1">
      <c r="A87" s="3562"/>
      <c r="B87" s="3539"/>
      <c r="C87" s="3507"/>
      <c r="D87" s="3514" t="s">
        <v>1372</v>
      </c>
      <c r="E87" s="3507"/>
      <c r="F87" s="3515"/>
      <c r="G87" s="6"/>
      <c r="H87" s="3532"/>
      <c r="I87" s="3722"/>
      <c r="J87" s="3723"/>
      <c r="K87" s="3566"/>
      <c r="L87" s="1204"/>
      <c r="M87" s="1204"/>
      <c r="N87" s="1204"/>
      <c r="O87" s="1204"/>
      <c r="P87" s="1204"/>
      <c r="Q87" s="1204"/>
      <c r="R87" s="3134"/>
      <c r="S87" s="2668"/>
    </row>
    <row r="88" spans="1:19" s="593" customFormat="1" ht="27" customHeight="1">
      <c r="A88" s="3555">
        <v>17</v>
      </c>
      <c r="B88" s="3539" t="s">
        <v>1077</v>
      </c>
      <c r="C88" s="3507" t="s">
        <v>1391</v>
      </c>
      <c r="D88" s="83" t="s">
        <v>1392</v>
      </c>
      <c r="E88" s="76" t="s">
        <v>1315</v>
      </c>
      <c r="F88" s="3540">
        <f>ROUND(SUM(F90),3)</f>
        <v>1</v>
      </c>
      <c r="G88" s="3615"/>
      <c r="H88" s="2231">
        <f>ROUND(F88*G88,2)</f>
        <v>0</v>
      </c>
      <c r="I88" s="3718" t="s">
        <v>112</v>
      </c>
      <c r="J88" s="3719"/>
      <c r="K88" s="1562"/>
      <c r="L88" s="3720"/>
      <c r="M88" s="3561"/>
      <c r="N88" s="193"/>
      <c r="O88" s="1562"/>
    </row>
    <row r="89" spans="1:19" s="888" customFormat="1" ht="13.5" customHeight="1">
      <c r="A89" s="3562"/>
      <c r="B89" s="3539"/>
      <c r="C89" s="3507"/>
      <c r="D89" s="3514" t="s">
        <v>1393</v>
      </c>
      <c r="E89" s="3507"/>
      <c r="F89" s="3515"/>
      <c r="G89" s="6"/>
      <c r="H89" s="3532"/>
      <c r="I89" s="3722"/>
      <c r="J89" s="3708"/>
      <c r="K89" s="71"/>
      <c r="L89" s="889"/>
      <c r="M89" s="889"/>
      <c r="N89" s="889"/>
      <c r="O89" s="889"/>
      <c r="P89" s="889"/>
      <c r="Q89" s="889"/>
      <c r="R89" s="889"/>
      <c r="S89" s="3529"/>
    </row>
    <row r="90" spans="1:19" s="888" customFormat="1" ht="13.5" customHeight="1">
      <c r="A90" s="3562"/>
      <c r="B90" s="3539"/>
      <c r="C90" s="3507"/>
      <c r="D90" s="3514" t="s">
        <v>1169</v>
      </c>
      <c r="E90" s="3507"/>
      <c r="F90" s="3515">
        <v>1</v>
      </c>
      <c r="G90" s="6"/>
      <c r="H90" s="3532"/>
      <c r="I90" s="3722"/>
      <c r="J90" s="3723"/>
      <c r="K90" s="3566"/>
      <c r="L90" s="1204"/>
      <c r="M90" s="1204"/>
      <c r="N90" s="1204"/>
      <c r="O90" s="1204"/>
      <c r="P90" s="1204"/>
      <c r="Q90" s="1204"/>
      <c r="R90" s="3134"/>
      <c r="S90" s="2668"/>
    </row>
    <row r="91" spans="1:19" s="888" customFormat="1" ht="13.5" customHeight="1">
      <c r="A91" s="3562"/>
      <c r="B91" s="3539"/>
      <c r="C91" s="3507"/>
      <c r="D91" s="3514" t="s">
        <v>1372</v>
      </c>
      <c r="E91" s="3507"/>
      <c r="F91" s="3515"/>
      <c r="G91" s="6"/>
      <c r="H91" s="3532"/>
      <c r="I91" s="3722"/>
      <c r="J91" s="3723"/>
      <c r="K91" s="3566"/>
      <c r="L91" s="1204"/>
      <c r="M91" s="1204"/>
      <c r="N91" s="1204"/>
      <c r="O91" s="1204"/>
      <c r="P91" s="1204"/>
      <c r="Q91" s="1204"/>
      <c r="R91" s="3134"/>
      <c r="S91" s="2668"/>
    </row>
    <row r="92" spans="1:19" s="593" customFormat="1" ht="27" customHeight="1">
      <c r="A92" s="3555">
        <v>18</v>
      </c>
      <c r="B92" s="3539" t="s">
        <v>1077</v>
      </c>
      <c r="C92" s="3507" t="s">
        <v>1394</v>
      </c>
      <c r="D92" s="83" t="s">
        <v>1395</v>
      </c>
      <c r="E92" s="76" t="s">
        <v>1315</v>
      </c>
      <c r="F92" s="3540">
        <f>ROUND(SUM(F94),3)</f>
        <v>4</v>
      </c>
      <c r="G92" s="3615"/>
      <c r="H92" s="2231">
        <f>ROUND(F92*G92,2)</f>
        <v>0</v>
      </c>
      <c r="I92" s="3718" t="s">
        <v>112</v>
      </c>
      <c r="J92" s="3719"/>
      <c r="K92" s="1562"/>
      <c r="L92" s="3720"/>
      <c r="M92" s="3561"/>
      <c r="N92" s="193"/>
      <c r="O92" s="1562"/>
    </row>
    <row r="93" spans="1:19" s="888" customFormat="1" ht="13.5" customHeight="1">
      <c r="A93" s="3562"/>
      <c r="B93" s="3539"/>
      <c r="C93" s="3507"/>
      <c r="D93" s="3514" t="s">
        <v>1396</v>
      </c>
      <c r="E93" s="3507"/>
      <c r="F93" s="3515"/>
      <c r="G93" s="6"/>
      <c r="H93" s="3532"/>
      <c r="I93" s="3722"/>
      <c r="J93" s="3708"/>
      <c r="K93" s="71"/>
      <c r="L93" s="889"/>
      <c r="M93" s="889"/>
      <c r="N93" s="889"/>
      <c r="O93" s="889"/>
      <c r="P93" s="889"/>
      <c r="Q93" s="889"/>
      <c r="R93" s="889"/>
      <c r="S93" s="3529"/>
    </row>
    <row r="94" spans="1:19" s="888" customFormat="1" ht="13.5" customHeight="1">
      <c r="A94" s="3562"/>
      <c r="B94" s="3539"/>
      <c r="C94" s="3507"/>
      <c r="D94" s="3514" t="s">
        <v>1397</v>
      </c>
      <c r="E94" s="3507"/>
      <c r="F94" s="3515">
        <v>4</v>
      </c>
      <c r="G94" s="6"/>
      <c r="H94" s="3532"/>
      <c r="I94" s="3722"/>
      <c r="J94" s="3723"/>
      <c r="K94" s="3566"/>
      <c r="L94" s="1204"/>
      <c r="M94" s="1204"/>
      <c r="N94" s="1204"/>
      <c r="O94" s="1204"/>
      <c r="P94" s="1204"/>
      <c r="Q94" s="1204"/>
      <c r="R94" s="3134"/>
      <c r="S94" s="2668"/>
    </row>
    <row r="95" spans="1:19" s="888" customFormat="1" ht="13.5" customHeight="1">
      <c r="A95" s="3562"/>
      <c r="B95" s="3539"/>
      <c r="C95" s="3507"/>
      <c r="D95" s="3514" t="s">
        <v>1372</v>
      </c>
      <c r="E95" s="3507"/>
      <c r="F95" s="3515"/>
      <c r="G95" s="6"/>
      <c r="H95" s="3532"/>
      <c r="I95" s="3722"/>
      <c r="J95" s="3723"/>
      <c r="K95" s="3566"/>
      <c r="L95" s="1204"/>
      <c r="M95" s="1204"/>
      <c r="N95" s="1204"/>
      <c r="O95" s="1204"/>
      <c r="P95" s="1204"/>
      <c r="Q95" s="1204"/>
      <c r="R95" s="3134"/>
      <c r="S95" s="2668"/>
    </row>
    <row r="96" spans="1:19" s="593" customFormat="1" ht="27" customHeight="1">
      <c r="A96" s="3555">
        <v>19</v>
      </c>
      <c r="B96" s="3539" t="s">
        <v>1077</v>
      </c>
      <c r="C96" s="3507" t="s">
        <v>1398</v>
      </c>
      <c r="D96" s="83" t="s">
        <v>1399</v>
      </c>
      <c r="E96" s="76" t="s">
        <v>1315</v>
      </c>
      <c r="F96" s="3540">
        <f>ROUND(SUM(F98),3)</f>
        <v>1</v>
      </c>
      <c r="G96" s="3615"/>
      <c r="H96" s="2231">
        <f>ROUND(F96*G96,2)</f>
        <v>0</v>
      </c>
      <c r="I96" s="3718" t="s">
        <v>112</v>
      </c>
      <c r="J96" s="3719"/>
      <c r="K96" s="1562"/>
      <c r="L96" s="3720"/>
      <c r="M96" s="3561"/>
      <c r="N96" s="193"/>
      <c r="O96" s="1562"/>
    </row>
    <row r="97" spans="1:62" s="888" customFormat="1" ht="13.5" customHeight="1">
      <c r="A97" s="3562"/>
      <c r="B97" s="3539"/>
      <c r="C97" s="3507"/>
      <c r="D97" s="3514" t="s">
        <v>1396</v>
      </c>
      <c r="E97" s="3507"/>
      <c r="F97" s="3515"/>
      <c r="G97" s="6"/>
      <c r="H97" s="3532"/>
      <c r="I97" s="3722"/>
      <c r="J97" s="3708"/>
      <c r="K97" s="71"/>
      <c r="L97" s="889"/>
      <c r="M97" s="889"/>
      <c r="N97" s="889"/>
      <c r="O97" s="889"/>
      <c r="P97" s="889"/>
      <c r="Q97" s="889"/>
      <c r="R97" s="889"/>
      <c r="S97" s="3529"/>
    </row>
    <row r="98" spans="1:62" s="888" customFormat="1" ht="13.5" customHeight="1">
      <c r="A98" s="3562"/>
      <c r="B98" s="3539"/>
      <c r="C98" s="3507"/>
      <c r="D98" s="3514" t="s">
        <v>1397</v>
      </c>
      <c r="E98" s="3507"/>
      <c r="F98" s="3515">
        <v>1</v>
      </c>
      <c r="G98" s="6"/>
      <c r="H98" s="3532"/>
      <c r="I98" s="3722"/>
      <c r="J98" s="3723"/>
      <c r="K98" s="3566"/>
      <c r="L98" s="1204"/>
      <c r="M98" s="1204"/>
      <c r="N98" s="1204"/>
      <c r="O98" s="1204"/>
      <c r="P98" s="1204"/>
      <c r="Q98" s="1204"/>
      <c r="R98" s="3134"/>
      <c r="S98" s="2668"/>
    </row>
    <row r="99" spans="1:62" s="888" customFormat="1" ht="13.5" customHeight="1">
      <c r="A99" s="3562"/>
      <c r="B99" s="3539"/>
      <c r="C99" s="3507"/>
      <c r="D99" s="3514" t="s">
        <v>1372</v>
      </c>
      <c r="E99" s="3507"/>
      <c r="F99" s="3515"/>
      <c r="G99" s="6"/>
      <c r="H99" s="3532"/>
      <c r="I99" s="3722"/>
      <c r="J99" s="3723"/>
      <c r="K99" s="3566"/>
      <c r="L99" s="1204"/>
      <c r="M99" s="1204"/>
      <c r="N99" s="1204"/>
      <c r="O99" s="1204"/>
      <c r="P99" s="1204"/>
      <c r="Q99" s="1204"/>
      <c r="R99" s="3134"/>
      <c r="S99" s="2668"/>
    </row>
    <row r="100" spans="1:62" s="593" customFormat="1" ht="13.5" customHeight="1">
      <c r="A100" s="3555">
        <v>20</v>
      </c>
      <c r="B100" s="3539" t="s">
        <v>1077</v>
      </c>
      <c r="C100" s="3507">
        <v>998767202</v>
      </c>
      <c r="D100" s="3507" t="s">
        <v>1078</v>
      </c>
      <c r="E100" s="3556" t="s">
        <v>10</v>
      </c>
      <c r="F100" s="3557">
        <v>0.98</v>
      </c>
      <c r="G100" s="3615"/>
      <c r="H100" s="2231">
        <f>ROUND(F100*G100,2)</f>
        <v>0</v>
      </c>
      <c r="I100" s="3718" t="s">
        <v>137</v>
      </c>
      <c r="J100" s="3559"/>
      <c r="L100" s="3560"/>
      <c r="M100" s="3561"/>
    </row>
    <row r="101" spans="1:62" s="593" customFormat="1" ht="13.5" customHeight="1">
      <c r="A101" s="3555">
        <v>21</v>
      </c>
      <c r="B101" s="3539" t="s">
        <v>362</v>
      </c>
      <c r="C101" s="3507" t="s">
        <v>1079</v>
      </c>
      <c r="D101" s="3507" t="s">
        <v>1080</v>
      </c>
      <c r="E101" s="3556" t="s">
        <v>69</v>
      </c>
      <c r="F101" s="3540">
        <f>ROUND(SUM(F102),3)</f>
        <v>15</v>
      </c>
      <c r="G101" s="3615"/>
      <c r="H101" s="2231">
        <f>ROUND(F101*G101,2)</f>
        <v>0</v>
      </c>
      <c r="I101" s="3718" t="s">
        <v>137</v>
      </c>
      <c r="J101" s="3719"/>
      <c r="L101" s="3560"/>
      <c r="M101" s="3561"/>
    </row>
    <row r="102" spans="1:62" s="888" customFormat="1" ht="13.5" customHeight="1">
      <c r="A102" s="3562"/>
      <c r="B102" s="3539"/>
      <c r="C102" s="3507"/>
      <c r="D102" s="3514" t="s">
        <v>1400</v>
      </c>
      <c r="E102" s="3507"/>
      <c r="F102" s="3515">
        <v>15</v>
      </c>
      <c r="G102" s="6"/>
      <c r="H102" s="3532"/>
      <c r="I102" s="3564"/>
      <c r="J102" s="3730"/>
      <c r="K102" s="3566"/>
      <c r="L102" s="1204"/>
      <c r="M102" s="1204"/>
      <c r="N102" s="1204"/>
      <c r="O102" s="1204"/>
      <c r="P102" s="1204"/>
      <c r="Q102" s="1204"/>
      <c r="R102" s="3134"/>
      <c r="S102" s="2668"/>
    </row>
    <row r="103" spans="1:62" s="888" customFormat="1" ht="13.5" customHeight="1">
      <c r="A103" s="3562"/>
      <c r="B103" s="3539"/>
      <c r="C103" s="3507"/>
      <c r="D103" s="3514" t="s">
        <v>526</v>
      </c>
      <c r="E103" s="3507"/>
      <c r="F103" s="3515"/>
      <c r="G103" s="6"/>
      <c r="H103" s="3532"/>
      <c r="I103" s="3564"/>
      <c r="J103" s="3730"/>
      <c r="K103" s="3566"/>
      <c r="L103" s="1204"/>
      <c r="M103" s="1204"/>
      <c r="N103" s="1204"/>
      <c r="O103" s="1204"/>
      <c r="P103" s="1204"/>
      <c r="Q103" s="1204"/>
      <c r="R103" s="3134"/>
      <c r="S103" s="2668"/>
    </row>
    <row r="104" spans="1:62" s="888" customFormat="1" ht="21" customHeight="1">
      <c r="A104" s="3187"/>
      <c r="B104" s="3188"/>
      <c r="C104" s="3188"/>
      <c r="D104" s="3188" t="s">
        <v>0</v>
      </c>
      <c r="E104" s="3188"/>
      <c r="F104" s="3189"/>
      <c r="G104" s="3190"/>
      <c r="H104" s="3190">
        <f>H8</f>
        <v>0</v>
      </c>
      <c r="J104" s="3708"/>
      <c r="K104" s="889"/>
      <c r="L104" s="889"/>
      <c r="M104" s="889"/>
      <c r="N104" s="889"/>
      <c r="O104" s="88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89"/>
      <c r="AL104" s="889"/>
      <c r="AM104" s="889"/>
      <c r="AN104" s="889"/>
      <c r="AO104" s="889"/>
      <c r="AP104" s="889"/>
      <c r="AQ104" s="889"/>
      <c r="AR104" s="889"/>
      <c r="AS104" s="889"/>
      <c r="AT104" s="889"/>
      <c r="AU104" s="889"/>
      <c r="AV104" s="889"/>
      <c r="AW104" s="889"/>
      <c r="AX104" s="889"/>
      <c r="AY104" s="889"/>
      <c r="AZ104" s="889"/>
      <c r="BA104" s="889"/>
      <c r="BB104" s="889"/>
      <c r="BC104" s="889"/>
      <c r="BD104" s="889"/>
      <c r="BE104" s="889"/>
      <c r="BF104" s="889"/>
      <c r="BG104" s="889"/>
      <c r="BH104" s="889"/>
      <c r="BI104" s="889"/>
      <c r="BJ104" s="889"/>
    </row>
    <row r="105" spans="1:62">
      <c r="J105" s="372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c r="AK105" s="888"/>
      <c r="AL105" s="888"/>
      <c r="AM105" s="888"/>
      <c r="AN105" s="888"/>
      <c r="AO105" s="888"/>
      <c r="AP105" s="888"/>
      <c r="AQ105" s="888"/>
      <c r="AR105" s="888"/>
      <c r="AS105" s="888"/>
      <c r="AT105" s="888"/>
      <c r="AU105" s="888"/>
      <c r="AV105" s="888"/>
      <c r="AW105" s="888"/>
      <c r="AX105" s="888"/>
      <c r="AY105" s="888"/>
      <c r="AZ105" s="888"/>
      <c r="BA105" s="888"/>
      <c r="BB105" s="888"/>
      <c r="BC105" s="888"/>
      <c r="BD105" s="888"/>
      <c r="BE105" s="888"/>
      <c r="BF105" s="888"/>
      <c r="BG105" s="888"/>
      <c r="BH105" s="888"/>
      <c r="BI105" s="888"/>
      <c r="BJ105" s="888"/>
    </row>
    <row r="106" spans="1:62" ht="13.5" customHeight="1">
      <c r="A106" s="5169" t="s">
        <v>862</v>
      </c>
      <c r="B106" s="5201"/>
      <c r="C106" s="5202"/>
      <c r="D106" s="3196" t="s">
        <v>1401</v>
      </c>
      <c r="E106" s="3197"/>
      <c r="F106" s="3198"/>
      <c r="G106" s="3602"/>
      <c r="H106" s="3200">
        <f>H104</f>
        <v>0</v>
      </c>
      <c r="J106" s="3732"/>
    </row>
    <row r="107" spans="1:62">
      <c r="J107" s="3733"/>
      <c r="L107" s="3604"/>
      <c r="M107" s="3605"/>
      <c r="N107" s="3606"/>
      <c r="O107" s="3607"/>
      <c r="P107" s="3499"/>
      <c r="Q107" s="3499"/>
      <c r="R107" s="888"/>
      <c r="S107" s="3496"/>
      <c r="T107" s="3497"/>
      <c r="U107" s="3604"/>
      <c r="V107" s="3605"/>
      <c r="W107" s="3606"/>
      <c r="X107" s="3607"/>
      <c r="Y107" s="3499"/>
      <c r="Z107" s="3499"/>
      <c r="AA107" s="888"/>
      <c r="AB107" s="3496"/>
      <c r="AC107" s="3497"/>
      <c r="AD107" s="3604"/>
      <c r="AE107" s="3605"/>
      <c r="AF107" s="3606"/>
      <c r="AG107" s="3607"/>
      <c r="AH107" s="3499"/>
      <c r="AI107" s="3499"/>
      <c r="AJ107" s="888"/>
      <c r="AK107" s="3496"/>
      <c r="AL107" s="3497"/>
      <c r="AM107" s="3604"/>
      <c r="AN107" s="3605"/>
      <c r="AO107" s="3606"/>
      <c r="AP107" s="3607"/>
      <c r="AQ107" s="3499"/>
      <c r="AR107" s="3499"/>
      <c r="AS107" s="888"/>
      <c r="AT107" s="3496"/>
      <c r="AU107" s="3497"/>
      <c r="AV107" s="3604"/>
      <c r="AW107" s="3605"/>
      <c r="AX107" s="3606"/>
      <c r="AY107" s="3607"/>
      <c r="AZ107" s="3499"/>
      <c r="BA107" s="3499"/>
      <c r="BB107" s="888"/>
      <c r="BC107" s="3496"/>
      <c r="BD107" s="3497"/>
      <c r="BE107" s="3604"/>
      <c r="BF107" s="3605"/>
      <c r="BG107" s="3606"/>
      <c r="BH107" s="3607"/>
      <c r="BI107" s="3499"/>
      <c r="BJ107" s="3499"/>
    </row>
    <row r="108" spans="1:62">
      <c r="A108" s="689" t="s">
        <v>1</v>
      </c>
      <c r="B108" s="1977"/>
      <c r="C108" s="689"/>
      <c r="D108" s="689"/>
      <c r="E108" s="689"/>
      <c r="F108" s="689"/>
      <c r="G108" s="689"/>
      <c r="H108" s="689"/>
      <c r="I108" s="2668"/>
      <c r="J108" s="3734"/>
      <c r="L108" s="3604"/>
      <c r="M108" s="3605"/>
      <c r="N108" s="3606"/>
      <c r="O108" s="3607"/>
      <c r="P108" s="3499"/>
      <c r="Q108" s="3499"/>
      <c r="R108" s="888"/>
      <c r="S108" s="3496"/>
      <c r="T108" s="3497"/>
      <c r="U108" s="3604"/>
      <c r="V108" s="3605"/>
      <c r="W108" s="3606"/>
      <c r="X108" s="3607"/>
      <c r="Y108" s="3499"/>
      <c r="Z108" s="3499"/>
      <c r="AA108" s="888"/>
      <c r="AB108" s="3496"/>
      <c r="AC108" s="3497"/>
      <c r="AD108" s="3604"/>
      <c r="AE108" s="3605"/>
      <c r="AF108" s="3606"/>
      <c r="AG108" s="3607"/>
      <c r="AH108" s="3499"/>
      <c r="AI108" s="3499"/>
      <c r="AJ108" s="888"/>
      <c r="AK108" s="3496"/>
      <c r="AL108" s="3497"/>
      <c r="AM108" s="3604"/>
      <c r="AN108" s="3605"/>
      <c r="AO108" s="3606"/>
      <c r="AP108" s="3607"/>
      <c r="AQ108" s="3499"/>
      <c r="AR108" s="3499"/>
      <c r="AS108" s="888"/>
      <c r="AT108" s="3496"/>
      <c r="AU108" s="3497"/>
      <c r="AV108" s="3604"/>
      <c r="AW108" s="3605"/>
      <c r="AX108" s="3606"/>
      <c r="AY108" s="3607"/>
      <c r="AZ108" s="3499"/>
      <c r="BA108" s="3499"/>
      <c r="BB108" s="888"/>
      <c r="BC108" s="3496"/>
      <c r="BD108" s="3497"/>
      <c r="BE108" s="3604"/>
      <c r="BF108" s="3605"/>
      <c r="BG108" s="3606"/>
      <c r="BH108" s="3607"/>
      <c r="BI108" s="3499"/>
      <c r="BJ108" s="3499"/>
    </row>
    <row r="109" spans="1:62" ht="27" customHeight="1">
      <c r="A109" s="5159" t="s">
        <v>1112</v>
      </c>
      <c r="B109" s="5172"/>
      <c r="C109" s="5172"/>
      <c r="D109" s="5172"/>
      <c r="E109" s="5172"/>
      <c r="F109" s="5172"/>
      <c r="G109" s="5172"/>
      <c r="H109" s="689"/>
      <c r="I109" s="3151"/>
      <c r="J109" s="102"/>
      <c r="L109" s="3604"/>
      <c r="M109" s="3605"/>
      <c r="N109" s="3606"/>
      <c r="O109" s="3607"/>
      <c r="P109" s="3499"/>
      <c r="Q109" s="3499"/>
      <c r="R109" s="888"/>
      <c r="S109" s="3496"/>
      <c r="T109" s="3497"/>
      <c r="U109" s="3604"/>
      <c r="V109" s="3605"/>
      <c r="W109" s="3606"/>
      <c r="X109" s="3607"/>
      <c r="Y109" s="3499"/>
      <c r="Z109" s="3499"/>
      <c r="AA109" s="888"/>
      <c r="AB109" s="3496"/>
      <c r="AC109" s="3497"/>
      <c r="AD109" s="3604"/>
      <c r="AE109" s="3605"/>
      <c r="AF109" s="3606"/>
      <c r="AG109" s="3607"/>
      <c r="AH109" s="3499"/>
      <c r="AI109" s="3499"/>
      <c r="AJ109" s="888"/>
      <c r="AK109" s="3496"/>
      <c r="AL109" s="3497"/>
      <c r="AM109" s="3604"/>
      <c r="AN109" s="3605"/>
      <c r="AO109" s="3606"/>
      <c r="AP109" s="3607"/>
      <c r="AQ109" s="3499"/>
      <c r="AR109" s="3499"/>
      <c r="AS109" s="888"/>
      <c r="AT109" s="3496"/>
      <c r="AU109" s="3497"/>
      <c r="AV109" s="3604"/>
      <c r="AW109" s="3605"/>
      <c r="AX109" s="3606"/>
      <c r="AY109" s="3607"/>
      <c r="AZ109" s="3499"/>
      <c r="BA109" s="3499"/>
      <c r="BB109" s="888"/>
      <c r="BC109" s="3496"/>
      <c r="BD109" s="3497"/>
      <c r="BE109" s="3604"/>
      <c r="BF109" s="3605"/>
      <c r="BG109" s="3606"/>
      <c r="BH109" s="3607"/>
      <c r="BI109" s="3499"/>
      <c r="BJ109" s="3499"/>
    </row>
    <row r="110" spans="1:62" ht="90" customHeight="1">
      <c r="A110" s="5159" t="s">
        <v>1113</v>
      </c>
      <c r="B110" s="5173"/>
      <c r="C110" s="5173"/>
      <c r="D110" s="5173"/>
      <c r="E110" s="5173"/>
      <c r="F110" s="5173"/>
      <c r="G110" s="5173"/>
      <c r="H110" s="689"/>
      <c r="I110" s="689"/>
      <c r="J110" s="3732"/>
      <c r="L110" s="3604"/>
      <c r="M110" s="3605"/>
      <c r="N110" s="3606"/>
      <c r="O110" s="3607"/>
      <c r="P110" s="3499"/>
      <c r="Q110" s="3499"/>
      <c r="R110" s="888"/>
      <c r="S110" s="3496"/>
      <c r="T110" s="3497"/>
      <c r="U110" s="3604"/>
      <c r="V110" s="3605"/>
      <c r="W110" s="3606"/>
      <c r="X110" s="3607"/>
      <c r="Y110" s="3499"/>
      <c r="Z110" s="3499"/>
      <c r="AA110" s="888"/>
      <c r="AB110" s="3496"/>
      <c r="AC110" s="3497"/>
      <c r="AD110" s="3604"/>
      <c r="AE110" s="3605"/>
      <c r="AF110" s="3606"/>
      <c r="AG110" s="3607"/>
      <c r="AH110" s="3499"/>
      <c r="AI110" s="3499"/>
      <c r="AJ110" s="888"/>
      <c r="AK110" s="3496"/>
      <c r="AL110" s="3497"/>
      <c r="AM110" s="3604"/>
      <c r="AN110" s="3605"/>
      <c r="AO110" s="3606"/>
      <c r="AP110" s="3607"/>
      <c r="AQ110" s="3499"/>
      <c r="AR110" s="3499"/>
      <c r="AS110" s="888"/>
      <c r="AT110" s="3496"/>
      <c r="AU110" s="3497"/>
      <c r="AV110" s="3604"/>
      <c r="AW110" s="3605"/>
      <c r="AX110" s="3606"/>
      <c r="AY110" s="3607"/>
      <c r="AZ110" s="3499"/>
      <c r="BA110" s="3499"/>
      <c r="BB110" s="888"/>
      <c r="BC110" s="3496"/>
      <c r="BD110" s="3497"/>
      <c r="BE110" s="3604"/>
      <c r="BF110" s="3605"/>
      <c r="BG110" s="3606"/>
      <c r="BH110" s="3607"/>
      <c r="BI110" s="3499"/>
      <c r="BJ110" s="3499"/>
    </row>
    <row r="111" spans="1:62">
      <c r="A111" s="5159" t="s">
        <v>105</v>
      </c>
      <c r="B111" s="5174"/>
      <c r="C111" s="5174"/>
      <c r="D111" s="5174"/>
      <c r="E111" s="5174"/>
      <c r="F111" s="5174"/>
      <c r="G111" s="5174"/>
      <c r="H111" s="691"/>
      <c r="I111" s="691"/>
      <c r="J111" s="3732"/>
      <c r="L111" s="3604"/>
      <c r="M111" s="3605"/>
      <c r="N111" s="3606"/>
      <c r="O111" s="3607"/>
      <c r="P111" s="3499"/>
      <c r="Q111" s="3499"/>
      <c r="R111" s="888"/>
      <c r="S111" s="3496"/>
      <c r="T111" s="3497"/>
      <c r="U111" s="3604"/>
      <c r="V111" s="3605"/>
      <c r="W111" s="3606"/>
      <c r="X111" s="3607"/>
      <c r="Y111" s="3499"/>
      <c r="Z111" s="3499"/>
      <c r="AA111" s="888"/>
      <c r="AB111" s="3496"/>
      <c r="AC111" s="3497"/>
      <c r="AD111" s="3604"/>
      <c r="AE111" s="3605"/>
      <c r="AF111" s="3606"/>
      <c r="AG111" s="3607"/>
      <c r="AH111" s="3499"/>
      <c r="AI111" s="3499"/>
      <c r="AJ111" s="888"/>
      <c r="AK111" s="3496"/>
      <c r="AL111" s="3497"/>
      <c r="AM111" s="3604"/>
      <c r="AN111" s="3605"/>
      <c r="AO111" s="3606"/>
      <c r="AP111" s="3607"/>
      <c r="AQ111" s="3499"/>
      <c r="AR111" s="3499"/>
      <c r="AS111" s="888"/>
      <c r="AT111" s="3496"/>
      <c r="AU111" s="3497"/>
      <c r="AV111" s="3604"/>
      <c r="AW111" s="3605"/>
      <c r="AX111" s="3606"/>
      <c r="AY111" s="3607"/>
      <c r="AZ111" s="3499"/>
      <c r="BA111" s="3499"/>
      <c r="BB111" s="888"/>
      <c r="BC111" s="3496"/>
      <c r="BD111" s="3497"/>
      <c r="BE111" s="3604"/>
      <c r="BF111" s="3605"/>
      <c r="BG111" s="3606"/>
      <c r="BH111" s="3607"/>
      <c r="BI111" s="3499"/>
      <c r="BJ111" s="3499"/>
    </row>
    <row r="112" spans="1:62">
      <c r="A112" s="5159" t="s">
        <v>106</v>
      </c>
      <c r="B112" s="5174"/>
      <c r="C112" s="5174"/>
      <c r="D112" s="5174"/>
      <c r="E112" s="5174"/>
      <c r="F112" s="5174"/>
      <c r="G112" s="5174"/>
      <c r="H112" s="691"/>
      <c r="I112" s="691"/>
      <c r="J112" s="3728"/>
      <c r="L112" s="3604"/>
      <c r="M112" s="3605"/>
      <c r="N112" s="3606"/>
      <c r="O112" s="3607"/>
      <c r="P112" s="3499"/>
      <c r="Q112" s="3499"/>
      <c r="R112" s="888"/>
      <c r="S112" s="3496"/>
      <c r="T112" s="3497"/>
      <c r="U112" s="3604"/>
      <c r="V112" s="3605"/>
      <c r="W112" s="3606"/>
      <c r="X112" s="3607"/>
      <c r="Y112" s="3499"/>
      <c r="Z112" s="3499"/>
      <c r="AA112" s="888"/>
      <c r="AB112" s="3496"/>
      <c r="AC112" s="3497"/>
      <c r="AD112" s="3604"/>
      <c r="AE112" s="3605"/>
      <c r="AF112" s="3606"/>
      <c r="AG112" s="3607"/>
      <c r="AH112" s="3499"/>
      <c r="AI112" s="3499"/>
      <c r="AJ112" s="888"/>
      <c r="AK112" s="3496"/>
      <c r="AL112" s="3497"/>
      <c r="AM112" s="3604"/>
      <c r="AN112" s="3605"/>
      <c r="AO112" s="3606"/>
      <c r="AP112" s="3607"/>
      <c r="AQ112" s="3499"/>
      <c r="AR112" s="3499"/>
      <c r="AS112" s="888"/>
      <c r="AT112" s="3496"/>
      <c r="AU112" s="3497"/>
      <c r="AV112" s="3604"/>
      <c r="AW112" s="3605"/>
      <c r="AX112" s="3606"/>
      <c r="AY112" s="3607"/>
      <c r="AZ112" s="3499"/>
      <c r="BA112" s="3499"/>
      <c r="BB112" s="888"/>
      <c r="BC112" s="3496"/>
      <c r="BD112" s="3497"/>
      <c r="BE112" s="3604"/>
      <c r="BF112" s="3605"/>
      <c r="BG112" s="3606"/>
      <c r="BH112" s="3607"/>
      <c r="BI112" s="3499"/>
      <c r="BJ112" s="3499"/>
    </row>
    <row r="113" spans="1:62" ht="40.5" customHeight="1">
      <c r="A113" s="5156" t="s">
        <v>865</v>
      </c>
      <c r="B113" s="5156"/>
      <c r="C113" s="5156"/>
      <c r="D113" s="5156"/>
      <c r="E113" s="5156"/>
      <c r="F113" s="5156"/>
      <c r="G113" s="5156"/>
      <c r="H113" s="1203"/>
      <c r="J113" s="889"/>
    </row>
    <row r="114" spans="1:62" ht="108" customHeight="1">
      <c r="A114" s="5156" t="s">
        <v>1013</v>
      </c>
      <c r="B114" s="5156"/>
      <c r="C114" s="5156"/>
      <c r="D114" s="5156"/>
      <c r="E114" s="5156"/>
      <c r="F114" s="5156"/>
      <c r="G114" s="5156"/>
      <c r="H114" s="1204"/>
      <c r="I114" s="1205"/>
      <c r="J114" s="889"/>
    </row>
    <row r="115" spans="1:62">
      <c r="J115" s="3732"/>
      <c r="L115" s="3604"/>
      <c r="M115" s="3605"/>
      <c r="N115" s="3606"/>
      <c r="O115" s="3607"/>
      <c r="P115" s="3499"/>
      <c r="Q115" s="3499"/>
      <c r="R115" s="888"/>
      <c r="S115" s="3496"/>
      <c r="T115" s="3497"/>
      <c r="U115" s="3604"/>
      <c r="V115" s="3605"/>
      <c r="W115" s="3606"/>
      <c r="X115" s="3607"/>
      <c r="Y115" s="3499"/>
      <c r="Z115" s="3499"/>
      <c r="AA115" s="888"/>
      <c r="AB115" s="3496"/>
      <c r="AC115" s="3497"/>
      <c r="AD115" s="3604"/>
      <c r="AE115" s="3605"/>
      <c r="AF115" s="3606"/>
      <c r="AG115" s="3607"/>
      <c r="AH115" s="3499"/>
      <c r="AI115" s="3499"/>
      <c r="AJ115" s="888"/>
      <c r="AK115" s="3496"/>
      <c r="AL115" s="3497"/>
      <c r="AM115" s="3604"/>
      <c r="AN115" s="3605"/>
      <c r="AO115" s="3606"/>
      <c r="AP115" s="3607"/>
      <c r="AQ115" s="3499"/>
      <c r="AR115" s="3499"/>
      <c r="AS115" s="888"/>
      <c r="AT115" s="3496"/>
      <c r="AU115" s="3497"/>
      <c r="AV115" s="3604"/>
      <c r="AW115" s="3605"/>
      <c r="AX115" s="3606"/>
      <c r="AY115" s="3607"/>
      <c r="AZ115" s="3499"/>
      <c r="BA115" s="3499"/>
      <c r="BB115" s="888"/>
      <c r="BC115" s="3496"/>
      <c r="BD115" s="3497"/>
      <c r="BE115" s="3604"/>
      <c r="BF115" s="3605"/>
      <c r="BG115" s="3606"/>
      <c r="BH115" s="3607"/>
      <c r="BI115" s="3499"/>
      <c r="BJ115" s="3499"/>
    </row>
    <row r="116" spans="1:62">
      <c r="J116" s="3732"/>
      <c r="L116" s="3604"/>
      <c r="M116" s="3605"/>
      <c r="N116" s="3606"/>
      <c r="O116" s="3607"/>
      <c r="P116" s="3499"/>
      <c r="Q116" s="3499"/>
      <c r="R116" s="888"/>
      <c r="S116" s="3496"/>
      <c r="T116" s="3497"/>
      <c r="U116" s="3604"/>
      <c r="V116" s="3605"/>
      <c r="W116" s="3606"/>
      <c r="X116" s="3607"/>
      <c r="Y116" s="3499"/>
      <c r="Z116" s="3499"/>
      <c r="AA116" s="888"/>
      <c r="AB116" s="3496"/>
      <c r="AC116" s="3497"/>
      <c r="AD116" s="3604"/>
      <c r="AE116" s="3605"/>
      <c r="AF116" s="3606"/>
      <c r="AG116" s="3607"/>
      <c r="AH116" s="3499"/>
      <c r="AI116" s="3499"/>
      <c r="AJ116" s="888"/>
      <c r="AK116" s="3496"/>
      <c r="AL116" s="3497"/>
      <c r="AM116" s="3604"/>
      <c r="AN116" s="3605"/>
      <c r="AO116" s="3606"/>
      <c r="AP116" s="3607"/>
      <c r="AQ116" s="3499"/>
      <c r="AR116" s="3499"/>
      <c r="AS116" s="888"/>
      <c r="AT116" s="3496"/>
      <c r="AU116" s="3497"/>
      <c r="AV116" s="3604"/>
      <c r="AW116" s="3605"/>
      <c r="AX116" s="3606"/>
      <c r="AY116" s="3607"/>
      <c r="AZ116" s="3499"/>
      <c r="BA116" s="3499"/>
      <c r="BB116" s="888"/>
      <c r="BC116" s="3496"/>
      <c r="BD116" s="3497"/>
      <c r="BE116" s="3604"/>
      <c r="BF116" s="3605"/>
      <c r="BG116" s="3606"/>
      <c r="BH116" s="3607"/>
      <c r="BI116" s="3499"/>
      <c r="BJ116" s="3499"/>
    </row>
    <row r="117" spans="1:62">
      <c r="J117" s="3728"/>
      <c r="L117" s="888"/>
      <c r="M117" s="888"/>
      <c r="N117" s="888"/>
      <c r="O117" s="888"/>
      <c r="P117" s="888"/>
      <c r="Q117" s="888"/>
      <c r="R117" s="888"/>
      <c r="S117" s="888"/>
      <c r="T117" s="888"/>
      <c r="U117" s="888"/>
      <c r="V117" s="888"/>
      <c r="W117" s="888"/>
      <c r="X117" s="888"/>
      <c r="Y117" s="888"/>
      <c r="Z117" s="888"/>
      <c r="AA117" s="888"/>
      <c r="AB117" s="888"/>
      <c r="AC117" s="888"/>
      <c r="AD117" s="888"/>
      <c r="AE117" s="888"/>
      <c r="AF117" s="888"/>
      <c r="AG117" s="888"/>
      <c r="AH117" s="888"/>
      <c r="AI117" s="888"/>
      <c r="AJ117" s="888"/>
      <c r="AK117" s="888"/>
      <c r="AL117" s="888"/>
      <c r="AM117" s="888"/>
      <c r="AN117" s="888"/>
      <c r="AO117" s="888"/>
      <c r="AP117" s="888"/>
      <c r="AQ117" s="888"/>
      <c r="AR117" s="888"/>
      <c r="AS117" s="888"/>
      <c r="AT117" s="888"/>
      <c r="AU117" s="888"/>
      <c r="AV117" s="888"/>
      <c r="AW117" s="888"/>
      <c r="AX117" s="888"/>
      <c r="AY117" s="888"/>
      <c r="AZ117" s="888"/>
      <c r="BA117" s="888"/>
      <c r="BB117" s="888"/>
      <c r="BC117" s="888"/>
      <c r="BD117" s="888"/>
      <c r="BE117" s="888"/>
      <c r="BF117" s="888"/>
      <c r="BG117" s="888"/>
      <c r="BH117" s="888"/>
      <c r="BI117" s="888"/>
      <c r="BJ117" s="888"/>
    </row>
  </sheetData>
  <sheetProtection algorithmName="SHA-512" hashValue="4ho0AvjdtjeCWpF9xjeoMkl4jmsjp7+xWrRQISeu+2BsdCTrLdMgT6+StdEB/RwEZSShZS/Adj2bZkMrsEr+UA==" saltValue="UuIUH2tZ0oMQZ+4JZ2910w==" spinCount="100000" sheet="1" objects="1" scenarios="1"/>
  <mergeCells count="10">
    <mergeCell ref="A112:G112"/>
    <mergeCell ref="A114:G114"/>
    <mergeCell ref="A2:I2"/>
    <mergeCell ref="A3:D3"/>
    <mergeCell ref="A106:C106"/>
    <mergeCell ref="A109:G109"/>
    <mergeCell ref="A110:G110"/>
    <mergeCell ref="A111:G111"/>
    <mergeCell ref="A113:G113"/>
    <mergeCell ref="G36:H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F029-70DD-41B7-82FA-B354F9B9C9FE}">
  <sheetPr>
    <pageSetUpPr fitToPage="1"/>
  </sheetPr>
  <dimension ref="A1:AD119"/>
  <sheetViews>
    <sheetView zoomScaleNormal="100" workbookViewId="0"/>
  </sheetViews>
  <sheetFormatPr defaultRowHeight="15"/>
  <cols>
    <col min="1" max="1" width="5.5" style="3695" customWidth="1"/>
    <col min="2" max="2" width="5.5" style="889" customWidth="1"/>
    <col min="3" max="3" width="15.1640625" style="889" customWidth="1"/>
    <col min="4" max="4" width="72" style="889" customWidth="1"/>
    <col min="5" max="5" width="8.1640625" style="889" customWidth="1"/>
    <col min="6" max="6" width="11.33203125" style="3706" customWidth="1"/>
    <col min="7" max="7" width="13.6640625" style="1203" customWidth="1"/>
    <col min="8" max="8" width="18.5" style="1203" customWidth="1"/>
    <col min="9" max="9" width="20.1640625" style="889" customWidth="1"/>
    <col min="10" max="10" width="19.5" style="3487" customWidth="1"/>
    <col min="11" max="11" width="12.1640625" style="3487" bestFit="1" customWidth="1"/>
    <col min="12" max="12" width="9.33203125" style="3544"/>
    <col min="13" max="13" width="15.83203125" style="3544" customWidth="1"/>
    <col min="14" max="14" width="14.6640625" style="3544" bestFit="1" customWidth="1"/>
    <col min="15" max="15" width="9.33203125" style="3617"/>
    <col min="16" max="16" width="14.6640625" style="889" customWidth="1"/>
    <col min="17" max="17" width="14.5" style="889" customWidth="1"/>
    <col min="18" max="19" width="9.33203125" style="889"/>
    <col min="20" max="20" width="19.5" style="889" customWidth="1"/>
    <col min="21" max="21" width="12.6640625" style="889" customWidth="1"/>
    <col min="22" max="22" width="15.33203125" style="889" customWidth="1"/>
    <col min="23" max="16384" width="9.33203125" style="889"/>
  </cols>
  <sheetData>
    <row r="1" spans="1:18" ht="18">
      <c r="A1" s="1" t="s">
        <v>2760</v>
      </c>
      <c r="B1" s="887"/>
      <c r="C1" s="887"/>
      <c r="D1" s="887"/>
      <c r="E1" s="887"/>
      <c r="F1" s="1421"/>
      <c r="G1" s="3616"/>
      <c r="H1" s="3616"/>
      <c r="I1" s="888"/>
    </row>
    <row r="2" spans="1:18" ht="13.5" customHeight="1">
      <c r="A2" s="58" t="s">
        <v>115</v>
      </c>
      <c r="B2" s="3618"/>
      <c r="C2" s="3619"/>
      <c r="D2" s="3619"/>
      <c r="E2" s="3619"/>
      <c r="F2" s="3620"/>
      <c r="G2" s="3619"/>
      <c r="H2" s="3619"/>
      <c r="I2" s="888"/>
      <c r="L2" s="3587"/>
      <c r="N2" s="3621"/>
    </row>
    <row r="3" spans="1:18" ht="13.5" customHeight="1">
      <c r="A3" s="5193" t="s">
        <v>1712</v>
      </c>
      <c r="B3" s="5194"/>
      <c r="C3" s="5194"/>
      <c r="D3" s="5194"/>
      <c r="E3" s="886"/>
      <c r="F3" s="1421"/>
      <c r="G3" s="3616"/>
      <c r="H3" s="3622"/>
      <c r="I3" s="888"/>
    </row>
    <row r="4" spans="1:18">
      <c r="A4" s="3623"/>
      <c r="B4" s="886"/>
      <c r="C4" s="886"/>
      <c r="D4" s="3624"/>
      <c r="E4" s="886"/>
      <c r="F4" s="3625"/>
      <c r="G4" s="3616"/>
      <c r="H4" s="3616"/>
      <c r="I4" s="888"/>
    </row>
    <row r="5" spans="1:18">
      <c r="A5" s="3623"/>
      <c r="B5" s="886"/>
      <c r="C5" s="886"/>
      <c r="D5" s="3624"/>
      <c r="E5" s="886"/>
      <c r="F5" s="3625"/>
      <c r="G5" s="3616"/>
      <c r="H5" s="3616"/>
      <c r="I5" s="888"/>
    </row>
    <row r="6" spans="1:18" ht="22.5">
      <c r="A6" s="3626" t="s">
        <v>118</v>
      </c>
      <c r="B6" s="3491" t="s">
        <v>119</v>
      </c>
      <c r="C6" s="3491" t="s">
        <v>120</v>
      </c>
      <c r="D6" s="3491" t="s">
        <v>121</v>
      </c>
      <c r="E6" s="3491" t="s">
        <v>122</v>
      </c>
      <c r="F6" s="3493" t="s">
        <v>123</v>
      </c>
      <c r="G6" s="3627" t="s">
        <v>124</v>
      </c>
      <c r="H6" s="3627" t="s">
        <v>2</v>
      </c>
      <c r="I6" s="3491" t="s">
        <v>46</v>
      </c>
    </row>
    <row r="7" spans="1:18">
      <c r="A7" s="3626" t="s">
        <v>125</v>
      </c>
      <c r="B7" s="3491" t="s">
        <v>126</v>
      </c>
      <c r="C7" s="3491" t="s">
        <v>127</v>
      </c>
      <c r="D7" s="3491" t="s">
        <v>128</v>
      </c>
      <c r="E7" s="3491" t="s">
        <v>129</v>
      </c>
      <c r="F7" s="3493" t="s">
        <v>130</v>
      </c>
      <c r="G7" s="3627" t="s">
        <v>131</v>
      </c>
      <c r="H7" s="3491">
        <v>8</v>
      </c>
      <c r="I7" s="3491">
        <v>9</v>
      </c>
    </row>
    <row r="8" spans="1:18" s="593" customFormat="1" ht="21" customHeight="1">
      <c r="A8" s="3628"/>
      <c r="B8" s="273"/>
      <c r="C8" s="273" t="s">
        <v>366</v>
      </c>
      <c r="D8" s="273" t="s">
        <v>367</v>
      </c>
      <c r="E8" s="273"/>
      <c r="F8" s="3629"/>
      <c r="G8" s="3630"/>
      <c r="H8" s="3630">
        <f>H9</f>
        <v>0</v>
      </c>
      <c r="J8" s="3631"/>
      <c r="K8" s="3631"/>
      <c r="L8" s="3631"/>
      <c r="M8" s="3631"/>
      <c r="N8" s="3631"/>
    </row>
    <row r="9" spans="1:18" s="888" customFormat="1" ht="13.5" customHeight="1">
      <c r="A9" s="3632"/>
      <c r="B9" s="3633"/>
      <c r="C9" s="3502">
        <v>764</v>
      </c>
      <c r="D9" s="3502" t="s">
        <v>1713</v>
      </c>
      <c r="E9" s="3502"/>
      <c r="F9" s="3504"/>
      <c r="G9" s="3634"/>
      <c r="H9" s="3634">
        <f>SUM(H10:H17,H20:H23,H26:H29,H32:H35,H39:H42,H46:H65,H70:H75)</f>
        <v>0</v>
      </c>
      <c r="I9" s="3635"/>
      <c r="J9" s="3487"/>
      <c r="K9" s="3487"/>
      <c r="L9" s="3487"/>
      <c r="M9" s="3487"/>
      <c r="N9" s="3487"/>
      <c r="O9" s="3636"/>
    </row>
    <row r="10" spans="1:18" ht="27" customHeight="1">
      <c r="A10" s="2408">
        <v>1</v>
      </c>
      <c r="B10" s="3637" t="s">
        <v>1714</v>
      </c>
      <c r="C10" s="3638" t="s">
        <v>1715</v>
      </c>
      <c r="D10" s="3507" t="s">
        <v>1716</v>
      </c>
      <c r="E10" s="3507" t="s">
        <v>141</v>
      </c>
      <c r="F10" s="3531">
        <f>8.4+8.7+8.9</f>
        <v>26</v>
      </c>
      <c r="G10" s="5"/>
      <c r="H10" s="2516">
        <f t="shared" ref="H10" si="0">ROUND(F10*G10,2)</f>
        <v>0</v>
      </c>
      <c r="I10" s="3510" t="s">
        <v>111</v>
      </c>
      <c r="J10" s="3639"/>
      <c r="O10" s="3544"/>
    </row>
    <row r="11" spans="1:18" ht="27" customHeight="1">
      <c r="A11" s="2408"/>
      <c r="B11" s="3637"/>
      <c r="C11" s="3638"/>
      <c r="D11" s="3514" t="s">
        <v>1717</v>
      </c>
      <c r="E11" s="3507"/>
      <c r="F11" s="3531"/>
      <c r="G11" s="5"/>
      <c r="H11" s="3509"/>
      <c r="I11" s="3510"/>
      <c r="O11" s="3544"/>
    </row>
    <row r="12" spans="1:18" ht="13.5" customHeight="1">
      <c r="A12" s="3640"/>
      <c r="B12" s="3594"/>
      <c r="C12" s="3594"/>
      <c r="D12" s="3514" t="s">
        <v>1718</v>
      </c>
      <c r="E12" s="3530"/>
      <c r="F12" s="3515"/>
      <c r="G12" s="108"/>
      <c r="H12" s="3546"/>
      <c r="I12" s="3642"/>
      <c r="J12" s="109"/>
      <c r="K12" s="3643"/>
      <c r="L12" s="3644"/>
      <c r="M12" s="3645"/>
      <c r="N12" s="3644"/>
      <c r="Q12" s="3646"/>
      <c r="R12" s="3647"/>
    </row>
    <row r="13" spans="1:18" ht="27" customHeight="1">
      <c r="A13" s="2408">
        <v>2</v>
      </c>
      <c r="B13" s="3637" t="s">
        <v>1714</v>
      </c>
      <c r="C13" s="3638" t="s">
        <v>1719</v>
      </c>
      <c r="D13" s="3507" t="s">
        <v>1720</v>
      </c>
      <c r="E13" s="3507" t="s">
        <v>141</v>
      </c>
      <c r="F13" s="3531">
        <v>4</v>
      </c>
      <c r="G13" s="5"/>
      <c r="H13" s="2516">
        <f t="shared" ref="H13" si="1">ROUND(F13*G13,2)</f>
        <v>0</v>
      </c>
      <c r="I13" s="3510" t="s">
        <v>111</v>
      </c>
      <c r="K13" s="3639"/>
      <c r="L13" s="3487"/>
    </row>
    <row r="14" spans="1:18" ht="27" customHeight="1">
      <c r="A14" s="2408"/>
      <c r="B14" s="3637"/>
      <c r="C14" s="3638"/>
      <c r="D14" s="3514" t="s">
        <v>1721</v>
      </c>
      <c r="E14" s="3507"/>
      <c r="F14" s="3531"/>
      <c r="G14" s="5"/>
      <c r="H14" s="3509"/>
      <c r="I14" s="3510"/>
      <c r="L14" s="3487"/>
    </row>
    <row r="15" spans="1:18" ht="13.5" customHeight="1">
      <c r="A15" s="3640"/>
      <c r="B15" s="3594"/>
      <c r="C15" s="3594"/>
      <c r="D15" s="3514" t="s">
        <v>1718</v>
      </c>
      <c r="E15" s="3530"/>
      <c r="F15" s="3515"/>
      <c r="G15" s="108"/>
      <c r="H15" s="3546"/>
      <c r="I15" s="3642"/>
      <c r="J15" s="110"/>
      <c r="K15" s="3643"/>
      <c r="L15" s="3644"/>
      <c r="M15" s="3645"/>
      <c r="N15" s="3644"/>
      <c r="Q15" s="3646"/>
      <c r="R15" s="3647"/>
    </row>
    <row r="16" spans="1:18" ht="27" customHeight="1">
      <c r="A16" s="3648">
        <v>3</v>
      </c>
      <c r="B16" s="3637" t="s">
        <v>1714</v>
      </c>
      <c r="C16" s="3638" t="s">
        <v>1722</v>
      </c>
      <c r="D16" s="3507" t="s">
        <v>1723</v>
      </c>
      <c r="E16" s="3507" t="s">
        <v>141</v>
      </c>
      <c r="F16" s="3508">
        <f>ROUND(SUM(F20),3)</f>
        <v>129</v>
      </c>
      <c r="G16" s="3509">
        <f>ROUND(SUM(H18:H19)/F16,2)</f>
        <v>0</v>
      </c>
      <c r="H16" s="2516">
        <f t="shared" ref="H16" si="2">ROUND(F16*G16,2)</f>
        <v>0</v>
      </c>
      <c r="I16" s="3510" t="s">
        <v>111</v>
      </c>
    </row>
    <row r="17" spans="1:23" ht="27" customHeight="1">
      <c r="A17" s="2408"/>
      <c r="B17" s="3637"/>
      <c r="C17" s="3638"/>
      <c r="D17" s="3514" t="s">
        <v>1724</v>
      </c>
      <c r="E17" s="3507"/>
      <c r="F17" s="3531"/>
      <c r="G17" s="5"/>
      <c r="H17" s="3509"/>
      <c r="I17" s="3510"/>
    </row>
    <row r="18" spans="1:23" ht="27" customHeight="1">
      <c r="A18" s="3640" t="s">
        <v>1133</v>
      </c>
      <c r="B18" s="3594"/>
      <c r="C18" s="3530">
        <v>764511602</v>
      </c>
      <c r="D18" s="3514" t="s">
        <v>1725</v>
      </c>
      <c r="E18" s="3530" t="s">
        <v>141</v>
      </c>
      <c r="F18" s="3641">
        <f>(1.2*2+9.45*2+11.05*2+41.6+44)*1.1</f>
        <v>141.9</v>
      </c>
      <c r="G18" s="106"/>
      <c r="H18" s="2531">
        <f t="shared" ref="H18:H19" si="3">ROUND(F18*G18,2)</f>
        <v>0</v>
      </c>
      <c r="I18" s="3649" t="s">
        <v>137</v>
      </c>
      <c r="V18" s="3550"/>
      <c r="W18" s="3550"/>
    </row>
    <row r="19" spans="1:23" ht="27" customHeight="1">
      <c r="A19" s="3640" t="s">
        <v>1135</v>
      </c>
      <c r="B19" s="3594"/>
      <c r="C19" s="3530" t="s">
        <v>1726</v>
      </c>
      <c r="D19" s="3514" t="s">
        <v>1727</v>
      </c>
      <c r="E19" s="3530" t="s">
        <v>141</v>
      </c>
      <c r="F19" s="3641">
        <f>(1.2*2+9.45*2+11.05*2+41.6+44)*1.1</f>
        <v>141.9</v>
      </c>
      <c r="G19" s="106"/>
      <c r="H19" s="2531">
        <f t="shared" si="3"/>
        <v>0</v>
      </c>
      <c r="I19" s="3649" t="s">
        <v>111</v>
      </c>
      <c r="K19" s="3643"/>
      <c r="L19" s="2249"/>
      <c r="M19" s="3645"/>
      <c r="N19" s="3644"/>
      <c r="O19" s="1423"/>
      <c r="P19" s="1423"/>
      <c r="Q19" s="1423"/>
      <c r="R19" s="1423"/>
    </row>
    <row r="20" spans="1:23" ht="13.5" customHeight="1">
      <c r="A20" s="3640"/>
      <c r="B20" s="3594"/>
      <c r="C20" s="3594"/>
      <c r="D20" s="3514" t="s">
        <v>1189</v>
      </c>
      <c r="E20" s="3530"/>
      <c r="F20" s="3641">
        <v>129</v>
      </c>
      <c r="G20" s="108"/>
      <c r="H20" s="3546"/>
      <c r="I20" s="3642"/>
      <c r="J20" s="110"/>
      <c r="K20" s="3643"/>
      <c r="L20" s="3644"/>
      <c r="M20" s="3645"/>
      <c r="N20" s="3644"/>
      <c r="Q20" s="3646"/>
      <c r="R20" s="3647"/>
    </row>
    <row r="21" spans="1:23" ht="13.5" customHeight="1">
      <c r="A21" s="3640"/>
      <c r="B21" s="3594"/>
      <c r="C21" s="3594"/>
      <c r="D21" s="3514" t="s">
        <v>1718</v>
      </c>
      <c r="E21" s="3530"/>
      <c r="F21" s="3641"/>
      <c r="G21" s="108"/>
      <c r="H21" s="3546"/>
      <c r="I21" s="3642"/>
      <c r="J21" s="110"/>
      <c r="K21" s="3643"/>
      <c r="L21" s="3644"/>
      <c r="M21" s="3645"/>
      <c r="N21" s="3644"/>
      <c r="Q21" s="3646"/>
      <c r="R21" s="3647"/>
    </row>
    <row r="22" spans="1:23" ht="27" customHeight="1">
      <c r="A22" s="3648">
        <v>4</v>
      </c>
      <c r="B22" s="3637" t="s">
        <v>1714</v>
      </c>
      <c r="C22" s="3638" t="s">
        <v>1728</v>
      </c>
      <c r="D22" s="3507" t="s">
        <v>1729</v>
      </c>
      <c r="E22" s="3507" t="s">
        <v>141</v>
      </c>
      <c r="F22" s="3508">
        <f>ROUND(SUM(F26),3)</f>
        <v>5.0999999999999996</v>
      </c>
      <c r="G22" s="3509">
        <f>ROUND(SUM(H24:H25)/F22,2)</f>
        <v>0</v>
      </c>
      <c r="H22" s="2516">
        <f t="shared" ref="H22" si="4">ROUND(F22*G22,2)</f>
        <v>0</v>
      </c>
      <c r="I22" s="3510" t="s">
        <v>111</v>
      </c>
    </row>
    <row r="23" spans="1:23" ht="27" customHeight="1">
      <c r="A23" s="2408"/>
      <c r="B23" s="3637"/>
      <c r="C23" s="3638"/>
      <c r="D23" s="3514" t="s">
        <v>1730</v>
      </c>
      <c r="E23" s="3507"/>
      <c r="F23" s="3531"/>
      <c r="G23" s="5"/>
      <c r="H23" s="3509"/>
      <c r="I23" s="3510"/>
    </row>
    <row r="24" spans="1:23" ht="13.5" customHeight="1">
      <c r="A24" s="3640" t="s">
        <v>1139</v>
      </c>
      <c r="B24" s="3594"/>
      <c r="C24" s="3530">
        <v>764511612</v>
      </c>
      <c r="D24" s="3514" t="s">
        <v>1731</v>
      </c>
      <c r="E24" s="3530" t="s">
        <v>141</v>
      </c>
      <c r="F24" s="3641">
        <f>(5.05)*1.1</f>
        <v>5.5550000000000006</v>
      </c>
      <c r="G24" s="106"/>
      <c r="H24" s="2531">
        <f t="shared" ref="H24:H25" si="5">ROUND(F24*G24,2)</f>
        <v>0</v>
      </c>
      <c r="I24" s="3649" t="s">
        <v>137</v>
      </c>
      <c r="V24" s="3550"/>
      <c r="W24" s="3550"/>
    </row>
    <row r="25" spans="1:23" ht="13.5" customHeight="1">
      <c r="A25" s="3640" t="s">
        <v>1141</v>
      </c>
      <c r="B25" s="3594"/>
      <c r="C25" s="3530" t="s">
        <v>1732</v>
      </c>
      <c r="D25" s="3514" t="s">
        <v>1733</v>
      </c>
      <c r="E25" s="3530" t="s">
        <v>141</v>
      </c>
      <c r="F25" s="3641">
        <f>(5.05)*1.1</f>
        <v>5.5550000000000006</v>
      </c>
      <c r="G25" s="106"/>
      <c r="H25" s="2531">
        <f t="shared" si="5"/>
        <v>0</v>
      </c>
      <c r="I25" s="3649" t="s">
        <v>111</v>
      </c>
      <c r="K25" s="3643"/>
      <c r="L25" s="2249"/>
      <c r="M25" s="3645"/>
      <c r="N25" s="3644"/>
      <c r="O25" s="1423"/>
      <c r="P25" s="1423"/>
      <c r="Q25" s="1423"/>
      <c r="R25" s="1423"/>
    </row>
    <row r="26" spans="1:23" ht="13.5" customHeight="1">
      <c r="A26" s="3640"/>
      <c r="B26" s="3594"/>
      <c r="C26" s="3594"/>
      <c r="D26" s="3514" t="s">
        <v>1189</v>
      </c>
      <c r="E26" s="3530"/>
      <c r="F26" s="3641">
        <v>5.0999999999999996</v>
      </c>
      <c r="G26" s="108"/>
      <c r="H26" s="3546"/>
      <c r="I26" s="3642"/>
      <c r="J26" s="110"/>
      <c r="K26" s="3643"/>
      <c r="L26" s="3644"/>
      <c r="M26" s="3645"/>
      <c r="N26" s="3644"/>
      <c r="Q26" s="3646"/>
      <c r="R26" s="3647"/>
    </row>
    <row r="27" spans="1:23" ht="13.5" customHeight="1">
      <c r="A27" s="3640"/>
      <c r="B27" s="3594"/>
      <c r="C27" s="3594"/>
      <c r="D27" s="3514" t="s">
        <v>1718</v>
      </c>
      <c r="E27" s="3530"/>
      <c r="F27" s="3641"/>
      <c r="G27" s="108"/>
      <c r="H27" s="3546"/>
      <c r="I27" s="3642"/>
      <c r="J27" s="110"/>
      <c r="K27" s="3643"/>
      <c r="L27" s="3644"/>
      <c r="M27" s="3645"/>
      <c r="N27" s="3644"/>
      <c r="Q27" s="3646"/>
      <c r="R27" s="3647"/>
    </row>
    <row r="28" spans="1:23" s="1423" customFormat="1" ht="27" customHeight="1">
      <c r="A28" s="3648">
        <v>5</v>
      </c>
      <c r="B28" s="3637" t="s">
        <v>1714</v>
      </c>
      <c r="C28" s="3638" t="s">
        <v>1734</v>
      </c>
      <c r="D28" s="3638" t="s">
        <v>1735</v>
      </c>
      <c r="E28" s="3638" t="s">
        <v>141</v>
      </c>
      <c r="F28" s="3508">
        <f>ROUND(SUM(F32),3)</f>
        <v>6.3</v>
      </c>
      <c r="G28" s="3509">
        <f>ROUND(SUM(H30:H31)/F28,2)</f>
        <v>0</v>
      </c>
      <c r="H28" s="2516">
        <f t="shared" ref="H28" si="6">ROUND(F28*G28,2)</f>
        <v>0</v>
      </c>
      <c r="I28" s="3510" t="s">
        <v>111</v>
      </c>
      <c r="J28" s="3650"/>
      <c r="K28" s="3650"/>
      <c r="M28" s="3651"/>
      <c r="P28" s="3652"/>
    </row>
    <row r="29" spans="1:23" s="1423" customFormat="1" ht="27" customHeight="1">
      <c r="A29" s="3648"/>
      <c r="B29" s="3637"/>
      <c r="C29" s="3638"/>
      <c r="D29" s="3298" t="s">
        <v>1736</v>
      </c>
      <c r="E29" s="3638"/>
      <c r="F29" s="3653"/>
      <c r="G29" s="3707"/>
      <c r="H29" s="3654"/>
      <c r="I29" s="3510"/>
      <c r="J29" s="3650"/>
      <c r="K29" s="3650"/>
      <c r="L29" s="889"/>
      <c r="M29" s="889"/>
      <c r="N29" s="889"/>
      <c r="O29" s="889"/>
      <c r="P29" s="889"/>
      <c r="Q29" s="889"/>
      <c r="R29" s="889"/>
      <c r="S29" s="889"/>
      <c r="T29" s="889"/>
      <c r="U29" s="889"/>
    </row>
    <row r="30" spans="1:23" ht="27" customHeight="1">
      <c r="A30" s="3640" t="s">
        <v>1153</v>
      </c>
      <c r="B30" s="3594"/>
      <c r="C30" s="3530" t="s">
        <v>1737</v>
      </c>
      <c r="D30" s="3514" t="s">
        <v>1738</v>
      </c>
      <c r="E30" s="3530" t="s">
        <v>141</v>
      </c>
      <c r="F30" s="3515">
        <f>F32*1.1</f>
        <v>6.9300000000000006</v>
      </c>
      <c r="G30" s="106"/>
      <c r="H30" s="3546">
        <f t="shared" ref="H30:H31" si="7">ROUND(F30*G30,2)</f>
        <v>0</v>
      </c>
      <c r="I30" s="3649" t="s">
        <v>111</v>
      </c>
      <c r="V30" s="3550"/>
      <c r="W30" s="3550"/>
    </row>
    <row r="31" spans="1:23" ht="13.5" customHeight="1">
      <c r="A31" s="3640" t="s">
        <v>1155</v>
      </c>
      <c r="B31" s="3594"/>
      <c r="C31" s="3530" t="s">
        <v>1739</v>
      </c>
      <c r="D31" s="3514" t="s">
        <v>1740</v>
      </c>
      <c r="E31" s="3530" t="s">
        <v>141</v>
      </c>
      <c r="F31" s="3515">
        <f>(F32*0.19)*1.1</f>
        <v>1.3167000000000002</v>
      </c>
      <c r="G31" s="106"/>
      <c r="H31" s="3546">
        <f t="shared" si="7"/>
        <v>0</v>
      </c>
      <c r="I31" s="3649" t="s">
        <v>111</v>
      </c>
      <c r="V31" s="3550"/>
      <c r="W31" s="3550"/>
    </row>
    <row r="32" spans="1:23" s="1423" customFormat="1" ht="13.5" customHeight="1">
      <c r="A32" s="3655"/>
      <c r="B32" s="3638"/>
      <c r="C32" s="3638"/>
      <c r="D32" s="3298" t="s">
        <v>1741</v>
      </c>
      <c r="E32" s="3638"/>
      <c r="F32" s="3656">
        <v>6.3</v>
      </c>
      <c r="G32" s="3707"/>
      <c r="H32" s="3654"/>
      <c r="I32" s="3510"/>
      <c r="J32" s="3650"/>
      <c r="K32" s="3650"/>
      <c r="L32" s="889"/>
      <c r="M32" s="889"/>
      <c r="N32" s="889"/>
      <c r="O32" s="889"/>
      <c r="P32" s="889"/>
      <c r="Q32" s="889"/>
      <c r="R32" s="889"/>
      <c r="S32" s="889"/>
      <c r="T32" s="889"/>
      <c r="U32" s="889"/>
    </row>
    <row r="33" spans="1:23" s="888" customFormat="1" ht="13.5" customHeight="1">
      <c r="A33" s="3657"/>
      <c r="B33" s="3539"/>
      <c r="C33" s="3507"/>
      <c r="D33" s="3514" t="s">
        <v>1718</v>
      </c>
      <c r="E33" s="3507"/>
      <c r="F33" s="3540"/>
      <c r="G33" s="5"/>
      <c r="H33" s="3509"/>
      <c r="I33" s="3510"/>
      <c r="J33" s="3650"/>
      <c r="K33" s="3650"/>
      <c r="L33" s="889"/>
      <c r="M33" s="889"/>
      <c r="N33" s="889"/>
      <c r="O33" s="889"/>
      <c r="P33" s="889"/>
      <c r="Q33" s="889"/>
      <c r="R33" s="889"/>
      <c r="S33" s="889"/>
      <c r="T33" s="889"/>
    </row>
    <row r="34" spans="1:23" ht="27" customHeight="1">
      <c r="A34" s="2408">
        <v>6</v>
      </c>
      <c r="B34" s="3637" t="s">
        <v>1714</v>
      </c>
      <c r="C34" s="3638" t="s">
        <v>1742</v>
      </c>
      <c r="D34" s="3507" t="s">
        <v>1743</v>
      </c>
      <c r="E34" s="3507" t="s">
        <v>141</v>
      </c>
      <c r="F34" s="3508">
        <f>ROUND(SUM(F39),3)</f>
        <v>0.7</v>
      </c>
      <c r="G34" s="3509">
        <f>ROUND(SUM(H36:H38)/F34,2)</f>
        <v>0</v>
      </c>
      <c r="H34" s="2516">
        <f t="shared" ref="H34" si="8">ROUND(F34*G34,2)</f>
        <v>0</v>
      </c>
      <c r="I34" s="3510" t="s">
        <v>111</v>
      </c>
    </row>
    <row r="35" spans="1:23" ht="27" customHeight="1">
      <c r="A35" s="2408"/>
      <c r="B35" s="3637"/>
      <c r="C35" s="3658"/>
      <c r="D35" s="3298" t="s">
        <v>1744</v>
      </c>
      <c r="E35" s="3507"/>
      <c r="F35" s="3531"/>
      <c r="G35" s="5"/>
      <c r="H35" s="3509"/>
      <c r="I35" s="3510"/>
    </row>
    <row r="36" spans="1:23" ht="27" customHeight="1">
      <c r="A36" s="3640" t="s">
        <v>1335</v>
      </c>
      <c r="B36" s="3594"/>
      <c r="C36" s="3530">
        <v>764214611</v>
      </c>
      <c r="D36" s="3514" t="s">
        <v>1745</v>
      </c>
      <c r="E36" s="3530" t="s">
        <v>163</v>
      </c>
      <c r="F36" s="3515">
        <f>(F39*0.99)*1.1</f>
        <v>0.76229999999999998</v>
      </c>
      <c r="G36" s="106"/>
      <c r="H36" s="3546">
        <f t="shared" ref="H36:H38" si="9">ROUND(F36*G36,2)</f>
        <v>0</v>
      </c>
      <c r="I36" s="3649" t="s">
        <v>137</v>
      </c>
      <c r="V36" s="3550"/>
      <c r="W36" s="3550"/>
    </row>
    <row r="37" spans="1:23" ht="27" customHeight="1">
      <c r="A37" s="3640" t="s">
        <v>1337</v>
      </c>
      <c r="B37" s="3594"/>
      <c r="C37" s="3530" t="s">
        <v>1746</v>
      </c>
      <c r="D37" s="3514" t="s">
        <v>1747</v>
      </c>
      <c r="E37" s="3530" t="s">
        <v>163</v>
      </c>
      <c r="F37" s="3515">
        <f>(F39*0.8)*1.1</f>
        <v>0.61599999999999999</v>
      </c>
      <c r="G37" s="106"/>
      <c r="H37" s="3546">
        <f t="shared" si="9"/>
        <v>0</v>
      </c>
      <c r="I37" s="3649" t="s">
        <v>111</v>
      </c>
      <c r="V37" s="3550"/>
      <c r="W37" s="3550"/>
    </row>
    <row r="38" spans="1:23" ht="13.5" customHeight="1">
      <c r="A38" s="3640" t="s">
        <v>1340</v>
      </c>
      <c r="B38" s="3594"/>
      <c r="C38" s="3530">
        <v>762361321</v>
      </c>
      <c r="D38" s="3514" t="s">
        <v>1748</v>
      </c>
      <c r="E38" s="3530" t="s">
        <v>163</v>
      </c>
      <c r="F38" s="3515">
        <f>(F39*0.62)*1.1</f>
        <v>0.47740000000000005</v>
      </c>
      <c r="G38" s="106"/>
      <c r="H38" s="3546">
        <f t="shared" si="9"/>
        <v>0</v>
      </c>
      <c r="I38" s="3649" t="s">
        <v>137</v>
      </c>
    </row>
    <row r="39" spans="1:23" ht="13.5" customHeight="1">
      <c r="A39" s="3640"/>
      <c r="B39" s="3594"/>
      <c r="C39" s="3530"/>
      <c r="D39" s="3514" t="s">
        <v>1749</v>
      </c>
      <c r="E39" s="3530"/>
      <c r="F39" s="3515">
        <v>0.7</v>
      </c>
      <c r="G39" s="15"/>
      <c r="H39" s="3546"/>
      <c r="I39" s="3659"/>
    </row>
    <row r="40" spans="1:23" s="888" customFormat="1" ht="13.5" customHeight="1">
      <c r="A40" s="3657"/>
      <c r="B40" s="3539"/>
      <c r="C40" s="3530"/>
      <c r="D40" s="3514" t="s">
        <v>1718</v>
      </c>
      <c r="E40" s="3507"/>
      <c r="F40" s="3540"/>
      <c r="G40" s="5"/>
      <c r="H40" s="3509"/>
      <c r="I40" s="3510"/>
      <c r="J40" s="3487"/>
      <c r="K40" s="3487"/>
      <c r="L40" s="3544"/>
      <c r="M40" s="3544"/>
      <c r="N40" s="3544"/>
      <c r="O40" s="3617"/>
      <c r="P40" s="889"/>
      <c r="Q40" s="889"/>
      <c r="R40" s="889"/>
      <c r="S40" s="889"/>
      <c r="T40" s="889"/>
    </row>
    <row r="41" spans="1:23" ht="27" customHeight="1">
      <c r="A41" s="2408">
        <v>7</v>
      </c>
      <c r="B41" s="3637" t="s">
        <v>1714</v>
      </c>
      <c r="C41" s="3638" t="s">
        <v>1750</v>
      </c>
      <c r="D41" s="3507" t="s">
        <v>1751</v>
      </c>
      <c r="E41" s="3507" t="s">
        <v>141</v>
      </c>
      <c r="F41" s="3508">
        <f>ROUND(SUM(F46),3)</f>
        <v>1.8</v>
      </c>
      <c r="G41" s="3509">
        <f>ROUND(SUM(H43:H45)/F41,2)</f>
        <v>0</v>
      </c>
      <c r="H41" s="2516">
        <f t="shared" ref="H41" si="10">ROUND(F41*G41,2)</f>
        <v>0</v>
      </c>
      <c r="I41" s="3510" t="s">
        <v>111</v>
      </c>
    </row>
    <row r="42" spans="1:23" ht="27" customHeight="1">
      <c r="A42" s="2408"/>
      <c r="B42" s="3637"/>
      <c r="C42" s="3658"/>
      <c r="D42" s="3298" t="s">
        <v>1736</v>
      </c>
      <c r="E42" s="3507"/>
      <c r="F42" s="3531"/>
      <c r="G42" s="5"/>
      <c r="H42" s="3509"/>
      <c r="I42" s="3510"/>
    </row>
    <row r="43" spans="1:23" ht="27" customHeight="1">
      <c r="A43" s="3640" t="s">
        <v>1752</v>
      </c>
      <c r="B43" s="3594"/>
      <c r="C43" s="3530">
        <v>764214611</v>
      </c>
      <c r="D43" s="3514" t="s">
        <v>1753</v>
      </c>
      <c r="E43" s="3530" t="s">
        <v>163</v>
      </c>
      <c r="F43" s="3515">
        <f>(F46*0.82)*1.1</f>
        <v>1.6236000000000002</v>
      </c>
      <c r="G43" s="106"/>
      <c r="H43" s="3546">
        <f t="shared" ref="H43:H45" si="11">ROUND(F43*G43,2)</f>
        <v>0</v>
      </c>
      <c r="I43" s="3649" t="s">
        <v>137</v>
      </c>
      <c r="V43" s="3550"/>
      <c r="W43" s="3550"/>
    </row>
    <row r="44" spans="1:23" ht="27" customHeight="1">
      <c r="A44" s="3640" t="s">
        <v>1754</v>
      </c>
      <c r="B44" s="3594"/>
      <c r="C44" s="3530" t="s">
        <v>1755</v>
      </c>
      <c r="D44" s="3514" t="s">
        <v>1756</v>
      </c>
      <c r="E44" s="3530" t="s">
        <v>163</v>
      </c>
      <c r="F44" s="3515">
        <f>(F46*0.67)*1.1</f>
        <v>1.3266000000000002</v>
      </c>
      <c r="G44" s="106"/>
      <c r="H44" s="3546">
        <f t="shared" si="11"/>
        <v>0</v>
      </c>
      <c r="I44" s="3649" t="s">
        <v>111</v>
      </c>
      <c r="J44" s="3660"/>
      <c r="K44" s="3133"/>
      <c r="L44" s="3133"/>
      <c r="M44" s="3133"/>
      <c r="N44" s="3133"/>
      <c r="O44" s="3133"/>
      <c r="P44" s="888"/>
      <c r="Q44" s="3661"/>
      <c r="R44" s="3662"/>
      <c r="S44" s="3662"/>
      <c r="T44" s="3164"/>
      <c r="U44" s="3133"/>
      <c r="V44" s="3550"/>
      <c r="W44" s="3550"/>
    </row>
    <row r="45" spans="1:23" ht="13.5" customHeight="1">
      <c r="A45" s="3640" t="s">
        <v>1757</v>
      </c>
      <c r="B45" s="3594"/>
      <c r="C45" s="3530">
        <v>762361321</v>
      </c>
      <c r="D45" s="3514" t="s">
        <v>1758</v>
      </c>
      <c r="E45" s="3530" t="s">
        <v>163</v>
      </c>
      <c r="F45" s="3515">
        <f>(F46*0.55)*1.1</f>
        <v>1.0890000000000002</v>
      </c>
      <c r="G45" s="106"/>
      <c r="H45" s="3546">
        <f t="shared" si="11"/>
        <v>0</v>
      </c>
      <c r="I45" s="3649" t="s">
        <v>137</v>
      </c>
      <c r="J45" s="3663"/>
      <c r="K45" s="888"/>
      <c r="L45" s="888"/>
      <c r="M45" s="888"/>
      <c r="N45" s="888"/>
      <c r="O45" s="888"/>
      <c r="P45" s="3664"/>
      <c r="Q45" s="888"/>
      <c r="R45" s="888"/>
      <c r="S45" s="888"/>
      <c r="T45" s="888"/>
      <c r="U45" s="888"/>
    </row>
    <row r="46" spans="1:23" ht="13.5" customHeight="1">
      <c r="A46" s="3640"/>
      <c r="B46" s="3594"/>
      <c r="C46" s="3530"/>
      <c r="D46" s="3514" t="s">
        <v>1759</v>
      </c>
      <c r="E46" s="3530"/>
      <c r="F46" s="3515">
        <v>1.8</v>
      </c>
      <c r="G46" s="15"/>
      <c r="H46" s="3546"/>
      <c r="I46" s="3659"/>
    </row>
    <row r="47" spans="1:23" s="888" customFormat="1" ht="13.5" customHeight="1">
      <c r="A47" s="3657"/>
      <c r="B47" s="3539"/>
      <c r="C47" s="3530"/>
      <c r="D47" s="3514" t="s">
        <v>1718</v>
      </c>
      <c r="E47" s="3507"/>
      <c r="F47" s="3540"/>
      <c r="G47" s="5"/>
      <c r="H47" s="3509"/>
      <c r="I47" s="3510"/>
      <c r="J47" s="3487"/>
      <c r="K47" s="3487"/>
      <c r="L47" s="3544"/>
      <c r="M47" s="3544"/>
      <c r="N47" s="3544"/>
      <c r="O47" s="3617"/>
      <c r="P47" s="889"/>
      <c r="Q47" s="889"/>
      <c r="R47" s="889"/>
      <c r="S47" s="889"/>
      <c r="T47" s="889"/>
    </row>
    <row r="48" spans="1:23" s="1423" customFormat="1" ht="27" customHeight="1">
      <c r="A48" s="3648">
        <v>8</v>
      </c>
      <c r="B48" s="3637" t="s">
        <v>1714</v>
      </c>
      <c r="C48" s="3638" t="s">
        <v>1760</v>
      </c>
      <c r="D48" s="3638" t="s">
        <v>1761</v>
      </c>
      <c r="E48" s="3638" t="s">
        <v>141</v>
      </c>
      <c r="F48" s="3508">
        <f>ROUND(SUM(F50),3)</f>
        <v>353.65</v>
      </c>
      <c r="G48" s="3707"/>
      <c r="H48" s="2516">
        <f t="shared" ref="H48" si="12">ROUND(F48*G48,2)</f>
        <v>0</v>
      </c>
      <c r="I48" s="3510" t="s">
        <v>111</v>
      </c>
      <c r="J48" s="3650"/>
      <c r="K48" s="3650"/>
      <c r="M48" s="3651"/>
      <c r="O48" s="3665"/>
      <c r="P48" s="3652"/>
    </row>
    <row r="49" spans="1:21" s="1423" customFormat="1" ht="13.5" customHeight="1">
      <c r="A49" s="3648"/>
      <c r="B49" s="3637"/>
      <c r="C49" s="3638"/>
      <c r="D49" s="3298" t="s">
        <v>1762</v>
      </c>
      <c r="E49" s="3638"/>
      <c r="F49" s="3653"/>
      <c r="G49" s="3707"/>
      <c r="H49" s="3654"/>
      <c r="I49" s="3510"/>
      <c r="J49" s="3666"/>
      <c r="K49" s="3650"/>
      <c r="L49" s="889"/>
      <c r="M49" s="889"/>
      <c r="N49" s="889"/>
      <c r="O49" s="889"/>
      <c r="P49" s="889"/>
      <c r="Q49" s="889"/>
      <c r="R49" s="889"/>
      <c r="S49" s="889"/>
      <c r="T49" s="889"/>
      <c r="U49" s="889"/>
    </row>
    <row r="50" spans="1:21" s="1423" customFormat="1" ht="13.5" customHeight="1">
      <c r="A50" s="3655"/>
      <c r="B50" s="3638"/>
      <c r="C50" s="3638"/>
      <c r="D50" s="3298" t="s">
        <v>1763</v>
      </c>
      <c r="E50" s="3638"/>
      <c r="F50" s="3656">
        <f>(321.5)*1.1</f>
        <v>353.65000000000003</v>
      </c>
      <c r="G50" s="3707"/>
      <c r="H50" s="3654"/>
      <c r="I50" s="3510"/>
      <c r="J50" s="3650"/>
      <c r="K50" s="3650"/>
      <c r="L50" s="889"/>
      <c r="M50" s="889"/>
      <c r="N50" s="889"/>
      <c r="O50" s="889"/>
      <c r="P50" s="889"/>
      <c r="Q50" s="889"/>
      <c r="R50" s="889"/>
      <c r="S50" s="889"/>
      <c r="T50" s="889"/>
      <c r="U50" s="889"/>
    </row>
    <row r="51" spans="1:21" s="888" customFormat="1" ht="13.5" customHeight="1">
      <c r="A51" s="3657"/>
      <c r="B51" s="3539"/>
      <c r="C51" s="3507"/>
      <c r="D51" s="3514" t="s">
        <v>1718</v>
      </c>
      <c r="E51" s="3507"/>
      <c r="F51" s="3540"/>
      <c r="G51" s="5"/>
      <c r="H51" s="3509"/>
      <c r="I51" s="3510"/>
      <c r="J51" s="3650"/>
      <c r="K51" s="3650"/>
      <c r="L51" s="889"/>
      <c r="M51" s="889"/>
      <c r="N51" s="889"/>
      <c r="O51" s="889"/>
      <c r="P51" s="889"/>
      <c r="Q51" s="889"/>
      <c r="R51" s="889"/>
      <c r="S51" s="889"/>
      <c r="T51" s="889"/>
    </row>
    <row r="52" spans="1:21" s="1423" customFormat="1" ht="27" customHeight="1">
      <c r="A52" s="3648">
        <v>9</v>
      </c>
      <c r="B52" s="3637" t="s">
        <v>1714</v>
      </c>
      <c r="C52" s="3638" t="s">
        <v>1764</v>
      </c>
      <c r="D52" s="3638" t="s">
        <v>1765</v>
      </c>
      <c r="E52" s="3638" t="s">
        <v>141</v>
      </c>
      <c r="F52" s="3508">
        <f>ROUND(SUM(F54),3)</f>
        <v>27.5</v>
      </c>
      <c r="G52" s="3707"/>
      <c r="H52" s="2516">
        <f t="shared" ref="H52" si="13">ROUND(F52*G52,2)</f>
        <v>0</v>
      </c>
      <c r="I52" s="3510" t="s">
        <v>111</v>
      </c>
      <c r="J52" s="3650"/>
      <c r="K52" s="3650"/>
      <c r="M52" s="3651"/>
      <c r="P52" s="3652"/>
    </row>
    <row r="53" spans="1:21" s="1423" customFormat="1" ht="13.5" customHeight="1">
      <c r="A53" s="3648"/>
      <c r="B53" s="3637"/>
      <c r="C53" s="3638"/>
      <c r="D53" s="3298" t="s">
        <v>1766</v>
      </c>
      <c r="E53" s="3638"/>
      <c r="F53" s="3653"/>
      <c r="G53" s="3707"/>
      <c r="H53" s="3654"/>
      <c r="I53" s="3510"/>
      <c r="J53" s="3650"/>
      <c r="K53" s="3650"/>
      <c r="L53" s="889"/>
      <c r="M53" s="889"/>
      <c r="N53" s="889"/>
      <c r="O53" s="889"/>
      <c r="P53" s="889"/>
      <c r="Q53" s="889"/>
      <c r="R53" s="889"/>
      <c r="S53" s="889"/>
      <c r="T53" s="889"/>
      <c r="U53" s="889"/>
    </row>
    <row r="54" spans="1:21" s="1423" customFormat="1" ht="13.5" customHeight="1">
      <c r="A54" s="3655"/>
      <c r="B54" s="3638"/>
      <c r="C54" s="3638"/>
      <c r="D54" s="3298" t="s">
        <v>1767</v>
      </c>
      <c r="E54" s="3638"/>
      <c r="F54" s="3656">
        <f>(25)*1.1</f>
        <v>27.500000000000004</v>
      </c>
      <c r="G54" s="3707"/>
      <c r="H54" s="3654"/>
      <c r="I54" s="3510"/>
      <c r="J54" s="3650"/>
      <c r="K54" s="3650"/>
      <c r="L54" s="889"/>
      <c r="M54" s="889"/>
      <c r="N54" s="889"/>
      <c r="O54" s="889"/>
      <c r="P54" s="889"/>
      <c r="Q54" s="889"/>
      <c r="R54" s="889"/>
      <c r="S54" s="889"/>
      <c r="T54" s="889"/>
      <c r="U54" s="889"/>
    </row>
    <row r="55" spans="1:21" s="888" customFormat="1" ht="13.5" customHeight="1">
      <c r="A55" s="3657"/>
      <c r="B55" s="3539"/>
      <c r="C55" s="3507"/>
      <c r="D55" s="3514" t="s">
        <v>1718</v>
      </c>
      <c r="E55" s="3507"/>
      <c r="F55" s="3540"/>
      <c r="G55" s="5"/>
      <c r="H55" s="3509"/>
      <c r="I55" s="3510"/>
      <c r="J55" s="3650"/>
      <c r="K55" s="3650"/>
      <c r="L55" s="889"/>
      <c r="M55" s="889"/>
      <c r="N55" s="889"/>
      <c r="O55" s="889"/>
      <c r="P55" s="889"/>
      <c r="Q55" s="889"/>
      <c r="R55" s="889"/>
      <c r="S55" s="889"/>
      <c r="T55" s="889"/>
    </row>
    <row r="56" spans="1:21" s="1423" customFormat="1" ht="27" customHeight="1">
      <c r="A56" s="3648">
        <v>10</v>
      </c>
      <c r="B56" s="3637" t="s">
        <v>1714</v>
      </c>
      <c r="C56" s="3638" t="s">
        <v>1768</v>
      </c>
      <c r="D56" s="3638" t="s">
        <v>1769</v>
      </c>
      <c r="E56" s="3638" t="s">
        <v>141</v>
      </c>
      <c r="F56" s="3508">
        <f>ROUND(SUM(F58:F58),3)</f>
        <v>145.31</v>
      </c>
      <c r="G56" s="3707"/>
      <c r="H56" s="2516">
        <f t="shared" ref="H56" si="14">ROUND(F56*G56,2)</f>
        <v>0</v>
      </c>
      <c r="I56" s="3510" t="s">
        <v>111</v>
      </c>
      <c r="J56" s="3650"/>
      <c r="K56" s="3650"/>
      <c r="M56" s="3651"/>
      <c r="P56" s="3652"/>
    </row>
    <row r="57" spans="1:21" s="1423" customFormat="1" ht="13.5" customHeight="1">
      <c r="A57" s="3648"/>
      <c r="B57" s="3637"/>
      <c r="C57" s="3638"/>
      <c r="D57" s="3298" t="s">
        <v>1770</v>
      </c>
      <c r="E57" s="3638"/>
      <c r="F57" s="3653"/>
      <c r="G57" s="3707"/>
      <c r="H57" s="3654"/>
      <c r="I57" s="3510"/>
      <c r="J57" s="3650"/>
      <c r="K57" s="3650"/>
      <c r="L57" s="889"/>
      <c r="M57" s="889"/>
      <c r="N57" s="889"/>
      <c r="O57" s="889"/>
      <c r="P57" s="889"/>
      <c r="Q57" s="889"/>
      <c r="R57" s="889"/>
      <c r="S57" s="889"/>
      <c r="T57" s="889"/>
      <c r="U57" s="889"/>
    </row>
    <row r="58" spans="1:21" s="1423" customFormat="1" ht="13.5" customHeight="1">
      <c r="A58" s="3655"/>
      <c r="B58" s="3638"/>
      <c r="C58" s="3638"/>
      <c r="D58" s="3298" t="s">
        <v>1771</v>
      </c>
      <c r="E58" s="3638"/>
      <c r="F58" s="3656">
        <f>(132.1)*1.1</f>
        <v>145.31</v>
      </c>
      <c r="G58" s="3707"/>
      <c r="H58" s="3654"/>
      <c r="I58" s="3510"/>
      <c r="J58" s="3650"/>
      <c r="K58" s="3650"/>
      <c r="L58" s="889"/>
      <c r="M58" s="889"/>
      <c r="N58" s="889"/>
      <c r="O58" s="889"/>
      <c r="P58" s="889"/>
      <c r="Q58" s="889"/>
      <c r="R58" s="889"/>
      <c r="S58" s="889"/>
      <c r="T58" s="889"/>
      <c r="U58" s="889"/>
    </row>
    <row r="59" spans="1:21" s="888" customFormat="1" ht="13.5" customHeight="1">
      <c r="A59" s="3657"/>
      <c r="B59" s="3539"/>
      <c r="C59" s="3507"/>
      <c r="D59" s="3514" t="s">
        <v>1718</v>
      </c>
      <c r="E59" s="3507"/>
      <c r="F59" s="3540"/>
      <c r="G59" s="5"/>
      <c r="H59" s="3509"/>
      <c r="I59" s="3510"/>
      <c r="J59" s="3650"/>
      <c r="K59" s="3650"/>
      <c r="L59" s="889"/>
      <c r="M59" s="889"/>
      <c r="N59" s="889"/>
      <c r="O59" s="889"/>
      <c r="P59" s="889"/>
      <c r="Q59" s="889"/>
      <c r="R59" s="889"/>
      <c r="S59" s="889"/>
      <c r="T59" s="889"/>
    </row>
    <row r="60" spans="1:21" s="1423" customFormat="1" ht="27" customHeight="1">
      <c r="A60" s="3648">
        <v>11</v>
      </c>
      <c r="B60" s="3637" t="s">
        <v>1714</v>
      </c>
      <c r="C60" s="3638" t="s">
        <v>1772</v>
      </c>
      <c r="D60" s="3638" t="s">
        <v>1773</v>
      </c>
      <c r="E60" s="3638" t="s">
        <v>141</v>
      </c>
      <c r="F60" s="3508">
        <f>ROUND(SUM(F62),3)</f>
        <v>5.72</v>
      </c>
      <c r="G60" s="3707"/>
      <c r="H60" s="2516">
        <f t="shared" ref="H60" si="15">ROUND(F60*G60,2)</f>
        <v>0</v>
      </c>
      <c r="I60" s="3510" t="s">
        <v>111</v>
      </c>
      <c r="J60" s="3650"/>
      <c r="K60" s="3650"/>
      <c r="M60" s="3651"/>
      <c r="P60" s="3652"/>
    </row>
    <row r="61" spans="1:21" s="1423" customFormat="1" ht="13.5" customHeight="1">
      <c r="A61" s="3648"/>
      <c r="B61" s="3637"/>
      <c r="C61" s="3638"/>
      <c r="D61" s="3298" t="s">
        <v>1774</v>
      </c>
      <c r="E61" s="3638"/>
      <c r="F61" s="3653"/>
      <c r="G61" s="3707"/>
      <c r="H61" s="3654"/>
      <c r="I61" s="3510"/>
      <c r="J61" s="3650"/>
      <c r="K61" s="3650"/>
      <c r="L61" s="889"/>
      <c r="M61" s="889"/>
      <c r="N61" s="889"/>
      <c r="O61" s="889"/>
      <c r="P61" s="889"/>
      <c r="Q61" s="889"/>
      <c r="R61" s="889"/>
      <c r="S61" s="889"/>
      <c r="T61" s="889"/>
      <c r="U61" s="889"/>
    </row>
    <row r="62" spans="1:21" s="1423" customFormat="1" ht="13.5" customHeight="1">
      <c r="A62" s="3655"/>
      <c r="B62" s="3638"/>
      <c r="C62" s="3638"/>
      <c r="D62" s="3298" t="s">
        <v>1775</v>
      </c>
      <c r="E62" s="3638"/>
      <c r="F62" s="3656">
        <f>5.2*1.1</f>
        <v>5.7200000000000006</v>
      </c>
      <c r="G62" s="3707"/>
      <c r="H62" s="3654"/>
      <c r="I62" s="3510"/>
      <c r="J62" s="3650"/>
      <c r="K62" s="3650"/>
      <c r="L62" s="889"/>
      <c r="M62" s="889"/>
      <c r="N62" s="889"/>
      <c r="O62" s="889"/>
      <c r="P62" s="889"/>
      <c r="Q62" s="889"/>
      <c r="R62" s="889"/>
      <c r="S62" s="889"/>
      <c r="T62" s="889"/>
      <c r="U62" s="889"/>
    </row>
    <row r="63" spans="1:21" s="888" customFormat="1" ht="13.5" customHeight="1">
      <c r="A63" s="3657"/>
      <c r="B63" s="3539"/>
      <c r="C63" s="3507"/>
      <c r="D63" s="3514" t="s">
        <v>1718</v>
      </c>
      <c r="E63" s="3507"/>
      <c r="F63" s="3540"/>
      <c r="G63" s="5"/>
      <c r="H63" s="3509"/>
      <c r="I63" s="3510"/>
      <c r="J63" s="3650"/>
      <c r="K63" s="3650"/>
      <c r="L63" s="889"/>
      <c r="M63" s="889"/>
      <c r="N63" s="889"/>
      <c r="O63" s="889"/>
      <c r="P63" s="889"/>
      <c r="Q63" s="889"/>
      <c r="R63" s="889"/>
      <c r="S63" s="889"/>
      <c r="T63" s="889"/>
    </row>
    <row r="64" spans="1:21" s="1423" customFormat="1" ht="27" customHeight="1">
      <c r="A64" s="2408">
        <v>12</v>
      </c>
      <c r="B64" s="3637" t="s">
        <v>1714</v>
      </c>
      <c r="C64" s="3638" t="s">
        <v>1776</v>
      </c>
      <c r="D64" s="3638" t="s">
        <v>1777</v>
      </c>
      <c r="E64" s="3638" t="s">
        <v>141</v>
      </c>
      <c r="F64" s="3508">
        <f>ROUND(SUM(F70),3)</f>
        <v>14.25</v>
      </c>
      <c r="G64" s="3509">
        <f>ROUND(SUM(H66:H69)/F64,2)</f>
        <v>0</v>
      </c>
      <c r="H64" s="2516">
        <f t="shared" ref="H64" si="16">ROUND(F64*G64,2)</f>
        <v>0</v>
      </c>
      <c r="I64" s="3510" t="s">
        <v>111</v>
      </c>
      <c r="J64" s="3667"/>
      <c r="K64" s="3643"/>
      <c r="L64" s="3644"/>
      <c r="M64" s="3645"/>
      <c r="N64" s="3644"/>
    </row>
    <row r="65" spans="1:30" s="1423" customFormat="1" ht="27" customHeight="1">
      <c r="A65" s="3648"/>
      <c r="B65" s="3637"/>
      <c r="C65" s="3638"/>
      <c r="D65" s="3298" t="s">
        <v>1778</v>
      </c>
      <c r="E65" s="3638"/>
      <c r="F65" s="3653"/>
      <c r="G65" s="3707"/>
      <c r="H65" s="3654"/>
      <c r="I65" s="3510"/>
      <c r="J65" s="3487"/>
      <c r="K65" s="3487"/>
      <c r="L65" s="3544"/>
      <c r="M65" s="3544"/>
      <c r="N65" s="3544"/>
      <c r="O65" s="3617"/>
      <c r="P65" s="889"/>
      <c r="Q65" s="889"/>
      <c r="R65" s="889"/>
      <c r="S65" s="889"/>
      <c r="T65" s="889"/>
      <c r="U65" s="889"/>
    </row>
    <row r="66" spans="1:30" s="888" customFormat="1" ht="40.5" customHeight="1">
      <c r="A66" s="3640" t="s">
        <v>1779</v>
      </c>
      <c r="B66" s="3594"/>
      <c r="C66" s="3530">
        <v>764214611</v>
      </c>
      <c r="D66" s="3514" t="s">
        <v>1780</v>
      </c>
      <c r="E66" s="3530" t="s">
        <v>163</v>
      </c>
      <c r="F66" s="3515">
        <f>((1.91*2.85)*5)*1.1</f>
        <v>29.939250000000005</v>
      </c>
      <c r="G66" s="106"/>
      <c r="H66" s="3546">
        <f t="shared" ref="H66:H67" si="17">F66*G66</f>
        <v>0</v>
      </c>
      <c r="I66" s="2532" t="s">
        <v>112</v>
      </c>
      <c r="J66" s="3660"/>
      <c r="K66" s="3133"/>
      <c r="L66" s="3133"/>
      <c r="M66" s="3133"/>
      <c r="N66" s="3133"/>
      <c r="O66" s="3133"/>
      <c r="P66" s="3133"/>
      <c r="Q66" s="3661"/>
      <c r="R66" s="3662"/>
      <c r="S66" s="3662"/>
      <c r="T66" s="3164"/>
      <c r="U66" s="3133"/>
      <c r="V66" s="3668"/>
      <c r="W66" s="3669"/>
      <c r="X66" s="3166"/>
      <c r="Y66" s="3670"/>
      <c r="Z66" s="3133"/>
      <c r="AA66" s="3133"/>
      <c r="AB66" s="3133"/>
      <c r="AC66" s="3133"/>
      <c r="AD66" s="3133"/>
    </row>
    <row r="67" spans="1:30" s="888" customFormat="1" ht="27" customHeight="1">
      <c r="A67" s="3640" t="s">
        <v>1781</v>
      </c>
      <c r="B67" s="3594"/>
      <c r="C67" s="3530" t="s">
        <v>1782</v>
      </c>
      <c r="D67" s="3514" t="s">
        <v>1783</v>
      </c>
      <c r="E67" s="3530" t="s">
        <v>163</v>
      </c>
      <c r="F67" s="3515">
        <f>((0.75*1.81)*5)*1.1</f>
        <v>7.4662500000000005</v>
      </c>
      <c r="G67" s="106"/>
      <c r="H67" s="3546">
        <f t="shared" si="17"/>
        <v>0</v>
      </c>
      <c r="I67" s="2532" t="s">
        <v>112</v>
      </c>
      <c r="J67" s="3660"/>
      <c r="K67" s="3133"/>
      <c r="L67" s="3133"/>
      <c r="M67" s="3133"/>
      <c r="N67" s="3133"/>
      <c r="O67" s="3133"/>
      <c r="P67" s="3133"/>
      <c r="Q67" s="3661"/>
      <c r="R67" s="3662"/>
      <c r="S67" s="3662"/>
      <c r="T67" s="3164"/>
      <c r="U67" s="3133"/>
      <c r="W67" s="3669"/>
      <c r="X67" s="3166"/>
      <c r="Y67" s="3670"/>
      <c r="Z67" s="3133"/>
      <c r="AA67" s="3133"/>
      <c r="AB67" s="3133"/>
      <c r="AC67" s="3133"/>
      <c r="AD67" s="3133"/>
    </row>
    <row r="68" spans="1:30" s="888" customFormat="1" ht="40.5" customHeight="1">
      <c r="A68" s="3640"/>
      <c r="B68" s="3594"/>
      <c r="C68" s="3530"/>
      <c r="D68" s="3671" t="s">
        <v>1784</v>
      </c>
      <c r="E68" s="3530"/>
      <c r="F68" s="3515"/>
      <c r="G68" s="82"/>
      <c r="H68" s="3546"/>
      <c r="I68" s="3672"/>
      <c r="J68" s="3673"/>
      <c r="K68" s="3133"/>
      <c r="L68" s="3133"/>
      <c r="M68" s="3133"/>
      <c r="N68" s="3133"/>
      <c r="O68" s="3133"/>
      <c r="P68" s="3133"/>
      <c r="Q68" s="3661"/>
      <c r="R68" s="3662"/>
      <c r="S68" s="3662"/>
      <c r="T68" s="3164"/>
      <c r="U68" s="3133"/>
      <c r="W68" s="3669"/>
      <c r="X68" s="3166"/>
      <c r="Y68" s="3670"/>
      <c r="Z68" s="3133"/>
      <c r="AA68" s="3133"/>
      <c r="AB68" s="3133"/>
      <c r="AC68" s="3133"/>
      <c r="AD68" s="3133"/>
    </row>
    <row r="69" spans="1:30" s="888" customFormat="1" ht="27" customHeight="1">
      <c r="A69" s="3640" t="s">
        <v>1785</v>
      </c>
      <c r="B69" s="3594"/>
      <c r="C69" s="3530" t="s">
        <v>1786</v>
      </c>
      <c r="D69" s="3514" t="s">
        <v>1787</v>
      </c>
      <c r="E69" s="3530" t="s">
        <v>49</v>
      </c>
      <c r="F69" s="3515">
        <v>5</v>
      </c>
      <c r="G69" s="22"/>
      <c r="H69" s="3546">
        <f t="shared" ref="H69" si="18">F69*G69</f>
        <v>0</v>
      </c>
      <c r="I69" s="2532" t="s">
        <v>112</v>
      </c>
      <c r="J69" s="3133"/>
      <c r="K69" s="3133"/>
      <c r="L69" s="3133"/>
      <c r="M69" s="3133"/>
      <c r="N69" s="3133"/>
      <c r="O69" s="3133"/>
      <c r="P69" s="3674"/>
      <c r="Q69" s="3661"/>
      <c r="R69" s="3662"/>
      <c r="S69" s="3662"/>
      <c r="T69" s="3133"/>
      <c r="U69" s="3133"/>
      <c r="V69" s="3133"/>
      <c r="W69" s="3669"/>
      <c r="X69" s="3166"/>
      <c r="Y69" s="3670"/>
      <c r="Z69" s="3133"/>
      <c r="AA69" s="3133"/>
      <c r="AB69" s="3133"/>
      <c r="AC69" s="3133"/>
      <c r="AD69" s="3133"/>
    </row>
    <row r="70" spans="1:30" s="1423" customFormat="1" ht="13.5" customHeight="1">
      <c r="A70" s="3655"/>
      <c r="B70" s="3638"/>
      <c r="C70" s="3638"/>
      <c r="D70" s="3298" t="s">
        <v>1788</v>
      </c>
      <c r="E70" s="3638"/>
      <c r="F70" s="3656">
        <f>(2.85)*5</f>
        <v>14.25</v>
      </c>
      <c r="G70" s="3707"/>
      <c r="H70" s="3654"/>
      <c r="I70" s="3510"/>
      <c r="J70" s="3644"/>
      <c r="K70" s="3644"/>
      <c r="L70" s="3644"/>
      <c r="M70" s="3645"/>
      <c r="N70" s="3644"/>
    </row>
    <row r="71" spans="1:30" s="888" customFormat="1" ht="13.5" customHeight="1">
      <c r="A71" s="3657"/>
      <c r="B71" s="3539"/>
      <c r="C71" s="3507"/>
      <c r="D71" s="3514" t="s">
        <v>1718</v>
      </c>
      <c r="E71" s="3507"/>
      <c r="F71" s="3540"/>
      <c r="G71" s="5"/>
      <c r="H71" s="3509"/>
      <c r="I71" s="3510"/>
      <c r="J71" s="3650"/>
      <c r="K71" s="3650"/>
      <c r="L71" s="889"/>
      <c r="M71" s="889"/>
      <c r="N71" s="889"/>
      <c r="O71" s="889"/>
      <c r="P71" s="889"/>
      <c r="Q71" s="889"/>
      <c r="R71" s="889"/>
      <c r="S71" s="889"/>
      <c r="T71" s="889"/>
    </row>
    <row r="72" spans="1:30" ht="13.5" customHeight="1">
      <c r="A72" s="2105">
        <v>13</v>
      </c>
      <c r="B72" s="3507">
        <v>764</v>
      </c>
      <c r="C72" s="3507">
        <v>998764202</v>
      </c>
      <c r="D72" s="3507" t="s">
        <v>1789</v>
      </c>
      <c r="E72" s="3507" t="s">
        <v>10</v>
      </c>
      <c r="F72" s="3540">
        <v>0.86</v>
      </c>
      <c r="G72" s="5"/>
      <c r="H72" s="2516">
        <f t="shared" ref="H72:H73" si="19">ROUND(F72*G72,2)</f>
        <v>0</v>
      </c>
      <c r="I72" s="3642" t="s">
        <v>137</v>
      </c>
      <c r="J72" s="3675"/>
    </row>
    <row r="73" spans="1:30" ht="13.5" customHeight="1">
      <c r="A73" s="2105">
        <v>14</v>
      </c>
      <c r="B73" s="3507" t="s">
        <v>362</v>
      </c>
      <c r="C73" s="3507" t="s">
        <v>1790</v>
      </c>
      <c r="D73" s="3507" t="s">
        <v>1791</v>
      </c>
      <c r="E73" s="3507" t="s">
        <v>69</v>
      </c>
      <c r="F73" s="3540">
        <f>F74</f>
        <v>15</v>
      </c>
      <c r="G73" s="5"/>
      <c r="H73" s="2516">
        <f t="shared" si="19"/>
        <v>0</v>
      </c>
      <c r="I73" s="3642" t="s">
        <v>137</v>
      </c>
    </row>
    <row r="74" spans="1:30" ht="13.5" customHeight="1">
      <c r="A74" s="2105"/>
      <c r="B74" s="3507"/>
      <c r="C74" s="3507"/>
      <c r="D74" s="3514" t="s">
        <v>1792</v>
      </c>
      <c r="E74" s="3507"/>
      <c r="F74" s="3515">
        <v>15</v>
      </c>
      <c r="G74" s="5"/>
      <c r="H74" s="3509"/>
      <c r="I74" s="3642"/>
    </row>
    <row r="75" spans="1:30" ht="13.5" customHeight="1">
      <c r="A75" s="3676"/>
      <c r="B75" s="3677"/>
      <c r="C75" s="3678"/>
      <c r="D75" s="3514" t="s">
        <v>526</v>
      </c>
      <c r="E75" s="3678"/>
      <c r="F75" s="3515"/>
      <c r="G75" s="53"/>
      <c r="H75" s="3679"/>
      <c r="I75" s="3680"/>
    </row>
    <row r="76" spans="1:30" s="888" customFormat="1" ht="21" customHeight="1">
      <c r="A76" s="3681"/>
      <c r="B76" s="3188"/>
      <c r="C76" s="3188"/>
      <c r="D76" s="3188" t="s">
        <v>0</v>
      </c>
      <c r="E76" s="3188"/>
      <c r="F76" s="3596"/>
      <c r="G76" s="3682"/>
      <c r="H76" s="3682">
        <f>H9</f>
        <v>0</v>
      </c>
      <c r="J76" s="3487"/>
      <c r="K76" s="3487"/>
      <c r="L76" s="3487"/>
      <c r="M76" s="3487"/>
      <c r="N76" s="3487"/>
      <c r="O76" s="3636"/>
    </row>
    <row r="77" spans="1:30" s="888" customFormat="1" ht="13.5" customHeight="1">
      <c r="A77" s="3683"/>
      <c r="B77" s="3598"/>
      <c r="C77" s="3598"/>
      <c r="D77" s="3598"/>
      <c r="E77" s="3598"/>
      <c r="F77" s="3599"/>
      <c r="G77" s="3684"/>
      <c r="H77" s="3684"/>
      <c r="J77" s="3487"/>
      <c r="K77" s="3487"/>
      <c r="L77" s="3487"/>
      <c r="M77" s="3487"/>
      <c r="N77" s="3487"/>
      <c r="O77" s="3636"/>
    </row>
    <row r="78" spans="1:30" s="888" customFormat="1" ht="13.5" customHeight="1">
      <c r="A78" s="5169" t="s">
        <v>862</v>
      </c>
      <c r="B78" s="5201"/>
      <c r="C78" s="5202"/>
      <c r="D78" s="3196" t="s">
        <v>1793</v>
      </c>
      <c r="E78" s="3197"/>
      <c r="F78" s="3601"/>
      <c r="G78" s="3685"/>
      <c r="H78" s="3686">
        <f>H76</f>
        <v>0</v>
      </c>
      <c r="J78" s="3687"/>
      <c r="K78" s="3487"/>
      <c r="L78" s="3487"/>
      <c r="M78" s="3487"/>
      <c r="N78" s="3487"/>
      <c r="O78" s="3636"/>
    </row>
    <row r="79" spans="1:30" s="888" customFormat="1" ht="13.5" customHeight="1">
      <c r="A79" s="3688"/>
      <c r="B79" s="3203"/>
      <c r="C79" s="3203"/>
      <c r="D79" s="3094"/>
      <c r="E79" s="3204"/>
      <c r="F79" s="3689"/>
      <c r="G79" s="3690"/>
      <c r="H79" s="3691"/>
      <c r="J79" s="3687"/>
      <c r="K79" s="3487"/>
      <c r="L79" s="3487"/>
      <c r="M79" s="3487"/>
      <c r="N79" s="3487"/>
      <c r="O79" s="3636"/>
    </row>
    <row r="80" spans="1:30" s="689" customFormat="1" ht="12.75">
      <c r="A80" s="3692" t="s">
        <v>1</v>
      </c>
      <c r="F80" s="876"/>
      <c r="G80" s="1978"/>
      <c r="H80" s="1978"/>
      <c r="J80" s="3693"/>
      <c r="K80" s="3693"/>
      <c r="L80" s="3611"/>
      <c r="M80" s="3611"/>
      <c r="N80" s="3611"/>
    </row>
    <row r="81" spans="1:15" s="888" customFormat="1" ht="23.45" customHeight="1">
      <c r="A81" s="5159" t="s">
        <v>103</v>
      </c>
      <c r="B81" s="5172"/>
      <c r="C81" s="5172"/>
      <c r="D81" s="5172"/>
      <c r="E81" s="5172"/>
      <c r="F81" s="5172"/>
      <c r="G81" s="5172"/>
      <c r="H81" s="1978"/>
      <c r="J81" s="3487"/>
      <c r="K81" s="3487"/>
      <c r="L81" s="3487"/>
      <c r="M81" s="3487"/>
      <c r="N81" s="3487"/>
      <c r="O81" s="3636"/>
    </row>
    <row r="82" spans="1:15" s="689" customFormat="1" ht="93.75" customHeight="1">
      <c r="A82" s="5159" t="s">
        <v>104</v>
      </c>
      <c r="B82" s="5173"/>
      <c r="C82" s="5173"/>
      <c r="D82" s="5173"/>
      <c r="E82" s="5173"/>
      <c r="F82" s="5173"/>
      <c r="G82" s="5173"/>
      <c r="H82" s="1978"/>
      <c r="J82" s="3693"/>
      <c r="K82" s="3693"/>
      <c r="L82" s="3611"/>
      <c r="M82" s="3611"/>
      <c r="N82" s="3611"/>
    </row>
    <row r="83" spans="1:15" s="1204" customFormat="1" ht="13.5" customHeight="1">
      <c r="A83" s="5159" t="s">
        <v>105</v>
      </c>
      <c r="B83" s="5174"/>
      <c r="C83" s="5174"/>
      <c r="D83" s="5174"/>
      <c r="E83" s="5174"/>
      <c r="F83" s="5174"/>
      <c r="G83" s="5174"/>
      <c r="H83" s="1982"/>
      <c r="I83" s="691"/>
      <c r="J83" s="3487"/>
      <c r="K83" s="3487"/>
      <c r="L83" s="3575"/>
      <c r="M83" s="3575"/>
      <c r="N83" s="3575"/>
      <c r="O83" s="3694"/>
    </row>
    <row r="84" spans="1:15" s="1204" customFormat="1" ht="13.5" customHeight="1">
      <c r="A84" s="5159" t="s">
        <v>106</v>
      </c>
      <c r="B84" s="5174"/>
      <c r="C84" s="5174"/>
      <c r="D84" s="5174"/>
      <c r="E84" s="5174"/>
      <c r="F84" s="5174"/>
      <c r="G84" s="5174"/>
      <c r="H84" s="1982"/>
      <c r="I84" s="691"/>
      <c r="J84" s="3487"/>
      <c r="K84" s="3487"/>
      <c r="L84" s="3575"/>
      <c r="M84" s="3575"/>
      <c r="N84" s="3575"/>
      <c r="O84" s="3694"/>
    </row>
    <row r="85" spans="1:15" ht="40.5" customHeight="1">
      <c r="A85" s="5156" t="s">
        <v>865</v>
      </c>
      <c r="B85" s="5156"/>
      <c r="C85" s="5156"/>
      <c r="D85" s="5156"/>
      <c r="E85" s="5156"/>
      <c r="F85" s="5156"/>
      <c r="G85" s="5156"/>
      <c r="I85" s="888"/>
      <c r="J85" s="889"/>
      <c r="K85" s="889"/>
      <c r="L85" s="889"/>
      <c r="M85" s="889"/>
      <c r="N85" s="889"/>
      <c r="O85" s="889"/>
    </row>
    <row r="86" spans="1:15" ht="108" customHeight="1">
      <c r="A86" s="5156" t="s">
        <v>1013</v>
      </c>
      <c r="B86" s="5156"/>
      <c r="C86" s="5156"/>
      <c r="D86" s="5156"/>
      <c r="E86" s="5156"/>
      <c r="F86" s="5156"/>
      <c r="G86" s="5156"/>
      <c r="H86" s="1204"/>
      <c r="I86" s="1205"/>
      <c r="J86" s="889"/>
      <c r="K86" s="889"/>
      <c r="L86" s="889"/>
      <c r="M86" s="889"/>
      <c r="N86" s="889"/>
      <c r="O86" s="889"/>
    </row>
    <row r="90" spans="1:15">
      <c r="C90" s="3134"/>
      <c r="D90" s="3133"/>
      <c r="E90" s="3533"/>
      <c r="F90" s="3696"/>
      <c r="G90" s="3697"/>
      <c r="H90" s="3698"/>
      <c r="I90" s="3699"/>
    </row>
    <row r="91" spans="1:15">
      <c r="C91" s="3700"/>
      <c r="D91" s="3701"/>
      <c r="E91" s="3702"/>
      <c r="F91" s="3703"/>
      <c r="G91" s="3704"/>
      <c r="I91" s="3705"/>
    </row>
    <row r="92" spans="1:15">
      <c r="C92" s="3134"/>
      <c r="D92" s="3133"/>
      <c r="E92" s="3533"/>
      <c r="F92" s="3696"/>
      <c r="G92" s="3697"/>
    </row>
    <row r="93" spans="1:15">
      <c r="C93" s="3700"/>
      <c r="D93" s="3701"/>
      <c r="E93" s="3702"/>
      <c r="F93" s="3703"/>
      <c r="G93" s="3704"/>
    </row>
    <row r="94" spans="1:15">
      <c r="C94" s="3134"/>
      <c r="D94" s="3133"/>
      <c r="E94" s="3533"/>
      <c r="F94" s="3696"/>
      <c r="G94" s="3697"/>
    </row>
    <row r="95" spans="1:15">
      <c r="C95" s="3700"/>
      <c r="D95" s="3701"/>
      <c r="E95" s="3702"/>
      <c r="F95" s="3703"/>
      <c r="G95" s="3704"/>
    </row>
    <row r="96" spans="1:15">
      <c r="C96" s="3134"/>
      <c r="D96" s="3133"/>
      <c r="E96" s="3533"/>
      <c r="F96" s="3696"/>
      <c r="G96" s="3697"/>
    </row>
    <row r="97" spans="3:7">
      <c r="C97" s="3700"/>
      <c r="D97" s="3701"/>
      <c r="E97" s="3702"/>
      <c r="F97" s="3703"/>
      <c r="G97" s="3704"/>
    </row>
    <row r="100" spans="3:7">
      <c r="C100" s="3134"/>
      <c r="D100" s="3133"/>
      <c r="E100" s="3533"/>
      <c r="F100" s="3696"/>
      <c r="G100" s="3697"/>
    </row>
    <row r="101" spans="3:7">
      <c r="C101" s="3700"/>
      <c r="D101" s="3701"/>
      <c r="E101" s="3702"/>
      <c r="F101" s="3703"/>
      <c r="G101" s="3704"/>
    </row>
    <row r="102" spans="3:7">
      <c r="C102" s="3134"/>
      <c r="D102" s="3133"/>
      <c r="E102" s="3533"/>
      <c r="F102" s="3696"/>
      <c r="G102" s="3697"/>
    </row>
    <row r="103" spans="3:7">
      <c r="C103" s="3700"/>
      <c r="D103" s="3701"/>
      <c r="E103" s="3702"/>
      <c r="F103" s="3703"/>
      <c r="G103" s="3704"/>
    </row>
    <row r="104" spans="3:7">
      <c r="C104" s="3134"/>
      <c r="D104" s="3133"/>
      <c r="E104" s="3533"/>
      <c r="F104" s="3696"/>
      <c r="G104" s="3697"/>
    </row>
    <row r="105" spans="3:7">
      <c r="C105" s="3700"/>
      <c r="D105" s="3701"/>
      <c r="E105" s="3702"/>
      <c r="F105" s="3703"/>
      <c r="G105" s="3704"/>
    </row>
    <row r="108" spans="3:7">
      <c r="C108" s="3134"/>
      <c r="D108" s="3133"/>
      <c r="E108" s="3533"/>
      <c r="F108" s="3696"/>
      <c r="G108" s="3697"/>
    </row>
    <row r="109" spans="3:7">
      <c r="C109" s="3134"/>
      <c r="D109" s="3133"/>
      <c r="E109" s="3533"/>
      <c r="F109" s="3696"/>
      <c r="G109" s="3697"/>
    </row>
    <row r="110" spans="3:7">
      <c r="C110" s="3134"/>
      <c r="D110" s="3133"/>
      <c r="E110" s="3533"/>
      <c r="F110" s="3696"/>
      <c r="G110" s="3697"/>
    </row>
    <row r="111" spans="3:7">
      <c r="C111" s="3134"/>
      <c r="D111" s="3133"/>
      <c r="E111" s="3533"/>
      <c r="F111" s="3696"/>
      <c r="G111" s="3697"/>
    </row>
    <row r="117" spans="3:7">
      <c r="C117" s="3134"/>
      <c r="D117" s="3133"/>
      <c r="E117" s="3533"/>
      <c r="F117" s="3696"/>
      <c r="G117" s="3697"/>
    </row>
    <row r="118" spans="3:7">
      <c r="C118" s="3134"/>
      <c r="D118" s="3133"/>
      <c r="E118" s="3533"/>
      <c r="F118" s="3696"/>
      <c r="G118" s="3697"/>
    </row>
    <row r="119" spans="3:7">
      <c r="C119" s="3134"/>
      <c r="D119" s="3133"/>
      <c r="E119" s="3533"/>
      <c r="F119" s="3696"/>
      <c r="G119" s="3697"/>
    </row>
  </sheetData>
  <sheetProtection algorithmName="SHA-512" hashValue="UG70otp6sLF6fFxo0ywtZ8Kh4H9DmTTtxv4tfKIChDto9AqPtypUxBhgHyG+DlHZL0qf3MpQAoznfJfe33TVZg==" saltValue="GlGrEBp+pUVgBo+6aOG+RA==" spinCount="100000" sheet="1" objects="1" scenarios="1"/>
  <mergeCells count="8">
    <mergeCell ref="A85:G85"/>
    <mergeCell ref="A86:G86"/>
    <mergeCell ref="A3:D3"/>
    <mergeCell ref="A78:C78"/>
    <mergeCell ref="A81:G81"/>
    <mergeCell ref="A82:G82"/>
    <mergeCell ref="A83:G83"/>
    <mergeCell ref="A84:G84"/>
  </mergeCells>
  <printOptions horizontalCentered="1"/>
  <pageMargins left="0.39370078740157483" right="0.39370078740157483" top="0.78740157480314965" bottom="0.39370078740157483" header="0.31496062992125984" footer="0.31496062992125984"/>
  <pageSetup paperSize="9" scale="71" fitToHeight="9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8072-42B8-4001-8846-D17EA62090DD}">
  <sheetPr>
    <pageSetUpPr fitToPage="1"/>
  </sheetPr>
  <dimension ref="A1:IW243"/>
  <sheetViews>
    <sheetView zoomScaleNormal="100" workbookViewId="0"/>
  </sheetViews>
  <sheetFormatPr defaultRowHeight="15"/>
  <cols>
    <col min="1" max="1" width="4.83203125" style="3597" customWidth="1"/>
    <col min="2" max="2" width="5" style="3598" customWidth="1"/>
    <col min="3" max="3" width="16.83203125" style="3598" customWidth="1"/>
    <col min="4" max="4" width="71.33203125" style="3598" customWidth="1"/>
    <col min="5" max="5" width="7.83203125" style="3598" customWidth="1"/>
    <col min="6" max="6" width="10.1640625" style="3599" customWidth="1"/>
    <col min="7" max="7" width="13.6640625" style="3600" customWidth="1"/>
    <col min="8" max="8" width="18.33203125" style="3600" customWidth="1"/>
    <col min="9" max="9" width="20.1640625" style="888" customWidth="1"/>
    <col min="10" max="10" width="20.1640625" style="3487" customWidth="1"/>
    <col min="11" max="11" width="20.33203125" style="889" customWidth="1"/>
    <col min="12" max="12" width="11.6640625" style="889" bestFit="1" customWidth="1"/>
    <col min="13" max="14" width="9.33203125" style="889"/>
    <col min="15" max="15" width="12.83203125" style="889" customWidth="1"/>
    <col min="16" max="16" width="17.6640625" style="889" customWidth="1"/>
    <col min="17" max="16384" width="9.33203125" style="889"/>
  </cols>
  <sheetData>
    <row r="1" spans="1:22" ht="18">
      <c r="A1" s="1" t="s">
        <v>2760</v>
      </c>
      <c r="B1" s="887"/>
      <c r="C1" s="887"/>
      <c r="D1" s="887"/>
      <c r="E1" s="887"/>
      <c r="F1" s="1421"/>
      <c r="G1" s="887"/>
      <c r="H1" s="887"/>
    </row>
    <row r="2" spans="1:22" ht="15" customHeight="1">
      <c r="A2" s="5199" t="s">
        <v>115</v>
      </c>
      <c r="B2" s="5200"/>
      <c r="C2" s="5200"/>
      <c r="D2" s="5200"/>
      <c r="E2" s="5200"/>
      <c r="F2" s="5200"/>
      <c r="G2" s="5200"/>
      <c r="H2" s="5200"/>
      <c r="I2" s="5200"/>
      <c r="J2" s="3488"/>
    </row>
    <row r="3" spans="1:22" ht="13.5" customHeight="1">
      <c r="A3" s="5193" t="s">
        <v>1114</v>
      </c>
      <c r="B3" s="5194"/>
      <c r="C3" s="5194"/>
      <c r="D3" s="5194"/>
      <c r="E3" s="86"/>
      <c r="F3" s="87"/>
      <c r="G3" s="88"/>
      <c r="H3" s="88"/>
      <c r="I3" s="3489"/>
      <c r="J3" s="3490"/>
    </row>
    <row r="4" spans="1:22" ht="15.75">
      <c r="A4" s="887"/>
      <c r="B4" s="887"/>
      <c r="C4" s="887"/>
      <c r="D4" s="887"/>
      <c r="E4" s="887"/>
      <c r="F4" s="1421"/>
      <c r="G4" s="887"/>
      <c r="H4" s="887"/>
      <c r="L4" s="3052"/>
      <c r="M4" s="3052"/>
      <c r="N4" s="3052"/>
      <c r="O4" s="3052"/>
    </row>
    <row r="5" spans="1:22" ht="22.5">
      <c r="A5" s="3491" t="s">
        <v>118</v>
      </c>
      <c r="B5" s="3491" t="s">
        <v>119</v>
      </c>
      <c r="C5" s="3492" t="s">
        <v>120</v>
      </c>
      <c r="D5" s="3491" t="s">
        <v>121</v>
      </c>
      <c r="E5" s="3491" t="s">
        <v>122</v>
      </c>
      <c r="F5" s="3493" t="s">
        <v>123</v>
      </c>
      <c r="G5" s="3491" t="s">
        <v>124</v>
      </c>
      <c r="H5" s="3491" t="s">
        <v>2</v>
      </c>
      <c r="I5" s="3491" t="s">
        <v>46</v>
      </c>
      <c r="J5" s="3494"/>
      <c r="K5" s="3052"/>
      <c r="L5" s="3495"/>
      <c r="M5" s="3495"/>
      <c r="N5" s="3495"/>
      <c r="O5" s="3495"/>
      <c r="P5" s="3495"/>
      <c r="Q5" s="3495"/>
      <c r="R5" s="3495"/>
    </row>
    <row r="6" spans="1:22">
      <c r="A6" s="3491" t="s">
        <v>125</v>
      </c>
      <c r="B6" s="3491" t="s">
        <v>126</v>
      </c>
      <c r="C6" s="3492" t="s">
        <v>127</v>
      </c>
      <c r="D6" s="3491" t="s">
        <v>128</v>
      </c>
      <c r="E6" s="3491" t="s">
        <v>129</v>
      </c>
      <c r="F6" s="3493" t="s">
        <v>130</v>
      </c>
      <c r="G6" s="3491" t="s">
        <v>131</v>
      </c>
      <c r="H6" s="3491">
        <v>8</v>
      </c>
      <c r="I6" s="3491">
        <v>9</v>
      </c>
      <c r="J6" s="3494"/>
    </row>
    <row r="7" spans="1:22" s="888" customFormat="1" ht="21" customHeight="1">
      <c r="A7" s="3496"/>
      <c r="B7" s="3497"/>
      <c r="C7" s="3497" t="s">
        <v>366</v>
      </c>
      <c r="D7" s="3497" t="s">
        <v>367</v>
      </c>
      <c r="E7" s="3497"/>
      <c r="F7" s="3498"/>
      <c r="G7" s="3064"/>
      <c r="H7" s="3499">
        <f>H8</f>
        <v>0</v>
      </c>
      <c r="J7" s="3487"/>
      <c r="K7" s="3500"/>
    </row>
    <row r="8" spans="1:22" ht="13.5" customHeight="1">
      <c r="A8" s="3501"/>
      <c r="B8" s="3502"/>
      <c r="C8" s="3503">
        <v>790</v>
      </c>
      <c r="D8" s="3502" t="s">
        <v>835</v>
      </c>
      <c r="E8" s="3502"/>
      <c r="F8" s="3504"/>
      <c r="G8" s="3505"/>
      <c r="H8" s="3505">
        <f>SUM(H9:H10,H13:H15,H19:H22,H25:H28,H33:H36,H41:H225)</f>
        <v>0</v>
      </c>
      <c r="I8" s="3506"/>
    </row>
    <row r="9" spans="1:22" ht="27" customHeight="1">
      <c r="A9" s="3381" t="s">
        <v>125</v>
      </c>
      <c r="B9" s="3507">
        <v>790</v>
      </c>
      <c r="C9" s="3507" t="s">
        <v>1115</v>
      </c>
      <c r="D9" s="3507" t="s">
        <v>1116</v>
      </c>
      <c r="E9" s="3507" t="s">
        <v>49</v>
      </c>
      <c r="F9" s="3508">
        <f>ROUND(SUM(F13),3)</f>
        <v>1</v>
      </c>
      <c r="G9" s="3509">
        <f>ROUND(SUM(H11:H12)/F9,2)</f>
        <v>0</v>
      </c>
      <c r="H9" s="2227">
        <f t="shared" ref="H9:H12" si="0">ROUND(F9*G9,2)</f>
        <v>0</v>
      </c>
      <c r="I9" s="3510" t="s">
        <v>112</v>
      </c>
      <c r="J9" s="3511"/>
      <c r="K9" s="3512"/>
    </row>
    <row r="10" spans="1:22" ht="13.5" customHeight="1">
      <c r="A10" s="3513"/>
      <c r="B10" s="3514"/>
      <c r="C10" s="3514"/>
      <c r="D10" s="3514" t="s">
        <v>1117</v>
      </c>
      <c r="E10" s="3514"/>
      <c r="F10" s="3515"/>
      <c r="G10" s="89"/>
      <c r="H10" s="3516"/>
      <c r="I10" s="3506"/>
    </row>
    <row r="11" spans="1:22" s="2206" customFormat="1" ht="13.5" customHeight="1">
      <c r="A11" s="3284" t="s">
        <v>1118</v>
      </c>
      <c r="B11" s="2224"/>
      <c r="C11" s="3285" t="s">
        <v>1119</v>
      </c>
      <c r="D11" s="2277" t="s">
        <v>1120</v>
      </c>
      <c r="E11" s="2347" t="s">
        <v>163</v>
      </c>
      <c r="F11" s="2300">
        <f xml:space="preserve"> ((1.45+1.8)*1.85)</f>
        <v>6.0125000000000002</v>
      </c>
      <c r="G11" s="209"/>
      <c r="H11" s="2624">
        <f t="shared" si="0"/>
        <v>0</v>
      </c>
      <c r="I11" s="2532" t="s">
        <v>137</v>
      </c>
      <c r="J11" s="647"/>
      <c r="K11" s="647"/>
      <c r="L11" s="612"/>
      <c r="M11" s="612"/>
      <c r="N11" s="612"/>
      <c r="O11" s="612"/>
      <c r="P11" s="612"/>
      <c r="Q11" s="612"/>
      <c r="R11" s="612"/>
      <c r="S11" s="788"/>
      <c r="V11" s="612"/>
    </row>
    <row r="12" spans="1:22" s="2206" customFormat="1" ht="13.5" customHeight="1">
      <c r="A12" s="3284" t="s">
        <v>1121</v>
      </c>
      <c r="B12" s="2224"/>
      <c r="C12" s="3285" t="s">
        <v>1122</v>
      </c>
      <c r="D12" s="2277" t="s">
        <v>1123</v>
      </c>
      <c r="E12" s="2347" t="s">
        <v>205</v>
      </c>
      <c r="F12" s="2300">
        <v>2</v>
      </c>
      <c r="G12" s="209"/>
      <c r="H12" s="2624">
        <f t="shared" si="0"/>
        <v>0</v>
      </c>
      <c r="I12" s="2532" t="s">
        <v>137</v>
      </c>
      <c r="J12" s="647"/>
      <c r="K12" s="647"/>
      <c r="L12" s="612"/>
      <c r="M12" s="612"/>
      <c r="N12" s="612"/>
      <c r="O12" s="612"/>
      <c r="P12" s="612"/>
      <c r="Q12" s="612"/>
      <c r="R12" s="612"/>
      <c r="S12" s="788"/>
      <c r="V12" s="612"/>
    </row>
    <row r="13" spans="1:22" ht="13.5" customHeight="1">
      <c r="A13" s="3517"/>
      <c r="B13" s="3507"/>
      <c r="C13" s="3507"/>
      <c r="D13" s="3514" t="s">
        <v>1124</v>
      </c>
      <c r="E13" s="3514"/>
      <c r="F13" s="3515">
        <v>1</v>
      </c>
      <c r="G13" s="81"/>
      <c r="H13" s="3505"/>
      <c r="I13" s="3506"/>
    </row>
    <row r="14" spans="1:22" ht="13.5" customHeight="1">
      <c r="A14" s="3517"/>
      <c r="B14" s="3507"/>
      <c r="C14" s="3507"/>
      <c r="D14" s="3514" t="s">
        <v>1125</v>
      </c>
      <c r="E14" s="3514"/>
      <c r="F14" s="3515"/>
      <c r="G14" s="81"/>
      <c r="H14" s="3505"/>
      <c r="I14" s="3506"/>
    </row>
    <row r="15" spans="1:22" ht="27" customHeight="1">
      <c r="A15" s="3381" t="s">
        <v>126</v>
      </c>
      <c r="B15" s="3507">
        <v>790</v>
      </c>
      <c r="C15" s="3507" t="s">
        <v>1126</v>
      </c>
      <c r="D15" s="3507" t="s">
        <v>1127</v>
      </c>
      <c r="E15" s="3507" t="s">
        <v>49</v>
      </c>
      <c r="F15" s="3508">
        <f>ROUND(SUM(F19),3)</f>
        <v>1</v>
      </c>
      <c r="G15" s="3509">
        <f>ROUND(SUM(H17:H18)/F15,2)</f>
        <v>0</v>
      </c>
      <c r="H15" s="2227">
        <f t="shared" ref="H15" si="1">ROUND(F15*G15,2)</f>
        <v>0</v>
      </c>
      <c r="I15" s="3510" t="s">
        <v>112</v>
      </c>
      <c r="J15" s="3511"/>
      <c r="K15" s="3512"/>
    </row>
    <row r="16" spans="1:22" ht="13.5" customHeight="1">
      <c r="A16" s="3513"/>
      <c r="B16" s="3514"/>
      <c r="C16" s="3514"/>
      <c r="D16" s="3514" t="s">
        <v>1117</v>
      </c>
      <c r="E16" s="3514"/>
      <c r="F16" s="3515"/>
      <c r="G16" s="89"/>
      <c r="H16" s="3516"/>
      <c r="I16" s="3506"/>
      <c r="K16" s="71"/>
    </row>
    <row r="17" spans="1:22" s="2206" customFormat="1" ht="13.5" customHeight="1">
      <c r="A17" s="3284" t="s">
        <v>1128</v>
      </c>
      <c r="B17" s="2224"/>
      <c r="C17" s="3285" t="s">
        <v>1119</v>
      </c>
      <c r="D17" s="2277" t="s">
        <v>1129</v>
      </c>
      <c r="E17" s="2347" t="s">
        <v>163</v>
      </c>
      <c r="F17" s="2300">
        <f>((1.58+1.8)*1.85)</f>
        <v>6.2530000000000001</v>
      </c>
      <c r="G17" s="209"/>
      <c r="H17" s="2624">
        <f t="shared" ref="H17:H18" si="2">ROUND(F17*G17,2)</f>
        <v>0</v>
      </c>
      <c r="I17" s="2532" t="s">
        <v>137</v>
      </c>
      <c r="J17" s="647"/>
      <c r="K17" s="647"/>
      <c r="L17" s="612"/>
      <c r="M17" s="612"/>
      <c r="N17" s="612"/>
      <c r="O17" s="612"/>
      <c r="P17" s="612"/>
      <c r="Q17" s="612"/>
      <c r="R17" s="612"/>
      <c r="S17" s="788"/>
      <c r="V17" s="612"/>
    </row>
    <row r="18" spans="1:22" s="2206" customFormat="1" ht="13.5" customHeight="1">
      <c r="A18" s="3284" t="s">
        <v>1130</v>
      </c>
      <c r="B18" s="2224"/>
      <c r="C18" s="3285" t="s">
        <v>1122</v>
      </c>
      <c r="D18" s="2277" t="s">
        <v>1123</v>
      </c>
      <c r="E18" s="2347" t="s">
        <v>205</v>
      </c>
      <c r="F18" s="2300">
        <v>2</v>
      </c>
      <c r="G18" s="209"/>
      <c r="H18" s="2624">
        <f t="shared" si="2"/>
        <v>0</v>
      </c>
      <c r="I18" s="2532" t="s">
        <v>137</v>
      </c>
      <c r="J18" s="647"/>
      <c r="K18" s="647"/>
      <c r="L18" s="612"/>
      <c r="M18" s="612"/>
      <c r="N18" s="612"/>
      <c r="O18" s="612"/>
      <c r="P18" s="612"/>
      <c r="Q18" s="612"/>
      <c r="R18" s="612"/>
      <c r="S18" s="788"/>
      <c r="V18" s="612"/>
    </row>
    <row r="19" spans="1:22" ht="13.5" customHeight="1">
      <c r="A19" s="3517"/>
      <c r="B19" s="3507"/>
      <c r="C19" s="3507"/>
      <c r="D19" s="3514" t="s">
        <v>1124</v>
      </c>
      <c r="E19" s="3514"/>
      <c r="F19" s="3515">
        <v>1</v>
      </c>
      <c r="G19" s="81"/>
      <c r="H19" s="3505"/>
      <c r="I19" s="3506"/>
    </row>
    <row r="20" spans="1:22" ht="13.5" customHeight="1">
      <c r="A20" s="3517"/>
      <c r="B20" s="3507"/>
      <c r="C20" s="3507"/>
      <c r="D20" s="3514" t="s">
        <v>1125</v>
      </c>
      <c r="E20" s="3514"/>
      <c r="F20" s="3515"/>
      <c r="G20" s="81"/>
      <c r="H20" s="3505"/>
      <c r="I20" s="3506"/>
    </row>
    <row r="21" spans="1:22" ht="27" customHeight="1">
      <c r="A21" s="3381" t="s">
        <v>127</v>
      </c>
      <c r="B21" s="3507">
        <v>790</v>
      </c>
      <c r="C21" s="3507" t="s">
        <v>1131</v>
      </c>
      <c r="D21" s="3507" t="s">
        <v>1132</v>
      </c>
      <c r="E21" s="3507" t="s">
        <v>49</v>
      </c>
      <c r="F21" s="3508">
        <f>ROUND(SUM(F25),3)</f>
        <v>1</v>
      </c>
      <c r="G21" s="3509">
        <f>ROUND(SUM(H23:H24)/F21,2)</f>
        <v>0</v>
      </c>
      <c r="H21" s="2227">
        <f t="shared" ref="H21" si="3">ROUND(F21*G21,2)</f>
        <v>0</v>
      </c>
      <c r="I21" s="3510" t="s">
        <v>112</v>
      </c>
      <c r="J21" s="3511"/>
      <c r="K21" s="3512"/>
    </row>
    <row r="22" spans="1:22" ht="13.5" customHeight="1">
      <c r="A22" s="3513"/>
      <c r="B22" s="3514"/>
      <c r="C22" s="3514"/>
      <c r="D22" s="3514" t="s">
        <v>1117</v>
      </c>
      <c r="E22" s="3514"/>
      <c r="F22" s="3515"/>
      <c r="G22" s="89"/>
      <c r="H22" s="3516"/>
      <c r="I22" s="3506"/>
      <c r="K22" s="71"/>
    </row>
    <row r="23" spans="1:22" s="2206" customFormat="1" ht="13.5" customHeight="1">
      <c r="A23" s="3284" t="s">
        <v>1133</v>
      </c>
      <c r="B23" s="2224"/>
      <c r="C23" s="3285" t="s">
        <v>1119</v>
      </c>
      <c r="D23" s="2277" t="s">
        <v>1134</v>
      </c>
      <c r="E23" s="2347" t="s">
        <v>163</v>
      </c>
      <c r="F23" s="2300">
        <f>(1.46*2+2.6)*1.85</f>
        <v>10.212</v>
      </c>
      <c r="G23" s="209"/>
      <c r="H23" s="2624">
        <f t="shared" ref="H23:H24" si="4">ROUND(F23*G23,2)</f>
        <v>0</v>
      </c>
      <c r="I23" s="2532" t="s">
        <v>137</v>
      </c>
      <c r="J23" s="647"/>
      <c r="K23" s="647"/>
      <c r="L23" s="612"/>
      <c r="M23" s="612"/>
      <c r="N23" s="612"/>
      <c r="O23" s="612"/>
      <c r="P23" s="612"/>
      <c r="Q23" s="612"/>
      <c r="R23" s="612"/>
      <c r="S23" s="788"/>
      <c r="V23" s="612"/>
    </row>
    <row r="24" spans="1:22" s="2206" customFormat="1" ht="13.5" customHeight="1">
      <c r="A24" s="3284" t="s">
        <v>1135</v>
      </c>
      <c r="B24" s="2224"/>
      <c r="C24" s="3285" t="s">
        <v>1122</v>
      </c>
      <c r="D24" s="2277" t="s">
        <v>1123</v>
      </c>
      <c r="E24" s="2347" t="s">
        <v>205</v>
      </c>
      <c r="F24" s="2300">
        <v>3</v>
      </c>
      <c r="G24" s="209"/>
      <c r="H24" s="2624">
        <f t="shared" si="4"/>
        <v>0</v>
      </c>
      <c r="I24" s="2532" t="s">
        <v>137</v>
      </c>
      <c r="J24" s="647"/>
      <c r="K24" s="647"/>
      <c r="L24" s="612"/>
      <c r="M24" s="612"/>
      <c r="N24" s="612"/>
      <c r="O24" s="612"/>
      <c r="P24" s="612"/>
      <c r="Q24" s="612"/>
      <c r="R24" s="612"/>
      <c r="S24" s="788"/>
      <c r="V24" s="612"/>
    </row>
    <row r="25" spans="1:22" ht="13.5" customHeight="1">
      <c r="A25" s="3517"/>
      <c r="B25" s="3507"/>
      <c r="C25" s="3507"/>
      <c r="D25" s="3514" t="s">
        <v>1124</v>
      </c>
      <c r="E25" s="3514"/>
      <c r="F25" s="3515">
        <v>1</v>
      </c>
      <c r="G25" s="81"/>
      <c r="H25" s="3505"/>
      <c r="I25" s="3506"/>
    </row>
    <row r="26" spans="1:22" ht="13.5" customHeight="1">
      <c r="A26" s="3517"/>
      <c r="B26" s="3507"/>
      <c r="C26" s="3507"/>
      <c r="D26" s="3514" t="s">
        <v>1125</v>
      </c>
      <c r="E26" s="3514"/>
      <c r="F26" s="3515"/>
      <c r="G26" s="81"/>
      <c r="H26" s="3505"/>
      <c r="I26" s="3506"/>
    </row>
    <row r="27" spans="1:22" ht="27" customHeight="1">
      <c r="A27" s="2408">
        <v>4</v>
      </c>
      <c r="B27" s="3507">
        <v>790</v>
      </c>
      <c r="C27" s="3507" t="s">
        <v>1136</v>
      </c>
      <c r="D27" s="3507" t="s">
        <v>1137</v>
      </c>
      <c r="E27" s="3507" t="s">
        <v>163</v>
      </c>
      <c r="F27" s="3508">
        <f>ROUND(SUM(F33),3)</f>
        <v>0.91</v>
      </c>
      <c r="G27" s="3509">
        <f>ROUND(SUM(H29:H32)/F27,2)</f>
        <v>0</v>
      </c>
      <c r="H27" s="2227">
        <f t="shared" ref="H27" si="5">ROUND(F27*G27,2)</f>
        <v>0</v>
      </c>
      <c r="I27" s="3510" t="s">
        <v>112</v>
      </c>
      <c r="J27" s="3511"/>
      <c r="K27" s="71"/>
    </row>
    <row r="28" spans="1:22" ht="13.5" customHeight="1">
      <c r="A28" s="3518"/>
      <c r="B28" s="3514"/>
      <c r="C28" s="3514"/>
      <c r="D28" s="3514" t="s">
        <v>1138</v>
      </c>
      <c r="E28" s="3514"/>
      <c r="F28" s="3515"/>
      <c r="G28" s="89"/>
      <c r="H28" s="3516"/>
      <c r="I28" s="3519"/>
      <c r="J28" s="3520"/>
      <c r="K28" s="3521"/>
      <c r="M28" s="90"/>
    </row>
    <row r="29" spans="1:22" s="2206" customFormat="1" ht="13.5" customHeight="1">
      <c r="A29" s="3284" t="s">
        <v>1139</v>
      </c>
      <c r="B29" s="2224"/>
      <c r="C29" s="3285">
        <v>767531121</v>
      </c>
      <c r="D29" s="2277" t="s">
        <v>1140</v>
      </c>
      <c r="E29" s="2347" t="s">
        <v>141</v>
      </c>
      <c r="F29" s="2300">
        <f>(F33)*2</f>
        <v>1.82</v>
      </c>
      <c r="G29" s="209"/>
      <c r="H29" s="2624">
        <f t="shared" ref="H29:H32" si="6">ROUND(F29*G29,2)</f>
        <v>0</v>
      </c>
      <c r="I29" s="2532" t="s">
        <v>137</v>
      </c>
      <c r="J29" s="647"/>
      <c r="K29" s="647"/>
      <c r="L29" s="612"/>
      <c r="M29" s="612"/>
      <c r="N29" s="612"/>
      <c r="O29" s="612"/>
      <c r="P29" s="612"/>
      <c r="Q29" s="612"/>
      <c r="R29" s="612"/>
      <c r="S29" s="788"/>
      <c r="V29" s="612"/>
    </row>
    <row r="30" spans="1:22" s="3528" customFormat="1" ht="13.5" customHeight="1">
      <c r="A30" s="3522" t="s">
        <v>1141</v>
      </c>
      <c r="B30" s="3523"/>
      <c r="C30" s="3524" t="s">
        <v>1142</v>
      </c>
      <c r="D30" s="3369" t="s">
        <v>1143</v>
      </c>
      <c r="E30" s="3368" t="s">
        <v>141</v>
      </c>
      <c r="F30" s="3525">
        <f>(F33)*2*1.05</f>
        <v>1.9110000000000003</v>
      </c>
      <c r="G30" s="475"/>
      <c r="H30" s="3370">
        <f t="shared" si="6"/>
        <v>0</v>
      </c>
      <c r="I30" s="2538" t="s">
        <v>112</v>
      </c>
      <c r="J30" s="3526"/>
      <c r="K30" s="3526"/>
      <c r="L30" s="1567"/>
      <c r="M30" s="1567"/>
      <c r="N30" s="1567"/>
      <c r="O30" s="1567"/>
      <c r="P30" s="1567"/>
      <c r="Q30" s="1567"/>
      <c r="R30" s="1567"/>
      <c r="S30" s="3527"/>
      <c r="V30" s="1567"/>
    </row>
    <row r="31" spans="1:22" s="2206" customFormat="1" ht="13.5" customHeight="1">
      <c r="A31" s="3284" t="s">
        <v>1144</v>
      </c>
      <c r="B31" s="2224"/>
      <c r="C31" s="3285">
        <v>767531212</v>
      </c>
      <c r="D31" s="2277" t="s">
        <v>1145</v>
      </c>
      <c r="E31" s="2347" t="s">
        <v>163</v>
      </c>
      <c r="F31" s="2300">
        <f>F33</f>
        <v>0.91</v>
      </c>
      <c r="G31" s="209"/>
      <c r="H31" s="2624">
        <f t="shared" si="6"/>
        <v>0</v>
      </c>
      <c r="I31" s="2532" t="s">
        <v>137</v>
      </c>
      <c r="J31" s="647"/>
      <c r="K31" s="647"/>
      <c r="L31" s="612"/>
      <c r="M31" s="612"/>
      <c r="N31" s="612"/>
      <c r="O31" s="612"/>
      <c r="P31" s="612"/>
      <c r="Q31" s="612"/>
      <c r="R31" s="612"/>
      <c r="S31" s="788"/>
      <c r="V31" s="612"/>
    </row>
    <row r="32" spans="1:22" s="3528" customFormat="1" ht="13.5" customHeight="1">
      <c r="A32" s="3522" t="s">
        <v>1146</v>
      </c>
      <c r="B32" s="3523"/>
      <c r="C32" s="3524" t="s">
        <v>1147</v>
      </c>
      <c r="D32" s="3369" t="s">
        <v>1148</v>
      </c>
      <c r="E32" s="3368" t="s">
        <v>163</v>
      </c>
      <c r="F32" s="3525">
        <f>(F33)*1.05</f>
        <v>0.95550000000000013</v>
      </c>
      <c r="G32" s="475"/>
      <c r="H32" s="3370">
        <f t="shared" si="6"/>
        <v>0</v>
      </c>
      <c r="I32" s="2538" t="s">
        <v>112</v>
      </c>
      <c r="J32" s="3526"/>
      <c r="K32" s="3526"/>
      <c r="L32" s="1567"/>
      <c r="M32" s="1567"/>
      <c r="N32" s="1567"/>
      <c r="O32" s="1567"/>
      <c r="P32" s="1567"/>
      <c r="Q32" s="1567"/>
      <c r="R32" s="1567"/>
      <c r="S32" s="3527"/>
      <c r="V32" s="1567"/>
    </row>
    <row r="33" spans="1:257" ht="13.5" customHeight="1">
      <c r="A33" s="3518"/>
      <c r="B33" s="3514"/>
      <c r="C33" s="3514"/>
      <c r="D33" s="3514" t="s">
        <v>1149</v>
      </c>
      <c r="E33" s="3514"/>
      <c r="F33" s="3515">
        <f xml:space="preserve"> (0.91)</f>
        <v>0.91</v>
      </c>
      <c r="G33" s="89"/>
      <c r="H33" s="3516"/>
      <c r="I33" s="3519"/>
      <c r="J33" s="3520"/>
      <c r="K33" s="3529"/>
      <c r="M33" s="90"/>
    </row>
    <row r="34" spans="1:257" ht="13.5" customHeight="1">
      <c r="A34" s="3501"/>
      <c r="B34" s="3502"/>
      <c r="C34" s="3502"/>
      <c r="D34" s="3530" t="s">
        <v>1150</v>
      </c>
      <c r="E34" s="3502"/>
      <c r="F34" s="3504"/>
      <c r="G34" s="81"/>
      <c r="H34" s="3505"/>
      <c r="I34" s="3519"/>
      <c r="J34" s="3520"/>
      <c r="K34" s="3529"/>
    </row>
    <row r="35" spans="1:257" ht="27" customHeight="1">
      <c r="A35" s="2408">
        <v>5</v>
      </c>
      <c r="B35" s="3507">
        <v>790</v>
      </c>
      <c r="C35" s="3507" t="s">
        <v>1136</v>
      </c>
      <c r="D35" s="3507" t="s">
        <v>1151</v>
      </c>
      <c r="E35" s="3507" t="s">
        <v>163</v>
      </c>
      <c r="F35" s="3508">
        <f>ROUND(SUM(F41:F41),3)</f>
        <v>20.23</v>
      </c>
      <c r="G35" s="3509">
        <f>ROUND(SUM(H37:H40)/F35,2)</f>
        <v>0</v>
      </c>
      <c r="H35" s="2227">
        <f t="shared" ref="H35" si="7">ROUND(F35*G35,2)</f>
        <v>0</v>
      </c>
      <c r="I35" s="3510" t="s">
        <v>112</v>
      </c>
      <c r="J35" s="3511"/>
      <c r="K35" s="71"/>
    </row>
    <row r="36" spans="1:257" ht="13.5" customHeight="1">
      <c r="A36" s="3518"/>
      <c r="B36" s="3514"/>
      <c r="C36" s="3514"/>
      <c r="D36" s="3514" t="s">
        <v>1152</v>
      </c>
      <c r="E36" s="3514"/>
      <c r="F36" s="3515"/>
      <c r="G36" s="89"/>
      <c r="H36" s="3516"/>
      <c r="I36" s="3519"/>
      <c r="J36" s="3520"/>
      <c r="K36" s="3521"/>
      <c r="M36" s="90"/>
    </row>
    <row r="37" spans="1:257" s="2206" customFormat="1" ht="13.5" customHeight="1">
      <c r="A37" s="3284" t="s">
        <v>1153</v>
      </c>
      <c r="B37" s="2224"/>
      <c r="C37" s="3285">
        <v>767531121</v>
      </c>
      <c r="D37" s="2277" t="s">
        <v>1154</v>
      </c>
      <c r="E37" s="2347" t="s">
        <v>141</v>
      </c>
      <c r="F37" s="2300">
        <f>(F41)*2</f>
        <v>40.46</v>
      </c>
      <c r="G37" s="209"/>
      <c r="H37" s="2624">
        <f t="shared" ref="H37:H40" si="8">ROUND(F37*G37,2)</f>
        <v>0</v>
      </c>
      <c r="I37" s="2532" t="s">
        <v>137</v>
      </c>
      <c r="J37" s="647"/>
      <c r="K37" s="647"/>
      <c r="L37" s="612"/>
      <c r="M37" s="612"/>
      <c r="N37" s="612"/>
      <c r="O37" s="612"/>
      <c r="P37" s="612"/>
      <c r="Q37" s="612"/>
      <c r="R37" s="612"/>
      <c r="S37" s="788"/>
      <c r="V37" s="612"/>
    </row>
    <row r="38" spans="1:257" s="3528" customFormat="1" ht="13.5" customHeight="1">
      <c r="A38" s="3522" t="s">
        <v>1155</v>
      </c>
      <c r="B38" s="3523"/>
      <c r="C38" s="3524" t="s">
        <v>1156</v>
      </c>
      <c r="D38" s="3369" t="s">
        <v>1157</v>
      </c>
      <c r="E38" s="3368" t="s">
        <v>141</v>
      </c>
      <c r="F38" s="3525">
        <f xml:space="preserve"> (F41*2)*1.05</f>
        <v>42.483000000000004</v>
      </c>
      <c r="G38" s="475"/>
      <c r="H38" s="3370">
        <f t="shared" si="8"/>
        <v>0</v>
      </c>
      <c r="I38" s="2538" t="s">
        <v>112</v>
      </c>
      <c r="J38" s="3526"/>
      <c r="K38" s="3526"/>
      <c r="L38" s="1567"/>
      <c r="M38" s="1567"/>
      <c r="N38" s="1567"/>
      <c r="O38" s="1567"/>
      <c r="P38" s="1567"/>
      <c r="Q38" s="1567"/>
      <c r="R38" s="1567"/>
      <c r="S38" s="3527"/>
      <c r="V38" s="1567"/>
    </row>
    <row r="39" spans="1:257" s="2206" customFormat="1" ht="13.5" customHeight="1">
      <c r="A39" s="3284" t="s">
        <v>1158</v>
      </c>
      <c r="B39" s="2224"/>
      <c r="C39" s="3285">
        <v>767531212</v>
      </c>
      <c r="D39" s="2277" t="s">
        <v>1159</v>
      </c>
      <c r="E39" s="2347" t="s">
        <v>163</v>
      </c>
      <c r="F39" s="2300">
        <f xml:space="preserve"> (F41)</f>
        <v>20.23</v>
      </c>
      <c r="G39" s="209"/>
      <c r="H39" s="2624">
        <f t="shared" si="8"/>
        <v>0</v>
      </c>
      <c r="I39" s="2532" t="s">
        <v>137</v>
      </c>
      <c r="J39" s="647"/>
      <c r="K39" s="647"/>
      <c r="L39" s="612"/>
      <c r="M39" s="612"/>
      <c r="N39" s="612"/>
      <c r="O39" s="612"/>
      <c r="P39" s="612"/>
      <c r="Q39" s="612"/>
      <c r="R39" s="612"/>
      <c r="S39" s="788"/>
      <c r="V39" s="612"/>
    </row>
    <row r="40" spans="1:257" s="3528" customFormat="1" ht="13.5" customHeight="1">
      <c r="A40" s="3522" t="s">
        <v>1160</v>
      </c>
      <c r="B40" s="3523"/>
      <c r="C40" s="3524">
        <v>69752121</v>
      </c>
      <c r="D40" s="3369" t="s">
        <v>1161</v>
      </c>
      <c r="E40" s="3368" t="s">
        <v>163</v>
      </c>
      <c r="F40" s="3525">
        <f>(F41)*1.05</f>
        <v>21.241500000000002</v>
      </c>
      <c r="G40" s="475"/>
      <c r="H40" s="3370">
        <f t="shared" si="8"/>
        <v>0</v>
      </c>
      <c r="I40" s="2538" t="s">
        <v>112</v>
      </c>
      <c r="J40" s="3526"/>
      <c r="K40" s="3526"/>
      <c r="L40" s="1567"/>
      <c r="M40" s="1567"/>
      <c r="N40" s="1567"/>
      <c r="O40" s="1567"/>
      <c r="P40" s="1567"/>
      <c r="Q40" s="1567"/>
      <c r="R40" s="1567"/>
      <c r="S40" s="3527"/>
      <c r="V40" s="1567"/>
    </row>
    <row r="41" spans="1:257" ht="13.5" customHeight="1">
      <c r="A41" s="3518"/>
      <c r="B41" s="3514"/>
      <c r="C41" s="3514"/>
      <c r="D41" s="3514" t="s">
        <v>1162</v>
      </c>
      <c r="E41" s="3514"/>
      <c r="F41" s="3515">
        <f>(17.92+2.31)</f>
        <v>20.23</v>
      </c>
      <c r="G41" s="89"/>
      <c r="H41" s="3516"/>
      <c r="I41" s="3519"/>
      <c r="J41" s="3520"/>
      <c r="K41" s="3529"/>
      <c r="M41" s="90"/>
    </row>
    <row r="42" spans="1:257" ht="13.5" customHeight="1">
      <c r="A42" s="3501"/>
      <c r="B42" s="3502"/>
      <c r="C42" s="3502"/>
      <c r="D42" s="3530" t="s">
        <v>1150</v>
      </c>
      <c r="E42" s="3502"/>
      <c r="F42" s="3504"/>
      <c r="G42" s="81"/>
      <c r="H42" s="3505"/>
      <c r="I42" s="3519"/>
      <c r="J42" s="3520"/>
      <c r="K42" s="3529"/>
    </row>
    <row r="43" spans="1:257" ht="27" customHeight="1">
      <c r="A43" s="3381" t="s">
        <v>130</v>
      </c>
      <c r="B43" s="3507">
        <v>790</v>
      </c>
      <c r="C43" s="3507" t="s">
        <v>1163</v>
      </c>
      <c r="D43" s="3507" t="s">
        <v>1164</v>
      </c>
      <c r="E43" s="3507" t="s">
        <v>205</v>
      </c>
      <c r="F43" s="3531">
        <f>SUM(F45:F47)</f>
        <v>10</v>
      </c>
      <c r="G43" s="6"/>
      <c r="H43" s="2227">
        <f t="shared" ref="H43" si="9">ROUND(F43*G43,2)</f>
        <v>0</v>
      </c>
      <c r="I43" s="3510" t="s">
        <v>112</v>
      </c>
      <c r="J43" s="3511"/>
      <c r="K43" s="3533"/>
      <c r="L43" s="3534"/>
      <c r="M43" s="3535"/>
      <c r="N43" s="1204"/>
      <c r="O43" s="3536"/>
      <c r="P43" s="3537"/>
      <c r="Q43" s="888"/>
      <c r="R43" s="888"/>
      <c r="S43" s="3538"/>
    </row>
    <row r="44" spans="1:257" ht="13.5" customHeight="1">
      <c r="A44" s="3517"/>
      <c r="B44" s="3539"/>
      <c r="C44" s="3507"/>
      <c r="D44" s="3514" t="s">
        <v>1165</v>
      </c>
      <c r="E44" s="3507"/>
      <c r="F44" s="3540"/>
      <c r="G44" s="6"/>
      <c r="H44" s="3532"/>
      <c r="I44" s="3541"/>
      <c r="J44" s="3542"/>
      <c r="L44" s="3409"/>
      <c r="M44" s="888"/>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4"/>
      <c r="DD44" s="1204"/>
      <c r="DE44" s="1204"/>
      <c r="DF44" s="1204"/>
      <c r="DG44" s="1204"/>
      <c r="DH44" s="1204"/>
      <c r="DI44" s="1204"/>
      <c r="DJ44" s="1204"/>
      <c r="DK44" s="1204"/>
      <c r="DL44" s="1204"/>
      <c r="DM44" s="1204"/>
      <c r="DN44" s="1204"/>
      <c r="DO44" s="1204"/>
      <c r="DP44" s="1204"/>
      <c r="DQ44" s="1204"/>
      <c r="DR44" s="1204"/>
      <c r="DS44" s="1204"/>
      <c r="DT44" s="1204"/>
      <c r="DU44" s="1204"/>
      <c r="DV44" s="1204"/>
      <c r="DW44" s="1204"/>
      <c r="DX44" s="1204"/>
      <c r="DY44" s="1204"/>
      <c r="DZ44" s="1204"/>
      <c r="EA44" s="1204"/>
      <c r="EB44" s="1204"/>
      <c r="EC44" s="1204"/>
      <c r="ED44" s="1204"/>
      <c r="EE44" s="1204"/>
      <c r="EF44" s="1204"/>
      <c r="EG44" s="1204"/>
      <c r="EH44" s="1204"/>
      <c r="EI44" s="1204"/>
      <c r="EJ44" s="1204"/>
      <c r="EK44" s="1204"/>
      <c r="EL44" s="1204"/>
      <c r="EM44" s="1204"/>
      <c r="EN44" s="1204"/>
      <c r="EO44" s="1204"/>
      <c r="EP44" s="1204"/>
      <c r="EQ44" s="1204"/>
      <c r="ER44" s="1204"/>
      <c r="ES44" s="1204"/>
      <c r="ET44" s="1204"/>
      <c r="EU44" s="1204"/>
      <c r="EV44" s="1204"/>
      <c r="EW44" s="1204"/>
      <c r="EX44" s="1204"/>
      <c r="EY44" s="1204"/>
      <c r="EZ44" s="1204"/>
      <c r="FA44" s="1204"/>
      <c r="FB44" s="1204"/>
      <c r="FC44" s="1204"/>
      <c r="FD44" s="1204"/>
      <c r="FE44" s="1204"/>
      <c r="FF44" s="1204"/>
      <c r="FG44" s="1204"/>
      <c r="FH44" s="1204"/>
      <c r="FI44" s="1204"/>
      <c r="FJ44" s="1204"/>
      <c r="FK44" s="1204"/>
      <c r="FL44" s="1204"/>
      <c r="FM44" s="1204"/>
      <c r="FN44" s="1204"/>
      <c r="FO44" s="1204"/>
      <c r="FP44" s="1204"/>
      <c r="FQ44" s="1204"/>
      <c r="FR44" s="1204"/>
      <c r="FS44" s="1204"/>
      <c r="FT44" s="1204"/>
      <c r="FU44" s="1204"/>
      <c r="FV44" s="1204"/>
      <c r="FW44" s="1204"/>
      <c r="FX44" s="1204"/>
      <c r="FY44" s="1204"/>
      <c r="FZ44" s="1204"/>
      <c r="GA44" s="1204"/>
      <c r="GB44" s="1204"/>
      <c r="GC44" s="1204"/>
      <c r="GD44" s="1204"/>
      <c r="GE44" s="1204"/>
      <c r="GF44" s="1204"/>
      <c r="GG44" s="1204"/>
      <c r="GH44" s="1204"/>
      <c r="GI44" s="1204"/>
      <c r="GJ44" s="1204"/>
      <c r="GK44" s="1204"/>
      <c r="GL44" s="1204"/>
      <c r="GM44" s="1204"/>
      <c r="GN44" s="1204"/>
      <c r="GO44" s="1204"/>
      <c r="GP44" s="1204"/>
      <c r="GQ44" s="1204"/>
      <c r="GR44" s="1204"/>
      <c r="GS44" s="1204"/>
      <c r="GT44" s="1204"/>
      <c r="GU44" s="1204"/>
      <c r="GV44" s="1204"/>
      <c r="GW44" s="1204"/>
      <c r="GX44" s="1204"/>
      <c r="GY44" s="1204"/>
      <c r="GZ44" s="1204"/>
      <c r="HA44" s="1204"/>
      <c r="HB44" s="1204"/>
      <c r="HC44" s="1204"/>
      <c r="HD44" s="1204"/>
      <c r="HE44" s="1204"/>
      <c r="HF44" s="1204"/>
      <c r="HG44" s="1204"/>
      <c r="HH44" s="1204"/>
      <c r="HI44" s="1204"/>
      <c r="HJ44" s="1204"/>
      <c r="HK44" s="1204"/>
      <c r="HL44" s="1204"/>
      <c r="HM44" s="1204"/>
      <c r="HN44" s="1204"/>
      <c r="HO44" s="1204"/>
      <c r="HP44" s="1204"/>
      <c r="HQ44" s="1204"/>
      <c r="HR44" s="1204"/>
      <c r="HS44" s="1204"/>
      <c r="HT44" s="1204"/>
      <c r="HU44" s="1204"/>
      <c r="HV44" s="1204"/>
      <c r="HW44" s="1204"/>
      <c r="HX44" s="1204"/>
      <c r="HY44" s="1204"/>
      <c r="HZ44" s="1204"/>
      <c r="IA44" s="1204"/>
      <c r="IB44" s="1204"/>
      <c r="IC44" s="1204"/>
      <c r="ID44" s="1204"/>
      <c r="IE44" s="1204"/>
      <c r="IF44" s="1204"/>
      <c r="IG44" s="1204"/>
      <c r="IH44" s="1204"/>
      <c r="II44" s="1204"/>
      <c r="IJ44" s="1204"/>
      <c r="IK44" s="1204"/>
      <c r="IL44" s="1204"/>
      <c r="IM44" s="1204"/>
      <c r="IN44" s="1204"/>
      <c r="IO44" s="1204"/>
      <c r="IP44" s="1204"/>
      <c r="IQ44" s="1204"/>
      <c r="IR44" s="1204"/>
      <c r="IS44" s="1204"/>
      <c r="IT44" s="1204"/>
      <c r="IU44" s="1204"/>
      <c r="IV44" s="1204"/>
      <c r="IW44" s="1204"/>
    </row>
    <row r="45" spans="1:257" ht="13.5" customHeight="1">
      <c r="A45" s="3517"/>
      <c r="B45" s="3507"/>
      <c r="C45" s="3507"/>
      <c r="D45" s="3514" t="s">
        <v>1019</v>
      </c>
      <c r="E45" s="3514"/>
      <c r="F45" s="3515">
        <v>3</v>
      </c>
      <c r="G45" s="81"/>
      <c r="H45" s="3505"/>
      <c r="I45" s="3506"/>
      <c r="J45" s="3543"/>
    </row>
    <row r="46" spans="1:257" ht="13.5" customHeight="1">
      <c r="A46" s="3513"/>
      <c r="B46" s="3514"/>
      <c r="C46" s="3514"/>
      <c r="D46" s="3514" t="s">
        <v>1027</v>
      </c>
      <c r="E46" s="3514"/>
      <c r="F46" s="3515">
        <v>4</v>
      </c>
      <c r="G46" s="89"/>
      <c r="H46" s="3516"/>
      <c r="I46" s="3506"/>
      <c r="J46" s="3543"/>
      <c r="T46" s="3134"/>
    </row>
    <row r="47" spans="1:257" ht="13.5" customHeight="1">
      <c r="A47" s="3517"/>
      <c r="B47" s="3539"/>
      <c r="C47" s="3507"/>
      <c r="D47" s="3514" t="s">
        <v>1058</v>
      </c>
      <c r="E47" s="3514"/>
      <c r="F47" s="3515">
        <v>3</v>
      </c>
      <c r="G47" s="6"/>
      <c r="H47" s="3532"/>
      <c r="I47" s="3541"/>
      <c r="J47" s="3542"/>
      <c r="K47" s="3495"/>
      <c r="L47" s="3409"/>
      <c r="M47" s="888"/>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4"/>
      <c r="DD47" s="1204"/>
      <c r="DE47" s="1204"/>
      <c r="DF47" s="1204"/>
      <c r="DG47" s="1204"/>
      <c r="DH47" s="1204"/>
      <c r="DI47" s="1204"/>
      <c r="DJ47" s="1204"/>
      <c r="DK47" s="1204"/>
      <c r="DL47" s="1204"/>
      <c r="DM47" s="1204"/>
      <c r="DN47" s="1204"/>
      <c r="DO47" s="1204"/>
      <c r="DP47" s="1204"/>
      <c r="DQ47" s="1204"/>
      <c r="DR47" s="1204"/>
      <c r="DS47" s="1204"/>
      <c r="DT47" s="1204"/>
      <c r="DU47" s="1204"/>
      <c r="DV47" s="1204"/>
      <c r="DW47" s="1204"/>
      <c r="DX47" s="1204"/>
      <c r="DY47" s="1204"/>
      <c r="DZ47" s="1204"/>
      <c r="EA47" s="1204"/>
      <c r="EB47" s="1204"/>
      <c r="EC47" s="1204"/>
      <c r="ED47" s="1204"/>
      <c r="EE47" s="1204"/>
      <c r="EF47" s="1204"/>
      <c r="EG47" s="1204"/>
      <c r="EH47" s="1204"/>
      <c r="EI47" s="1204"/>
      <c r="EJ47" s="1204"/>
      <c r="EK47" s="1204"/>
      <c r="EL47" s="1204"/>
      <c r="EM47" s="1204"/>
      <c r="EN47" s="1204"/>
      <c r="EO47" s="1204"/>
      <c r="EP47" s="1204"/>
      <c r="EQ47" s="1204"/>
      <c r="ER47" s="1204"/>
      <c r="ES47" s="1204"/>
      <c r="ET47" s="1204"/>
      <c r="EU47" s="1204"/>
      <c r="EV47" s="1204"/>
      <c r="EW47" s="1204"/>
      <c r="EX47" s="1204"/>
      <c r="EY47" s="1204"/>
      <c r="EZ47" s="1204"/>
      <c r="FA47" s="1204"/>
      <c r="FB47" s="1204"/>
      <c r="FC47" s="1204"/>
      <c r="FD47" s="1204"/>
      <c r="FE47" s="1204"/>
      <c r="FF47" s="1204"/>
      <c r="FG47" s="1204"/>
      <c r="FH47" s="1204"/>
      <c r="FI47" s="1204"/>
      <c r="FJ47" s="1204"/>
      <c r="FK47" s="1204"/>
      <c r="FL47" s="1204"/>
      <c r="FM47" s="1204"/>
      <c r="FN47" s="1204"/>
      <c r="FO47" s="1204"/>
      <c r="FP47" s="1204"/>
      <c r="FQ47" s="1204"/>
      <c r="FR47" s="1204"/>
      <c r="FS47" s="1204"/>
      <c r="FT47" s="1204"/>
      <c r="FU47" s="1204"/>
      <c r="FV47" s="1204"/>
      <c r="FW47" s="1204"/>
      <c r="FX47" s="1204"/>
      <c r="FY47" s="1204"/>
      <c r="FZ47" s="1204"/>
      <c r="GA47" s="1204"/>
      <c r="GB47" s="1204"/>
      <c r="GC47" s="1204"/>
      <c r="GD47" s="1204"/>
      <c r="GE47" s="1204"/>
      <c r="GF47" s="1204"/>
      <c r="GG47" s="1204"/>
      <c r="GH47" s="1204"/>
      <c r="GI47" s="1204"/>
      <c r="GJ47" s="1204"/>
      <c r="GK47" s="1204"/>
      <c r="GL47" s="1204"/>
      <c r="GM47" s="1204"/>
      <c r="GN47" s="1204"/>
      <c r="GO47" s="1204"/>
      <c r="GP47" s="1204"/>
      <c r="GQ47" s="1204"/>
      <c r="GR47" s="1204"/>
      <c r="GS47" s="1204"/>
      <c r="GT47" s="1204"/>
      <c r="GU47" s="1204"/>
      <c r="GV47" s="1204"/>
      <c r="GW47" s="1204"/>
      <c r="GX47" s="1204"/>
      <c r="GY47" s="1204"/>
      <c r="GZ47" s="1204"/>
      <c r="HA47" s="1204"/>
      <c r="HB47" s="1204"/>
      <c r="HC47" s="1204"/>
      <c r="HD47" s="1204"/>
      <c r="HE47" s="1204"/>
      <c r="HF47" s="1204"/>
      <c r="HG47" s="1204"/>
      <c r="HH47" s="1204"/>
      <c r="HI47" s="1204"/>
      <c r="HJ47" s="1204"/>
      <c r="HK47" s="1204"/>
      <c r="HL47" s="1204"/>
      <c r="HM47" s="1204"/>
      <c r="HN47" s="1204"/>
      <c r="HO47" s="1204"/>
      <c r="HP47" s="1204"/>
      <c r="HQ47" s="1204"/>
      <c r="HR47" s="1204"/>
      <c r="HS47" s="1204"/>
      <c r="HT47" s="1204"/>
      <c r="HU47" s="1204"/>
      <c r="HV47" s="1204"/>
      <c r="HW47" s="1204"/>
      <c r="HX47" s="1204"/>
      <c r="HY47" s="1204"/>
      <c r="HZ47" s="1204"/>
      <c r="IA47" s="1204"/>
      <c r="IB47" s="1204"/>
      <c r="IC47" s="1204"/>
      <c r="ID47" s="1204"/>
      <c r="IE47" s="1204"/>
      <c r="IF47" s="1204"/>
      <c r="IG47" s="1204"/>
      <c r="IH47" s="1204"/>
      <c r="II47" s="1204"/>
      <c r="IJ47" s="1204"/>
      <c r="IK47" s="1204"/>
      <c r="IL47" s="1204"/>
      <c r="IM47" s="1204"/>
      <c r="IN47" s="1204"/>
      <c r="IO47" s="1204"/>
      <c r="IP47" s="1204"/>
      <c r="IQ47" s="1204"/>
      <c r="IR47" s="1204"/>
      <c r="IS47" s="1204"/>
      <c r="IT47" s="1204"/>
      <c r="IU47" s="1204"/>
      <c r="IV47" s="1204"/>
      <c r="IW47" s="1204"/>
    </row>
    <row r="48" spans="1:257" ht="13.5" customHeight="1">
      <c r="A48" s="3517"/>
      <c r="B48" s="3539"/>
      <c r="C48" s="3507"/>
      <c r="D48" s="3514" t="s">
        <v>1166</v>
      </c>
      <c r="E48" s="3507"/>
      <c r="F48" s="3515"/>
      <c r="G48" s="6"/>
      <c r="H48" s="3532"/>
      <c r="I48" s="3510"/>
      <c r="J48" s="3511"/>
      <c r="K48" s="3409"/>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4"/>
      <c r="BQ48" s="1204"/>
      <c r="BR48" s="1204"/>
      <c r="BS48" s="1204"/>
      <c r="BT48" s="1204"/>
      <c r="BU48" s="1204"/>
      <c r="BV48" s="1204"/>
      <c r="BW48" s="1204"/>
      <c r="BX48" s="1204"/>
      <c r="BY48" s="1204"/>
      <c r="BZ48" s="1204"/>
      <c r="CA48" s="1204"/>
      <c r="CB48" s="1204"/>
      <c r="CC48" s="1204"/>
      <c r="CD48" s="1204"/>
      <c r="CE48" s="1204"/>
      <c r="CF48" s="1204"/>
      <c r="CG48" s="1204"/>
      <c r="CH48" s="1204"/>
      <c r="CI48" s="1204"/>
      <c r="CJ48" s="1204"/>
      <c r="CK48" s="1204"/>
      <c r="CL48" s="1204"/>
      <c r="CM48" s="1204"/>
      <c r="CN48" s="1204"/>
      <c r="CO48" s="1204"/>
      <c r="CP48" s="1204"/>
      <c r="CQ48" s="1204"/>
      <c r="CR48" s="1204"/>
      <c r="CS48" s="1204"/>
      <c r="CT48" s="1204"/>
      <c r="CU48" s="1204"/>
      <c r="CV48" s="1204"/>
      <c r="CW48" s="1204"/>
      <c r="CX48" s="1204"/>
      <c r="CY48" s="1204"/>
      <c r="CZ48" s="1204"/>
      <c r="DA48" s="1204"/>
      <c r="DB48" s="1204"/>
      <c r="DC48" s="1204"/>
      <c r="DD48" s="1204"/>
      <c r="DE48" s="1204"/>
      <c r="DF48" s="1204"/>
      <c r="DG48" s="1204"/>
      <c r="DH48" s="1204"/>
      <c r="DI48" s="1204"/>
      <c r="DJ48" s="1204"/>
      <c r="DK48" s="1204"/>
      <c r="DL48" s="1204"/>
      <c r="DM48" s="1204"/>
      <c r="DN48" s="1204"/>
      <c r="DO48" s="1204"/>
      <c r="DP48" s="1204"/>
      <c r="DQ48" s="1204"/>
      <c r="DR48" s="1204"/>
      <c r="DS48" s="1204"/>
      <c r="DT48" s="1204"/>
      <c r="DU48" s="1204"/>
      <c r="DV48" s="1204"/>
      <c r="DW48" s="1204"/>
      <c r="DX48" s="1204"/>
      <c r="DY48" s="1204"/>
      <c r="DZ48" s="1204"/>
      <c r="EA48" s="1204"/>
      <c r="EB48" s="1204"/>
      <c r="EC48" s="1204"/>
      <c r="ED48" s="1204"/>
      <c r="EE48" s="1204"/>
      <c r="EF48" s="1204"/>
      <c r="EG48" s="1204"/>
      <c r="EH48" s="1204"/>
      <c r="EI48" s="1204"/>
      <c r="EJ48" s="1204"/>
      <c r="EK48" s="1204"/>
      <c r="EL48" s="1204"/>
      <c r="EM48" s="1204"/>
      <c r="EN48" s="1204"/>
      <c r="EO48" s="1204"/>
      <c r="EP48" s="1204"/>
      <c r="EQ48" s="1204"/>
      <c r="ER48" s="1204"/>
      <c r="ES48" s="1204"/>
      <c r="ET48" s="1204"/>
      <c r="EU48" s="1204"/>
      <c r="EV48" s="1204"/>
      <c r="EW48" s="1204"/>
      <c r="EX48" s="1204"/>
      <c r="EY48" s="1204"/>
      <c r="EZ48" s="1204"/>
      <c r="FA48" s="1204"/>
      <c r="FB48" s="1204"/>
      <c r="FC48" s="1204"/>
      <c r="FD48" s="1204"/>
      <c r="FE48" s="1204"/>
      <c r="FF48" s="1204"/>
      <c r="FG48" s="1204"/>
      <c r="FH48" s="1204"/>
      <c r="FI48" s="1204"/>
      <c r="FJ48" s="1204"/>
      <c r="FK48" s="1204"/>
      <c r="FL48" s="1204"/>
      <c r="FM48" s="1204"/>
      <c r="FN48" s="1204"/>
      <c r="FO48" s="1204"/>
      <c r="FP48" s="1204"/>
      <c r="FQ48" s="1204"/>
      <c r="FR48" s="1204"/>
      <c r="FS48" s="1204"/>
      <c r="FT48" s="1204"/>
      <c r="FU48" s="1204"/>
      <c r="FV48" s="1204"/>
      <c r="FW48" s="1204"/>
      <c r="FX48" s="1204"/>
      <c r="FY48" s="1204"/>
      <c r="FZ48" s="1204"/>
      <c r="GA48" s="1204"/>
      <c r="GB48" s="1204"/>
      <c r="GC48" s="1204"/>
      <c r="GD48" s="1204"/>
      <c r="GE48" s="1204"/>
      <c r="GF48" s="1204"/>
      <c r="GG48" s="1204"/>
      <c r="GH48" s="1204"/>
      <c r="GI48" s="1204"/>
      <c r="GJ48" s="1204"/>
      <c r="GK48" s="1204"/>
      <c r="GL48" s="1204"/>
      <c r="GM48" s="1204"/>
      <c r="GN48" s="1204"/>
      <c r="GO48" s="1204"/>
      <c r="GP48" s="1204"/>
      <c r="GQ48" s="1204"/>
      <c r="GR48" s="1204"/>
      <c r="GS48" s="1204"/>
      <c r="GT48" s="1204"/>
      <c r="GU48" s="1204"/>
      <c r="GV48" s="1204"/>
      <c r="GW48" s="1204"/>
      <c r="GX48" s="1204"/>
      <c r="GY48" s="1204"/>
      <c r="GZ48" s="1204"/>
      <c r="HA48" s="1204"/>
      <c r="HB48" s="1204"/>
      <c r="HC48" s="1204"/>
      <c r="HD48" s="1204"/>
      <c r="HE48" s="1204"/>
      <c r="HF48" s="1204"/>
      <c r="HG48" s="1204"/>
      <c r="HH48" s="1204"/>
      <c r="HI48" s="1204"/>
      <c r="HJ48" s="1204"/>
      <c r="HK48" s="1204"/>
      <c r="HL48" s="1204"/>
      <c r="HM48" s="1204"/>
      <c r="HN48" s="1204"/>
      <c r="HO48" s="1204"/>
      <c r="HP48" s="1204"/>
      <c r="HQ48" s="1204"/>
      <c r="HR48" s="1204"/>
      <c r="HS48" s="1204"/>
      <c r="HT48" s="1204"/>
      <c r="HU48" s="1204"/>
      <c r="HV48" s="1204"/>
      <c r="HW48" s="1204"/>
      <c r="HX48" s="1204"/>
      <c r="HY48" s="1204"/>
      <c r="HZ48" s="1204"/>
      <c r="IA48" s="1204"/>
      <c r="IB48" s="1204"/>
      <c r="IC48" s="1204"/>
      <c r="ID48" s="1204"/>
      <c r="IE48" s="1204"/>
      <c r="IF48" s="1204"/>
      <c r="IG48" s="1204"/>
      <c r="IH48" s="1204"/>
      <c r="II48" s="1204"/>
      <c r="IJ48" s="1204"/>
      <c r="IK48" s="1204"/>
      <c r="IL48" s="1204"/>
      <c r="IM48" s="1204"/>
      <c r="IN48" s="1204"/>
      <c r="IO48" s="1204"/>
      <c r="IP48" s="1204"/>
      <c r="IQ48" s="1204"/>
      <c r="IR48" s="1204"/>
      <c r="IS48" s="1204"/>
      <c r="IT48" s="1204"/>
      <c r="IU48" s="1204"/>
      <c r="IV48" s="1204"/>
      <c r="IW48" s="1204"/>
    </row>
    <row r="49" spans="1:257" ht="27" customHeight="1">
      <c r="A49" s="3455">
        <v>7</v>
      </c>
      <c r="B49" s="3507">
        <v>790</v>
      </c>
      <c r="C49" s="3507" t="s">
        <v>1163</v>
      </c>
      <c r="D49" s="3507" t="s">
        <v>1167</v>
      </c>
      <c r="E49" s="3507" t="s">
        <v>205</v>
      </c>
      <c r="F49" s="3508">
        <f>ROUND(SUM(F51:F53),3)</f>
        <v>3</v>
      </c>
      <c r="G49" s="5"/>
      <c r="H49" s="2227">
        <f t="shared" ref="H49" si="10">ROUND(F49*G49,2)</f>
        <v>0</v>
      </c>
      <c r="I49" s="3510" t="s">
        <v>112</v>
      </c>
      <c r="J49" s="3544"/>
      <c r="K49" s="3534"/>
      <c r="L49" s="3535"/>
      <c r="M49" s="1204"/>
      <c r="N49" s="3536"/>
      <c r="O49" s="3537"/>
      <c r="P49" s="888"/>
      <c r="Q49" s="888"/>
      <c r="R49" s="3538"/>
    </row>
    <row r="50" spans="1:257" ht="27" customHeight="1">
      <c r="A50" s="3545"/>
      <c r="B50" s="3514"/>
      <c r="C50" s="3514"/>
      <c r="D50" s="3530" t="s">
        <v>1168</v>
      </c>
      <c r="E50" s="3514"/>
      <c r="F50" s="3515"/>
      <c r="G50" s="15"/>
      <c r="H50" s="3546"/>
      <c r="I50" s="3506"/>
      <c r="J50" s="91"/>
      <c r="U50" s="3547"/>
    </row>
    <row r="51" spans="1:257" ht="13.5" customHeight="1">
      <c r="A51" s="3517"/>
      <c r="B51" s="3507"/>
      <c r="C51" s="3507"/>
      <c r="D51" s="3514" t="s">
        <v>1019</v>
      </c>
      <c r="E51" s="3514"/>
      <c r="F51" s="3515">
        <v>1</v>
      </c>
      <c r="G51" s="81"/>
      <c r="H51" s="3505"/>
      <c r="I51" s="3506"/>
      <c r="J51" s="3543"/>
    </row>
    <row r="52" spans="1:257" ht="13.5" customHeight="1">
      <c r="A52" s="3545"/>
      <c r="B52" s="3514"/>
      <c r="C52" s="3514"/>
      <c r="D52" s="3514" t="s">
        <v>1169</v>
      </c>
      <c r="E52" s="3514"/>
      <c r="F52" s="3515">
        <v>1</v>
      </c>
      <c r="G52" s="15"/>
      <c r="H52" s="3546"/>
      <c r="I52" s="3506"/>
      <c r="J52" s="92"/>
    </row>
    <row r="53" spans="1:257" ht="13.5" customHeight="1">
      <c r="A53" s="3517"/>
      <c r="B53" s="3539"/>
      <c r="C53" s="3507"/>
      <c r="D53" s="3514" t="s">
        <v>1058</v>
      </c>
      <c r="E53" s="3514"/>
      <c r="F53" s="3515">
        <v>1</v>
      </c>
      <c r="G53" s="6"/>
      <c r="H53" s="3532"/>
      <c r="I53" s="3541"/>
      <c r="J53" s="3542"/>
      <c r="K53" s="3495"/>
      <c r="L53" s="3409"/>
      <c r="M53" s="888"/>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4"/>
      <c r="BF53" s="1204"/>
      <c r="BG53" s="1204"/>
      <c r="BH53" s="1204"/>
      <c r="BI53" s="1204"/>
      <c r="BJ53" s="1204"/>
      <c r="BK53" s="1204"/>
      <c r="BL53" s="1204"/>
      <c r="BM53" s="1204"/>
      <c r="BN53" s="1204"/>
      <c r="BO53" s="1204"/>
      <c r="BP53" s="1204"/>
      <c r="BQ53" s="1204"/>
      <c r="BR53" s="1204"/>
      <c r="BS53" s="1204"/>
      <c r="BT53" s="1204"/>
      <c r="BU53" s="1204"/>
      <c r="BV53" s="1204"/>
      <c r="BW53" s="1204"/>
      <c r="BX53" s="1204"/>
      <c r="BY53" s="1204"/>
      <c r="BZ53" s="1204"/>
      <c r="CA53" s="1204"/>
      <c r="CB53" s="1204"/>
      <c r="CC53" s="1204"/>
      <c r="CD53" s="1204"/>
      <c r="CE53" s="1204"/>
      <c r="CF53" s="1204"/>
      <c r="CG53" s="1204"/>
      <c r="CH53" s="1204"/>
      <c r="CI53" s="1204"/>
      <c r="CJ53" s="1204"/>
      <c r="CK53" s="1204"/>
      <c r="CL53" s="1204"/>
      <c r="CM53" s="1204"/>
      <c r="CN53" s="1204"/>
      <c r="CO53" s="1204"/>
      <c r="CP53" s="1204"/>
      <c r="CQ53" s="1204"/>
      <c r="CR53" s="1204"/>
      <c r="CS53" s="1204"/>
      <c r="CT53" s="1204"/>
      <c r="CU53" s="1204"/>
      <c r="CV53" s="1204"/>
      <c r="CW53" s="1204"/>
      <c r="CX53" s="1204"/>
      <c r="CY53" s="1204"/>
      <c r="CZ53" s="1204"/>
      <c r="DA53" s="1204"/>
      <c r="DB53" s="1204"/>
      <c r="DC53" s="1204"/>
      <c r="DD53" s="1204"/>
      <c r="DE53" s="1204"/>
      <c r="DF53" s="1204"/>
      <c r="DG53" s="1204"/>
      <c r="DH53" s="1204"/>
      <c r="DI53" s="1204"/>
      <c r="DJ53" s="1204"/>
      <c r="DK53" s="1204"/>
      <c r="DL53" s="1204"/>
      <c r="DM53" s="1204"/>
      <c r="DN53" s="1204"/>
      <c r="DO53" s="1204"/>
      <c r="DP53" s="1204"/>
      <c r="DQ53" s="1204"/>
      <c r="DR53" s="1204"/>
      <c r="DS53" s="1204"/>
      <c r="DT53" s="1204"/>
      <c r="DU53" s="1204"/>
      <c r="DV53" s="1204"/>
      <c r="DW53" s="1204"/>
      <c r="DX53" s="1204"/>
      <c r="DY53" s="1204"/>
      <c r="DZ53" s="1204"/>
      <c r="EA53" s="1204"/>
      <c r="EB53" s="1204"/>
      <c r="EC53" s="1204"/>
      <c r="ED53" s="1204"/>
      <c r="EE53" s="1204"/>
      <c r="EF53" s="1204"/>
      <c r="EG53" s="1204"/>
      <c r="EH53" s="1204"/>
      <c r="EI53" s="1204"/>
      <c r="EJ53" s="1204"/>
      <c r="EK53" s="1204"/>
      <c r="EL53" s="1204"/>
      <c r="EM53" s="1204"/>
      <c r="EN53" s="1204"/>
      <c r="EO53" s="1204"/>
      <c r="EP53" s="1204"/>
      <c r="EQ53" s="1204"/>
      <c r="ER53" s="1204"/>
      <c r="ES53" s="1204"/>
      <c r="ET53" s="1204"/>
      <c r="EU53" s="1204"/>
      <c r="EV53" s="1204"/>
      <c r="EW53" s="1204"/>
      <c r="EX53" s="1204"/>
      <c r="EY53" s="1204"/>
      <c r="EZ53" s="1204"/>
      <c r="FA53" s="1204"/>
      <c r="FB53" s="1204"/>
      <c r="FC53" s="1204"/>
      <c r="FD53" s="1204"/>
      <c r="FE53" s="1204"/>
      <c r="FF53" s="1204"/>
      <c r="FG53" s="1204"/>
      <c r="FH53" s="1204"/>
      <c r="FI53" s="1204"/>
      <c r="FJ53" s="1204"/>
      <c r="FK53" s="1204"/>
      <c r="FL53" s="1204"/>
      <c r="FM53" s="1204"/>
      <c r="FN53" s="1204"/>
      <c r="FO53" s="1204"/>
      <c r="FP53" s="1204"/>
      <c r="FQ53" s="1204"/>
      <c r="FR53" s="1204"/>
      <c r="FS53" s="1204"/>
      <c r="FT53" s="1204"/>
      <c r="FU53" s="1204"/>
      <c r="FV53" s="1204"/>
      <c r="FW53" s="1204"/>
      <c r="FX53" s="1204"/>
      <c r="FY53" s="1204"/>
      <c r="FZ53" s="1204"/>
      <c r="GA53" s="1204"/>
      <c r="GB53" s="1204"/>
      <c r="GC53" s="1204"/>
      <c r="GD53" s="1204"/>
      <c r="GE53" s="1204"/>
      <c r="GF53" s="1204"/>
      <c r="GG53" s="1204"/>
      <c r="GH53" s="1204"/>
      <c r="GI53" s="1204"/>
      <c r="GJ53" s="1204"/>
      <c r="GK53" s="1204"/>
      <c r="GL53" s="1204"/>
      <c r="GM53" s="1204"/>
      <c r="GN53" s="1204"/>
      <c r="GO53" s="1204"/>
      <c r="GP53" s="1204"/>
      <c r="GQ53" s="1204"/>
      <c r="GR53" s="1204"/>
      <c r="GS53" s="1204"/>
      <c r="GT53" s="1204"/>
      <c r="GU53" s="1204"/>
      <c r="GV53" s="1204"/>
      <c r="GW53" s="1204"/>
      <c r="GX53" s="1204"/>
      <c r="GY53" s="1204"/>
      <c r="GZ53" s="1204"/>
      <c r="HA53" s="1204"/>
      <c r="HB53" s="1204"/>
      <c r="HC53" s="1204"/>
      <c r="HD53" s="1204"/>
      <c r="HE53" s="1204"/>
      <c r="HF53" s="1204"/>
      <c r="HG53" s="1204"/>
      <c r="HH53" s="1204"/>
      <c r="HI53" s="1204"/>
      <c r="HJ53" s="1204"/>
      <c r="HK53" s="1204"/>
      <c r="HL53" s="1204"/>
      <c r="HM53" s="1204"/>
      <c r="HN53" s="1204"/>
      <c r="HO53" s="1204"/>
      <c r="HP53" s="1204"/>
      <c r="HQ53" s="1204"/>
      <c r="HR53" s="1204"/>
      <c r="HS53" s="1204"/>
      <c r="HT53" s="1204"/>
      <c r="HU53" s="1204"/>
      <c r="HV53" s="1204"/>
      <c r="HW53" s="1204"/>
      <c r="HX53" s="1204"/>
      <c r="HY53" s="1204"/>
      <c r="HZ53" s="1204"/>
      <c r="IA53" s="1204"/>
      <c r="IB53" s="1204"/>
      <c r="IC53" s="1204"/>
      <c r="ID53" s="1204"/>
      <c r="IE53" s="1204"/>
      <c r="IF53" s="1204"/>
      <c r="IG53" s="1204"/>
      <c r="IH53" s="1204"/>
      <c r="II53" s="1204"/>
      <c r="IJ53" s="1204"/>
      <c r="IK53" s="1204"/>
      <c r="IL53" s="1204"/>
      <c r="IM53" s="1204"/>
      <c r="IN53" s="1204"/>
      <c r="IO53" s="1204"/>
      <c r="IP53" s="1204"/>
      <c r="IQ53" s="1204"/>
      <c r="IR53" s="1204"/>
      <c r="IS53" s="1204"/>
      <c r="IT53" s="1204"/>
      <c r="IU53" s="1204"/>
      <c r="IV53" s="1204"/>
      <c r="IW53" s="1204"/>
    </row>
    <row r="54" spans="1:257" ht="13.5" customHeight="1">
      <c r="A54" s="3545"/>
      <c r="B54" s="3514"/>
      <c r="C54" s="3514"/>
      <c r="D54" s="3514" t="s">
        <v>1170</v>
      </c>
      <c r="E54" s="3514"/>
      <c r="F54" s="3515"/>
      <c r="G54" s="15"/>
      <c r="H54" s="3546"/>
      <c r="I54" s="3548"/>
      <c r="J54" s="3544"/>
      <c r="R54" s="3547"/>
      <c r="AA54" s="3547"/>
    </row>
    <row r="55" spans="1:257" ht="27" customHeight="1">
      <c r="A55" s="3381" t="s">
        <v>1171</v>
      </c>
      <c r="B55" s="3507">
        <v>790</v>
      </c>
      <c r="C55" s="3507" t="s">
        <v>1172</v>
      </c>
      <c r="D55" s="3507" t="s">
        <v>1173</v>
      </c>
      <c r="E55" s="3507" t="s">
        <v>49</v>
      </c>
      <c r="F55" s="3508">
        <f>ROUND(SUM(F57:F58),3)</f>
        <v>3</v>
      </c>
      <c r="G55" s="6"/>
      <c r="H55" s="2227">
        <f t="shared" ref="H55" si="11">ROUND(F55*G55,2)</f>
        <v>0</v>
      </c>
      <c r="I55" s="3510" t="s">
        <v>112</v>
      </c>
      <c r="J55" s="3549"/>
    </row>
    <row r="56" spans="1:257" ht="54" customHeight="1">
      <c r="A56" s="3513"/>
      <c r="B56" s="3514"/>
      <c r="C56" s="3514"/>
      <c r="D56" s="3514" t="s">
        <v>1174</v>
      </c>
      <c r="E56" s="3514"/>
      <c r="F56" s="3515"/>
      <c r="G56" s="89"/>
      <c r="H56" s="3516"/>
      <c r="I56" s="3506"/>
      <c r="J56" s="91"/>
    </row>
    <row r="57" spans="1:257" ht="13.5" customHeight="1">
      <c r="A57" s="3513"/>
      <c r="B57" s="3514"/>
      <c r="C57" s="3514"/>
      <c r="D57" s="3514" t="s">
        <v>1027</v>
      </c>
      <c r="E57" s="3514"/>
      <c r="F57" s="3515">
        <v>2</v>
      </c>
      <c r="G57" s="89"/>
      <c r="H57" s="3516"/>
      <c r="I57" s="3506"/>
      <c r="J57" s="91"/>
    </row>
    <row r="58" spans="1:257" ht="13.5" customHeight="1">
      <c r="A58" s="3517"/>
      <c r="B58" s="3507"/>
      <c r="C58" s="3507"/>
      <c r="D58" s="3514" t="s">
        <v>1058</v>
      </c>
      <c r="E58" s="3514"/>
      <c r="F58" s="3515">
        <v>1</v>
      </c>
      <c r="G58" s="81"/>
      <c r="H58" s="3505"/>
      <c r="I58" s="3506"/>
      <c r="J58" s="3544"/>
    </row>
    <row r="59" spans="1:257" ht="27" customHeight="1">
      <c r="A59" s="3381" t="s">
        <v>311</v>
      </c>
      <c r="B59" s="3507">
        <v>790</v>
      </c>
      <c r="C59" s="3507" t="s">
        <v>1175</v>
      </c>
      <c r="D59" s="3507" t="s">
        <v>1176</v>
      </c>
      <c r="E59" s="3507" t="s">
        <v>49</v>
      </c>
      <c r="F59" s="3508">
        <f>ROUND(SUM(F61:F62),3)</f>
        <v>2</v>
      </c>
      <c r="G59" s="6"/>
      <c r="H59" s="2227">
        <f t="shared" ref="H59" si="12">ROUND(F59*G59,2)</f>
        <v>0</v>
      </c>
      <c r="I59" s="3510" t="s">
        <v>112</v>
      </c>
      <c r="J59" s="3549"/>
    </row>
    <row r="60" spans="1:257" ht="54" customHeight="1">
      <c r="A60" s="3513"/>
      <c r="B60" s="3514"/>
      <c r="C60" s="3514"/>
      <c r="D60" s="3514" t="s">
        <v>1177</v>
      </c>
      <c r="E60" s="3514"/>
      <c r="F60" s="3515"/>
      <c r="G60" s="89"/>
      <c r="H60" s="3516"/>
      <c r="I60" s="3506"/>
      <c r="J60" s="91"/>
    </row>
    <row r="61" spans="1:257" ht="13.5" customHeight="1">
      <c r="A61" s="3513"/>
      <c r="B61" s="3514"/>
      <c r="C61" s="3514"/>
      <c r="D61" s="3514" t="s">
        <v>1027</v>
      </c>
      <c r="E61" s="3514"/>
      <c r="F61" s="3515">
        <v>1</v>
      </c>
      <c r="G61" s="89"/>
      <c r="H61" s="3516"/>
      <c r="I61" s="3506"/>
      <c r="J61" s="91"/>
    </row>
    <row r="62" spans="1:257" ht="13.5" customHeight="1">
      <c r="A62" s="3517"/>
      <c r="B62" s="3507"/>
      <c r="C62" s="3507"/>
      <c r="D62" s="3514" t="s">
        <v>1058</v>
      </c>
      <c r="E62" s="3514"/>
      <c r="F62" s="3515">
        <v>1</v>
      </c>
      <c r="G62" s="81"/>
      <c r="H62" s="3505"/>
      <c r="I62" s="3506"/>
      <c r="J62" s="3544"/>
    </row>
    <row r="63" spans="1:257" ht="27" customHeight="1">
      <c r="A63" s="2408">
        <v>10</v>
      </c>
      <c r="B63" s="3507">
        <v>790</v>
      </c>
      <c r="C63" s="3507" t="s">
        <v>1178</v>
      </c>
      <c r="D63" s="3507" t="s">
        <v>1179</v>
      </c>
      <c r="E63" s="3507" t="s">
        <v>205</v>
      </c>
      <c r="F63" s="3508">
        <f>ROUND(SUM(F65:F66),3)</f>
        <v>3</v>
      </c>
      <c r="G63" s="6"/>
      <c r="H63" s="2227">
        <f t="shared" ref="H63" si="13">ROUND(F63*G63,2)</f>
        <v>0</v>
      </c>
      <c r="I63" s="3510" t="s">
        <v>112</v>
      </c>
      <c r="J63" s="3544"/>
    </row>
    <row r="64" spans="1:257" ht="27" customHeight="1">
      <c r="A64" s="2408"/>
      <c r="B64" s="3507"/>
      <c r="C64" s="3507"/>
      <c r="D64" s="3514" t="s">
        <v>1180</v>
      </c>
      <c r="E64" s="3507"/>
      <c r="F64" s="3531"/>
      <c r="G64" s="6"/>
      <c r="H64" s="3532"/>
      <c r="I64" s="3510"/>
      <c r="J64" s="3544"/>
      <c r="K64" s="71"/>
      <c r="W64" s="3550"/>
    </row>
    <row r="65" spans="1:18" ht="13.5" customHeight="1">
      <c r="A65" s="3518"/>
      <c r="B65" s="3514"/>
      <c r="C65" s="3514"/>
      <c r="D65" s="3514" t="s">
        <v>1027</v>
      </c>
      <c r="E65" s="3514"/>
      <c r="F65" s="3515">
        <v>1</v>
      </c>
      <c r="G65" s="89"/>
      <c r="H65" s="3516"/>
      <c r="I65" s="3510"/>
      <c r="J65" s="3551"/>
      <c r="K65" s="71"/>
      <c r="Q65" s="3550"/>
    </row>
    <row r="66" spans="1:18" ht="13.5" customHeight="1">
      <c r="A66" s="3518"/>
      <c r="B66" s="3514"/>
      <c r="C66" s="3514"/>
      <c r="D66" s="3514" t="s">
        <v>1058</v>
      </c>
      <c r="E66" s="3514"/>
      <c r="F66" s="3515">
        <v>2</v>
      </c>
      <c r="G66" s="89"/>
      <c r="H66" s="3516"/>
      <c r="I66" s="3506"/>
      <c r="J66" s="3544"/>
      <c r="K66" s="71"/>
      <c r="Q66" s="3550"/>
    </row>
    <row r="67" spans="1:18" ht="13.5" customHeight="1">
      <c r="A67" s="3518"/>
      <c r="B67" s="3514"/>
      <c r="C67" s="3514"/>
      <c r="D67" s="3514" t="s">
        <v>1181</v>
      </c>
      <c r="E67" s="3514"/>
      <c r="F67" s="3515"/>
      <c r="G67" s="89"/>
      <c r="H67" s="3516"/>
      <c r="I67" s="3506"/>
      <c r="J67" s="3544"/>
    </row>
    <row r="68" spans="1:18" ht="27" customHeight="1">
      <c r="A68" s="3381" t="s">
        <v>882</v>
      </c>
      <c r="B68" s="3507">
        <v>790</v>
      </c>
      <c r="C68" s="3507" t="s">
        <v>1182</v>
      </c>
      <c r="D68" s="3507" t="s">
        <v>1183</v>
      </c>
      <c r="E68" s="3507" t="s">
        <v>205</v>
      </c>
      <c r="F68" s="3508">
        <f>ROUND(SUM(F70:F70),3)</f>
        <v>1</v>
      </c>
      <c r="G68" s="6"/>
      <c r="H68" s="2227">
        <f t="shared" ref="H68" si="14">ROUND(F68*G68,2)</f>
        <v>0</v>
      </c>
      <c r="I68" s="3510" t="s">
        <v>112</v>
      </c>
      <c r="J68" s="3544"/>
    </row>
    <row r="69" spans="1:18" ht="27" customHeight="1">
      <c r="A69" s="3381"/>
      <c r="B69" s="3507"/>
      <c r="C69" s="3507"/>
      <c r="D69" s="3514" t="s">
        <v>1184</v>
      </c>
      <c r="E69" s="3507"/>
      <c r="F69" s="3531"/>
      <c r="G69" s="6"/>
      <c r="H69" s="3532"/>
      <c r="I69" s="3510"/>
      <c r="J69" s="3544"/>
      <c r="Q69" s="3550"/>
    </row>
    <row r="70" spans="1:18" ht="13.5" customHeight="1">
      <c r="A70" s="3513"/>
      <c r="B70" s="3514"/>
      <c r="C70" s="3514"/>
      <c r="D70" s="3514" t="s">
        <v>1027</v>
      </c>
      <c r="E70" s="3514"/>
      <c r="F70" s="3515">
        <v>1</v>
      </c>
      <c r="G70" s="89"/>
      <c r="H70" s="3516"/>
      <c r="I70" s="3510"/>
      <c r="J70" s="3544"/>
      <c r="R70" s="3550"/>
    </row>
    <row r="71" spans="1:18" ht="13.5" customHeight="1">
      <c r="A71" s="3513"/>
      <c r="B71" s="3514"/>
      <c r="C71" s="3514"/>
      <c r="D71" s="3514" t="s">
        <v>1181</v>
      </c>
      <c r="E71" s="3514"/>
      <c r="F71" s="3515"/>
      <c r="G71" s="89"/>
      <c r="H71" s="3516"/>
      <c r="I71" s="3506"/>
      <c r="J71" s="3544"/>
      <c r="K71" s="71"/>
      <c r="Q71" s="3550"/>
    </row>
    <row r="72" spans="1:18" ht="27" customHeight="1">
      <c r="A72" s="3381" t="s">
        <v>1185</v>
      </c>
      <c r="B72" s="3507">
        <v>790</v>
      </c>
      <c r="C72" s="3507" t="s">
        <v>1186</v>
      </c>
      <c r="D72" s="3507" t="s">
        <v>1187</v>
      </c>
      <c r="E72" s="3507" t="s">
        <v>49</v>
      </c>
      <c r="F72" s="3508">
        <f>ROUND(SUM(F74),3)</f>
        <v>7</v>
      </c>
      <c r="G72" s="6"/>
      <c r="H72" s="2516">
        <f>ROUND(F72*G72,2)</f>
        <v>0</v>
      </c>
      <c r="I72" s="3510" t="s">
        <v>112</v>
      </c>
      <c r="J72" s="3511"/>
      <c r="K72" s="3552"/>
    </row>
    <row r="73" spans="1:18" ht="13.5" customHeight="1">
      <c r="A73" s="3513"/>
      <c r="B73" s="3514"/>
      <c r="C73" s="3514"/>
      <c r="D73" s="3514" t="s">
        <v>1188</v>
      </c>
      <c r="E73" s="3514"/>
      <c r="F73" s="3515"/>
      <c r="G73" s="89"/>
      <c r="H73" s="3516"/>
      <c r="I73" s="3506"/>
      <c r="K73" s="71"/>
    </row>
    <row r="74" spans="1:18" ht="13.5" customHeight="1">
      <c r="A74" s="3517"/>
      <c r="B74" s="3507"/>
      <c r="C74" s="3507"/>
      <c r="D74" s="3514" t="s">
        <v>1189</v>
      </c>
      <c r="E74" s="3514"/>
      <c r="F74" s="3515">
        <v>7</v>
      </c>
      <c r="G74" s="81"/>
      <c r="H74" s="3505"/>
      <c r="I74" s="3506"/>
    </row>
    <row r="75" spans="1:18" ht="13.5" customHeight="1">
      <c r="A75" s="3381"/>
      <c r="B75" s="3507"/>
      <c r="C75" s="3507"/>
      <c r="D75" s="3514" t="s">
        <v>1190</v>
      </c>
      <c r="E75" s="3514"/>
      <c r="F75" s="3515"/>
      <c r="G75" s="6"/>
      <c r="H75" s="3532"/>
      <c r="I75" s="3510"/>
      <c r="J75" s="3511"/>
      <c r="K75" s="3553"/>
    </row>
    <row r="76" spans="1:18" ht="27" customHeight="1">
      <c r="A76" s="2408">
        <v>13</v>
      </c>
      <c r="B76" s="3507">
        <v>790</v>
      </c>
      <c r="C76" s="3507" t="s">
        <v>1191</v>
      </c>
      <c r="D76" s="3507" t="s">
        <v>1192</v>
      </c>
      <c r="E76" s="3507" t="s">
        <v>205</v>
      </c>
      <c r="F76" s="3508">
        <f>ROUND(SUM(F78),3)</f>
        <v>1</v>
      </c>
      <c r="G76" s="6"/>
      <c r="H76" s="2227">
        <f t="shared" ref="H76" si="15">ROUND(F76*G76,2)</f>
        <v>0</v>
      </c>
      <c r="I76" s="3510" t="s">
        <v>112</v>
      </c>
      <c r="J76" s="3544"/>
    </row>
    <row r="77" spans="1:18" ht="13.5" customHeight="1">
      <c r="A77" s="2408"/>
      <c r="B77" s="3507"/>
      <c r="C77" s="3507"/>
      <c r="D77" s="3514" t="s">
        <v>1193</v>
      </c>
      <c r="E77" s="3507"/>
      <c r="F77" s="3531"/>
      <c r="G77" s="6"/>
      <c r="H77" s="3532"/>
      <c r="I77" s="3510"/>
      <c r="J77" s="3511"/>
      <c r="K77" s="3554"/>
      <c r="L77" s="71"/>
    </row>
    <row r="78" spans="1:18" ht="13.5" customHeight="1">
      <c r="A78" s="3518"/>
      <c r="B78" s="3514"/>
      <c r="C78" s="3514"/>
      <c r="D78" s="3514" t="s">
        <v>1189</v>
      </c>
      <c r="E78" s="3514"/>
      <c r="F78" s="3515">
        <v>1</v>
      </c>
      <c r="G78" s="89"/>
      <c r="H78" s="3516"/>
      <c r="I78" s="3510"/>
      <c r="J78" s="93"/>
    </row>
    <row r="79" spans="1:18" ht="13.5" customHeight="1">
      <c r="A79" s="3501"/>
      <c r="B79" s="3502"/>
      <c r="C79" s="3502"/>
      <c r="D79" s="3514" t="s">
        <v>1190</v>
      </c>
      <c r="E79" s="3502"/>
      <c r="F79" s="3504"/>
      <c r="G79" s="81"/>
      <c r="H79" s="3505"/>
      <c r="I79" s="3519"/>
      <c r="J79" s="93"/>
    </row>
    <row r="80" spans="1:18" s="593" customFormat="1" ht="27" customHeight="1">
      <c r="A80" s="3555">
        <v>14</v>
      </c>
      <c r="B80" s="3539">
        <v>790</v>
      </c>
      <c r="C80" s="3507" t="s">
        <v>1194</v>
      </c>
      <c r="D80" s="3507" t="s">
        <v>1195</v>
      </c>
      <c r="E80" s="3556" t="s">
        <v>205</v>
      </c>
      <c r="F80" s="3557">
        <f>ROUND(SUM(F82),3)</f>
        <v>1</v>
      </c>
      <c r="G80" s="3615"/>
      <c r="H80" s="2231">
        <f>ROUND(F80*G80,2)</f>
        <v>0</v>
      </c>
      <c r="I80" s="3510" t="s">
        <v>112</v>
      </c>
      <c r="J80" s="3559"/>
      <c r="L80" s="3560"/>
      <c r="M80" s="3561"/>
    </row>
    <row r="81" spans="1:19" s="888" customFormat="1" ht="13.5" customHeight="1">
      <c r="A81" s="3562"/>
      <c r="B81" s="3539"/>
      <c r="C81" s="3507"/>
      <c r="D81" s="3563" t="s">
        <v>1196</v>
      </c>
      <c r="E81" s="3507"/>
      <c r="F81" s="3515"/>
      <c r="G81" s="6"/>
      <c r="H81" s="3532"/>
      <c r="I81" s="3564"/>
      <c r="J81" s="3565"/>
      <c r="K81" s="3566"/>
      <c r="L81" s="1204"/>
      <c r="M81" s="1204"/>
      <c r="N81" s="1204"/>
      <c r="O81" s="1204"/>
      <c r="P81" s="1204"/>
      <c r="Q81" s="1204"/>
      <c r="R81" s="3134"/>
      <c r="S81" s="2668"/>
    </row>
    <row r="82" spans="1:19" s="888" customFormat="1" ht="13.5" customHeight="1">
      <c r="A82" s="3562"/>
      <c r="B82" s="3539"/>
      <c r="C82" s="3507"/>
      <c r="D82" s="3563" t="s">
        <v>1027</v>
      </c>
      <c r="E82" s="3507"/>
      <c r="F82" s="3515">
        <v>1</v>
      </c>
      <c r="G82" s="6"/>
      <c r="H82" s="3532"/>
      <c r="I82" s="3564"/>
      <c r="J82" s="3565"/>
      <c r="K82" s="3566"/>
      <c r="L82" s="1204"/>
      <c r="M82" s="1204"/>
      <c r="N82" s="1204"/>
      <c r="O82" s="1204"/>
      <c r="P82" s="1204"/>
      <c r="Q82" s="1204"/>
      <c r="R82" s="3134"/>
      <c r="S82" s="2668"/>
    </row>
    <row r="83" spans="1:19" s="593" customFormat="1" ht="27" customHeight="1">
      <c r="A83" s="3555">
        <v>15</v>
      </c>
      <c r="B83" s="3539">
        <v>790</v>
      </c>
      <c r="C83" s="3507" t="s">
        <v>1194</v>
      </c>
      <c r="D83" s="3507" t="s">
        <v>1197</v>
      </c>
      <c r="E83" s="3556" t="s">
        <v>205</v>
      </c>
      <c r="F83" s="3557">
        <f>ROUND(SUM(F85),3)</f>
        <v>1</v>
      </c>
      <c r="G83" s="3615"/>
      <c r="H83" s="2231">
        <f>ROUND(F83*G83,2)</f>
        <v>0</v>
      </c>
      <c r="I83" s="3510" t="s">
        <v>112</v>
      </c>
      <c r="J83" s="3559"/>
      <c r="L83" s="3560"/>
      <c r="M83" s="3561"/>
    </row>
    <row r="84" spans="1:19" s="888" customFormat="1" ht="13.5" customHeight="1">
      <c r="A84" s="3562"/>
      <c r="B84" s="3539"/>
      <c r="C84" s="3507"/>
      <c r="D84" s="3563" t="s">
        <v>1198</v>
      </c>
      <c r="E84" s="3507"/>
      <c r="F84" s="3515"/>
      <c r="G84" s="6"/>
      <c r="H84" s="3532"/>
      <c r="I84" s="3564"/>
      <c r="J84" s="3565"/>
      <c r="K84" s="3566"/>
      <c r="L84" s="1204"/>
      <c r="M84" s="1204"/>
      <c r="N84" s="1204"/>
      <c r="O84" s="1204"/>
      <c r="P84" s="1204"/>
      <c r="Q84" s="1204"/>
      <c r="R84" s="3134"/>
      <c r="S84" s="2668"/>
    </row>
    <row r="85" spans="1:19" s="888" customFormat="1" ht="13.5" customHeight="1">
      <c r="A85" s="3562"/>
      <c r="B85" s="3539"/>
      <c r="C85" s="3507"/>
      <c r="D85" s="3563" t="s">
        <v>1027</v>
      </c>
      <c r="E85" s="3507"/>
      <c r="F85" s="3515">
        <v>1</v>
      </c>
      <c r="G85" s="6"/>
      <c r="H85" s="3532"/>
      <c r="I85" s="3564"/>
      <c r="J85" s="3565"/>
      <c r="K85" s="3566"/>
      <c r="L85" s="1204"/>
      <c r="M85" s="1204"/>
      <c r="N85" s="1204"/>
      <c r="O85" s="1204"/>
      <c r="P85" s="1204"/>
      <c r="Q85" s="1204"/>
      <c r="R85" s="3134"/>
      <c r="S85" s="2668"/>
    </row>
    <row r="86" spans="1:19" ht="27" customHeight="1">
      <c r="A86" s="3381" t="s">
        <v>1199</v>
      </c>
      <c r="B86" s="3507">
        <v>790</v>
      </c>
      <c r="C86" s="3507" t="s">
        <v>1131</v>
      </c>
      <c r="D86" s="3507" t="s">
        <v>1200</v>
      </c>
      <c r="E86" s="3507" t="s">
        <v>141</v>
      </c>
      <c r="F86" s="3531">
        <f>SUM(F88:F88)</f>
        <v>55.5</v>
      </c>
      <c r="G86" s="6"/>
      <c r="H86" s="2227">
        <f t="shared" ref="H86" si="16">ROUND(F86*G86,2)</f>
        <v>0</v>
      </c>
      <c r="I86" s="3510" t="s">
        <v>112</v>
      </c>
      <c r="J86" s="3511"/>
      <c r="K86" s="3512"/>
    </row>
    <row r="87" spans="1:19" ht="13.5" customHeight="1">
      <c r="A87" s="3513"/>
      <c r="B87" s="3514"/>
      <c r="C87" s="3514"/>
      <c r="D87" s="3514" t="s">
        <v>1201</v>
      </c>
      <c r="E87" s="3514"/>
      <c r="F87" s="3515"/>
      <c r="G87" s="89"/>
      <c r="H87" s="3516"/>
      <c r="I87" s="3567"/>
      <c r="K87" s="71"/>
    </row>
    <row r="88" spans="1:19" ht="13.5" customHeight="1">
      <c r="A88" s="3517"/>
      <c r="B88" s="3507"/>
      <c r="C88" s="3507"/>
      <c r="D88" s="3514" t="s">
        <v>1027</v>
      </c>
      <c r="E88" s="3514"/>
      <c r="F88" s="3515">
        <v>55.5</v>
      </c>
      <c r="G88" s="81"/>
      <c r="H88" s="3505"/>
      <c r="I88" s="3506"/>
      <c r="K88" s="71"/>
    </row>
    <row r="89" spans="1:19" ht="27" customHeight="1">
      <c r="A89" s="3381" t="s">
        <v>883</v>
      </c>
      <c r="B89" s="3507">
        <v>790</v>
      </c>
      <c r="C89" s="3507" t="s">
        <v>1131</v>
      </c>
      <c r="D89" s="3507" t="s">
        <v>1202</v>
      </c>
      <c r="E89" s="3507" t="s">
        <v>141</v>
      </c>
      <c r="F89" s="3531">
        <f>SUM(F91:F91)</f>
        <v>55.5</v>
      </c>
      <c r="G89" s="6"/>
      <c r="H89" s="2227">
        <f t="shared" ref="H89" si="17">ROUND(F89*G89,2)</f>
        <v>0</v>
      </c>
      <c r="I89" s="3510" t="s">
        <v>112</v>
      </c>
      <c r="J89" s="3511"/>
      <c r="K89" s="3512"/>
    </row>
    <row r="90" spans="1:19" ht="13.5" customHeight="1">
      <c r="A90" s="3513"/>
      <c r="B90" s="3514"/>
      <c r="C90" s="3514"/>
      <c r="D90" s="3514" t="s">
        <v>1201</v>
      </c>
      <c r="E90" s="3514"/>
      <c r="F90" s="3515"/>
      <c r="G90" s="89"/>
      <c r="H90" s="3516"/>
      <c r="I90" s="3567"/>
      <c r="K90" s="71"/>
    </row>
    <row r="91" spans="1:19" ht="13.5" customHeight="1">
      <c r="A91" s="3517"/>
      <c r="B91" s="3507"/>
      <c r="C91" s="3507"/>
      <c r="D91" s="3514" t="s">
        <v>1027</v>
      </c>
      <c r="E91" s="3514"/>
      <c r="F91" s="3515">
        <v>55.5</v>
      </c>
      <c r="G91" s="81"/>
      <c r="H91" s="3505"/>
      <c r="I91" s="3506"/>
      <c r="K91" s="71"/>
    </row>
    <row r="92" spans="1:19" ht="27" customHeight="1">
      <c r="A92" s="3381" t="s">
        <v>196</v>
      </c>
      <c r="B92" s="3507">
        <v>790</v>
      </c>
      <c r="C92" s="3507" t="s">
        <v>1203</v>
      </c>
      <c r="D92" s="3507" t="s">
        <v>1204</v>
      </c>
      <c r="E92" s="3507" t="s">
        <v>205</v>
      </c>
      <c r="F92" s="3508">
        <f>ROUND(SUM(F94:F95),3)</f>
        <v>46</v>
      </c>
      <c r="G92" s="6"/>
      <c r="H92" s="2227">
        <f t="shared" ref="H92" si="18">ROUND(F92*G92,2)</f>
        <v>0</v>
      </c>
      <c r="I92" s="3510" t="s">
        <v>112</v>
      </c>
      <c r="J92" s="3568"/>
      <c r="K92" s="3569"/>
    </row>
    <row r="93" spans="1:19" ht="13.5" customHeight="1">
      <c r="A93" s="3513"/>
      <c r="B93" s="3514"/>
      <c r="C93" s="3514"/>
      <c r="D93" s="3514" t="s">
        <v>1205</v>
      </c>
      <c r="E93" s="3514"/>
      <c r="F93" s="3515"/>
      <c r="G93" s="89"/>
      <c r="H93" s="3516"/>
      <c r="I93" s="3506"/>
      <c r="J93" s="3570"/>
      <c r="K93" s="94"/>
    </row>
    <row r="94" spans="1:19" ht="13.5" customHeight="1">
      <c r="A94" s="3517"/>
      <c r="B94" s="3507"/>
      <c r="C94" s="3507"/>
      <c r="D94" s="3514" t="s">
        <v>1027</v>
      </c>
      <c r="E94" s="3514"/>
      <c r="F94" s="3515">
        <v>39</v>
      </c>
      <c r="G94" s="81"/>
      <c r="H94" s="3505"/>
      <c r="I94" s="3506"/>
      <c r="J94" s="3571"/>
    </row>
    <row r="95" spans="1:19" ht="13.5" customHeight="1">
      <c r="A95" s="3517"/>
      <c r="B95" s="3507"/>
      <c r="C95" s="3507"/>
      <c r="D95" s="3514" t="s">
        <v>1058</v>
      </c>
      <c r="E95" s="3514"/>
      <c r="F95" s="3515">
        <v>7</v>
      </c>
      <c r="G95" s="81"/>
      <c r="H95" s="3505"/>
      <c r="I95" s="3506"/>
      <c r="J95" s="3571"/>
      <c r="K95" s="3572"/>
    </row>
    <row r="96" spans="1:19" ht="13.5" customHeight="1">
      <c r="A96" s="3381"/>
      <c r="B96" s="3507"/>
      <c r="C96" s="3507"/>
      <c r="D96" s="3514" t="s">
        <v>1190</v>
      </c>
      <c r="E96" s="3514"/>
      <c r="F96" s="3515"/>
      <c r="G96" s="6"/>
      <c r="H96" s="3532"/>
      <c r="I96" s="3510"/>
      <c r="J96" s="3571"/>
      <c r="K96" s="3572"/>
    </row>
    <row r="97" spans="1:23" ht="27" customHeight="1">
      <c r="A97" s="2408">
        <v>19</v>
      </c>
      <c r="B97" s="3507">
        <v>790</v>
      </c>
      <c r="C97" s="3507" t="s">
        <v>1206</v>
      </c>
      <c r="D97" s="3507" t="s">
        <v>1207</v>
      </c>
      <c r="E97" s="3507" t="s">
        <v>205</v>
      </c>
      <c r="F97" s="3531">
        <f>SUM(F99:F99)</f>
        <v>2</v>
      </c>
      <c r="G97" s="6"/>
      <c r="H97" s="2227">
        <f t="shared" ref="H97" si="19">ROUND(F97*G97,2)</f>
        <v>0</v>
      </c>
      <c r="I97" s="3510" t="s">
        <v>112</v>
      </c>
      <c r="J97" s="3544"/>
    </row>
    <row r="98" spans="1:23" ht="13.5" customHeight="1">
      <c r="A98" s="2408"/>
      <c r="B98" s="3507"/>
      <c r="C98" s="3507"/>
      <c r="D98" s="3514" t="s">
        <v>1208</v>
      </c>
      <c r="E98" s="3507"/>
      <c r="F98" s="3531"/>
      <c r="G98" s="6"/>
      <c r="H98" s="3532"/>
      <c r="I98" s="3510"/>
      <c r="J98" s="3544"/>
      <c r="K98" s="71"/>
      <c r="W98" s="3550"/>
    </row>
    <row r="99" spans="1:23" ht="13.5" customHeight="1">
      <c r="A99" s="3518"/>
      <c r="B99" s="3514"/>
      <c r="C99" s="3514"/>
      <c r="D99" s="3514" t="s">
        <v>1027</v>
      </c>
      <c r="E99" s="3514"/>
      <c r="F99" s="3515">
        <v>2</v>
      </c>
      <c r="G99" s="89"/>
      <c r="H99" s="3516"/>
      <c r="I99" s="3510"/>
      <c r="J99" s="3551"/>
      <c r="K99" s="71"/>
      <c r="Q99" s="3550"/>
    </row>
    <row r="100" spans="1:23" ht="13.5" customHeight="1">
      <c r="A100" s="3518"/>
      <c r="B100" s="3514"/>
      <c r="C100" s="3514"/>
      <c r="D100" s="3514" t="s">
        <v>1181</v>
      </c>
      <c r="E100" s="3514"/>
      <c r="F100" s="3515"/>
      <c r="G100" s="89"/>
      <c r="H100" s="3516"/>
      <c r="I100" s="3506"/>
      <c r="J100" s="3544"/>
    </row>
    <row r="101" spans="1:23" ht="27" customHeight="1">
      <c r="A101" s="3381" t="s">
        <v>208</v>
      </c>
      <c r="B101" s="3507">
        <v>790</v>
      </c>
      <c r="C101" s="3507" t="s">
        <v>1175</v>
      </c>
      <c r="D101" s="3507" t="s">
        <v>1209</v>
      </c>
      <c r="E101" s="3507" t="s">
        <v>205</v>
      </c>
      <c r="F101" s="3531">
        <f>SUM(F103:F103)</f>
        <v>2</v>
      </c>
      <c r="G101" s="6"/>
      <c r="H101" s="2227">
        <f t="shared" ref="H101" si="20">ROUND(F101*G101,2)</f>
        <v>0</v>
      </c>
      <c r="I101" s="3510" t="s">
        <v>112</v>
      </c>
      <c r="J101" s="3544"/>
    </row>
    <row r="102" spans="1:23" ht="13.5" customHeight="1">
      <c r="A102" s="3381"/>
      <c r="B102" s="3507"/>
      <c r="C102" s="3507"/>
      <c r="D102" s="3514" t="s">
        <v>1210</v>
      </c>
      <c r="E102" s="3507"/>
      <c r="F102" s="3531"/>
      <c r="G102" s="6"/>
      <c r="H102" s="3532"/>
      <c r="I102" s="3510"/>
      <c r="J102" s="3544"/>
      <c r="Q102" s="3550"/>
    </row>
    <row r="103" spans="1:23" ht="13.5" customHeight="1">
      <c r="A103" s="3513"/>
      <c r="B103" s="3514"/>
      <c r="C103" s="3514"/>
      <c r="D103" s="3514" t="s">
        <v>1027</v>
      </c>
      <c r="E103" s="3514"/>
      <c r="F103" s="3515">
        <v>2</v>
      </c>
      <c r="G103" s="89"/>
      <c r="H103" s="3516"/>
      <c r="I103" s="3510"/>
      <c r="J103" s="3544"/>
      <c r="R103" s="3550"/>
    </row>
    <row r="104" spans="1:23" ht="27" customHeight="1">
      <c r="A104" s="2408">
        <v>21</v>
      </c>
      <c r="B104" s="3507">
        <v>790</v>
      </c>
      <c r="C104" s="3507" t="s">
        <v>1211</v>
      </c>
      <c r="D104" s="3507" t="s">
        <v>1212</v>
      </c>
      <c r="E104" s="3507" t="s">
        <v>205</v>
      </c>
      <c r="F104" s="3531">
        <f>SUM(F106:F106)</f>
        <v>1</v>
      </c>
      <c r="G104" s="6"/>
      <c r="H104" s="2227">
        <f t="shared" ref="H104" si="21">ROUND(F104*G104,2)</f>
        <v>0</v>
      </c>
      <c r="I104" s="3510" t="s">
        <v>112</v>
      </c>
      <c r="J104" s="3544"/>
    </row>
    <row r="105" spans="1:23" ht="13.5" customHeight="1">
      <c r="A105" s="2408"/>
      <c r="B105" s="3507"/>
      <c r="C105" s="3507"/>
      <c r="D105" s="3514" t="s">
        <v>1213</v>
      </c>
      <c r="E105" s="3507"/>
      <c r="F105" s="3531"/>
      <c r="G105" s="6"/>
      <c r="H105" s="3532"/>
      <c r="I105" s="3510"/>
      <c r="J105" s="889"/>
      <c r="K105" s="71"/>
      <c r="V105" s="3550"/>
    </row>
    <row r="106" spans="1:23" ht="13.5" customHeight="1">
      <c r="A106" s="3518"/>
      <c r="B106" s="3514"/>
      <c r="C106" s="3514"/>
      <c r="D106" s="3514" t="s">
        <v>1027</v>
      </c>
      <c r="E106" s="3514"/>
      <c r="F106" s="3515">
        <v>1</v>
      </c>
      <c r="G106" s="89"/>
      <c r="H106" s="3516"/>
      <c r="I106" s="3506"/>
      <c r="J106" s="889"/>
    </row>
    <row r="107" spans="1:23" ht="27" customHeight="1">
      <c r="A107" s="3381" t="s">
        <v>884</v>
      </c>
      <c r="B107" s="3507">
        <v>790</v>
      </c>
      <c r="C107" s="3507" t="s">
        <v>1175</v>
      </c>
      <c r="D107" s="3507" t="s">
        <v>1214</v>
      </c>
      <c r="E107" s="3507" t="s">
        <v>205</v>
      </c>
      <c r="F107" s="3531">
        <f>SUM(F109:F110)</f>
        <v>2</v>
      </c>
      <c r="G107" s="6"/>
      <c r="H107" s="2227">
        <f t="shared" ref="H107" si="22">ROUND(F107*G107,2)</f>
        <v>0</v>
      </c>
      <c r="I107" s="3510" t="s">
        <v>112</v>
      </c>
      <c r="J107" s="3544"/>
    </row>
    <row r="108" spans="1:23" ht="13.5" customHeight="1">
      <c r="A108" s="3381"/>
      <c r="B108" s="3507"/>
      <c r="C108" s="3507"/>
      <c r="D108" s="3514" t="s">
        <v>1215</v>
      </c>
      <c r="E108" s="3507"/>
      <c r="F108" s="3531"/>
      <c r="G108" s="6"/>
      <c r="H108" s="3532"/>
      <c r="I108" s="3510"/>
      <c r="J108" s="3544"/>
      <c r="Q108" s="3550"/>
    </row>
    <row r="109" spans="1:23" ht="13.5" customHeight="1">
      <c r="A109" s="3513"/>
      <c r="B109" s="3514"/>
      <c r="C109" s="3514"/>
      <c r="D109" s="3514" t="s">
        <v>1169</v>
      </c>
      <c r="E109" s="3514"/>
      <c r="F109" s="3515">
        <v>1</v>
      </c>
      <c r="G109" s="89"/>
      <c r="H109" s="3516"/>
      <c r="I109" s="3510"/>
      <c r="J109" s="3573"/>
      <c r="R109" s="3550"/>
    </row>
    <row r="110" spans="1:23" ht="13.5" customHeight="1">
      <c r="A110" s="3517"/>
      <c r="B110" s="3507"/>
      <c r="C110" s="3507"/>
      <c r="D110" s="3514" t="s">
        <v>1058</v>
      </c>
      <c r="E110" s="3514"/>
      <c r="F110" s="3515">
        <v>1</v>
      </c>
      <c r="G110" s="81"/>
      <c r="H110" s="3505"/>
      <c r="I110" s="3506"/>
      <c r="J110" s="3571"/>
      <c r="K110" s="3572"/>
    </row>
    <row r="111" spans="1:23" ht="13.5" customHeight="1">
      <c r="A111" s="3513"/>
      <c r="B111" s="3514"/>
      <c r="C111" s="3514"/>
      <c r="D111" s="3514" t="s">
        <v>1190</v>
      </c>
      <c r="E111" s="3514"/>
      <c r="F111" s="3515"/>
      <c r="G111" s="89"/>
      <c r="H111" s="3516"/>
      <c r="I111" s="3506"/>
      <c r="J111" s="3573"/>
      <c r="Q111" s="3550"/>
    </row>
    <row r="112" spans="1:23" ht="27" customHeight="1">
      <c r="A112" s="3381" t="s">
        <v>1071</v>
      </c>
      <c r="B112" s="3507">
        <v>790</v>
      </c>
      <c r="C112" s="3507" t="s">
        <v>1175</v>
      </c>
      <c r="D112" s="3507" t="s">
        <v>1216</v>
      </c>
      <c r="E112" s="3507" t="s">
        <v>205</v>
      </c>
      <c r="F112" s="3531">
        <f>SUM(F114:F114)</f>
        <v>7</v>
      </c>
      <c r="G112" s="6"/>
      <c r="H112" s="2227">
        <f t="shared" ref="H112" si="23">ROUND(F112*G112,2)</f>
        <v>0</v>
      </c>
      <c r="I112" s="3510" t="s">
        <v>112</v>
      </c>
      <c r="J112" s="3544"/>
    </row>
    <row r="113" spans="1:27" ht="13.5" customHeight="1">
      <c r="A113" s="3381"/>
      <c r="B113" s="3507"/>
      <c r="C113" s="3507"/>
      <c r="D113" s="3514" t="s">
        <v>1217</v>
      </c>
      <c r="E113" s="3507"/>
      <c r="F113" s="3531"/>
      <c r="G113" s="6"/>
      <c r="H113" s="3532"/>
      <c r="I113" s="3510"/>
      <c r="J113" s="3544"/>
      <c r="Q113" s="3550"/>
    </row>
    <row r="114" spans="1:27" ht="13.5" customHeight="1">
      <c r="A114" s="3517"/>
      <c r="B114" s="3507"/>
      <c r="C114" s="3507"/>
      <c r="D114" s="3514" t="s">
        <v>1058</v>
      </c>
      <c r="E114" s="3514"/>
      <c r="F114" s="3515">
        <v>7</v>
      </c>
      <c r="G114" s="81"/>
      <c r="H114" s="3505"/>
      <c r="I114" s="3506"/>
      <c r="J114" s="3571"/>
      <c r="K114" s="3572"/>
    </row>
    <row r="115" spans="1:27" ht="13.5" customHeight="1">
      <c r="A115" s="3513"/>
      <c r="B115" s="3514"/>
      <c r="C115" s="3514"/>
      <c r="D115" s="3514" t="s">
        <v>1190</v>
      </c>
      <c r="E115" s="3514"/>
      <c r="F115" s="3515"/>
      <c r="G115" s="89"/>
      <c r="H115" s="3516"/>
      <c r="I115" s="3506"/>
      <c r="J115" s="3544"/>
      <c r="K115" s="71"/>
      <c r="Q115" s="3550"/>
    </row>
    <row r="116" spans="1:27" ht="27" customHeight="1">
      <c r="A116" s="3381" t="s">
        <v>1218</v>
      </c>
      <c r="B116" s="3507">
        <v>790</v>
      </c>
      <c r="C116" s="3507" t="s">
        <v>1175</v>
      </c>
      <c r="D116" s="3507" t="s">
        <v>1219</v>
      </c>
      <c r="E116" s="3507" t="s">
        <v>205</v>
      </c>
      <c r="F116" s="3531">
        <f>SUM(F118:F120)</f>
        <v>37</v>
      </c>
      <c r="G116" s="6"/>
      <c r="H116" s="2227">
        <f t="shared" ref="H116" si="24">ROUND(F116*G116,2)</f>
        <v>0</v>
      </c>
      <c r="I116" s="3510" t="s">
        <v>112</v>
      </c>
      <c r="J116" s="3544"/>
    </row>
    <row r="117" spans="1:27" ht="13.5" customHeight="1">
      <c r="A117" s="3381"/>
      <c r="B117" s="3507"/>
      <c r="C117" s="3507"/>
      <c r="D117" s="3514" t="s">
        <v>1220</v>
      </c>
      <c r="E117" s="3507"/>
      <c r="F117" s="3531"/>
      <c r="G117" s="6"/>
      <c r="H117" s="3532"/>
      <c r="I117" s="3510"/>
      <c r="J117" s="3544"/>
      <c r="Q117" s="3550"/>
    </row>
    <row r="118" spans="1:27" ht="13.5" customHeight="1">
      <c r="A118" s="3513"/>
      <c r="B118" s="3514"/>
      <c r="C118" s="3514"/>
      <c r="D118" s="3514" t="s">
        <v>1221</v>
      </c>
      <c r="E118" s="3514"/>
      <c r="F118" s="3515">
        <v>6</v>
      </c>
      <c r="G118" s="89"/>
      <c r="H118" s="3516"/>
      <c r="I118" s="3510"/>
      <c r="J118" s="3544"/>
      <c r="R118" s="3550"/>
    </row>
    <row r="119" spans="1:27" ht="13.5" customHeight="1">
      <c r="A119" s="3517"/>
      <c r="B119" s="3507"/>
      <c r="C119" s="3507"/>
      <c r="D119" s="3514" t="s">
        <v>1169</v>
      </c>
      <c r="E119" s="3514"/>
      <c r="F119" s="3515">
        <v>22</v>
      </c>
      <c r="G119" s="81"/>
      <c r="H119" s="3505"/>
      <c r="I119" s="3506"/>
      <c r="K119" s="71"/>
    </row>
    <row r="120" spans="1:27" ht="13.5" customHeight="1">
      <c r="A120" s="3513"/>
      <c r="B120" s="3514"/>
      <c r="C120" s="3514"/>
      <c r="D120" s="3514" t="s">
        <v>1222</v>
      </c>
      <c r="E120" s="3514"/>
      <c r="F120" s="3515">
        <v>9</v>
      </c>
      <c r="G120" s="89"/>
      <c r="H120" s="3516"/>
      <c r="I120" s="3510"/>
      <c r="J120" s="3544"/>
      <c r="R120" s="3550"/>
    </row>
    <row r="121" spans="1:27" ht="13.5" customHeight="1">
      <c r="A121" s="3513"/>
      <c r="B121" s="3514"/>
      <c r="C121" s="3514"/>
      <c r="D121" s="3514" t="s">
        <v>1190</v>
      </c>
      <c r="E121" s="3514"/>
      <c r="F121" s="3515"/>
      <c r="G121" s="89"/>
      <c r="H121" s="3516"/>
      <c r="I121" s="3506"/>
      <c r="J121" s="3544"/>
      <c r="K121" s="71"/>
      <c r="Q121" s="3550"/>
    </row>
    <row r="122" spans="1:27" ht="27" customHeight="1">
      <c r="A122" s="3381" t="s">
        <v>1223</v>
      </c>
      <c r="B122" s="3507">
        <v>790</v>
      </c>
      <c r="C122" s="3507" t="s">
        <v>1175</v>
      </c>
      <c r="D122" s="3507" t="s">
        <v>1224</v>
      </c>
      <c r="E122" s="3507" t="s">
        <v>205</v>
      </c>
      <c r="F122" s="3531">
        <f>SUM(F124:F124)</f>
        <v>1</v>
      </c>
      <c r="G122" s="6"/>
      <c r="H122" s="2227">
        <f t="shared" ref="H122" si="25">ROUND(F122*G122,2)</f>
        <v>0</v>
      </c>
      <c r="I122" s="3510" t="s">
        <v>112</v>
      </c>
      <c r="J122" s="3544"/>
    </row>
    <row r="123" spans="1:27" ht="13.5" customHeight="1">
      <c r="A123" s="3381"/>
      <c r="B123" s="3507"/>
      <c r="C123" s="3507"/>
      <c r="D123" s="3514" t="s">
        <v>1225</v>
      </c>
      <c r="E123" s="3507"/>
      <c r="F123" s="3531"/>
      <c r="G123" s="6"/>
      <c r="H123" s="3532"/>
      <c r="I123" s="3510"/>
      <c r="J123" s="3544"/>
      <c r="Q123" s="3550"/>
    </row>
    <row r="124" spans="1:27" ht="13.5" customHeight="1">
      <c r="A124" s="3513"/>
      <c r="B124" s="3514"/>
      <c r="C124" s="3514"/>
      <c r="D124" s="3514" t="s">
        <v>1169</v>
      </c>
      <c r="E124" s="3514"/>
      <c r="F124" s="3515">
        <v>1</v>
      </c>
      <c r="G124" s="89"/>
      <c r="H124" s="3516"/>
      <c r="I124" s="3510"/>
      <c r="J124" s="3544"/>
      <c r="R124" s="3550"/>
    </row>
    <row r="125" spans="1:27" ht="27" customHeight="1">
      <c r="A125" s="3455">
        <v>26</v>
      </c>
      <c r="B125" s="3507">
        <v>790</v>
      </c>
      <c r="C125" s="3507" t="s">
        <v>1226</v>
      </c>
      <c r="D125" s="3507" t="s">
        <v>1227</v>
      </c>
      <c r="E125" s="3507" t="s">
        <v>205</v>
      </c>
      <c r="F125" s="3531">
        <f>SUM(F127:F127)</f>
        <v>1</v>
      </c>
      <c r="G125" s="5"/>
      <c r="H125" s="2227">
        <f t="shared" ref="H125" si="26">ROUND(F125*G125,2)</f>
        <v>0</v>
      </c>
      <c r="I125" s="3510" t="s">
        <v>112</v>
      </c>
      <c r="J125" s="3544"/>
      <c r="K125" s="3574"/>
      <c r="L125" s="3542"/>
      <c r="M125" s="3575"/>
      <c r="N125" s="3536"/>
      <c r="O125" s="3537"/>
      <c r="P125" s="888"/>
      <c r="Q125" s="888"/>
      <c r="R125" s="3538"/>
    </row>
    <row r="126" spans="1:27" ht="27" customHeight="1">
      <c r="A126" s="3545"/>
      <c r="B126" s="3514"/>
      <c r="C126" s="3514"/>
      <c r="D126" s="3530" t="s">
        <v>1228</v>
      </c>
      <c r="E126" s="3514"/>
      <c r="F126" s="3515"/>
      <c r="G126" s="15"/>
      <c r="H126" s="3546"/>
      <c r="I126" s="3506"/>
      <c r="J126" s="95"/>
      <c r="U126" s="3547"/>
    </row>
    <row r="127" spans="1:27" ht="13.5" customHeight="1">
      <c r="A127" s="3545"/>
      <c r="B127" s="3514"/>
      <c r="C127" s="3514"/>
      <c r="D127" s="3514" t="s">
        <v>1229</v>
      </c>
      <c r="E127" s="3514"/>
      <c r="F127" s="3515">
        <v>1</v>
      </c>
      <c r="G127" s="15"/>
      <c r="H127" s="3546"/>
      <c r="I127" s="3506"/>
      <c r="J127" s="92"/>
    </row>
    <row r="128" spans="1:27" ht="13.5" customHeight="1">
      <c r="A128" s="3545"/>
      <c r="B128" s="3514"/>
      <c r="C128" s="3514"/>
      <c r="D128" s="3514" t="s">
        <v>1190</v>
      </c>
      <c r="E128" s="3514"/>
      <c r="F128" s="3515"/>
      <c r="G128" s="15"/>
      <c r="H128" s="3546"/>
      <c r="I128" s="3548"/>
      <c r="J128" s="3544"/>
      <c r="R128" s="3547"/>
      <c r="AA128" s="3547"/>
    </row>
    <row r="129" spans="1:20" ht="27" customHeight="1">
      <c r="A129" s="2408">
        <v>27</v>
      </c>
      <c r="B129" s="3507">
        <v>790</v>
      </c>
      <c r="C129" s="3507" t="s">
        <v>1230</v>
      </c>
      <c r="D129" s="3507" t="s">
        <v>1231</v>
      </c>
      <c r="E129" s="3507" t="s">
        <v>49</v>
      </c>
      <c r="F129" s="3531">
        <f>SUM(F131:F131)</f>
        <v>1</v>
      </c>
      <c r="G129" s="6"/>
      <c r="H129" s="2227">
        <f t="shared" ref="H129" si="27">ROUND(F129*G129,2)</f>
        <v>0</v>
      </c>
      <c r="I129" s="3510" t="s">
        <v>112</v>
      </c>
      <c r="J129" s="3549"/>
    </row>
    <row r="130" spans="1:20" ht="13.5" customHeight="1">
      <c r="A130" s="3518"/>
      <c r="B130" s="3514"/>
      <c r="C130" s="3514"/>
      <c r="D130" s="3514" t="s">
        <v>1232</v>
      </c>
      <c r="E130" s="3514"/>
      <c r="F130" s="3515"/>
      <c r="G130" s="89"/>
      <c r="H130" s="3516"/>
      <c r="I130" s="3506"/>
      <c r="J130" s="93"/>
      <c r="L130" s="90"/>
    </row>
    <row r="131" spans="1:20" ht="13.5" customHeight="1">
      <c r="A131" s="3518"/>
      <c r="B131" s="3514"/>
      <c r="C131" s="3514"/>
      <c r="D131" s="3514" t="s">
        <v>1027</v>
      </c>
      <c r="E131" s="3514"/>
      <c r="F131" s="3515">
        <v>1</v>
      </c>
      <c r="G131" s="89"/>
      <c r="H131" s="3516"/>
      <c r="I131" s="3506"/>
      <c r="J131" s="3575"/>
      <c r="L131" s="90"/>
    </row>
    <row r="132" spans="1:20" ht="27" customHeight="1">
      <c r="A132" s="2408">
        <v>28</v>
      </c>
      <c r="B132" s="3507">
        <v>790</v>
      </c>
      <c r="C132" s="3507" t="s">
        <v>1230</v>
      </c>
      <c r="D132" s="3507" t="s">
        <v>1233</v>
      </c>
      <c r="E132" s="3507" t="s">
        <v>49</v>
      </c>
      <c r="F132" s="3531">
        <f>SUM(F134:F134)</f>
        <v>1</v>
      </c>
      <c r="G132" s="6"/>
      <c r="H132" s="2227">
        <f t="shared" ref="H132" si="28">ROUND(F132*G132,2)</f>
        <v>0</v>
      </c>
      <c r="I132" s="3510" t="s">
        <v>112</v>
      </c>
      <c r="J132" s="3549"/>
    </row>
    <row r="133" spans="1:20" ht="13.5" customHeight="1">
      <c r="A133" s="3518"/>
      <c r="B133" s="3514"/>
      <c r="C133" s="3514"/>
      <c r="D133" s="3514" t="s">
        <v>1234</v>
      </c>
      <c r="E133" s="3514"/>
      <c r="F133" s="3515"/>
      <c r="G133" s="89"/>
      <c r="H133" s="3516"/>
      <c r="I133" s="3506"/>
      <c r="J133" s="93"/>
      <c r="L133" s="90"/>
    </row>
    <row r="134" spans="1:20" ht="13.5" customHeight="1">
      <c r="A134" s="3518"/>
      <c r="B134" s="3514"/>
      <c r="C134" s="3514"/>
      <c r="D134" s="3514" t="s">
        <v>1027</v>
      </c>
      <c r="E134" s="3514"/>
      <c r="F134" s="3515">
        <v>1</v>
      </c>
      <c r="G134" s="89"/>
      <c r="H134" s="3516"/>
      <c r="I134" s="3506"/>
      <c r="J134" s="3575"/>
      <c r="L134" s="90"/>
    </row>
    <row r="135" spans="1:20" ht="27" customHeight="1">
      <c r="A135" s="2408">
        <v>29</v>
      </c>
      <c r="B135" s="3507">
        <v>790</v>
      </c>
      <c r="C135" s="3507" t="s">
        <v>1230</v>
      </c>
      <c r="D135" s="3507" t="s">
        <v>1235</v>
      </c>
      <c r="E135" s="3507" t="s">
        <v>49</v>
      </c>
      <c r="F135" s="3531">
        <f>SUM(F137:F137)</f>
        <v>2</v>
      </c>
      <c r="G135" s="6"/>
      <c r="H135" s="2227">
        <f t="shared" ref="H135" si="29">ROUND(F135*G135,2)</f>
        <v>0</v>
      </c>
      <c r="I135" s="3510" t="s">
        <v>112</v>
      </c>
      <c r="J135" s="3549"/>
    </row>
    <row r="136" spans="1:20" ht="13.5" customHeight="1">
      <c r="A136" s="3518"/>
      <c r="B136" s="3514"/>
      <c r="C136" s="3514"/>
      <c r="D136" s="3514" t="s">
        <v>1236</v>
      </c>
      <c r="E136" s="3514"/>
      <c r="F136" s="3515"/>
      <c r="G136" s="89"/>
      <c r="H136" s="3516"/>
      <c r="I136" s="3506"/>
      <c r="J136" s="93"/>
      <c r="L136" s="90"/>
    </row>
    <row r="137" spans="1:20" ht="13.5" customHeight="1">
      <c r="A137" s="3518"/>
      <c r="B137" s="3514"/>
      <c r="C137" s="3514"/>
      <c r="D137" s="3514" t="s">
        <v>1076</v>
      </c>
      <c r="E137" s="3514"/>
      <c r="F137" s="3515">
        <v>2</v>
      </c>
      <c r="G137" s="89"/>
      <c r="H137" s="3516"/>
      <c r="I137" s="3506"/>
      <c r="J137" s="3575"/>
      <c r="L137" s="90"/>
    </row>
    <row r="138" spans="1:20" ht="27" customHeight="1">
      <c r="A138" s="2408">
        <v>30</v>
      </c>
      <c r="B138" s="3507">
        <v>790</v>
      </c>
      <c r="C138" s="3507" t="s">
        <v>1230</v>
      </c>
      <c r="D138" s="3507" t="s">
        <v>1237</v>
      </c>
      <c r="E138" s="3507" t="s">
        <v>49</v>
      </c>
      <c r="F138" s="3531">
        <f>SUM(F140:F140)</f>
        <v>1</v>
      </c>
      <c r="G138" s="6"/>
      <c r="H138" s="2227">
        <f t="shared" ref="H138" si="30">ROUND(F138*G138,2)</f>
        <v>0</v>
      </c>
      <c r="I138" s="3510" t="s">
        <v>112</v>
      </c>
      <c r="J138" s="3549"/>
      <c r="T138" s="3547"/>
    </row>
    <row r="139" spans="1:20" ht="13.5" customHeight="1">
      <c r="A139" s="3518"/>
      <c r="B139" s="3514"/>
      <c r="C139" s="3514"/>
      <c r="D139" s="3514" t="s">
        <v>1238</v>
      </c>
      <c r="E139" s="3514"/>
      <c r="F139" s="3515"/>
      <c r="G139" s="89"/>
      <c r="H139" s="3516"/>
      <c r="I139" s="3506"/>
      <c r="J139" s="93"/>
      <c r="L139" s="90"/>
    </row>
    <row r="140" spans="1:20" ht="13.5" customHeight="1">
      <c r="A140" s="3518"/>
      <c r="B140" s="3514"/>
      <c r="C140" s="3514"/>
      <c r="D140" s="3514" t="s">
        <v>1027</v>
      </c>
      <c r="E140" s="3514"/>
      <c r="F140" s="3515">
        <v>1</v>
      </c>
      <c r="G140" s="89"/>
      <c r="H140" s="3516"/>
      <c r="I140" s="3506"/>
      <c r="J140" s="3575"/>
      <c r="L140" s="90"/>
    </row>
    <row r="141" spans="1:20" ht="13.5" customHeight="1">
      <c r="A141" s="2408">
        <v>31</v>
      </c>
      <c r="B141" s="3507">
        <v>790</v>
      </c>
      <c r="C141" s="3507" t="s">
        <v>1239</v>
      </c>
      <c r="D141" s="3507" t="s">
        <v>1240</v>
      </c>
      <c r="E141" s="3507" t="s">
        <v>205</v>
      </c>
      <c r="F141" s="3508">
        <f>ROUND(SUM(F143:F144),3)</f>
        <v>3</v>
      </c>
      <c r="G141" s="6"/>
      <c r="H141" s="2227">
        <f t="shared" ref="H141" si="31">ROUND(F141*G141,2)</f>
        <v>0</v>
      </c>
      <c r="I141" s="3510" t="s">
        <v>112</v>
      </c>
      <c r="J141" s="3511"/>
      <c r="K141" s="3576"/>
    </row>
    <row r="142" spans="1:20" ht="13.5" customHeight="1">
      <c r="A142" s="3518"/>
      <c r="B142" s="3514"/>
      <c r="C142" s="3514"/>
      <c r="D142" s="3514" t="s">
        <v>1241</v>
      </c>
      <c r="E142" s="3514"/>
      <c r="F142" s="3515"/>
      <c r="G142" s="89"/>
      <c r="H142" s="3516"/>
      <c r="I142" s="3506"/>
      <c r="J142" s="3577"/>
    </row>
    <row r="143" spans="1:20" ht="13.5" customHeight="1">
      <c r="A143" s="3518"/>
      <c r="B143" s="3514"/>
      <c r="C143" s="3514"/>
      <c r="D143" s="3514" t="s">
        <v>1027</v>
      </c>
      <c r="E143" s="3514"/>
      <c r="F143" s="3515">
        <v>2</v>
      </c>
      <c r="G143" s="89"/>
      <c r="H143" s="3516"/>
      <c r="I143" s="3506"/>
      <c r="J143" s="3577"/>
    </row>
    <row r="144" spans="1:20" ht="13.5" customHeight="1">
      <c r="A144" s="3518"/>
      <c r="B144" s="3514"/>
      <c r="C144" s="3514"/>
      <c r="D144" s="3514" t="s">
        <v>1058</v>
      </c>
      <c r="E144" s="3514"/>
      <c r="F144" s="3515">
        <v>1</v>
      </c>
      <c r="G144" s="89"/>
      <c r="H144" s="3516"/>
      <c r="I144" s="3506"/>
      <c r="J144" s="3577"/>
    </row>
    <row r="145" spans="1:21" ht="13.5" customHeight="1">
      <c r="A145" s="3501"/>
      <c r="B145" s="3502"/>
      <c r="C145" s="3502"/>
      <c r="D145" s="3514" t="s">
        <v>1190</v>
      </c>
      <c r="E145" s="3514"/>
      <c r="F145" s="3515"/>
      <c r="G145" s="81"/>
      <c r="H145" s="3505"/>
      <c r="I145" s="3506"/>
      <c r="J145" s="3543"/>
    </row>
    <row r="146" spans="1:21" ht="27" customHeight="1">
      <c r="A146" s="3381" t="s">
        <v>1242</v>
      </c>
      <c r="B146" s="3507">
        <v>790</v>
      </c>
      <c r="C146" s="3507" t="s">
        <v>1243</v>
      </c>
      <c r="D146" s="3507" t="s">
        <v>1244</v>
      </c>
      <c r="E146" s="3507" t="s">
        <v>205</v>
      </c>
      <c r="F146" s="3508">
        <f>ROUND(SUM(F148:F149),3)</f>
        <v>24</v>
      </c>
      <c r="G146" s="6"/>
      <c r="H146" s="2227">
        <f t="shared" ref="H146" si="32">ROUND(F146*G146,2)</f>
        <v>0</v>
      </c>
      <c r="I146" s="3510" t="s">
        <v>112</v>
      </c>
      <c r="J146" s="3571"/>
      <c r="K146" s="3578"/>
    </row>
    <row r="147" spans="1:21" ht="13.5" customHeight="1">
      <c r="A147" s="3513"/>
      <c r="B147" s="3514"/>
      <c r="C147" s="3514"/>
      <c r="D147" s="3530" t="s">
        <v>1245</v>
      </c>
      <c r="E147" s="3514"/>
      <c r="F147" s="3515"/>
      <c r="G147" s="89"/>
      <c r="H147" s="3516"/>
      <c r="I147" s="3506"/>
      <c r="J147" s="3511"/>
      <c r="K147" s="71"/>
    </row>
    <row r="148" spans="1:21" ht="13.5" customHeight="1">
      <c r="A148" s="3513"/>
      <c r="B148" s="3514"/>
      <c r="C148" s="3514"/>
      <c r="D148" s="3514" t="s">
        <v>1027</v>
      </c>
      <c r="E148" s="3514"/>
      <c r="F148" s="3515">
        <v>9</v>
      </c>
      <c r="G148" s="89"/>
      <c r="H148" s="3516"/>
      <c r="I148" s="3506"/>
      <c r="J148" s="3579"/>
    </row>
    <row r="149" spans="1:21" ht="13.5" customHeight="1">
      <c r="A149" s="3518"/>
      <c r="B149" s="3514"/>
      <c r="C149" s="3514"/>
      <c r="D149" s="3514" t="s">
        <v>1058</v>
      </c>
      <c r="E149" s="3514"/>
      <c r="F149" s="3515">
        <v>15</v>
      </c>
      <c r="G149" s="89"/>
      <c r="H149" s="3516"/>
      <c r="I149" s="3506"/>
      <c r="J149" s="3577"/>
    </row>
    <row r="150" spans="1:21" ht="13.5" customHeight="1">
      <c r="A150" s="3513"/>
      <c r="B150" s="3514"/>
      <c r="C150" s="3514"/>
      <c r="D150" s="3514" t="s">
        <v>1190</v>
      </c>
      <c r="E150" s="3514"/>
      <c r="F150" s="3515"/>
      <c r="G150" s="89"/>
      <c r="H150" s="3516"/>
      <c r="I150" s="3506"/>
      <c r="U150" s="3134"/>
    </row>
    <row r="151" spans="1:21" ht="27" customHeight="1">
      <c r="A151" s="3381" t="s">
        <v>1246</v>
      </c>
      <c r="B151" s="3507">
        <v>790</v>
      </c>
      <c r="C151" s="3507" t="s">
        <v>1247</v>
      </c>
      <c r="D151" s="3507" t="s">
        <v>1248</v>
      </c>
      <c r="E151" s="3507" t="s">
        <v>205</v>
      </c>
      <c r="F151" s="3508">
        <f>ROUND(SUM(F153:F154),3)</f>
        <v>22</v>
      </c>
      <c r="G151" s="6"/>
      <c r="H151" s="2227">
        <f t="shared" ref="H151" si="33">ROUND(F151*G151,2)</f>
        <v>0</v>
      </c>
      <c r="I151" s="3510" t="s">
        <v>112</v>
      </c>
      <c r="J151" s="3571"/>
      <c r="K151" s="3580"/>
    </row>
    <row r="152" spans="1:21" ht="27" customHeight="1">
      <c r="A152" s="3513"/>
      <c r="B152" s="3514"/>
      <c r="C152" s="3514"/>
      <c r="D152" s="3530" t="s">
        <v>1249</v>
      </c>
      <c r="E152" s="3514"/>
      <c r="F152" s="3515"/>
      <c r="G152" s="89"/>
      <c r="H152" s="3516"/>
      <c r="I152" s="3506"/>
      <c r="J152" s="3511"/>
      <c r="K152" s="3542"/>
    </row>
    <row r="153" spans="1:21" ht="13.5" customHeight="1">
      <c r="A153" s="3513"/>
      <c r="B153" s="3514"/>
      <c r="C153" s="3514"/>
      <c r="D153" s="3514" t="s">
        <v>1027</v>
      </c>
      <c r="E153" s="3514"/>
      <c r="F153" s="3515">
        <v>7</v>
      </c>
      <c r="G153" s="89"/>
      <c r="H153" s="3516"/>
      <c r="I153" s="3506"/>
      <c r="J153" s="3579"/>
    </row>
    <row r="154" spans="1:21" ht="13.5" customHeight="1">
      <c r="A154" s="3518"/>
      <c r="B154" s="3514"/>
      <c r="C154" s="3514"/>
      <c r="D154" s="3514" t="s">
        <v>1058</v>
      </c>
      <c r="E154" s="3514"/>
      <c r="F154" s="3515">
        <v>15</v>
      </c>
      <c r="G154" s="89"/>
      <c r="H154" s="3516"/>
      <c r="I154" s="3506"/>
      <c r="J154" s="3577"/>
    </row>
    <row r="155" spans="1:21" ht="13.5" customHeight="1">
      <c r="A155" s="3513"/>
      <c r="B155" s="3514"/>
      <c r="C155" s="3514"/>
      <c r="D155" s="3514" t="s">
        <v>1190</v>
      </c>
      <c r="E155" s="3514"/>
      <c r="F155" s="3515"/>
      <c r="G155" s="89"/>
      <c r="H155" s="3516"/>
      <c r="I155" s="3506"/>
      <c r="U155" s="3134"/>
    </row>
    <row r="156" spans="1:21" ht="27" customHeight="1">
      <c r="A156" s="3381" t="s">
        <v>1250</v>
      </c>
      <c r="B156" s="3507">
        <v>790</v>
      </c>
      <c r="C156" s="3507" t="s">
        <v>1251</v>
      </c>
      <c r="D156" s="3507" t="s">
        <v>1252</v>
      </c>
      <c r="E156" s="3507" t="s">
        <v>205</v>
      </c>
      <c r="F156" s="3508">
        <f>ROUND(SUM(F158:F159),3)</f>
        <v>22</v>
      </c>
      <c r="G156" s="6"/>
      <c r="H156" s="2227">
        <f t="shared" ref="H156" si="34">ROUND(F156*G156,2)</f>
        <v>0</v>
      </c>
      <c r="I156" s="3510" t="s">
        <v>112</v>
      </c>
      <c r="J156" s="3571"/>
      <c r="K156" s="3578"/>
    </row>
    <row r="157" spans="1:21" ht="27" customHeight="1">
      <c r="A157" s="3513"/>
      <c r="B157" s="3514"/>
      <c r="C157" s="3514"/>
      <c r="D157" s="3530" t="s">
        <v>1253</v>
      </c>
      <c r="E157" s="3514"/>
      <c r="F157" s="3515"/>
      <c r="G157" s="89"/>
      <c r="H157" s="3516"/>
      <c r="I157" s="3506"/>
      <c r="K157" s="71"/>
      <c r="M157" s="90"/>
    </row>
    <row r="158" spans="1:21" ht="13.5" customHeight="1">
      <c r="A158" s="3513"/>
      <c r="B158" s="3514"/>
      <c r="C158" s="3514"/>
      <c r="D158" s="3514" t="s">
        <v>1027</v>
      </c>
      <c r="E158" s="3514"/>
      <c r="F158" s="3515">
        <v>7</v>
      </c>
      <c r="G158" s="89"/>
      <c r="H158" s="3516"/>
      <c r="I158" s="3506"/>
      <c r="K158" s="1204"/>
      <c r="M158" s="90"/>
    </row>
    <row r="159" spans="1:21" ht="13.5" customHeight="1">
      <c r="A159" s="3518"/>
      <c r="B159" s="3514"/>
      <c r="C159" s="3514"/>
      <c r="D159" s="3514" t="s">
        <v>1058</v>
      </c>
      <c r="E159" s="3514"/>
      <c r="F159" s="3515">
        <v>15</v>
      </c>
      <c r="G159" s="89"/>
      <c r="H159" s="3516"/>
      <c r="I159" s="3506"/>
      <c r="J159" s="3577"/>
    </row>
    <row r="160" spans="1:21" ht="27" customHeight="1">
      <c r="A160" s="3381" t="s">
        <v>1254</v>
      </c>
      <c r="B160" s="3507">
        <v>790</v>
      </c>
      <c r="C160" s="3507" t="s">
        <v>1255</v>
      </c>
      <c r="D160" s="3507" t="s">
        <v>1256</v>
      </c>
      <c r="E160" s="3507" t="s">
        <v>205</v>
      </c>
      <c r="F160" s="3508">
        <f>ROUND(SUM(F162:F163),3)</f>
        <v>11</v>
      </c>
      <c r="G160" s="6"/>
      <c r="H160" s="2227">
        <f t="shared" ref="H160" si="35">ROUND(F160*G160,2)</f>
        <v>0</v>
      </c>
      <c r="I160" s="3510" t="s">
        <v>112</v>
      </c>
      <c r="J160" s="3511"/>
      <c r="K160" s="3554"/>
    </row>
    <row r="161" spans="1:21" ht="27" customHeight="1">
      <c r="A161" s="3513"/>
      <c r="B161" s="3514"/>
      <c r="C161" s="3514"/>
      <c r="D161" s="3514" t="s">
        <v>1257</v>
      </c>
      <c r="E161" s="3514"/>
      <c r="F161" s="3515"/>
      <c r="G161" s="89"/>
      <c r="H161" s="3516"/>
      <c r="I161" s="3506"/>
      <c r="J161" s="3577"/>
      <c r="K161" s="3542"/>
    </row>
    <row r="162" spans="1:21" ht="13.5" customHeight="1">
      <c r="A162" s="3513"/>
      <c r="B162" s="3514"/>
      <c r="C162" s="3514"/>
      <c r="D162" s="3514" t="s">
        <v>1027</v>
      </c>
      <c r="E162" s="3514"/>
      <c r="F162" s="3515">
        <v>5</v>
      </c>
      <c r="G162" s="89"/>
      <c r="H162" s="3516"/>
      <c r="I162" s="3506"/>
      <c r="J162" s="3579"/>
    </row>
    <row r="163" spans="1:21" ht="13.5" customHeight="1">
      <c r="A163" s="3518"/>
      <c r="B163" s="3514"/>
      <c r="C163" s="3514"/>
      <c r="D163" s="3514" t="s">
        <v>1058</v>
      </c>
      <c r="E163" s="3514"/>
      <c r="F163" s="3515">
        <v>6</v>
      </c>
      <c r="G163" s="89"/>
      <c r="H163" s="3516"/>
      <c r="I163" s="3506"/>
      <c r="J163" s="3577"/>
    </row>
    <row r="164" spans="1:21" ht="13.5" customHeight="1">
      <c r="A164" s="3513"/>
      <c r="B164" s="3514"/>
      <c r="C164" s="3514"/>
      <c r="D164" s="3514" t="s">
        <v>1190</v>
      </c>
      <c r="E164" s="3514"/>
      <c r="F164" s="3515"/>
      <c r="G164" s="89"/>
      <c r="H164" s="3516"/>
      <c r="I164" s="3506"/>
      <c r="U164" s="3134"/>
    </row>
    <row r="165" spans="1:21" ht="27" customHeight="1">
      <c r="A165" s="3381" t="s">
        <v>1258</v>
      </c>
      <c r="B165" s="3507">
        <v>790</v>
      </c>
      <c r="C165" s="3507" t="s">
        <v>1259</v>
      </c>
      <c r="D165" s="3507" t="s">
        <v>1260</v>
      </c>
      <c r="E165" s="3507" t="s">
        <v>205</v>
      </c>
      <c r="F165" s="3508">
        <f>ROUND(SUM(F167:F168),3)</f>
        <v>8</v>
      </c>
      <c r="G165" s="6"/>
      <c r="H165" s="2227">
        <f t="shared" ref="H165" si="36">ROUND(F165*G165,2)</f>
        <v>0</v>
      </c>
      <c r="I165" s="3510" t="s">
        <v>112</v>
      </c>
      <c r="J165" s="3571"/>
      <c r="K165" s="3578"/>
    </row>
    <row r="166" spans="1:21" ht="27" customHeight="1">
      <c r="A166" s="3513"/>
      <c r="B166" s="3514"/>
      <c r="C166" s="3514"/>
      <c r="D166" s="3530" t="s">
        <v>1261</v>
      </c>
      <c r="E166" s="3514"/>
      <c r="F166" s="3515"/>
      <c r="G166" s="89"/>
      <c r="H166" s="3516"/>
      <c r="I166" s="3506"/>
      <c r="J166" s="3511"/>
      <c r="K166" s="71"/>
      <c r="M166" s="90"/>
    </row>
    <row r="167" spans="1:21" ht="13.5" customHeight="1">
      <c r="A167" s="3513"/>
      <c r="B167" s="3514"/>
      <c r="C167" s="3514"/>
      <c r="D167" s="3514" t="s">
        <v>1027</v>
      </c>
      <c r="E167" s="3514"/>
      <c r="F167" s="3515">
        <v>3</v>
      </c>
      <c r="G167" s="89"/>
      <c r="H167" s="3516"/>
      <c r="I167" s="3506"/>
      <c r="J167" s="3579"/>
      <c r="K167" s="1204"/>
      <c r="M167" s="90"/>
    </row>
    <row r="168" spans="1:21" ht="13.5" customHeight="1">
      <c r="A168" s="3518"/>
      <c r="B168" s="3514"/>
      <c r="C168" s="3514"/>
      <c r="D168" s="3514" t="s">
        <v>1058</v>
      </c>
      <c r="E168" s="3514"/>
      <c r="F168" s="3515">
        <v>5</v>
      </c>
      <c r="G168" s="89"/>
      <c r="H168" s="3516"/>
      <c r="I168" s="3506"/>
      <c r="J168" s="3577"/>
    </row>
    <row r="169" spans="1:21" ht="13.5" customHeight="1">
      <c r="A169" s="3513"/>
      <c r="B169" s="3514"/>
      <c r="C169" s="3514"/>
      <c r="D169" s="3514" t="s">
        <v>1190</v>
      </c>
      <c r="E169" s="3514"/>
      <c r="F169" s="3515"/>
      <c r="G169" s="89"/>
      <c r="H169" s="3516"/>
      <c r="I169" s="3506"/>
      <c r="U169" s="3134"/>
    </row>
    <row r="170" spans="1:21" ht="27" customHeight="1">
      <c r="A170" s="3381" t="s">
        <v>1262</v>
      </c>
      <c r="B170" s="3507">
        <v>790</v>
      </c>
      <c r="C170" s="3507" t="s">
        <v>1263</v>
      </c>
      <c r="D170" s="3507" t="s">
        <v>1264</v>
      </c>
      <c r="E170" s="3507" t="s">
        <v>205</v>
      </c>
      <c r="F170" s="3508">
        <f>ROUND(SUM(F172:F173),3)</f>
        <v>8</v>
      </c>
      <c r="G170" s="6"/>
      <c r="H170" s="2227">
        <f t="shared" ref="H170" si="37">ROUND(F170*G170,2)</f>
        <v>0</v>
      </c>
      <c r="I170" s="3510" t="s">
        <v>112</v>
      </c>
      <c r="J170" s="3571"/>
      <c r="K170" s="3578"/>
    </row>
    <row r="171" spans="1:21" ht="27" customHeight="1">
      <c r="A171" s="3513"/>
      <c r="B171" s="3514"/>
      <c r="C171" s="3514"/>
      <c r="D171" s="3530" t="s">
        <v>1265</v>
      </c>
      <c r="E171" s="3514"/>
      <c r="F171" s="3515"/>
      <c r="G171" s="89"/>
      <c r="H171" s="3516"/>
      <c r="I171" s="3506"/>
      <c r="K171" s="71"/>
      <c r="M171" s="90"/>
    </row>
    <row r="172" spans="1:21" ht="13.5" customHeight="1">
      <c r="A172" s="3513"/>
      <c r="B172" s="3514"/>
      <c r="C172" s="3514"/>
      <c r="D172" s="3514" t="s">
        <v>1027</v>
      </c>
      <c r="E172" s="3514"/>
      <c r="F172" s="3515">
        <v>4</v>
      </c>
      <c r="G172" s="89"/>
      <c r="H172" s="3516"/>
      <c r="I172" s="3506"/>
      <c r="K172" s="1204"/>
      <c r="M172" s="90"/>
    </row>
    <row r="173" spans="1:21" ht="13.5" customHeight="1">
      <c r="A173" s="3518"/>
      <c r="B173" s="3514"/>
      <c r="C173" s="3514"/>
      <c r="D173" s="3514" t="s">
        <v>1058</v>
      </c>
      <c r="E173" s="3514"/>
      <c r="F173" s="3515">
        <v>4</v>
      </c>
      <c r="G173" s="89"/>
      <c r="H173" s="3516"/>
      <c r="I173" s="3506"/>
      <c r="J173" s="3577"/>
    </row>
    <row r="174" spans="1:21" ht="27" customHeight="1">
      <c r="A174" s="3381" t="s">
        <v>1266</v>
      </c>
      <c r="B174" s="3507">
        <v>790</v>
      </c>
      <c r="C174" s="3507" t="s">
        <v>1267</v>
      </c>
      <c r="D174" s="3507" t="s">
        <v>1268</v>
      </c>
      <c r="E174" s="3507" t="s">
        <v>205</v>
      </c>
      <c r="F174" s="3508">
        <f>ROUND(SUM(F176:F177),3)</f>
        <v>11</v>
      </c>
      <c r="G174" s="6"/>
      <c r="H174" s="2227">
        <f t="shared" ref="H174" si="38">ROUND(F174*G174,2)</f>
        <v>0</v>
      </c>
      <c r="I174" s="3510" t="s">
        <v>112</v>
      </c>
      <c r="J174" s="3571"/>
      <c r="K174" s="3581"/>
    </row>
    <row r="175" spans="1:21" ht="27" customHeight="1">
      <c r="A175" s="3513"/>
      <c r="B175" s="3514"/>
      <c r="C175" s="3514"/>
      <c r="D175" s="3530" t="s">
        <v>1269</v>
      </c>
      <c r="E175" s="3514"/>
      <c r="F175" s="3515"/>
      <c r="G175" s="89"/>
      <c r="H175" s="3516"/>
      <c r="I175" s="3506"/>
      <c r="J175" s="3511"/>
      <c r="K175" s="71"/>
      <c r="M175" s="90"/>
    </row>
    <row r="176" spans="1:21" ht="13.5" customHeight="1">
      <c r="A176" s="3513"/>
      <c r="B176" s="3514"/>
      <c r="C176" s="3514"/>
      <c r="D176" s="3514" t="s">
        <v>1027</v>
      </c>
      <c r="E176" s="3514"/>
      <c r="F176" s="3515">
        <v>5</v>
      </c>
      <c r="G176" s="89"/>
      <c r="H176" s="3516"/>
      <c r="I176" s="3506"/>
      <c r="J176" s="3543"/>
      <c r="K176" s="1204"/>
      <c r="M176" s="90"/>
    </row>
    <row r="177" spans="1:21" ht="13.5" customHeight="1">
      <c r="A177" s="3518"/>
      <c r="B177" s="3514"/>
      <c r="C177" s="3514"/>
      <c r="D177" s="3514" t="s">
        <v>1058</v>
      </c>
      <c r="E177" s="3514"/>
      <c r="F177" s="3515">
        <v>6</v>
      </c>
      <c r="G177" s="89"/>
      <c r="H177" s="3516"/>
      <c r="I177" s="3506"/>
      <c r="J177" s="3577"/>
    </row>
    <row r="178" spans="1:21" ht="13.5" customHeight="1">
      <c r="A178" s="3513"/>
      <c r="B178" s="3514"/>
      <c r="C178" s="3514"/>
      <c r="D178" s="3514" t="s">
        <v>1190</v>
      </c>
      <c r="E178" s="3514"/>
      <c r="F178" s="3515"/>
      <c r="G178" s="89"/>
      <c r="H178" s="3516"/>
      <c r="I178" s="3506"/>
      <c r="J178" s="3511"/>
      <c r="K178" s="3582"/>
      <c r="L178" s="3533"/>
      <c r="M178" s="3533"/>
      <c r="N178" s="3533"/>
      <c r="O178" s="3533"/>
      <c r="P178" s="3533"/>
      <c r="U178" s="3134"/>
    </row>
    <row r="179" spans="1:21" ht="27" customHeight="1">
      <c r="A179" s="2408">
        <v>39</v>
      </c>
      <c r="B179" s="3507">
        <v>790</v>
      </c>
      <c r="C179" s="3507" t="s">
        <v>1270</v>
      </c>
      <c r="D179" s="3507" t="s">
        <v>1271</v>
      </c>
      <c r="E179" s="3507" t="s">
        <v>205</v>
      </c>
      <c r="F179" s="3508">
        <f>ROUND(SUM(F181:F182),3)</f>
        <v>3</v>
      </c>
      <c r="G179" s="6"/>
      <c r="H179" s="2227">
        <f t="shared" ref="H179" si="39">ROUND(F179*G179,2)</f>
        <v>0</v>
      </c>
      <c r="I179" s="3510" t="s">
        <v>112</v>
      </c>
      <c r="J179" s="3571"/>
      <c r="K179" s="3583"/>
    </row>
    <row r="180" spans="1:21" ht="13.5" customHeight="1">
      <c r="A180" s="2408"/>
      <c r="B180" s="3507"/>
      <c r="C180" s="3507"/>
      <c r="D180" s="3514" t="s">
        <v>1272</v>
      </c>
      <c r="E180" s="3507"/>
      <c r="F180" s="3531"/>
      <c r="G180" s="6"/>
      <c r="H180" s="3532"/>
      <c r="I180" s="3506"/>
      <c r="J180" s="3511"/>
      <c r="K180" s="90"/>
    </row>
    <row r="181" spans="1:21" ht="13.5" customHeight="1">
      <c r="A181" s="3513"/>
      <c r="B181" s="3514"/>
      <c r="C181" s="3514"/>
      <c r="D181" s="3514" t="s">
        <v>1027</v>
      </c>
      <c r="E181" s="3514"/>
      <c r="F181" s="3515">
        <v>1</v>
      </c>
      <c r="G181" s="89"/>
      <c r="H181" s="3516"/>
      <c r="I181" s="3506"/>
      <c r="J181" s="3543"/>
      <c r="K181" s="1204"/>
      <c r="M181" s="90"/>
    </row>
    <row r="182" spans="1:21" ht="13.5" customHeight="1">
      <c r="A182" s="3501"/>
      <c r="B182" s="3502"/>
      <c r="C182" s="3502"/>
      <c r="D182" s="3514" t="s">
        <v>1058</v>
      </c>
      <c r="E182" s="3514"/>
      <c r="F182" s="3515">
        <v>2</v>
      </c>
      <c r="G182" s="81"/>
      <c r="H182" s="3505"/>
      <c r="I182" s="3519"/>
      <c r="J182" s="3543"/>
    </row>
    <row r="183" spans="1:21" ht="13.5" customHeight="1">
      <c r="A183" s="3513"/>
      <c r="B183" s="3514"/>
      <c r="C183" s="3514"/>
      <c r="D183" s="3514" t="s">
        <v>1190</v>
      </c>
      <c r="E183" s="3514"/>
      <c r="F183" s="3515"/>
      <c r="G183" s="89"/>
      <c r="H183" s="3516"/>
      <c r="I183" s="3506"/>
      <c r="J183" s="3511"/>
      <c r="K183" s="3582"/>
      <c r="L183" s="3533"/>
      <c r="M183" s="3533"/>
      <c r="N183" s="3533"/>
      <c r="O183" s="3533"/>
      <c r="P183" s="3533"/>
      <c r="U183" s="3134"/>
    </row>
    <row r="184" spans="1:21" ht="27" customHeight="1">
      <c r="A184" s="3381" t="s">
        <v>1273</v>
      </c>
      <c r="B184" s="3507">
        <v>790</v>
      </c>
      <c r="C184" s="3507" t="s">
        <v>1274</v>
      </c>
      <c r="D184" s="3507" t="s">
        <v>1275</v>
      </c>
      <c r="E184" s="3507" t="s">
        <v>205</v>
      </c>
      <c r="F184" s="3508">
        <f>ROUND(SUM(F186),3)</f>
        <v>1</v>
      </c>
      <c r="G184" s="6"/>
      <c r="H184" s="2227">
        <f t="shared" ref="H184" si="40">ROUND(F184*G184,2)</f>
        <v>0</v>
      </c>
      <c r="I184" s="3510" t="s">
        <v>112</v>
      </c>
      <c r="J184" s="3511"/>
      <c r="K184" s="3554"/>
      <c r="M184" s="3533"/>
    </row>
    <row r="185" spans="1:21" ht="13.5" customHeight="1">
      <c r="A185" s="3513"/>
      <c r="B185" s="3514"/>
      <c r="C185" s="3514"/>
      <c r="D185" s="3514" t="s">
        <v>1276</v>
      </c>
      <c r="E185" s="3514"/>
      <c r="F185" s="3515"/>
      <c r="G185" s="89"/>
      <c r="H185" s="3516"/>
      <c r="I185" s="3584"/>
      <c r="J185" s="3577"/>
      <c r="K185" s="71"/>
      <c r="P185" s="3585"/>
    </row>
    <row r="186" spans="1:21" ht="13.5" customHeight="1">
      <c r="A186" s="3513"/>
      <c r="B186" s="3514"/>
      <c r="C186" s="3514"/>
      <c r="D186" s="3514" t="s">
        <v>1027</v>
      </c>
      <c r="E186" s="3514"/>
      <c r="F186" s="3515">
        <v>1</v>
      </c>
      <c r="G186" s="89"/>
      <c r="H186" s="3516"/>
      <c r="I186" s="3584"/>
      <c r="J186" s="3577"/>
    </row>
    <row r="187" spans="1:21" ht="13.5" customHeight="1">
      <c r="A187" s="3513"/>
      <c r="B187" s="3514"/>
      <c r="C187" s="3514"/>
      <c r="D187" s="3514" t="s">
        <v>1190</v>
      </c>
      <c r="E187" s="3514"/>
      <c r="F187" s="3515"/>
      <c r="G187" s="89"/>
      <c r="H187" s="3516"/>
      <c r="I187" s="3519"/>
      <c r="J187" s="3579"/>
      <c r="K187" s="3586"/>
      <c r="M187" s="90"/>
    </row>
    <row r="188" spans="1:21" ht="27" customHeight="1">
      <c r="A188" s="3381" t="s">
        <v>1277</v>
      </c>
      <c r="B188" s="3507">
        <v>790</v>
      </c>
      <c r="C188" s="3507" t="s">
        <v>1278</v>
      </c>
      <c r="D188" s="3507" t="s">
        <v>1279</v>
      </c>
      <c r="E188" s="3507" t="s">
        <v>205</v>
      </c>
      <c r="F188" s="3508">
        <f>ROUND(SUM(F190),3)</f>
        <v>1</v>
      </c>
      <c r="G188" s="6"/>
      <c r="H188" s="2227">
        <f t="shared" ref="H188" si="41">ROUND(F188*G188,2)</f>
        <v>0</v>
      </c>
      <c r="I188" s="3510" t="s">
        <v>112</v>
      </c>
      <c r="J188" s="3511"/>
      <c r="K188" s="3554"/>
      <c r="M188" s="3533"/>
    </row>
    <row r="189" spans="1:21" ht="13.5" customHeight="1">
      <c r="A189" s="3513"/>
      <c r="B189" s="3514"/>
      <c r="C189" s="3514"/>
      <c r="D189" s="3514" t="s">
        <v>1280</v>
      </c>
      <c r="E189" s="3514"/>
      <c r="F189" s="3515"/>
      <c r="G189" s="89"/>
      <c r="H189" s="3516"/>
      <c r="I189" s="3584"/>
      <c r="J189" s="3577"/>
      <c r="K189" s="71"/>
      <c r="P189" s="3585"/>
    </row>
    <row r="190" spans="1:21" ht="13.5" customHeight="1">
      <c r="A190" s="3513"/>
      <c r="B190" s="3514"/>
      <c r="C190" s="3514"/>
      <c r="D190" s="3514" t="s">
        <v>1027</v>
      </c>
      <c r="E190" s="3514"/>
      <c r="F190" s="3515">
        <v>1</v>
      </c>
      <c r="G190" s="89"/>
      <c r="H190" s="3516"/>
      <c r="I190" s="3584"/>
      <c r="J190" s="3577"/>
    </row>
    <row r="191" spans="1:21" ht="13.5" customHeight="1">
      <c r="A191" s="3513"/>
      <c r="B191" s="3514"/>
      <c r="C191" s="3514"/>
      <c r="D191" s="3514" t="s">
        <v>1190</v>
      </c>
      <c r="E191" s="3514"/>
      <c r="F191" s="3515"/>
      <c r="G191" s="89"/>
      <c r="H191" s="3516"/>
      <c r="I191" s="3519"/>
      <c r="J191" s="3579"/>
      <c r="K191" s="3586"/>
      <c r="M191" s="90"/>
    </row>
    <row r="192" spans="1:21" ht="27" customHeight="1">
      <c r="A192" s="3381" t="s">
        <v>1281</v>
      </c>
      <c r="B192" s="3507">
        <v>790</v>
      </c>
      <c r="C192" s="3507" t="s">
        <v>1282</v>
      </c>
      <c r="D192" s="3507" t="s">
        <v>1283</v>
      </c>
      <c r="E192" s="3507" t="s">
        <v>205</v>
      </c>
      <c r="F192" s="3508">
        <f>ROUND(SUM(F194),3)</f>
        <v>1</v>
      </c>
      <c r="G192" s="6"/>
      <c r="H192" s="2227">
        <f t="shared" ref="H192" si="42">ROUND(F192*G192,2)</f>
        <v>0</v>
      </c>
      <c r="I192" s="3510" t="s">
        <v>112</v>
      </c>
      <c r="J192" s="3511"/>
      <c r="K192" s="3554"/>
      <c r="M192" s="3533"/>
    </row>
    <row r="193" spans="1:21" ht="13.5" customHeight="1">
      <c r="A193" s="3513"/>
      <c r="B193" s="3514"/>
      <c r="C193" s="3514"/>
      <c r="D193" s="3514" t="s">
        <v>1284</v>
      </c>
      <c r="E193" s="3514"/>
      <c r="F193" s="3515"/>
      <c r="G193" s="89"/>
      <c r="H193" s="3516"/>
      <c r="I193" s="3584"/>
      <c r="J193" s="3577"/>
      <c r="K193" s="71"/>
      <c r="P193" s="3585"/>
    </row>
    <row r="194" spans="1:21" ht="13.5" customHeight="1">
      <c r="A194" s="3513"/>
      <c r="B194" s="3514"/>
      <c r="C194" s="3514"/>
      <c r="D194" s="3514" t="s">
        <v>1027</v>
      </c>
      <c r="E194" s="3514"/>
      <c r="F194" s="3515">
        <v>1</v>
      </c>
      <c r="G194" s="89"/>
      <c r="H194" s="3516"/>
      <c r="I194" s="3584"/>
      <c r="J194" s="3577"/>
    </row>
    <row r="195" spans="1:21" ht="13.5" customHeight="1">
      <c r="A195" s="3513"/>
      <c r="B195" s="3514"/>
      <c r="C195" s="3514"/>
      <c r="D195" s="3514" t="s">
        <v>1190</v>
      </c>
      <c r="E195" s="3514"/>
      <c r="F195" s="3515"/>
      <c r="G195" s="89"/>
      <c r="H195" s="3516"/>
      <c r="I195" s="3519"/>
      <c r="J195" s="3579"/>
      <c r="K195" s="3586"/>
      <c r="M195" s="90"/>
    </row>
    <row r="196" spans="1:21" ht="27" customHeight="1">
      <c r="A196" s="2408">
        <v>43</v>
      </c>
      <c r="B196" s="3507">
        <v>790</v>
      </c>
      <c r="C196" s="3507" t="s">
        <v>1285</v>
      </c>
      <c r="D196" s="3507" t="s">
        <v>1286</v>
      </c>
      <c r="E196" s="3507" t="s">
        <v>205</v>
      </c>
      <c r="F196" s="3508">
        <f>ROUND(SUM(F198:F199),3)</f>
        <v>13</v>
      </c>
      <c r="G196" s="6"/>
      <c r="H196" s="2227">
        <f t="shared" ref="H196" si="43">ROUND(F196*G196,2)</f>
        <v>0</v>
      </c>
      <c r="I196" s="3510" t="s">
        <v>112</v>
      </c>
      <c r="J196" s="3571"/>
      <c r="K196" s="71"/>
    </row>
    <row r="197" spans="1:21" ht="13.5" customHeight="1">
      <c r="A197" s="3518"/>
      <c r="B197" s="3514"/>
      <c r="C197" s="3514"/>
      <c r="D197" s="3514" t="s">
        <v>1287</v>
      </c>
      <c r="E197" s="3514"/>
      <c r="F197" s="3515"/>
      <c r="G197" s="89"/>
      <c r="H197" s="3516"/>
      <c r="I197" s="3584"/>
      <c r="J197" s="3511"/>
      <c r="O197" s="3585"/>
    </row>
    <row r="198" spans="1:21" ht="13.5" customHeight="1">
      <c r="A198" s="3518"/>
      <c r="B198" s="3514"/>
      <c r="C198" s="3514"/>
      <c r="D198" s="3514" t="s">
        <v>1027</v>
      </c>
      <c r="E198" s="3514"/>
      <c r="F198" s="3515">
        <v>6</v>
      </c>
      <c r="G198" s="89"/>
      <c r="H198" s="3516"/>
      <c r="I198" s="3584"/>
      <c r="J198" s="3543"/>
    </row>
    <row r="199" spans="1:21" ht="13.5" customHeight="1">
      <c r="A199" s="3518"/>
      <c r="B199" s="3514"/>
      <c r="C199" s="3514"/>
      <c r="D199" s="3514" t="s">
        <v>1058</v>
      </c>
      <c r="E199" s="3514"/>
      <c r="F199" s="3515">
        <v>7</v>
      </c>
      <c r="G199" s="89"/>
      <c r="H199" s="3516"/>
      <c r="I199" s="3584"/>
      <c r="J199" s="3543"/>
    </row>
    <row r="200" spans="1:21" ht="13.5" customHeight="1">
      <c r="A200" s="3518"/>
      <c r="B200" s="3514"/>
      <c r="C200" s="3514"/>
      <c r="D200" s="3514" t="s">
        <v>1190</v>
      </c>
      <c r="E200" s="3514"/>
      <c r="F200" s="3515"/>
      <c r="G200" s="89"/>
      <c r="H200" s="3516"/>
      <c r="I200" s="3584"/>
      <c r="J200" s="3543"/>
    </row>
    <row r="201" spans="1:21" ht="27" customHeight="1">
      <c r="A201" s="2408">
        <v>44</v>
      </c>
      <c r="B201" s="3507">
        <v>790</v>
      </c>
      <c r="C201" s="3507" t="s">
        <v>1285</v>
      </c>
      <c r="D201" s="3507" t="s">
        <v>1288</v>
      </c>
      <c r="E201" s="3507" t="s">
        <v>205</v>
      </c>
      <c r="F201" s="3508">
        <f>ROUND(SUM(F203:F203),3)</f>
        <v>1</v>
      </c>
      <c r="G201" s="6"/>
      <c r="H201" s="2227">
        <f t="shared" ref="H201" si="44">ROUND(F201*G201,2)</f>
        <v>0</v>
      </c>
      <c r="I201" s="3510" t="s">
        <v>112</v>
      </c>
      <c r="J201" s="3587"/>
      <c r="K201" s="71"/>
    </row>
    <row r="202" spans="1:21" ht="13.5" customHeight="1">
      <c r="A202" s="3518"/>
      <c r="B202" s="3514"/>
      <c r="C202" s="3514"/>
      <c r="D202" s="3514" t="s">
        <v>1289</v>
      </c>
      <c r="E202" s="3514"/>
      <c r="F202" s="3515"/>
      <c r="G202" s="89"/>
      <c r="H202" s="3516"/>
      <c r="I202" s="3584"/>
      <c r="J202" s="3511"/>
      <c r="O202" s="3585"/>
    </row>
    <row r="203" spans="1:21" ht="13.5" customHeight="1">
      <c r="A203" s="3518"/>
      <c r="B203" s="3514"/>
      <c r="C203" s="3514"/>
      <c r="D203" s="3514" t="s">
        <v>1027</v>
      </c>
      <c r="E203" s="3514"/>
      <c r="F203" s="3515">
        <v>1</v>
      </c>
      <c r="G203" s="89"/>
      <c r="H203" s="3516"/>
      <c r="I203" s="3584"/>
      <c r="J203" s="3543"/>
    </row>
    <row r="204" spans="1:21" ht="13.5" customHeight="1">
      <c r="A204" s="3518"/>
      <c r="B204" s="3514"/>
      <c r="C204" s="3514"/>
      <c r="D204" s="3514" t="s">
        <v>1190</v>
      </c>
      <c r="E204" s="3514"/>
      <c r="F204" s="3515"/>
      <c r="G204" s="89"/>
      <c r="H204" s="3516"/>
      <c r="I204" s="3584"/>
      <c r="J204" s="3543"/>
    </row>
    <row r="205" spans="1:21" ht="27" customHeight="1">
      <c r="A205" s="3381" t="s">
        <v>1290</v>
      </c>
      <c r="B205" s="3507">
        <v>790</v>
      </c>
      <c r="C205" s="3507" t="s">
        <v>1291</v>
      </c>
      <c r="D205" s="3507" t="s">
        <v>1292</v>
      </c>
      <c r="E205" s="3507" t="s">
        <v>205</v>
      </c>
      <c r="F205" s="3508">
        <f>ROUND(SUM(F207),3)</f>
        <v>1</v>
      </c>
      <c r="G205" s="6"/>
      <c r="H205" s="2227">
        <f t="shared" ref="H205" si="45">ROUND(F205*G205,2)</f>
        <v>0</v>
      </c>
      <c r="I205" s="3510" t="s">
        <v>112</v>
      </c>
      <c r="J205" s="3571"/>
      <c r="K205" s="3581"/>
    </row>
    <row r="206" spans="1:21" ht="27" customHeight="1">
      <c r="A206" s="3513"/>
      <c r="B206" s="3514"/>
      <c r="C206" s="3514"/>
      <c r="D206" s="3530" t="s">
        <v>1293</v>
      </c>
      <c r="E206" s="3514"/>
      <c r="F206" s="3515"/>
      <c r="G206" s="89"/>
      <c r="H206" s="3516"/>
      <c r="I206" s="3506"/>
      <c r="J206" s="3511"/>
      <c r="K206" s="71"/>
      <c r="M206" s="90"/>
    </row>
    <row r="207" spans="1:21" ht="13.5" customHeight="1">
      <c r="A207" s="3517"/>
      <c r="B207" s="3507"/>
      <c r="C207" s="3507"/>
      <c r="D207" s="3514" t="s">
        <v>1027</v>
      </c>
      <c r="E207" s="3514"/>
      <c r="F207" s="3515">
        <v>1</v>
      </c>
      <c r="G207" s="81"/>
      <c r="H207" s="3505"/>
      <c r="I207" s="3506"/>
      <c r="J207" s="3543"/>
      <c r="K207" s="3500"/>
      <c r="M207" s="3547"/>
    </row>
    <row r="208" spans="1:21" ht="13.5" customHeight="1">
      <c r="A208" s="3513"/>
      <c r="B208" s="3514"/>
      <c r="C208" s="3514"/>
      <c r="D208" s="3514" t="s">
        <v>1190</v>
      </c>
      <c r="E208" s="3514"/>
      <c r="F208" s="3515"/>
      <c r="G208" s="89"/>
      <c r="H208" s="3516"/>
      <c r="I208" s="3506"/>
      <c r="J208" s="3543"/>
      <c r="U208" s="3134"/>
    </row>
    <row r="209" spans="1:21" ht="27" customHeight="1">
      <c r="A209" s="3381" t="s">
        <v>1294</v>
      </c>
      <c r="B209" s="3507">
        <v>790</v>
      </c>
      <c r="C209" s="3507" t="s">
        <v>1295</v>
      </c>
      <c r="D209" s="3507" t="s">
        <v>1296</v>
      </c>
      <c r="E209" s="3507" t="s">
        <v>205</v>
      </c>
      <c r="F209" s="3508">
        <f>ROUND(SUM(F211:F212),3)</f>
        <v>2</v>
      </c>
      <c r="G209" s="6"/>
      <c r="H209" s="2227">
        <f t="shared" ref="H209" si="46">ROUND(F209*G209,2)</f>
        <v>0</v>
      </c>
      <c r="I209" s="3510" t="s">
        <v>112</v>
      </c>
      <c r="J209" s="3571"/>
      <c r="K209" s="3581"/>
    </row>
    <row r="210" spans="1:21" ht="27" customHeight="1">
      <c r="A210" s="3513"/>
      <c r="B210" s="3514"/>
      <c r="C210" s="3514"/>
      <c r="D210" s="3530" t="s">
        <v>1297</v>
      </c>
      <c r="E210" s="3514"/>
      <c r="F210" s="3515"/>
      <c r="G210" s="89"/>
      <c r="H210" s="3516"/>
      <c r="I210" s="3506"/>
      <c r="J210" s="3511"/>
      <c r="K210" s="71"/>
      <c r="M210" s="90"/>
    </row>
    <row r="211" spans="1:21" ht="13.5" customHeight="1">
      <c r="A211" s="3513"/>
      <c r="B211" s="3514"/>
      <c r="C211" s="3514"/>
      <c r="D211" s="3514" t="s">
        <v>1027</v>
      </c>
      <c r="E211" s="3514"/>
      <c r="F211" s="3515">
        <v>1</v>
      </c>
      <c r="G211" s="89"/>
      <c r="H211" s="3516"/>
      <c r="I211" s="3506"/>
      <c r="J211" s="3543"/>
      <c r="K211" s="1204"/>
      <c r="M211" s="90"/>
    </row>
    <row r="212" spans="1:21" ht="13.5" customHeight="1">
      <c r="A212" s="3517"/>
      <c r="B212" s="3507"/>
      <c r="C212" s="3507"/>
      <c r="D212" s="3514" t="s">
        <v>1058</v>
      </c>
      <c r="E212" s="3514"/>
      <c r="F212" s="3515">
        <v>1</v>
      </c>
      <c r="G212" s="81"/>
      <c r="H212" s="3505"/>
      <c r="I212" s="3506"/>
      <c r="J212" s="3543"/>
      <c r="K212" s="3500"/>
      <c r="M212" s="3547"/>
    </row>
    <row r="213" spans="1:21" ht="13.5" customHeight="1">
      <c r="A213" s="3513"/>
      <c r="B213" s="3514"/>
      <c r="C213" s="3514"/>
      <c r="D213" s="3514" t="s">
        <v>1190</v>
      </c>
      <c r="E213" s="3514"/>
      <c r="F213" s="3515"/>
      <c r="G213" s="89"/>
      <c r="H213" s="3516"/>
      <c r="I213" s="3506"/>
      <c r="U213" s="3134"/>
    </row>
    <row r="214" spans="1:21" ht="27" customHeight="1">
      <c r="A214" s="3381" t="s">
        <v>1298</v>
      </c>
      <c r="B214" s="3507">
        <v>790</v>
      </c>
      <c r="C214" s="3507" t="s">
        <v>1299</v>
      </c>
      <c r="D214" s="3507" t="s">
        <v>1300</v>
      </c>
      <c r="E214" s="3507" t="s">
        <v>205</v>
      </c>
      <c r="F214" s="3508">
        <f>ROUND(SUM(F216:F217),3)</f>
        <v>2</v>
      </c>
      <c r="G214" s="6"/>
      <c r="H214" s="2227">
        <f t="shared" ref="H214" si="47">ROUND(F214*G214,2)</f>
        <v>0</v>
      </c>
      <c r="I214" s="3510" t="s">
        <v>112</v>
      </c>
      <c r="J214" s="3571"/>
      <c r="K214" s="3583"/>
    </row>
    <row r="215" spans="1:21" ht="40.5" customHeight="1">
      <c r="A215" s="3513"/>
      <c r="B215" s="3514"/>
      <c r="C215" s="3514"/>
      <c r="D215" s="3514" t="s">
        <v>1301</v>
      </c>
      <c r="E215" s="3514"/>
      <c r="F215" s="3515"/>
      <c r="G215" s="89"/>
      <c r="H215" s="3516"/>
      <c r="I215" s="3506"/>
      <c r="J215" s="3511"/>
    </row>
    <row r="216" spans="1:21" ht="13.5" customHeight="1">
      <c r="A216" s="3517"/>
      <c r="B216" s="3507"/>
      <c r="C216" s="3507"/>
      <c r="D216" s="3514" t="s">
        <v>1027</v>
      </c>
      <c r="E216" s="3514"/>
      <c r="F216" s="3515">
        <v>1</v>
      </c>
      <c r="G216" s="81"/>
      <c r="H216" s="3505"/>
      <c r="I216" s="3506"/>
      <c r="J216" s="3543"/>
    </row>
    <row r="217" spans="1:21" ht="13.5" customHeight="1">
      <c r="A217" s="3513"/>
      <c r="B217" s="3514"/>
      <c r="C217" s="3514"/>
      <c r="D217" s="3514" t="s">
        <v>1058</v>
      </c>
      <c r="E217" s="3514"/>
      <c r="F217" s="3515">
        <v>1</v>
      </c>
      <c r="G217" s="89"/>
      <c r="H217" s="3516"/>
      <c r="I217" s="3506"/>
      <c r="J217" s="3543"/>
      <c r="T217" s="3134"/>
    </row>
    <row r="218" spans="1:21" ht="13.5" customHeight="1">
      <c r="A218" s="3513"/>
      <c r="B218" s="3514"/>
      <c r="C218" s="3514"/>
      <c r="D218" s="3514" t="s">
        <v>1190</v>
      </c>
      <c r="E218" s="3514"/>
      <c r="F218" s="3515"/>
      <c r="G218" s="89"/>
      <c r="H218" s="3516"/>
      <c r="I218" s="3506"/>
      <c r="J218" s="3511"/>
      <c r="K218" s="3582"/>
      <c r="L218" s="3533"/>
      <c r="M218" s="3533"/>
      <c r="N218" s="3533"/>
      <c r="O218" s="3533"/>
      <c r="P218" s="3533"/>
      <c r="U218" s="3134"/>
    </row>
    <row r="219" spans="1:21" ht="27" customHeight="1">
      <c r="A219" s="3381" t="s">
        <v>1302</v>
      </c>
      <c r="B219" s="3507">
        <v>790</v>
      </c>
      <c r="C219" s="3507" t="s">
        <v>1303</v>
      </c>
      <c r="D219" s="3507" t="s">
        <v>1304</v>
      </c>
      <c r="E219" s="3507" t="s">
        <v>205</v>
      </c>
      <c r="F219" s="3508">
        <f>ROUND(SUM(F221:F222),3)</f>
        <v>2</v>
      </c>
      <c r="G219" s="6"/>
      <c r="H219" s="2227">
        <f t="shared" ref="H219" si="48">ROUND(F219*G219,2)</f>
        <v>0</v>
      </c>
      <c r="I219" s="3510" t="s">
        <v>112</v>
      </c>
      <c r="J219" s="3571"/>
      <c r="K219" s="3581"/>
    </row>
    <row r="220" spans="1:21" ht="13.5" customHeight="1">
      <c r="A220" s="3588"/>
      <c r="B220" s="3502"/>
      <c r="C220" s="3502"/>
      <c r="D220" s="3514" t="s">
        <v>1305</v>
      </c>
      <c r="E220" s="3514"/>
      <c r="F220" s="3515"/>
      <c r="G220" s="81"/>
      <c r="H220" s="3505"/>
      <c r="I220" s="3506"/>
      <c r="J220" s="3511"/>
      <c r="K220" s="71"/>
      <c r="N220" s="3589"/>
    </row>
    <row r="221" spans="1:21" ht="13.5" customHeight="1">
      <c r="A221" s="3588"/>
      <c r="B221" s="3502"/>
      <c r="C221" s="3502"/>
      <c r="D221" s="3514" t="s">
        <v>1027</v>
      </c>
      <c r="E221" s="3514"/>
      <c r="F221" s="3515">
        <v>1</v>
      </c>
      <c r="G221" s="81"/>
      <c r="H221" s="3505"/>
      <c r="I221" s="3506"/>
      <c r="J221" s="3511"/>
      <c r="K221" s="71"/>
      <c r="N221" s="3589"/>
    </row>
    <row r="222" spans="1:21" ht="13.5" customHeight="1">
      <c r="A222" s="3513"/>
      <c r="B222" s="3514"/>
      <c r="C222" s="3514"/>
      <c r="D222" s="3514" t="s">
        <v>1058</v>
      </c>
      <c r="E222" s="3514"/>
      <c r="F222" s="3515">
        <v>1</v>
      </c>
      <c r="G222" s="89"/>
      <c r="H222" s="3516"/>
      <c r="I222" s="3510"/>
      <c r="J222" s="3543"/>
      <c r="K222" s="71"/>
    </row>
    <row r="223" spans="1:21" ht="13.5" customHeight="1">
      <c r="A223" s="3513"/>
      <c r="B223" s="3514"/>
      <c r="C223" s="3514"/>
      <c r="D223" s="3514" t="s">
        <v>1306</v>
      </c>
      <c r="E223" s="3514"/>
      <c r="F223" s="3515"/>
      <c r="G223" s="89"/>
      <c r="H223" s="3516"/>
      <c r="I223" s="3510"/>
      <c r="J223" s="3543"/>
      <c r="K223" s="71"/>
    </row>
    <row r="224" spans="1:21" ht="13.5" customHeight="1">
      <c r="A224" s="3517" t="s">
        <v>1307</v>
      </c>
      <c r="B224" s="3539" t="s">
        <v>836</v>
      </c>
      <c r="C224" s="3507" t="s">
        <v>1308</v>
      </c>
      <c r="D224" s="3507" t="s">
        <v>1309</v>
      </c>
      <c r="E224" s="3507" t="s">
        <v>10</v>
      </c>
      <c r="F224" s="3540">
        <v>1.1000000000000001</v>
      </c>
      <c r="G224" s="6"/>
      <c r="H224" s="2227">
        <f t="shared" ref="H224:H225" si="49">ROUND(F224*G224,2)</f>
        <v>0</v>
      </c>
      <c r="I224" s="3510" t="s">
        <v>112</v>
      </c>
      <c r="J224" s="3590"/>
      <c r="K224" s="3591"/>
    </row>
    <row r="225" spans="1:63" s="1204" customFormat="1" ht="13.5" customHeight="1">
      <c r="A225" s="3517" t="s">
        <v>1310</v>
      </c>
      <c r="B225" s="3507" t="s">
        <v>362</v>
      </c>
      <c r="C225" s="3507" t="s">
        <v>843</v>
      </c>
      <c r="D225" s="3507" t="s">
        <v>844</v>
      </c>
      <c r="E225" s="3507" t="s">
        <v>69</v>
      </c>
      <c r="F225" s="3540">
        <f>F226</f>
        <v>20</v>
      </c>
      <c r="G225" s="6"/>
      <c r="H225" s="2227">
        <f t="shared" si="49"/>
        <v>0</v>
      </c>
      <c r="I225" s="3510" t="s">
        <v>137</v>
      </c>
      <c r="J225" s="3592"/>
      <c r="K225" s="889"/>
    </row>
    <row r="226" spans="1:63" s="888" customFormat="1" ht="13.5" customHeight="1">
      <c r="A226" s="3593"/>
      <c r="B226" s="3594"/>
      <c r="C226" s="3594"/>
      <c r="D226" s="3514" t="s">
        <v>845</v>
      </c>
      <c r="E226" s="3594"/>
      <c r="F226" s="3595">
        <v>20</v>
      </c>
      <c r="G226" s="96"/>
      <c r="H226" s="3532"/>
      <c r="I226" s="3506"/>
      <c r="K226" s="889"/>
    </row>
    <row r="227" spans="1:63" s="888" customFormat="1" ht="13.5" customHeight="1">
      <c r="A227" s="3593"/>
      <c r="B227" s="3594"/>
      <c r="C227" s="3594"/>
      <c r="D227" s="3514" t="s">
        <v>526</v>
      </c>
      <c r="E227" s="3594"/>
      <c r="F227" s="3515"/>
      <c r="G227" s="96"/>
      <c r="H227" s="3532"/>
      <c r="I227" s="3506"/>
      <c r="K227" s="889"/>
    </row>
    <row r="228" spans="1:63" s="888" customFormat="1" ht="13.5" customHeight="1">
      <c r="A228" s="3187"/>
      <c r="B228" s="3188"/>
      <c r="C228" s="3188"/>
      <c r="D228" s="3188" t="s">
        <v>0</v>
      </c>
      <c r="E228" s="3188"/>
      <c r="F228" s="3596"/>
      <c r="G228" s="3190"/>
      <c r="H228" s="3190">
        <f>H8</f>
        <v>0</v>
      </c>
      <c r="J228" s="889"/>
      <c r="K228" s="889"/>
      <c r="L228" s="889"/>
      <c r="M228" s="889"/>
      <c r="N228" s="889"/>
      <c r="O228" s="889"/>
      <c r="P228" s="889"/>
      <c r="Q228" s="889"/>
      <c r="R228" s="889"/>
      <c r="S228" s="889"/>
      <c r="T228" s="889"/>
      <c r="U228" s="889"/>
      <c r="V228" s="889"/>
      <c r="W228" s="889"/>
      <c r="X228" s="889"/>
      <c r="Y228" s="889"/>
      <c r="Z228" s="889"/>
      <c r="AA228" s="889"/>
      <c r="AB228" s="889"/>
      <c r="AC228" s="889"/>
      <c r="AD228" s="889"/>
      <c r="AE228" s="889"/>
      <c r="AF228" s="889"/>
      <c r="AG228" s="889"/>
      <c r="AH228" s="889"/>
      <c r="AI228" s="889"/>
      <c r="AJ228" s="889"/>
      <c r="AK228" s="889"/>
      <c r="AL228" s="889"/>
      <c r="AM228" s="889"/>
      <c r="AN228" s="889"/>
      <c r="AO228" s="889"/>
      <c r="AP228" s="889"/>
      <c r="AQ228" s="889"/>
      <c r="AR228" s="889"/>
      <c r="AS228" s="889"/>
      <c r="AT228" s="889"/>
      <c r="AU228" s="889"/>
      <c r="AV228" s="889"/>
      <c r="AW228" s="889"/>
      <c r="AX228" s="889"/>
      <c r="AY228" s="889"/>
      <c r="AZ228" s="889"/>
      <c r="BA228" s="889"/>
      <c r="BB228" s="889"/>
      <c r="BC228" s="889"/>
      <c r="BD228" s="889"/>
      <c r="BE228" s="889"/>
      <c r="BF228" s="889"/>
      <c r="BG228" s="889"/>
      <c r="BH228" s="889"/>
      <c r="BI228" s="889"/>
      <c r="BJ228" s="889"/>
    </row>
    <row r="229" spans="1:63" s="888" customFormat="1" ht="13.5" customHeight="1">
      <c r="A229" s="3187"/>
      <c r="B229" s="3188"/>
      <c r="C229" s="3188"/>
      <c r="D229" s="3188"/>
      <c r="E229" s="3188"/>
      <c r="F229" s="3596"/>
      <c r="G229" s="3190"/>
      <c r="H229" s="3190"/>
      <c r="J229" s="3487"/>
      <c r="K229" s="889"/>
      <c r="L229" s="889"/>
      <c r="M229" s="889"/>
      <c r="N229" s="889"/>
      <c r="O229" s="889"/>
      <c r="P229" s="889"/>
      <c r="Q229" s="889"/>
      <c r="R229" s="889"/>
      <c r="S229" s="889"/>
      <c r="T229" s="889"/>
      <c r="U229" s="889"/>
      <c r="V229" s="889"/>
      <c r="W229" s="889"/>
      <c r="X229" s="889"/>
      <c r="Y229" s="889"/>
      <c r="Z229" s="889"/>
      <c r="AA229" s="889"/>
      <c r="AB229" s="889"/>
      <c r="AC229" s="889"/>
      <c r="AD229" s="889"/>
      <c r="AE229" s="889"/>
      <c r="AF229" s="889"/>
      <c r="AG229" s="889"/>
      <c r="AH229" s="889"/>
      <c r="AI229" s="889"/>
      <c r="AJ229" s="889"/>
      <c r="AK229" s="889"/>
      <c r="AL229" s="889"/>
      <c r="AM229" s="889"/>
      <c r="AN229" s="889"/>
      <c r="AO229" s="889"/>
      <c r="AP229" s="889"/>
      <c r="AQ229" s="889"/>
      <c r="AR229" s="889"/>
      <c r="AS229" s="889"/>
      <c r="AT229" s="889"/>
      <c r="AU229" s="889"/>
      <c r="AV229" s="889"/>
      <c r="AW229" s="889"/>
      <c r="AX229" s="889"/>
      <c r="AY229" s="889"/>
      <c r="AZ229" s="889"/>
      <c r="BA229" s="889"/>
      <c r="BB229" s="889"/>
      <c r="BC229" s="889"/>
      <c r="BD229" s="889"/>
      <c r="BE229" s="889"/>
      <c r="BF229" s="889"/>
      <c r="BG229" s="889"/>
      <c r="BH229" s="889"/>
      <c r="BI229" s="889"/>
      <c r="BJ229" s="889"/>
      <c r="BK229" s="889"/>
    </row>
    <row r="230" spans="1:63">
      <c r="K230" s="888"/>
      <c r="M230" s="888"/>
      <c r="N230" s="888"/>
      <c r="O230" s="888"/>
      <c r="P230" s="888"/>
      <c r="Q230" s="888"/>
      <c r="R230" s="888"/>
      <c r="S230" s="888"/>
      <c r="T230" s="888"/>
      <c r="U230" s="888"/>
      <c r="V230" s="888"/>
      <c r="W230" s="888"/>
      <c r="X230" s="888"/>
      <c r="Y230" s="888"/>
      <c r="Z230" s="888"/>
      <c r="AA230" s="888"/>
      <c r="AB230" s="888"/>
      <c r="AC230" s="888"/>
      <c r="AD230" s="888"/>
      <c r="AE230" s="888"/>
      <c r="AF230" s="888"/>
      <c r="AG230" s="888"/>
      <c r="AH230" s="888"/>
      <c r="AI230" s="888"/>
      <c r="AJ230" s="888"/>
      <c r="AK230" s="888"/>
      <c r="AL230" s="888"/>
      <c r="AM230" s="888"/>
      <c r="AN230" s="888"/>
      <c r="AO230" s="888"/>
      <c r="AP230" s="888"/>
      <c r="AQ230" s="888"/>
      <c r="AR230" s="888"/>
      <c r="AS230" s="888"/>
      <c r="AT230" s="888"/>
      <c r="AU230" s="888"/>
      <c r="AV230" s="888"/>
      <c r="AW230" s="888"/>
      <c r="AX230" s="888"/>
      <c r="AY230" s="888"/>
      <c r="AZ230" s="888"/>
      <c r="BA230" s="888"/>
      <c r="BB230" s="888"/>
      <c r="BC230" s="888"/>
      <c r="BD230" s="888"/>
      <c r="BE230" s="888"/>
      <c r="BF230" s="888"/>
      <c r="BG230" s="888"/>
      <c r="BH230" s="888"/>
      <c r="BI230" s="888"/>
      <c r="BJ230" s="888"/>
      <c r="BK230" s="888"/>
    </row>
    <row r="231" spans="1:63" ht="13.5" customHeight="1">
      <c r="A231" s="5169" t="s">
        <v>862</v>
      </c>
      <c r="B231" s="5201"/>
      <c r="C231" s="5202"/>
      <c r="D231" s="3196" t="s">
        <v>1311</v>
      </c>
      <c r="E231" s="3197"/>
      <c r="F231" s="3601"/>
      <c r="G231" s="3602"/>
      <c r="H231" s="3200">
        <f>H228</f>
        <v>0</v>
      </c>
      <c r="K231" s="3496"/>
    </row>
    <row r="232" spans="1:63">
      <c r="K232" s="3603"/>
      <c r="M232" s="3604"/>
      <c r="N232" s="3605"/>
      <c r="O232" s="3606"/>
      <c r="P232" s="3607"/>
      <c r="Q232" s="3499"/>
      <c r="R232" s="3499"/>
      <c r="S232" s="888"/>
      <c r="T232" s="3496"/>
      <c r="U232" s="3497"/>
      <c r="V232" s="3604"/>
      <c r="W232" s="3605"/>
      <c r="X232" s="3606"/>
      <c r="Y232" s="3607"/>
      <c r="Z232" s="3499"/>
      <c r="AA232" s="3499"/>
      <c r="AB232" s="888"/>
      <c r="AC232" s="3496"/>
      <c r="AD232" s="3497"/>
      <c r="AE232" s="3604"/>
      <c r="AF232" s="3605"/>
      <c r="AG232" s="3606"/>
      <c r="AH232" s="3607"/>
      <c r="AI232" s="3499"/>
      <c r="AJ232" s="3499"/>
      <c r="AK232" s="888"/>
      <c r="AL232" s="3496"/>
      <c r="AM232" s="3497"/>
      <c r="AN232" s="3604"/>
      <c r="AO232" s="3605"/>
      <c r="AP232" s="3606"/>
      <c r="AQ232" s="3607"/>
      <c r="AR232" s="3499"/>
      <c r="AS232" s="3499"/>
      <c r="AT232" s="888"/>
      <c r="AU232" s="3496"/>
      <c r="AV232" s="3497"/>
      <c r="AW232" s="3604"/>
      <c r="AX232" s="3605"/>
      <c r="AY232" s="3606"/>
      <c r="AZ232" s="3607"/>
      <c r="BA232" s="3499"/>
      <c r="BB232" s="3499"/>
      <c r="BC232" s="888"/>
      <c r="BD232" s="3496"/>
      <c r="BE232" s="3497"/>
      <c r="BF232" s="3604"/>
      <c r="BG232" s="3605"/>
      <c r="BH232" s="3606"/>
      <c r="BI232" s="3607"/>
      <c r="BJ232" s="3499"/>
      <c r="BK232" s="3499"/>
    </row>
    <row r="233" spans="1:63">
      <c r="A233" s="689" t="s">
        <v>1</v>
      </c>
      <c r="B233" s="1977"/>
      <c r="C233" s="3608"/>
      <c r="D233" s="689"/>
      <c r="E233" s="689"/>
      <c r="F233" s="876"/>
      <c r="G233" s="689"/>
      <c r="H233" s="689"/>
      <c r="I233" s="2668"/>
      <c r="J233" s="3511"/>
      <c r="K233" s="3609"/>
      <c r="M233" s="3604"/>
      <c r="N233" s="3605"/>
      <c r="O233" s="3606"/>
      <c r="P233" s="3607"/>
      <c r="Q233" s="3499"/>
      <c r="R233" s="3499"/>
      <c r="S233" s="888"/>
      <c r="T233" s="3496"/>
      <c r="U233" s="3497"/>
      <c r="V233" s="3604"/>
      <c r="W233" s="3605"/>
      <c r="X233" s="3606"/>
      <c r="Y233" s="3607"/>
      <c r="Z233" s="3499"/>
      <c r="AA233" s="3499"/>
      <c r="AB233" s="888"/>
      <c r="AC233" s="3496"/>
      <c r="AD233" s="3497"/>
      <c r="AE233" s="3604"/>
      <c r="AF233" s="3605"/>
      <c r="AG233" s="3606"/>
      <c r="AH233" s="3607"/>
      <c r="AI233" s="3499"/>
      <c r="AJ233" s="3499"/>
      <c r="AK233" s="888"/>
      <c r="AL233" s="3496"/>
      <c r="AM233" s="3497"/>
      <c r="AN233" s="3604"/>
      <c r="AO233" s="3605"/>
      <c r="AP233" s="3606"/>
      <c r="AQ233" s="3607"/>
      <c r="AR233" s="3499"/>
      <c r="AS233" s="3499"/>
      <c r="AT233" s="888"/>
      <c r="AU233" s="3496"/>
      <c r="AV233" s="3497"/>
      <c r="AW233" s="3604"/>
      <c r="AX233" s="3605"/>
      <c r="AY233" s="3606"/>
      <c r="AZ233" s="3607"/>
      <c r="BA233" s="3499"/>
      <c r="BB233" s="3499"/>
      <c r="BC233" s="888"/>
      <c r="BD233" s="3496"/>
      <c r="BE233" s="3497"/>
      <c r="BF233" s="3604"/>
      <c r="BG233" s="3605"/>
      <c r="BH233" s="3606"/>
      <c r="BI233" s="3607"/>
      <c r="BJ233" s="3499"/>
      <c r="BK233" s="3499"/>
    </row>
    <row r="234" spans="1:63" ht="27" customHeight="1">
      <c r="A234" s="5159" t="s">
        <v>1112</v>
      </c>
      <c r="B234" s="5172"/>
      <c r="C234" s="5172"/>
      <c r="D234" s="5172"/>
      <c r="E234" s="5172"/>
      <c r="F234" s="5172"/>
      <c r="G234" s="5172"/>
      <c r="H234" s="689"/>
      <c r="I234" s="3151"/>
      <c r="J234" s="3610"/>
      <c r="K234" s="90"/>
      <c r="M234" s="3604"/>
      <c r="N234" s="3605"/>
      <c r="O234" s="3606"/>
      <c r="P234" s="3607"/>
      <c r="Q234" s="3499"/>
      <c r="R234" s="3499"/>
      <c r="S234" s="888"/>
      <c r="T234" s="3496"/>
      <c r="U234" s="3497"/>
      <c r="V234" s="3604"/>
      <c r="W234" s="3605"/>
      <c r="X234" s="3606"/>
      <c r="Y234" s="3607"/>
      <c r="Z234" s="3499"/>
      <c r="AA234" s="3499"/>
      <c r="AB234" s="888"/>
      <c r="AC234" s="3496"/>
      <c r="AD234" s="3497"/>
      <c r="AE234" s="3604"/>
      <c r="AF234" s="3605"/>
      <c r="AG234" s="3606"/>
      <c r="AH234" s="3607"/>
      <c r="AI234" s="3499"/>
      <c r="AJ234" s="3499"/>
      <c r="AK234" s="888"/>
      <c r="AL234" s="3496"/>
      <c r="AM234" s="3497"/>
      <c r="AN234" s="3604"/>
      <c r="AO234" s="3605"/>
      <c r="AP234" s="3606"/>
      <c r="AQ234" s="3607"/>
      <c r="AR234" s="3499"/>
      <c r="AS234" s="3499"/>
      <c r="AT234" s="888"/>
      <c r="AU234" s="3496"/>
      <c r="AV234" s="3497"/>
      <c r="AW234" s="3604"/>
      <c r="AX234" s="3605"/>
      <c r="AY234" s="3606"/>
      <c r="AZ234" s="3607"/>
      <c r="BA234" s="3499"/>
      <c r="BB234" s="3499"/>
      <c r="BC234" s="888"/>
      <c r="BD234" s="3496"/>
      <c r="BE234" s="3497"/>
      <c r="BF234" s="3604"/>
      <c r="BG234" s="3605"/>
      <c r="BH234" s="3606"/>
      <c r="BI234" s="3607"/>
      <c r="BJ234" s="3499"/>
      <c r="BK234" s="3499"/>
    </row>
    <row r="235" spans="1:63" ht="90" customHeight="1">
      <c r="A235" s="5159" t="s">
        <v>1113</v>
      </c>
      <c r="B235" s="5173"/>
      <c r="C235" s="5173"/>
      <c r="D235" s="5173"/>
      <c r="E235" s="5173"/>
      <c r="F235" s="5173"/>
      <c r="G235" s="5173"/>
      <c r="H235" s="689"/>
      <c r="I235" s="689"/>
      <c r="J235" s="3611"/>
      <c r="K235" s="3496"/>
      <c r="M235" s="3604"/>
      <c r="N235" s="3605"/>
      <c r="O235" s="3606"/>
      <c r="P235" s="3607"/>
      <c r="Q235" s="3499"/>
      <c r="R235" s="3499"/>
      <c r="S235" s="888"/>
      <c r="T235" s="3496"/>
      <c r="U235" s="3497"/>
      <c r="V235" s="3604"/>
      <c r="W235" s="3605"/>
      <c r="X235" s="3606"/>
      <c r="Y235" s="3607"/>
      <c r="Z235" s="3499"/>
      <c r="AA235" s="3499"/>
      <c r="AB235" s="888"/>
      <c r="AC235" s="3496"/>
      <c r="AD235" s="3497"/>
      <c r="AE235" s="3604"/>
      <c r="AF235" s="3605"/>
      <c r="AG235" s="3606"/>
      <c r="AH235" s="3607"/>
      <c r="AI235" s="3499"/>
      <c r="AJ235" s="3499"/>
      <c r="AK235" s="888"/>
      <c r="AL235" s="3496"/>
      <c r="AM235" s="3497"/>
      <c r="AN235" s="3604"/>
      <c r="AO235" s="3605"/>
      <c r="AP235" s="3606"/>
      <c r="AQ235" s="3607"/>
      <c r="AR235" s="3499"/>
      <c r="AS235" s="3499"/>
      <c r="AT235" s="888"/>
      <c r="AU235" s="3496"/>
      <c r="AV235" s="3497"/>
      <c r="AW235" s="3604"/>
      <c r="AX235" s="3605"/>
      <c r="AY235" s="3606"/>
      <c r="AZ235" s="3607"/>
      <c r="BA235" s="3499"/>
      <c r="BB235" s="3499"/>
      <c r="BC235" s="888"/>
      <c r="BD235" s="3496"/>
      <c r="BE235" s="3497"/>
      <c r="BF235" s="3604"/>
      <c r="BG235" s="3605"/>
      <c r="BH235" s="3606"/>
      <c r="BI235" s="3607"/>
      <c r="BJ235" s="3499"/>
      <c r="BK235" s="3499"/>
    </row>
    <row r="236" spans="1:63">
      <c r="A236" s="5159" t="s">
        <v>105</v>
      </c>
      <c r="B236" s="5174"/>
      <c r="C236" s="5174"/>
      <c r="D236" s="5174"/>
      <c r="E236" s="5174"/>
      <c r="F236" s="5174"/>
      <c r="G236" s="5174"/>
      <c r="H236" s="691"/>
      <c r="I236" s="691"/>
      <c r="J236" s="3612"/>
      <c r="K236" s="3496"/>
      <c r="M236" s="3604"/>
      <c r="N236" s="3605"/>
      <c r="O236" s="3606"/>
      <c r="P236" s="3607"/>
      <c r="Q236" s="3499"/>
      <c r="R236" s="3499"/>
      <c r="S236" s="888"/>
      <c r="T236" s="3496"/>
      <c r="U236" s="3497"/>
      <c r="V236" s="3604"/>
      <c r="W236" s="3605"/>
      <c r="X236" s="3606"/>
      <c r="Y236" s="3607"/>
      <c r="Z236" s="3499"/>
      <c r="AA236" s="3499"/>
      <c r="AB236" s="888"/>
      <c r="AC236" s="3496"/>
      <c r="AD236" s="3497"/>
      <c r="AE236" s="3604"/>
      <c r="AF236" s="3605"/>
      <c r="AG236" s="3606"/>
      <c r="AH236" s="3607"/>
      <c r="AI236" s="3499"/>
      <c r="AJ236" s="3499"/>
      <c r="AK236" s="888"/>
      <c r="AL236" s="3496"/>
      <c r="AM236" s="3497"/>
      <c r="AN236" s="3604"/>
      <c r="AO236" s="3605"/>
      <c r="AP236" s="3606"/>
      <c r="AQ236" s="3607"/>
      <c r="AR236" s="3499"/>
      <c r="AS236" s="3499"/>
      <c r="AT236" s="888"/>
      <c r="AU236" s="3496"/>
      <c r="AV236" s="3497"/>
      <c r="AW236" s="3604"/>
      <c r="AX236" s="3605"/>
      <c r="AY236" s="3606"/>
      <c r="AZ236" s="3607"/>
      <c r="BA236" s="3499"/>
      <c r="BB236" s="3499"/>
      <c r="BC236" s="888"/>
      <c r="BD236" s="3496"/>
      <c r="BE236" s="3497"/>
      <c r="BF236" s="3604"/>
      <c r="BG236" s="3605"/>
      <c r="BH236" s="3606"/>
      <c r="BI236" s="3607"/>
      <c r="BJ236" s="3499"/>
      <c r="BK236" s="3499"/>
    </row>
    <row r="237" spans="1:63">
      <c r="A237" s="5159" t="s">
        <v>106</v>
      </c>
      <c r="B237" s="5174"/>
      <c r="C237" s="5174"/>
      <c r="D237" s="5174"/>
      <c r="E237" s="5174"/>
      <c r="F237" s="5174"/>
      <c r="G237" s="5174"/>
      <c r="H237" s="691"/>
      <c r="I237" s="691"/>
      <c r="J237" s="3612"/>
      <c r="K237" s="888"/>
      <c r="M237" s="3604"/>
      <c r="N237" s="3605"/>
      <c r="O237" s="3606"/>
      <c r="P237" s="3607"/>
      <c r="Q237" s="3499"/>
      <c r="R237" s="3499"/>
      <c r="S237" s="888"/>
      <c r="T237" s="3496"/>
      <c r="U237" s="3497"/>
      <c r="V237" s="3604"/>
      <c r="W237" s="3605"/>
      <c r="X237" s="3606"/>
      <c r="Y237" s="3607"/>
      <c r="Z237" s="3499"/>
      <c r="AA237" s="3499"/>
      <c r="AB237" s="888"/>
      <c r="AC237" s="3496"/>
      <c r="AD237" s="3497"/>
      <c r="AE237" s="3604"/>
      <c r="AF237" s="3605"/>
      <c r="AG237" s="3606"/>
      <c r="AH237" s="3607"/>
      <c r="AI237" s="3499"/>
      <c r="AJ237" s="3499"/>
      <c r="AK237" s="888"/>
      <c r="AL237" s="3496"/>
      <c r="AM237" s="3497"/>
      <c r="AN237" s="3604"/>
      <c r="AO237" s="3605"/>
      <c r="AP237" s="3606"/>
      <c r="AQ237" s="3607"/>
      <c r="AR237" s="3499"/>
      <c r="AS237" s="3499"/>
      <c r="AT237" s="888"/>
      <c r="AU237" s="3496"/>
      <c r="AV237" s="3497"/>
      <c r="AW237" s="3604"/>
      <c r="AX237" s="3605"/>
      <c r="AY237" s="3606"/>
      <c r="AZ237" s="3607"/>
      <c r="BA237" s="3499"/>
      <c r="BB237" s="3499"/>
      <c r="BC237" s="888"/>
      <c r="BD237" s="3496"/>
      <c r="BE237" s="3497"/>
      <c r="BF237" s="3604"/>
      <c r="BG237" s="3605"/>
      <c r="BH237" s="3606"/>
      <c r="BI237" s="3607"/>
      <c r="BJ237" s="3499"/>
      <c r="BK237" s="3499"/>
    </row>
    <row r="238" spans="1:63" ht="40.5" customHeight="1">
      <c r="A238" s="5156" t="s">
        <v>865</v>
      </c>
      <c r="B238" s="5156"/>
      <c r="C238" s="5156"/>
      <c r="D238" s="5156"/>
      <c r="E238" s="5156"/>
      <c r="F238" s="5156"/>
      <c r="G238" s="5156"/>
      <c r="H238" s="1203"/>
      <c r="J238" s="889"/>
    </row>
    <row r="239" spans="1:63" ht="108" customHeight="1">
      <c r="A239" s="5156" t="s">
        <v>1013</v>
      </c>
      <c r="B239" s="5156"/>
      <c r="C239" s="5156"/>
      <c r="D239" s="5156"/>
      <c r="E239" s="5156"/>
      <c r="F239" s="5156"/>
      <c r="G239" s="5156"/>
      <c r="H239" s="1204"/>
      <c r="I239" s="1205"/>
      <c r="J239" s="889"/>
    </row>
    <row r="240" spans="1:63">
      <c r="A240" s="690"/>
      <c r="B240" s="3207"/>
      <c r="C240" s="3613"/>
      <c r="D240" s="3207"/>
      <c r="E240" s="3207"/>
      <c r="F240" s="3614"/>
      <c r="G240" s="3207"/>
      <c r="H240" s="691"/>
      <c r="I240" s="691"/>
      <c r="J240" s="3612"/>
      <c r="K240" s="888"/>
      <c r="M240" s="3604"/>
      <c r="N240" s="3605"/>
      <c r="O240" s="3606"/>
      <c r="P240" s="3607"/>
      <c r="Q240" s="3499"/>
      <c r="R240" s="3499"/>
      <c r="S240" s="888"/>
      <c r="T240" s="3496"/>
      <c r="U240" s="3497"/>
      <c r="V240" s="3604"/>
      <c r="W240" s="3605"/>
      <c r="X240" s="3606"/>
      <c r="Y240" s="3607"/>
      <c r="Z240" s="3499"/>
      <c r="AA240" s="3499"/>
      <c r="AB240" s="888"/>
      <c r="AC240" s="3496"/>
      <c r="AD240" s="3497"/>
      <c r="AE240" s="3604"/>
      <c r="AF240" s="3605"/>
      <c r="AG240" s="3606"/>
      <c r="AH240" s="3607"/>
      <c r="AI240" s="3499"/>
      <c r="AJ240" s="3499"/>
      <c r="AK240" s="888"/>
      <c r="AL240" s="3496"/>
      <c r="AM240" s="3497"/>
      <c r="AN240" s="3604"/>
      <c r="AO240" s="3605"/>
      <c r="AP240" s="3606"/>
      <c r="AQ240" s="3607"/>
      <c r="AR240" s="3499"/>
      <c r="AS240" s="3499"/>
      <c r="AT240" s="888"/>
      <c r="AU240" s="3496"/>
      <c r="AV240" s="3497"/>
      <c r="AW240" s="3604"/>
      <c r="AX240" s="3605"/>
      <c r="AY240" s="3606"/>
      <c r="AZ240" s="3607"/>
      <c r="BA240" s="3499"/>
      <c r="BB240" s="3499"/>
      <c r="BC240" s="888"/>
      <c r="BD240" s="3496"/>
      <c r="BE240" s="3497"/>
      <c r="BF240" s="3604"/>
      <c r="BG240" s="3605"/>
      <c r="BH240" s="3606"/>
      <c r="BI240" s="3607"/>
      <c r="BJ240" s="3499"/>
      <c r="BK240" s="3499"/>
    </row>
    <row r="241" spans="11:63">
      <c r="K241" s="3496"/>
      <c r="M241" s="3604"/>
      <c r="N241" s="3605"/>
      <c r="O241" s="3606"/>
      <c r="P241" s="3607"/>
      <c r="Q241" s="3499"/>
      <c r="R241" s="3499"/>
      <c r="S241" s="888"/>
      <c r="T241" s="3496"/>
      <c r="U241" s="3497"/>
      <c r="V241" s="3604"/>
      <c r="W241" s="3605"/>
      <c r="X241" s="3606"/>
      <c r="Y241" s="3607"/>
      <c r="Z241" s="3499"/>
      <c r="AA241" s="3499"/>
      <c r="AB241" s="888"/>
      <c r="AC241" s="3496"/>
      <c r="AD241" s="3497"/>
      <c r="AE241" s="3604"/>
      <c r="AF241" s="3605"/>
      <c r="AG241" s="3606"/>
      <c r="AH241" s="3607"/>
      <c r="AI241" s="3499"/>
      <c r="AJ241" s="3499"/>
      <c r="AK241" s="888"/>
      <c r="AL241" s="3496"/>
      <c r="AM241" s="3497"/>
      <c r="AN241" s="3604"/>
      <c r="AO241" s="3605"/>
      <c r="AP241" s="3606"/>
      <c r="AQ241" s="3607"/>
      <c r="AR241" s="3499"/>
      <c r="AS241" s="3499"/>
      <c r="AT241" s="888"/>
      <c r="AU241" s="3496"/>
      <c r="AV241" s="3497"/>
      <c r="AW241" s="3604"/>
      <c r="AX241" s="3605"/>
      <c r="AY241" s="3606"/>
      <c r="AZ241" s="3607"/>
      <c r="BA241" s="3499"/>
      <c r="BB241" s="3499"/>
      <c r="BC241" s="888"/>
      <c r="BD241" s="3496"/>
      <c r="BE241" s="3497"/>
      <c r="BF241" s="3604"/>
      <c r="BG241" s="3605"/>
      <c r="BH241" s="3606"/>
      <c r="BI241" s="3607"/>
      <c r="BJ241" s="3499"/>
      <c r="BK241" s="3499"/>
    </row>
    <row r="242" spans="11:63">
      <c r="K242" s="3496"/>
      <c r="M242" s="3604"/>
      <c r="N242" s="3605"/>
      <c r="O242" s="3606"/>
      <c r="P242" s="3607"/>
      <c r="Q242" s="3499"/>
      <c r="R242" s="3499"/>
      <c r="S242" s="888"/>
      <c r="T242" s="3496"/>
      <c r="U242" s="3497"/>
      <c r="V242" s="3604"/>
      <c r="W242" s="3605"/>
      <c r="X242" s="3606"/>
      <c r="Y242" s="3607"/>
      <c r="Z242" s="3499"/>
      <c r="AA242" s="3499"/>
      <c r="AB242" s="888"/>
      <c r="AC242" s="3496"/>
      <c r="AD242" s="3497"/>
      <c r="AE242" s="3604"/>
      <c r="AF242" s="3605"/>
      <c r="AG242" s="3606"/>
      <c r="AH242" s="3607"/>
      <c r="AI242" s="3499"/>
      <c r="AJ242" s="3499"/>
      <c r="AK242" s="888"/>
      <c r="AL242" s="3496"/>
      <c r="AM242" s="3497"/>
      <c r="AN242" s="3604"/>
      <c r="AO242" s="3605"/>
      <c r="AP242" s="3606"/>
      <c r="AQ242" s="3607"/>
      <c r="AR242" s="3499"/>
      <c r="AS242" s="3499"/>
      <c r="AT242" s="888"/>
      <c r="AU242" s="3496"/>
      <c r="AV242" s="3497"/>
      <c r="AW242" s="3604"/>
      <c r="AX242" s="3605"/>
      <c r="AY242" s="3606"/>
      <c r="AZ242" s="3607"/>
      <c r="BA242" s="3499"/>
      <c r="BB242" s="3499"/>
      <c r="BC242" s="888"/>
      <c r="BD242" s="3496"/>
      <c r="BE242" s="3497"/>
      <c r="BF242" s="3604"/>
      <c r="BG242" s="3605"/>
      <c r="BH242" s="3606"/>
      <c r="BI242" s="3607"/>
      <c r="BJ242" s="3499"/>
      <c r="BK242" s="3499"/>
    </row>
    <row r="243" spans="11:63">
      <c r="K243" s="888"/>
      <c r="M243" s="888"/>
      <c r="N243" s="888"/>
      <c r="O243" s="888"/>
      <c r="P243" s="888"/>
      <c r="Q243" s="888"/>
      <c r="R243" s="888"/>
      <c r="S243" s="888"/>
      <c r="T243" s="888"/>
      <c r="U243" s="888"/>
      <c r="V243" s="888"/>
      <c r="W243" s="888"/>
      <c r="X243" s="888"/>
      <c r="Y243" s="888"/>
      <c r="Z243" s="888"/>
      <c r="AA243" s="888"/>
      <c r="AB243" s="888"/>
      <c r="AC243" s="888"/>
      <c r="AD243" s="888"/>
      <c r="AE243" s="888"/>
      <c r="AF243" s="888"/>
      <c r="AG243" s="888"/>
      <c r="AH243" s="888"/>
      <c r="AI243" s="888"/>
      <c r="AJ243" s="888"/>
      <c r="AK243" s="888"/>
      <c r="AL243" s="888"/>
      <c r="AM243" s="888"/>
      <c r="AN243" s="888"/>
      <c r="AO243" s="888"/>
      <c r="AP243" s="888"/>
      <c r="AQ243" s="888"/>
      <c r="AR243" s="888"/>
      <c r="AS243" s="888"/>
      <c r="AT243" s="888"/>
      <c r="AU243" s="888"/>
      <c r="AV243" s="888"/>
      <c r="AW243" s="888"/>
      <c r="AX243" s="888"/>
      <c r="AY243" s="888"/>
      <c r="AZ243" s="888"/>
      <c r="BA243" s="888"/>
      <c r="BB243" s="888"/>
      <c r="BC243" s="888"/>
      <c r="BD243" s="888"/>
      <c r="BE243" s="888"/>
      <c r="BF243" s="888"/>
      <c r="BG243" s="888"/>
      <c r="BH243" s="888"/>
      <c r="BI243" s="888"/>
      <c r="BJ243" s="888"/>
      <c r="BK243" s="888"/>
    </row>
  </sheetData>
  <sheetProtection algorithmName="SHA-512" hashValue="aXOgX1T6g+41ZWm+NSf+u1FU4IEe44Hl6FuzFmiQhmBtF5gtE6kUxX8bwbjGKHZ5BrouMJBcEirej+wrhbjqVw==" saltValue="DBq/P/rY2yiyvVg523tJcQ==" spinCount="100000" sheet="1" objects="1" scenarios="1"/>
  <mergeCells count="9">
    <mergeCell ref="A237:G237"/>
    <mergeCell ref="A238:G238"/>
    <mergeCell ref="A239:G239"/>
    <mergeCell ref="A2:I2"/>
    <mergeCell ref="A3:D3"/>
    <mergeCell ref="A231:C231"/>
    <mergeCell ref="A234:G234"/>
    <mergeCell ref="A235:G235"/>
    <mergeCell ref="A236:G2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24-13ED-4FBD-9E68-59D9B4F79E17}">
  <sheetPr>
    <pageSetUpPr fitToPage="1"/>
  </sheetPr>
  <dimension ref="A1:IV579"/>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02" customWidth="1"/>
    <col min="7" max="7" width="13.6640625" style="2202" customWidth="1"/>
    <col min="8" max="8" width="18.33203125" style="2202" customWidth="1"/>
    <col min="9" max="9" width="20.1640625" style="2202" customWidth="1"/>
    <col min="10" max="10" width="19.33203125" style="2202" customWidth="1"/>
    <col min="11" max="11" width="18.33203125" style="2202" customWidth="1"/>
    <col min="12" max="12" width="19.83203125" style="2202" customWidth="1"/>
    <col min="13" max="13" width="10.6640625" style="2202" customWidth="1"/>
    <col min="14" max="14" width="14.1640625" style="2202" customWidth="1"/>
    <col min="15" max="15" width="13.1640625" style="2202" customWidth="1"/>
    <col min="16" max="16" width="9.33203125" style="2202"/>
    <col min="17" max="17" width="17.5" style="2202" customWidth="1"/>
    <col min="18" max="18" width="19.6640625" style="2202" customWidth="1"/>
    <col min="19" max="19" width="12.83203125" style="2202" customWidth="1"/>
    <col min="20" max="20" width="15.33203125" style="2202" customWidth="1"/>
    <col min="21" max="16384" width="9.33203125" style="2202"/>
  </cols>
  <sheetData>
    <row r="1" spans="1:14" ht="18.75">
      <c r="A1" s="1" t="s">
        <v>2760</v>
      </c>
      <c r="B1" s="28"/>
      <c r="C1" s="28"/>
      <c r="D1" s="111"/>
      <c r="E1" s="111"/>
      <c r="F1" s="111"/>
      <c r="G1" s="111"/>
      <c r="H1" s="111"/>
      <c r="I1" s="111"/>
      <c r="J1" s="2201"/>
    </row>
    <row r="2" spans="1:14" ht="13.5" customHeight="1">
      <c r="A2" s="3222" t="s">
        <v>115</v>
      </c>
      <c r="B2" s="3223"/>
      <c r="C2" s="3224"/>
      <c r="D2" s="3224"/>
      <c r="E2" s="3224"/>
      <c r="F2" s="3225"/>
      <c r="G2" s="3224"/>
      <c r="H2" s="3224"/>
      <c r="I2" s="2206"/>
      <c r="J2" s="2372"/>
      <c r="K2" s="2373"/>
      <c r="L2" s="3226"/>
      <c r="M2" s="3227"/>
      <c r="N2" s="3228"/>
    </row>
    <row r="3" spans="1:14" ht="13.5" customHeight="1">
      <c r="A3" s="2203" t="s">
        <v>2355</v>
      </c>
      <c r="B3" s="2204"/>
      <c r="C3" s="2204"/>
      <c r="D3" s="2204"/>
      <c r="E3" s="2204"/>
      <c r="F3" s="2205"/>
      <c r="G3" s="2205"/>
      <c r="H3" s="2206"/>
      <c r="I3" s="2206"/>
    </row>
    <row r="4" spans="1:14">
      <c r="A4" s="2205"/>
      <c r="B4" s="2205"/>
      <c r="C4" s="2205"/>
      <c r="D4" s="2207"/>
      <c r="E4" s="2208"/>
      <c r="F4" s="2205"/>
      <c r="G4" s="2205"/>
      <c r="H4" s="2205"/>
      <c r="I4" s="2210"/>
    </row>
    <row r="5" spans="1:14" ht="22.5">
      <c r="A5" s="2211" t="s">
        <v>118</v>
      </c>
      <c r="B5" s="2211" t="s">
        <v>119</v>
      </c>
      <c r="C5" s="2211" t="s">
        <v>120</v>
      </c>
      <c r="D5" s="2211" t="s">
        <v>121</v>
      </c>
      <c r="E5" s="2211" t="s">
        <v>122</v>
      </c>
      <c r="F5" s="2211" t="s">
        <v>123</v>
      </c>
      <c r="G5" s="2211" t="s">
        <v>124</v>
      </c>
      <c r="H5" s="2213" t="s">
        <v>2</v>
      </c>
      <c r="I5" s="2214" t="s">
        <v>46</v>
      </c>
      <c r="J5" s="71"/>
    </row>
    <row r="6" spans="1:14">
      <c r="A6" s="2211" t="s">
        <v>125</v>
      </c>
      <c r="B6" s="2211" t="s">
        <v>126</v>
      </c>
      <c r="C6" s="2211">
        <v>3</v>
      </c>
      <c r="D6" s="2211">
        <v>4</v>
      </c>
      <c r="E6" s="2211">
        <v>5</v>
      </c>
      <c r="F6" s="2211">
        <v>6</v>
      </c>
      <c r="G6" s="2211">
        <v>7</v>
      </c>
      <c r="H6" s="2213">
        <v>8</v>
      </c>
      <c r="I6" s="2214">
        <v>9</v>
      </c>
    </row>
    <row r="7" spans="1:14" s="2206" customFormat="1" ht="21" customHeight="1">
      <c r="A7" s="2215"/>
      <c r="B7" s="2216"/>
      <c r="C7" s="2216" t="s">
        <v>132</v>
      </c>
      <c r="D7" s="2216" t="s">
        <v>133</v>
      </c>
      <c r="E7" s="2216"/>
      <c r="F7" s="2217"/>
      <c r="G7" s="2218"/>
      <c r="H7" s="2218">
        <f>SUM(H8,H81,H84,H92)</f>
        <v>0</v>
      </c>
      <c r="I7" s="2221"/>
    </row>
    <row r="8" spans="1:14" s="3235" customFormat="1" ht="13.5" customHeight="1">
      <c r="A8" s="3229"/>
      <c r="B8" s="3230"/>
      <c r="C8" s="3230" t="s">
        <v>125</v>
      </c>
      <c r="D8" s="3230" t="s">
        <v>134</v>
      </c>
      <c r="E8" s="3230"/>
      <c r="F8" s="3231"/>
      <c r="G8" s="3232"/>
      <c r="H8" s="3232">
        <f>SUM(H9:H70)</f>
        <v>0</v>
      </c>
      <c r="I8" s="3233"/>
      <c r="J8" s="2206"/>
      <c r="K8" s="3234"/>
    </row>
    <row r="9" spans="1:14" s="2206" customFormat="1" ht="13.5" customHeight="1">
      <c r="A9" s="3236">
        <v>1</v>
      </c>
      <c r="B9" s="3237" t="s">
        <v>135</v>
      </c>
      <c r="C9" s="3237">
        <v>115101201</v>
      </c>
      <c r="D9" s="3237" t="s">
        <v>136</v>
      </c>
      <c r="E9" s="3237" t="s">
        <v>69</v>
      </c>
      <c r="F9" s="3238">
        <v>24</v>
      </c>
      <c r="G9" s="105"/>
      <c r="H9" s="2266">
        <f t="shared" ref="H9:H15" si="0">F9*G9</f>
        <v>0</v>
      </c>
      <c r="I9" s="2228" t="s">
        <v>137</v>
      </c>
      <c r="J9" s="3239"/>
    </row>
    <row r="10" spans="1:14" s="2206" customFormat="1" ht="13.5" customHeight="1">
      <c r="A10" s="3236">
        <v>2</v>
      </c>
      <c r="B10" s="3237" t="s">
        <v>135</v>
      </c>
      <c r="C10" s="3237">
        <v>115101301</v>
      </c>
      <c r="D10" s="3237" t="s">
        <v>138</v>
      </c>
      <c r="E10" s="3237" t="s">
        <v>139</v>
      </c>
      <c r="F10" s="3238">
        <v>3</v>
      </c>
      <c r="G10" s="105"/>
      <c r="H10" s="2266">
        <f t="shared" si="0"/>
        <v>0</v>
      </c>
      <c r="I10" s="2228" t="s">
        <v>137</v>
      </c>
      <c r="J10" s="3240"/>
    </row>
    <row r="11" spans="1:14" s="2206" customFormat="1" ht="13.5" customHeight="1">
      <c r="A11" s="3236">
        <v>3</v>
      </c>
      <c r="B11" s="3237" t="s">
        <v>135</v>
      </c>
      <c r="C11" s="3237">
        <v>119001402</v>
      </c>
      <c r="D11" s="3237" t="s">
        <v>140</v>
      </c>
      <c r="E11" s="3237" t="s">
        <v>141</v>
      </c>
      <c r="F11" s="3238">
        <v>1</v>
      </c>
      <c r="G11" s="105"/>
      <c r="H11" s="2266">
        <f t="shared" si="0"/>
        <v>0</v>
      </c>
      <c r="I11" s="2228" t="s">
        <v>137</v>
      </c>
      <c r="J11" s="3240"/>
    </row>
    <row r="12" spans="1:14" s="2206" customFormat="1" ht="13.5" customHeight="1">
      <c r="A12" s="3236">
        <v>4</v>
      </c>
      <c r="B12" s="3237" t="s">
        <v>135</v>
      </c>
      <c r="C12" s="3237">
        <v>119001406</v>
      </c>
      <c r="D12" s="3237" t="s">
        <v>142</v>
      </c>
      <c r="E12" s="3237" t="s">
        <v>141</v>
      </c>
      <c r="F12" s="3238">
        <v>1</v>
      </c>
      <c r="G12" s="105"/>
      <c r="H12" s="2266">
        <f t="shared" si="0"/>
        <v>0</v>
      </c>
      <c r="I12" s="2228" t="s">
        <v>137</v>
      </c>
      <c r="J12" s="3240"/>
    </row>
    <row r="13" spans="1:14" s="2206" customFormat="1" ht="13.5" customHeight="1">
      <c r="A13" s="3236">
        <v>5</v>
      </c>
      <c r="B13" s="3237" t="s">
        <v>135</v>
      </c>
      <c r="C13" s="3237">
        <v>119001412</v>
      </c>
      <c r="D13" s="3237" t="s">
        <v>143</v>
      </c>
      <c r="E13" s="3237" t="s">
        <v>141</v>
      </c>
      <c r="F13" s="3238">
        <v>1</v>
      </c>
      <c r="G13" s="105"/>
      <c r="H13" s="2266">
        <f t="shared" si="0"/>
        <v>0</v>
      </c>
      <c r="I13" s="2228" t="s">
        <v>137</v>
      </c>
      <c r="J13" s="3239"/>
    </row>
    <row r="14" spans="1:14" s="2206" customFormat="1" ht="13.5" customHeight="1">
      <c r="A14" s="3236">
        <v>6</v>
      </c>
      <c r="B14" s="3237" t="s">
        <v>135</v>
      </c>
      <c r="C14" s="3237">
        <v>119001422</v>
      </c>
      <c r="D14" s="3237" t="s">
        <v>144</v>
      </c>
      <c r="E14" s="3237" t="s">
        <v>141</v>
      </c>
      <c r="F14" s="3238">
        <v>3</v>
      </c>
      <c r="G14" s="105"/>
      <c r="H14" s="2266">
        <f t="shared" si="0"/>
        <v>0</v>
      </c>
      <c r="I14" s="2228" t="s">
        <v>137</v>
      </c>
      <c r="J14" s="3239"/>
    </row>
    <row r="15" spans="1:14" s="612" customFormat="1" ht="13.5" customHeight="1">
      <c r="A15" s="2263">
        <v>7</v>
      </c>
      <c r="B15" s="2264" t="s">
        <v>135</v>
      </c>
      <c r="C15" s="2264">
        <v>139001101</v>
      </c>
      <c r="D15" s="2264" t="s">
        <v>160</v>
      </c>
      <c r="E15" s="2264" t="s">
        <v>146</v>
      </c>
      <c r="F15" s="2299">
        <f>SUM(F16)</f>
        <v>6.0740999999999996</v>
      </c>
      <c r="G15" s="105"/>
      <c r="H15" s="2266">
        <f t="shared" si="0"/>
        <v>0</v>
      </c>
      <c r="I15" s="2228" t="s">
        <v>137</v>
      </c>
    </row>
    <row r="16" spans="1:14" s="612" customFormat="1" ht="13.5" customHeight="1">
      <c r="A16" s="2263"/>
      <c r="B16" s="2264"/>
      <c r="C16" s="2269"/>
      <c r="D16" s="2269" t="s">
        <v>2356</v>
      </c>
      <c r="E16" s="2269"/>
      <c r="F16" s="2303">
        <f>(121.48+80.99)*0.03</f>
        <v>6.0740999999999996</v>
      </c>
      <c r="G16" s="158"/>
      <c r="H16" s="2310"/>
      <c r="I16" s="2228"/>
    </row>
    <row r="17" spans="1:16" s="2206" customFormat="1" ht="13.5" customHeight="1">
      <c r="A17" s="3236">
        <v>8</v>
      </c>
      <c r="B17" s="3237" t="s">
        <v>135</v>
      </c>
      <c r="C17" s="3237">
        <v>139711111</v>
      </c>
      <c r="D17" s="3237" t="s">
        <v>2357</v>
      </c>
      <c r="E17" s="3237" t="s">
        <v>146</v>
      </c>
      <c r="F17" s="3238">
        <f>SUM(F19:F22)</f>
        <v>121.48128</v>
      </c>
      <c r="G17" s="105"/>
      <c r="H17" s="2266">
        <f>F17*G17</f>
        <v>0</v>
      </c>
      <c r="I17" s="2228" t="s">
        <v>1801</v>
      </c>
      <c r="J17" s="3241"/>
    </row>
    <row r="18" spans="1:16" s="2206" customFormat="1" ht="27" customHeight="1">
      <c r="A18" s="3242"/>
      <c r="B18" s="2223"/>
      <c r="C18" s="2224"/>
      <c r="D18" s="2277" t="s">
        <v>2358</v>
      </c>
      <c r="E18" s="2224"/>
      <c r="F18" s="2300"/>
      <c r="G18" s="124"/>
      <c r="H18" s="2226"/>
      <c r="I18" s="2297"/>
    </row>
    <row r="19" spans="1:16" s="2206" customFormat="1" ht="13.5" customHeight="1">
      <c r="A19" s="3242"/>
      <c r="B19" s="2223"/>
      <c r="C19" s="2224"/>
      <c r="D19" s="2277" t="s">
        <v>2359</v>
      </c>
      <c r="E19" s="2224"/>
      <c r="F19" s="2300">
        <f>((28.44*1.5)*0.8)*0.6</f>
        <v>20.476800000000004</v>
      </c>
      <c r="G19" s="124"/>
      <c r="H19" s="2226"/>
      <c r="I19" s="2297"/>
      <c r="J19" s="3243"/>
      <c r="K19" s="3243"/>
      <c r="L19" s="3243"/>
      <c r="M19" s="3243"/>
      <c r="N19" s="3243"/>
      <c r="O19" s="3243"/>
      <c r="P19" s="3243"/>
    </row>
    <row r="20" spans="1:16" s="2206" customFormat="1" ht="27" customHeight="1">
      <c r="A20" s="3242"/>
      <c r="B20" s="2223"/>
      <c r="C20" s="2224"/>
      <c r="D20" s="2277" t="s">
        <v>2360</v>
      </c>
      <c r="E20" s="2224"/>
      <c r="F20" s="2300">
        <f xml:space="preserve"> ((22.72*2.7)*0.8)*0.6</f>
        <v>29.445119999999999</v>
      </c>
      <c r="G20" s="124"/>
      <c r="H20" s="2226"/>
      <c r="I20" s="2297"/>
    </row>
    <row r="21" spans="1:16" s="2206" customFormat="1" ht="27" customHeight="1">
      <c r="A21" s="3242"/>
      <c r="B21" s="2223"/>
      <c r="C21" s="2224"/>
      <c r="D21" s="2277" t="s">
        <v>2361</v>
      </c>
      <c r="E21" s="2224"/>
      <c r="F21" s="2300">
        <f>((10.26*2.7)*0.8)*0.6</f>
        <v>13.296960000000002</v>
      </c>
      <c r="G21" s="124"/>
      <c r="H21" s="2226"/>
      <c r="I21" s="2297"/>
    </row>
    <row r="22" spans="1:16" s="2206" customFormat="1" ht="13.5" customHeight="1">
      <c r="A22" s="3242"/>
      <c r="B22" s="2223"/>
      <c r="C22" s="2224"/>
      <c r="D22" s="2277" t="s">
        <v>2362</v>
      </c>
      <c r="E22" s="2224"/>
      <c r="F22" s="2300">
        <f>((80.92*1.5)*0.8)*0.6</f>
        <v>58.2624</v>
      </c>
      <c r="G22" s="124"/>
      <c r="H22" s="2226"/>
      <c r="I22" s="2297"/>
      <c r="J22" s="3243"/>
      <c r="K22" s="3243"/>
      <c r="L22" s="3243"/>
      <c r="M22" s="3243"/>
      <c r="N22" s="3243"/>
      <c r="O22" s="3243"/>
      <c r="P22" s="3243"/>
    </row>
    <row r="23" spans="1:16" s="2206" customFormat="1" ht="27" customHeight="1">
      <c r="A23" s="3242"/>
      <c r="B23" s="2223"/>
      <c r="C23" s="2224"/>
      <c r="D23" s="2277" t="s">
        <v>2363</v>
      </c>
      <c r="E23" s="2224"/>
      <c r="F23" s="2300"/>
      <c r="G23" s="124"/>
      <c r="H23" s="2226"/>
      <c r="I23" s="2297"/>
    </row>
    <row r="24" spans="1:16" s="2206" customFormat="1" ht="27" customHeight="1">
      <c r="A24" s="3242"/>
      <c r="B24" s="2223"/>
      <c r="C24" s="2224"/>
      <c r="D24" s="2277" t="s">
        <v>2364</v>
      </c>
      <c r="E24" s="2224"/>
      <c r="F24" s="2300"/>
      <c r="G24" s="124"/>
      <c r="H24" s="2226"/>
      <c r="I24" s="2297"/>
    </row>
    <row r="25" spans="1:16" s="2206" customFormat="1" ht="13.5" customHeight="1">
      <c r="A25" s="3236">
        <v>9</v>
      </c>
      <c r="B25" s="3237" t="s">
        <v>135</v>
      </c>
      <c r="C25" s="3237">
        <v>139712111</v>
      </c>
      <c r="D25" s="3237" t="s">
        <v>2365</v>
      </c>
      <c r="E25" s="3237" t="s">
        <v>146</v>
      </c>
      <c r="F25" s="3238">
        <f>SUM(F27:F30)</f>
        <v>80.987520000000018</v>
      </c>
      <c r="G25" s="105"/>
      <c r="H25" s="2266">
        <f>F25*G25</f>
        <v>0</v>
      </c>
      <c r="I25" s="2228" t="s">
        <v>1801</v>
      </c>
      <c r="J25" s="3241"/>
    </row>
    <row r="26" spans="1:16" s="2206" customFormat="1" ht="27" customHeight="1">
      <c r="A26" s="3242"/>
      <c r="B26" s="2223"/>
      <c r="C26" s="2224"/>
      <c r="D26" s="2277" t="s">
        <v>2366</v>
      </c>
      <c r="E26" s="2224"/>
      <c r="F26" s="2300"/>
      <c r="G26" s="124"/>
      <c r="H26" s="2226"/>
      <c r="I26" s="2297"/>
    </row>
    <row r="27" spans="1:16" s="2206" customFormat="1" ht="13.5" customHeight="1">
      <c r="A27" s="3242"/>
      <c r="B27" s="2223"/>
      <c r="C27" s="2224"/>
      <c r="D27" s="2277" t="s">
        <v>2367</v>
      </c>
      <c r="E27" s="2224"/>
      <c r="F27" s="2300">
        <f>((28.44*1.5)*0.8)*0.4</f>
        <v>13.651200000000003</v>
      </c>
      <c r="G27" s="124"/>
      <c r="H27" s="2226"/>
      <c r="I27" s="2297"/>
      <c r="J27" s="3243"/>
      <c r="K27" s="3243"/>
      <c r="L27" s="3243"/>
      <c r="M27" s="3243"/>
      <c r="N27" s="3243"/>
      <c r="O27" s="3243"/>
      <c r="P27" s="3243"/>
    </row>
    <row r="28" spans="1:16" s="2206" customFormat="1" ht="27" customHeight="1">
      <c r="A28" s="3242"/>
      <c r="B28" s="2223"/>
      <c r="C28" s="2224"/>
      <c r="D28" s="2277" t="s">
        <v>2368</v>
      </c>
      <c r="E28" s="2224"/>
      <c r="F28" s="2300">
        <f xml:space="preserve"> ((22.72*2.7)*0.8)*0.4</f>
        <v>19.630080000000003</v>
      </c>
      <c r="G28" s="124"/>
      <c r="H28" s="2226"/>
      <c r="I28" s="2297"/>
    </row>
    <row r="29" spans="1:16" s="2206" customFormat="1" ht="27" customHeight="1">
      <c r="A29" s="3242"/>
      <c r="B29" s="2223"/>
      <c r="C29" s="2224"/>
      <c r="D29" s="2277" t="s">
        <v>2369</v>
      </c>
      <c r="E29" s="2224"/>
      <c r="F29" s="2300">
        <f>((10.26*2.7)*0.8)*0.4</f>
        <v>8.8646400000000014</v>
      </c>
      <c r="G29" s="124"/>
      <c r="H29" s="2226"/>
      <c r="I29" s="2297"/>
    </row>
    <row r="30" spans="1:16" s="2206" customFormat="1" ht="13.5" customHeight="1">
      <c r="A30" s="3242"/>
      <c r="B30" s="2223"/>
      <c r="C30" s="2224"/>
      <c r="D30" s="2277" t="s">
        <v>2370</v>
      </c>
      <c r="E30" s="2224"/>
      <c r="F30" s="2300">
        <f>((80.92*1.5)*0.8)*0.4</f>
        <v>38.8416</v>
      </c>
      <c r="G30" s="124"/>
      <c r="H30" s="2226"/>
      <c r="I30" s="2297"/>
      <c r="J30" s="3243"/>
      <c r="K30" s="3243"/>
      <c r="L30" s="3243"/>
      <c r="M30" s="3243"/>
      <c r="N30" s="3243"/>
      <c r="O30" s="3243"/>
      <c r="P30" s="3243"/>
    </row>
    <row r="31" spans="1:16" s="2206" customFormat="1" ht="27" customHeight="1">
      <c r="A31" s="3242"/>
      <c r="B31" s="2223"/>
      <c r="C31" s="2224"/>
      <c r="D31" s="2277" t="s">
        <v>2363</v>
      </c>
      <c r="E31" s="2224"/>
      <c r="F31" s="2300"/>
      <c r="G31" s="124"/>
      <c r="H31" s="2226"/>
      <c r="I31" s="2297"/>
    </row>
    <row r="32" spans="1:16" s="612" customFormat="1" ht="13.5" customHeight="1">
      <c r="A32" s="2263">
        <v>10</v>
      </c>
      <c r="B32" s="2264" t="s">
        <v>135</v>
      </c>
      <c r="C32" s="2264">
        <v>151101101</v>
      </c>
      <c r="D32" s="2264" t="s">
        <v>2371</v>
      </c>
      <c r="E32" s="2264" t="s">
        <v>163</v>
      </c>
      <c r="F32" s="2299">
        <f>SUM(F34:F35)</f>
        <v>164.04</v>
      </c>
      <c r="G32" s="105"/>
      <c r="H32" s="2266">
        <f>F32*G32</f>
        <v>0</v>
      </c>
      <c r="I32" s="2228" t="s">
        <v>1801</v>
      </c>
    </row>
    <row r="33" spans="1:16" s="612" customFormat="1" ht="13.5" customHeight="1">
      <c r="A33" s="2263"/>
      <c r="B33" s="2264"/>
      <c r="C33" s="2269"/>
      <c r="D33" s="2269" t="s">
        <v>2372</v>
      </c>
      <c r="E33" s="2269"/>
      <c r="F33" s="2303"/>
      <c r="G33" s="158"/>
      <c r="H33" s="2310"/>
      <c r="I33" s="2228"/>
    </row>
    <row r="34" spans="1:16" s="2206" customFormat="1" ht="13.5" customHeight="1">
      <c r="A34" s="3242"/>
      <c r="B34" s="2223"/>
      <c r="C34" s="2224"/>
      <c r="D34" s="2277" t="s">
        <v>2373</v>
      </c>
      <c r="E34" s="2224"/>
      <c r="F34" s="2300">
        <f>((28.44*1.5)*2)*0.5</f>
        <v>42.660000000000004</v>
      </c>
      <c r="G34" s="124"/>
      <c r="H34" s="2226"/>
      <c r="I34" s="2297"/>
      <c r="J34" s="3243"/>
      <c r="K34" s="3243"/>
      <c r="L34" s="3243"/>
      <c r="M34" s="3243"/>
      <c r="N34" s="3243"/>
      <c r="O34" s="3243"/>
      <c r="P34" s="3243"/>
    </row>
    <row r="35" spans="1:16" s="2206" customFormat="1" ht="13.5" customHeight="1">
      <c r="A35" s="3242"/>
      <c r="B35" s="2223"/>
      <c r="C35" s="2224"/>
      <c r="D35" s="2277" t="s">
        <v>2374</v>
      </c>
      <c r="E35" s="2224"/>
      <c r="F35" s="2300">
        <f>((80.92*1.5)*2)*0.5</f>
        <v>121.38</v>
      </c>
      <c r="G35" s="124"/>
      <c r="H35" s="2226"/>
      <c r="I35" s="2297"/>
      <c r="J35" s="3243"/>
      <c r="K35" s="3243"/>
      <c r="L35" s="3243"/>
      <c r="M35" s="3243"/>
      <c r="N35" s="3243"/>
      <c r="O35" s="3243"/>
      <c r="P35" s="3243"/>
    </row>
    <row r="36" spans="1:16" s="612" customFormat="1" ht="13.5" customHeight="1">
      <c r="A36" s="2263">
        <v>11</v>
      </c>
      <c r="B36" s="2264" t="s">
        <v>135</v>
      </c>
      <c r="C36" s="2264">
        <v>151101102</v>
      </c>
      <c r="D36" s="2264" t="s">
        <v>2375</v>
      </c>
      <c r="E36" s="2264" t="s">
        <v>163</v>
      </c>
      <c r="F36" s="2299">
        <f>SUM(F38:F39)</f>
        <v>89.046000000000006</v>
      </c>
      <c r="G36" s="105"/>
      <c r="H36" s="2266">
        <f>F36*G36</f>
        <v>0</v>
      </c>
      <c r="I36" s="2228" t="s">
        <v>1801</v>
      </c>
    </row>
    <row r="37" spans="1:16" s="612" customFormat="1" ht="13.5" customHeight="1">
      <c r="A37" s="2263"/>
      <c r="B37" s="2264"/>
      <c r="C37" s="2269"/>
      <c r="D37" s="2269" t="s">
        <v>2372</v>
      </c>
      <c r="E37" s="2269"/>
      <c r="F37" s="2303"/>
      <c r="G37" s="158"/>
      <c r="H37" s="2310"/>
      <c r="I37" s="2228"/>
    </row>
    <row r="38" spans="1:16" s="2206" customFormat="1" ht="27" customHeight="1">
      <c r="A38" s="3242"/>
      <c r="B38" s="2223"/>
      <c r="C38" s="2224"/>
      <c r="D38" s="2277" t="s">
        <v>2376</v>
      </c>
      <c r="E38" s="2224"/>
      <c r="F38" s="2300">
        <f xml:space="preserve"> ((22.72*2.7)*2)*0.5</f>
        <v>61.344000000000001</v>
      </c>
      <c r="G38" s="124"/>
      <c r="H38" s="2226"/>
      <c r="I38" s="2297"/>
    </row>
    <row r="39" spans="1:16" s="2206" customFormat="1" ht="27" customHeight="1">
      <c r="A39" s="3242"/>
      <c r="B39" s="2223"/>
      <c r="C39" s="2224"/>
      <c r="D39" s="2277" t="s">
        <v>2377</v>
      </c>
      <c r="E39" s="2224"/>
      <c r="F39" s="2300">
        <f>((10.26*2.7)*2)*0.5</f>
        <v>27.702000000000002</v>
      </c>
      <c r="G39" s="124"/>
      <c r="H39" s="2226"/>
      <c r="I39" s="2297"/>
    </row>
    <row r="40" spans="1:16" s="612" customFormat="1" ht="13.5" customHeight="1">
      <c r="A40" s="2263">
        <v>12</v>
      </c>
      <c r="B40" s="2264" t="s">
        <v>135</v>
      </c>
      <c r="C40" s="2264">
        <v>151101111</v>
      </c>
      <c r="D40" s="2264" t="s">
        <v>2378</v>
      </c>
      <c r="E40" s="2264" t="s">
        <v>163</v>
      </c>
      <c r="F40" s="2299">
        <f>F32</f>
        <v>164.04</v>
      </c>
      <c r="G40" s="105"/>
      <c r="H40" s="2266">
        <f>F40*G40</f>
        <v>0</v>
      </c>
      <c r="I40" s="2228" t="s">
        <v>1801</v>
      </c>
    </row>
    <row r="41" spans="1:16" s="612" customFormat="1" ht="13.5" customHeight="1">
      <c r="A41" s="2263">
        <v>13</v>
      </c>
      <c r="B41" s="2264" t="s">
        <v>135</v>
      </c>
      <c r="C41" s="2264">
        <v>151101112</v>
      </c>
      <c r="D41" s="2264" t="s">
        <v>2379</v>
      </c>
      <c r="E41" s="2264" t="s">
        <v>163</v>
      </c>
      <c r="F41" s="2299">
        <f>F36</f>
        <v>89.046000000000006</v>
      </c>
      <c r="G41" s="105"/>
      <c r="H41" s="2266">
        <f>F41*G41</f>
        <v>0</v>
      </c>
      <c r="I41" s="2228" t="s">
        <v>1801</v>
      </c>
    </row>
    <row r="42" spans="1:16" s="612" customFormat="1" ht="22.5">
      <c r="A42" s="2263">
        <v>14</v>
      </c>
      <c r="B42" s="2264" t="s">
        <v>135</v>
      </c>
      <c r="C42" s="2264">
        <v>162211201</v>
      </c>
      <c r="D42" s="2264" t="s">
        <v>2380</v>
      </c>
      <c r="E42" s="2264" t="s">
        <v>146</v>
      </c>
      <c r="F42" s="2299">
        <f>F43</f>
        <v>121.48</v>
      </c>
      <c r="G42" s="105"/>
      <c r="H42" s="2266">
        <f>F42*G42</f>
        <v>0</v>
      </c>
      <c r="I42" s="2228" t="s">
        <v>1801</v>
      </c>
    </row>
    <row r="43" spans="1:16" s="612" customFormat="1" ht="13.5" customHeight="1">
      <c r="A43" s="2263"/>
      <c r="B43" s="2264"/>
      <c r="C43" s="2269"/>
      <c r="D43" s="2269" t="s">
        <v>2381</v>
      </c>
      <c r="E43" s="2269"/>
      <c r="F43" s="2303">
        <v>121.48</v>
      </c>
      <c r="G43" s="158"/>
      <c r="H43" s="2310"/>
      <c r="I43" s="2228"/>
      <c r="J43" s="2206"/>
    </row>
    <row r="44" spans="1:16" s="612" customFormat="1" ht="13.5" customHeight="1">
      <c r="A44" s="2263"/>
      <c r="B44" s="2264"/>
      <c r="C44" s="2269"/>
      <c r="D44" s="2269" t="s">
        <v>2382</v>
      </c>
      <c r="E44" s="2269"/>
      <c r="F44" s="2303"/>
      <c r="G44" s="158"/>
      <c r="H44" s="2310"/>
      <c r="I44" s="2228"/>
    </row>
    <row r="45" spans="1:16" s="612" customFormat="1" ht="13.5" customHeight="1">
      <c r="A45" s="2263"/>
      <c r="B45" s="2264"/>
      <c r="C45" s="2269"/>
      <c r="D45" s="2269" t="s">
        <v>2383</v>
      </c>
      <c r="E45" s="2269"/>
      <c r="F45" s="2303"/>
      <c r="G45" s="158"/>
      <c r="H45" s="2310"/>
      <c r="I45" s="2228"/>
    </row>
    <row r="46" spans="1:16" s="612" customFormat="1" ht="22.5">
      <c r="A46" s="2263">
        <v>15</v>
      </c>
      <c r="B46" s="2264" t="s">
        <v>135</v>
      </c>
      <c r="C46" s="2264">
        <v>162211211</v>
      </c>
      <c r="D46" s="2264" t="s">
        <v>2384</v>
      </c>
      <c r="E46" s="2264" t="s">
        <v>146</v>
      </c>
      <c r="F46" s="2299">
        <f>F47</f>
        <v>80.989999999999995</v>
      </c>
      <c r="G46" s="105"/>
      <c r="H46" s="2266">
        <f>F46*G46</f>
        <v>0</v>
      </c>
      <c r="I46" s="2228" t="s">
        <v>1801</v>
      </c>
    </row>
    <row r="47" spans="1:16" s="612" customFormat="1" ht="13.5" customHeight="1">
      <c r="A47" s="2263"/>
      <c r="B47" s="2264"/>
      <c r="C47" s="2269"/>
      <c r="D47" s="2269" t="s">
        <v>2385</v>
      </c>
      <c r="E47" s="2269"/>
      <c r="F47" s="2303">
        <v>80.989999999999995</v>
      </c>
      <c r="G47" s="158"/>
      <c r="H47" s="2310"/>
      <c r="I47" s="2228"/>
    </row>
    <row r="48" spans="1:16" s="612" customFormat="1" ht="13.5" customHeight="1">
      <c r="A48" s="2263"/>
      <c r="B48" s="2264"/>
      <c r="C48" s="2269"/>
      <c r="D48" s="2269" t="s">
        <v>2382</v>
      </c>
      <c r="E48" s="2269"/>
      <c r="F48" s="2303"/>
      <c r="G48" s="158"/>
      <c r="H48" s="2310"/>
      <c r="I48" s="2228"/>
    </row>
    <row r="49" spans="1:256" s="612" customFormat="1" ht="13.5" customHeight="1">
      <c r="A49" s="2263"/>
      <c r="B49" s="2264"/>
      <c r="C49" s="2269"/>
      <c r="D49" s="2269" t="s">
        <v>2383</v>
      </c>
      <c r="E49" s="2269"/>
      <c r="F49" s="2303"/>
      <c r="G49" s="158"/>
      <c r="H49" s="2310"/>
      <c r="I49" s="2228"/>
    </row>
    <row r="50" spans="1:256" s="612" customFormat="1" ht="27" customHeight="1">
      <c r="A50" s="2263">
        <v>16</v>
      </c>
      <c r="B50" s="2264" t="s">
        <v>135</v>
      </c>
      <c r="C50" s="2264">
        <v>162211209</v>
      </c>
      <c r="D50" s="2264" t="s">
        <v>2386</v>
      </c>
      <c r="E50" s="2264" t="s">
        <v>146</v>
      </c>
      <c r="F50" s="2299">
        <f>F51</f>
        <v>1093.32</v>
      </c>
      <c r="G50" s="105"/>
      <c r="H50" s="2266">
        <f>F50*G50</f>
        <v>0</v>
      </c>
      <c r="I50" s="2228" t="s">
        <v>1801</v>
      </c>
    </row>
    <row r="51" spans="1:256" s="612" customFormat="1" ht="13.5" customHeight="1">
      <c r="A51" s="2263"/>
      <c r="B51" s="2264"/>
      <c r="C51" s="2269"/>
      <c r="D51" s="2269" t="s">
        <v>2387</v>
      </c>
      <c r="E51" s="2269"/>
      <c r="F51" s="2303">
        <f>(121.48)*9</f>
        <v>1093.32</v>
      </c>
      <c r="G51" s="158"/>
      <c r="H51" s="2310"/>
      <c r="I51" s="2228"/>
    </row>
    <row r="52" spans="1:256" s="612" customFormat="1" ht="27" customHeight="1">
      <c r="A52" s="2263"/>
      <c r="B52" s="2264"/>
      <c r="C52" s="2269"/>
      <c r="D52" s="2269" t="s">
        <v>2388</v>
      </c>
      <c r="E52" s="2269"/>
      <c r="F52" s="2303"/>
      <c r="G52" s="158"/>
      <c r="H52" s="2310"/>
      <c r="I52" s="2228"/>
    </row>
    <row r="53" spans="1:256" s="612" customFormat="1" ht="27" customHeight="1">
      <c r="A53" s="2263">
        <v>17</v>
      </c>
      <c r="B53" s="2264" t="s">
        <v>135</v>
      </c>
      <c r="C53" s="2264">
        <v>162211219</v>
      </c>
      <c r="D53" s="2264" t="s">
        <v>2389</v>
      </c>
      <c r="E53" s="2264" t="s">
        <v>146</v>
      </c>
      <c r="F53" s="2299">
        <f>F54</f>
        <v>728.91</v>
      </c>
      <c r="G53" s="105"/>
      <c r="H53" s="2266">
        <f>F53*G53</f>
        <v>0</v>
      </c>
      <c r="I53" s="2228" t="s">
        <v>1801</v>
      </c>
    </row>
    <row r="54" spans="1:256" s="612" customFormat="1" ht="13.5" customHeight="1">
      <c r="A54" s="2263"/>
      <c r="B54" s="2264"/>
      <c r="C54" s="2269"/>
      <c r="D54" s="2269" t="s">
        <v>2390</v>
      </c>
      <c r="E54" s="2269"/>
      <c r="F54" s="2303">
        <f>(80.99)*9</f>
        <v>728.91</v>
      </c>
      <c r="G54" s="158"/>
      <c r="H54" s="2310"/>
      <c r="I54" s="2228"/>
    </row>
    <row r="55" spans="1:256" s="612" customFormat="1" ht="27" customHeight="1">
      <c r="A55" s="2263"/>
      <c r="B55" s="2264"/>
      <c r="C55" s="2269"/>
      <c r="D55" s="2269" t="s">
        <v>2388</v>
      </c>
      <c r="E55" s="2269"/>
      <c r="F55" s="2303"/>
      <c r="G55" s="158"/>
      <c r="H55" s="2310"/>
      <c r="I55" s="2228"/>
    </row>
    <row r="56" spans="1:256" s="2206" customFormat="1" ht="13.5" customHeight="1">
      <c r="A56" s="3236">
        <v>18</v>
      </c>
      <c r="B56" s="3237" t="s">
        <v>135</v>
      </c>
      <c r="C56" s="2264">
        <v>174111102</v>
      </c>
      <c r="D56" s="2264" t="s">
        <v>172</v>
      </c>
      <c r="E56" s="3237" t="s">
        <v>146</v>
      </c>
      <c r="F56" s="3238">
        <f>SUM(F57)</f>
        <v>139.85399999999998</v>
      </c>
      <c r="G56" s="105"/>
      <c r="H56" s="2266">
        <f>F56*G56</f>
        <v>0</v>
      </c>
      <c r="I56" s="2228" t="s">
        <v>1801</v>
      </c>
      <c r="J56" s="3241"/>
    </row>
    <row r="57" spans="1:256" s="2206" customFormat="1" ht="27" customHeight="1">
      <c r="A57" s="3236"/>
      <c r="B57" s="3237"/>
      <c r="C57" s="2264"/>
      <c r="D57" s="2230" t="s">
        <v>2391</v>
      </c>
      <c r="E57" s="3237"/>
      <c r="F57" s="2303">
        <f>(22.75*0.95)+(18.18*2.15)+(8.21*2.15)+(64.74*0.95)</f>
        <v>139.85399999999998</v>
      </c>
      <c r="G57" s="105"/>
      <c r="H57" s="2266"/>
      <c r="I57" s="2228"/>
      <c r="J57" s="3241"/>
    </row>
    <row r="58" spans="1:256" s="2206" customFormat="1" ht="13.5" customHeight="1">
      <c r="A58" s="3236">
        <v>19</v>
      </c>
      <c r="B58" s="3237" t="s">
        <v>135</v>
      </c>
      <c r="C58" s="2264">
        <v>175111101</v>
      </c>
      <c r="D58" s="2264" t="s">
        <v>2392</v>
      </c>
      <c r="E58" s="3237" t="s">
        <v>146</v>
      </c>
      <c r="F58" s="3238">
        <f>SUM(F60:F60)</f>
        <v>45.548000000000002</v>
      </c>
      <c r="G58" s="105"/>
      <c r="H58" s="2266">
        <f>F58*G58</f>
        <v>0</v>
      </c>
      <c r="I58" s="2228" t="s">
        <v>1801</v>
      </c>
      <c r="J58" s="3241"/>
    </row>
    <row r="59" spans="1:256" s="612" customFormat="1" ht="13.5" customHeight="1">
      <c r="A59" s="2263"/>
      <c r="B59" s="2264"/>
      <c r="C59" s="2269"/>
      <c r="D59" s="2269" t="s">
        <v>2393</v>
      </c>
      <c r="E59" s="2269"/>
      <c r="F59" s="2303"/>
      <c r="G59" s="158"/>
      <c r="H59" s="2310"/>
      <c r="I59" s="2228"/>
    </row>
    <row r="60" spans="1:256" s="604" customFormat="1" ht="27" customHeight="1">
      <c r="A60" s="2576"/>
      <c r="B60" s="2577"/>
      <c r="C60" s="2582"/>
      <c r="D60" s="2230" t="s">
        <v>2394</v>
      </c>
      <c r="E60" s="2269"/>
      <c r="F60" s="2303">
        <f>113.87*0.4</f>
        <v>45.548000000000002</v>
      </c>
      <c r="G60" s="3"/>
      <c r="H60" s="2580"/>
      <c r="I60" s="2581"/>
      <c r="J60" s="606"/>
      <c r="K60" s="3244"/>
      <c r="Q60" s="3241"/>
      <c r="U60" s="605"/>
      <c r="W60" s="605"/>
    </row>
    <row r="61" spans="1:256" s="2206" customFormat="1" ht="13.5" customHeight="1">
      <c r="A61" s="3245">
        <v>20</v>
      </c>
      <c r="B61" s="3246">
        <v>583</v>
      </c>
      <c r="C61" s="3247">
        <v>58343872</v>
      </c>
      <c r="D61" s="3247" t="s">
        <v>2395</v>
      </c>
      <c r="E61" s="3246" t="s">
        <v>175</v>
      </c>
      <c r="F61" s="3248">
        <f>SUM(F62:F62)</f>
        <v>91.1</v>
      </c>
      <c r="G61" s="197"/>
      <c r="H61" s="3249">
        <f>F61*G61</f>
        <v>0</v>
      </c>
      <c r="I61" s="3250" t="s">
        <v>137</v>
      </c>
    </row>
    <row r="62" spans="1:256" s="604" customFormat="1" ht="27" customHeight="1">
      <c r="A62" s="3251"/>
      <c r="B62" s="3252"/>
      <c r="C62" s="3253"/>
      <c r="D62" s="3254" t="s">
        <v>2396</v>
      </c>
      <c r="E62" s="3255"/>
      <c r="F62" s="3256">
        <f>(45.55)*2</f>
        <v>91.1</v>
      </c>
      <c r="G62" s="198"/>
      <c r="H62" s="3257"/>
      <c r="I62" s="3258"/>
      <c r="J62" s="606"/>
      <c r="U62" s="605"/>
      <c r="W62" s="605"/>
    </row>
    <row r="63" spans="1:256" s="753" customFormat="1" ht="27" customHeight="1">
      <c r="A63" s="3259">
        <v>21</v>
      </c>
      <c r="B63" s="3260" t="s">
        <v>135</v>
      </c>
      <c r="C63" s="3261" t="s">
        <v>180</v>
      </c>
      <c r="D63" s="3261" t="s">
        <v>6332</v>
      </c>
      <c r="E63" s="3261" t="s">
        <v>146</v>
      </c>
      <c r="F63" s="3262">
        <f>F65+F68</f>
        <v>62.616000000000014</v>
      </c>
      <c r="G63" s="3263">
        <f>SUM(H71:H78)/F63</f>
        <v>0</v>
      </c>
      <c r="H63" s="3263">
        <f>F63*G63</f>
        <v>0</v>
      </c>
      <c r="I63" s="3264" t="s">
        <v>112</v>
      </c>
      <c r="J63" s="752"/>
      <c r="L63" s="754"/>
      <c r="M63" s="754"/>
      <c r="N63" s="754"/>
      <c r="O63" s="754"/>
      <c r="P63" s="754"/>
      <c r="Q63" s="754"/>
      <c r="R63" s="754"/>
      <c r="S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c r="CB63" s="754"/>
      <c r="CC63" s="754"/>
      <c r="CD63" s="754"/>
      <c r="CE63" s="754"/>
      <c r="CF63" s="754"/>
      <c r="CG63" s="754"/>
      <c r="CH63" s="754"/>
      <c r="CI63" s="754"/>
      <c r="CJ63" s="754"/>
      <c r="CK63" s="754"/>
      <c r="CL63" s="754"/>
      <c r="CM63" s="754"/>
      <c r="CN63" s="754"/>
      <c r="CO63" s="754"/>
      <c r="CP63" s="754"/>
      <c r="CQ63" s="754"/>
      <c r="CR63" s="754"/>
      <c r="CS63" s="754"/>
      <c r="CT63" s="754"/>
      <c r="CU63" s="754"/>
      <c r="CV63" s="754"/>
      <c r="CW63" s="754"/>
      <c r="CX63" s="754"/>
      <c r="CY63" s="754"/>
      <c r="CZ63" s="754"/>
      <c r="DA63" s="754"/>
      <c r="DB63" s="754"/>
      <c r="DC63" s="754"/>
      <c r="DD63" s="754"/>
      <c r="DE63" s="754"/>
      <c r="DF63" s="754"/>
      <c r="DG63" s="754"/>
      <c r="DH63" s="754"/>
      <c r="DI63" s="754"/>
      <c r="DJ63" s="754"/>
      <c r="DK63" s="754"/>
      <c r="DL63" s="754"/>
      <c r="DM63" s="754"/>
      <c r="DN63" s="754"/>
      <c r="DO63" s="754"/>
      <c r="DP63" s="754"/>
      <c r="DQ63" s="754"/>
      <c r="DR63" s="754"/>
      <c r="DS63" s="754"/>
      <c r="DT63" s="754"/>
      <c r="DU63" s="754"/>
      <c r="DV63" s="754"/>
      <c r="DW63" s="754"/>
      <c r="DX63" s="754"/>
      <c r="DY63" s="754"/>
      <c r="DZ63" s="754"/>
      <c r="EA63" s="754"/>
      <c r="EB63" s="754"/>
      <c r="EC63" s="754"/>
      <c r="ED63" s="754"/>
      <c r="EE63" s="754"/>
      <c r="EF63" s="754"/>
      <c r="EG63" s="754"/>
      <c r="EH63" s="754"/>
      <c r="EI63" s="754"/>
      <c r="EJ63" s="754"/>
      <c r="EK63" s="754"/>
      <c r="EL63" s="754"/>
      <c r="EM63" s="754"/>
      <c r="EN63" s="754"/>
      <c r="EO63" s="754"/>
      <c r="EP63" s="754"/>
      <c r="EQ63" s="754"/>
      <c r="ER63" s="754"/>
      <c r="ES63" s="754"/>
      <c r="ET63" s="754"/>
      <c r="EU63" s="754"/>
      <c r="EV63" s="754"/>
      <c r="EW63" s="754"/>
      <c r="EX63" s="754"/>
      <c r="EY63" s="754"/>
      <c r="EZ63" s="754"/>
      <c r="FA63" s="754"/>
      <c r="FB63" s="754"/>
      <c r="FC63" s="754"/>
      <c r="FD63" s="754"/>
      <c r="FE63" s="754"/>
      <c r="FF63" s="754"/>
      <c r="FG63" s="754"/>
      <c r="FH63" s="754"/>
      <c r="FI63" s="754"/>
      <c r="FJ63" s="754"/>
      <c r="FK63" s="754"/>
      <c r="FL63" s="754"/>
      <c r="FM63" s="754"/>
      <c r="FN63" s="754"/>
      <c r="FO63" s="754"/>
      <c r="FP63" s="754"/>
      <c r="FQ63" s="754"/>
      <c r="FR63" s="754"/>
      <c r="FS63" s="754"/>
      <c r="FT63" s="754"/>
      <c r="FU63" s="754"/>
      <c r="FV63" s="754"/>
      <c r="FW63" s="754"/>
      <c r="FX63" s="754"/>
      <c r="FY63" s="754"/>
      <c r="FZ63" s="754"/>
      <c r="GA63" s="754"/>
      <c r="GB63" s="754"/>
      <c r="GC63" s="754"/>
      <c r="GD63" s="754"/>
      <c r="GE63" s="754"/>
      <c r="GF63" s="754"/>
      <c r="GG63" s="754"/>
      <c r="GH63" s="754"/>
      <c r="GI63" s="754"/>
      <c r="GJ63" s="754"/>
      <c r="GK63" s="754"/>
      <c r="GL63" s="754"/>
      <c r="GM63" s="754"/>
      <c r="GN63" s="754"/>
      <c r="GO63" s="754"/>
      <c r="GP63" s="754"/>
      <c r="GQ63" s="754"/>
      <c r="GR63" s="754"/>
      <c r="GS63" s="754"/>
      <c r="GT63" s="754"/>
      <c r="GU63" s="754"/>
      <c r="GV63" s="754"/>
      <c r="GW63" s="754"/>
      <c r="GX63" s="754"/>
      <c r="GY63" s="754"/>
      <c r="GZ63" s="754"/>
      <c r="HA63" s="754"/>
      <c r="HB63" s="754"/>
      <c r="HC63" s="754"/>
      <c r="HD63" s="754"/>
      <c r="HE63" s="754"/>
      <c r="HF63" s="754"/>
      <c r="HG63" s="754"/>
      <c r="HH63" s="754"/>
      <c r="HI63" s="754"/>
      <c r="HJ63" s="754"/>
      <c r="HK63" s="754"/>
      <c r="HL63" s="754"/>
      <c r="HM63" s="754"/>
      <c r="HN63" s="754"/>
      <c r="HO63" s="754"/>
      <c r="HP63" s="754"/>
      <c r="HQ63" s="754"/>
      <c r="HR63" s="754"/>
      <c r="HS63" s="754"/>
      <c r="HT63" s="754"/>
      <c r="HU63" s="754"/>
      <c r="HV63" s="754"/>
      <c r="HW63" s="754"/>
      <c r="HX63" s="754"/>
      <c r="HY63" s="754"/>
      <c r="HZ63" s="754"/>
      <c r="IA63" s="754"/>
      <c r="IB63" s="754"/>
      <c r="IC63" s="754"/>
      <c r="ID63" s="754"/>
      <c r="IE63" s="754"/>
      <c r="IF63" s="754"/>
      <c r="IG63" s="754"/>
      <c r="IH63" s="754"/>
      <c r="II63" s="754"/>
      <c r="IJ63" s="754"/>
      <c r="IK63" s="754"/>
      <c r="IL63" s="754"/>
      <c r="IM63" s="754"/>
      <c r="IN63" s="754"/>
      <c r="IO63" s="754"/>
      <c r="IP63" s="754"/>
      <c r="IQ63" s="754"/>
      <c r="IR63" s="754"/>
      <c r="IS63" s="754"/>
      <c r="IT63" s="754"/>
      <c r="IU63" s="754"/>
      <c r="IV63" s="754"/>
    </row>
    <row r="64" spans="1:256" s="753" customFormat="1" ht="13.5" customHeight="1">
      <c r="A64" s="3265"/>
      <c r="B64" s="3260"/>
      <c r="C64" s="3261"/>
      <c r="D64" s="3266" t="s">
        <v>181</v>
      </c>
      <c r="E64" s="3261"/>
      <c r="F64" s="3262"/>
      <c r="G64" s="199"/>
      <c r="H64" s="3263"/>
      <c r="I64" s="3264"/>
      <c r="J64" s="752"/>
      <c r="L64" s="754"/>
      <c r="M64" s="754"/>
      <c r="N64" s="754"/>
      <c r="O64" s="754"/>
      <c r="P64" s="754"/>
      <c r="Q64" s="754"/>
      <c r="R64" s="754"/>
      <c r="S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c r="CB64" s="754"/>
      <c r="CC64" s="754"/>
      <c r="CD64" s="754"/>
      <c r="CE64" s="754"/>
      <c r="CF64" s="754"/>
      <c r="CG64" s="754"/>
      <c r="CH64" s="754"/>
      <c r="CI64" s="754"/>
      <c r="CJ64" s="754"/>
      <c r="CK64" s="754"/>
      <c r="CL64" s="754"/>
      <c r="CM64" s="754"/>
      <c r="CN64" s="754"/>
      <c r="CO64" s="754"/>
      <c r="CP64" s="754"/>
      <c r="CQ64" s="754"/>
      <c r="CR64" s="754"/>
      <c r="CS64" s="754"/>
      <c r="CT64" s="754"/>
      <c r="CU64" s="754"/>
      <c r="CV64" s="754"/>
      <c r="CW64" s="754"/>
      <c r="CX64" s="754"/>
      <c r="CY64" s="754"/>
      <c r="CZ64" s="754"/>
      <c r="DA64" s="754"/>
      <c r="DB64" s="754"/>
      <c r="DC64" s="754"/>
      <c r="DD64" s="754"/>
      <c r="DE64" s="754"/>
      <c r="DF64" s="754"/>
      <c r="DG64" s="754"/>
      <c r="DH64" s="754"/>
      <c r="DI64" s="754"/>
      <c r="DJ64" s="754"/>
      <c r="DK64" s="754"/>
      <c r="DL64" s="754"/>
      <c r="DM64" s="754"/>
      <c r="DN64" s="754"/>
      <c r="DO64" s="754"/>
      <c r="DP64" s="754"/>
      <c r="DQ64" s="754"/>
      <c r="DR64" s="754"/>
      <c r="DS64" s="754"/>
      <c r="DT64" s="754"/>
      <c r="DU64" s="754"/>
      <c r="DV64" s="754"/>
      <c r="DW64" s="754"/>
      <c r="DX64" s="754"/>
      <c r="DY64" s="754"/>
      <c r="DZ64" s="754"/>
      <c r="EA64" s="754"/>
      <c r="EB64" s="754"/>
      <c r="EC64" s="754"/>
      <c r="ED64" s="754"/>
      <c r="EE64" s="754"/>
      <c r="EF64" s="754"/>
      <c r="EG64" s="754"/>
      <c r="EH64" s="754"/>
      <c r="EI64" s="754"/>
      <c r="EJ64" s="754"/>
      <c r="EK64" s="754"/>
      <c r="EL64" s="754"/>
      <c r="EM64" s="754"/>
      <c r="EN64" s="754"/>
      <c r="EO64" s="754"/>
      <c r="EP64" s="754"/>
      <c r="EQ64" s="754"/>
      <c r="ER64" s="754"/>
      <c r="ES64" s="754"/>
      <c r="ET64" s="754"/>
      <c r="EU64" s="754"/>
      <c r="EV64" s="754"/>
      <c r="EW64" s="754"/>
      <c r="EX64" s="754"/>
      <c r="EY64" s="754"/>
      <c r="EZ64" s="754"/>
      <c r="FA64" s="754"/>
      <c r="FB64" s="754"/>
      <c r="FC64" s="754"/>
      <c r="FD64" s="754"/>
      <c r="FE64" s="754"/>
      <c r="FF64" s="754"/>
      <c r="FG64" s="754"/>
      <c r="FH64" s="754"/>
      <c r="FI64" s="754"/>
      <c r="FJ64" s="754"/>
      <c r="FK64" s="754"/>
      <c r="FL64" s="754"/>
      <c r="FM64" s="754"/>
      <c r="FN64" s="754"/>
      <c r="FO64" s="754"/>
      <c r="FP64" s="754"/>
      <c r="FQ64" s="754"/>
      <c r="FR64" s="754"/>
      <c r="FS64" s="754"/>
      <c r="FT64" s="754"/>
      <c r="FU64" s="754"/>
      <c r="FV64" s="754"/>
      <c r="FW64" s="754"/>
      <c r="FX64" s="754"/>
      <c r="FY64" s="754"/>
      <c r="FZ64" s="754"/>
      <c r="GA64" s="754"/>
      <c r="GB64" s="754"/>
      <c r="GC64" s="754"/>
      <c r="GD64" s="754"/>
      <c r="GE64" s="754"/>
      <c r="GF64" s="754"/>
      <c r="GG64" s="754"/>
      <c r="GH64" s="754"/>
      <c r="GI64" s="754"/>
      <c r="GJ64" s="754"/>
      <c r="GK64" s="754"/>
      <c r="GL64" s="754"/>
      <c r="GM64" s="754"/>
      <c r="GN64" s="754"/>
      <c r="GO64" s="754"/>
      <c r="GP64" s="754"/>
      <c r="GQ64" s="754"/>
      <c r="GR64" s="754"/>
      <c r="GS64" s="754"/>
      <c r="GT64" s="754"/>
      <c r="GU64" s="754"/>
      <c r="GV64" s="754"/>
      <c r="GW64" s="754"/>
      <c r="GX64" s="754"/>
      <c r="GY64" s="754"/>
      <c r="GZ64" s="754"/>
      <c r="HA64" s="754"/>
      <c r="HB64" s="754"/>
      <c r="HC64" s="754"/>
      <c r="HD64" s="754"/>
      <c r="HE64" s="754"/>
      <c r="HF64" s="754"/>
      <c r="HG64" s="754"/>
      <c r="HH64" s="754"/>
      <c r="HI64" s="754"/>
      <c r="HJ64" s="754"/>
      <c r="HK64" s="754"/>
      <c r="HL64" s="754"/>
      <c r="HM64" s="754"/>
      <c r="HN64" s="754"/>
      <c r="HO64" s="754"/>
      <c r="HP64" s="754"/>
      <c r="HQ64" s="754"/>
      <c r="HR64" s="754"/>
      <c r="HS64" s="754"/>
      <c r="HT64" s="754"/>
      <c r="HU64" s="754"/>
      <c r="HV64" s="754"/>
      <c r="HW64" s="754"/>
      <c r="HX64" s="754"/>
      <c r="HY64" s="754"/>
      <c r="HZ64" s="754"/>
      <c r="IA64" s="754"/>
      <c r="IB64" s="754"/>
      <c r="IC64" s="754"/>
      <c r="ID64" s="754"/>
      <c r="IE64" s="754"/>
      <c r="IF64" s="754"/>
      <c r="IG64" s="754"/>
      <c r="IH64" s="754"/>
      <c r="II64" s="754"/>
      <c r="IJ64" s="754"/>
      <c r="IK64" s="754"/>
      <c r="IL64" s="754"/>
      <c r="IM64" s="754"/>
      <c r="IN64" s="754"/>
      <c r="IO64" s="754"/>
      <c r="IP64" s="754"/>
      <c r="IQ64" s="754"/>
      <c r="IR64" s="754"/>
      <c r="IS64" s="754"/>
      <c r="IT64" s="754"/>
      <c r="IU64" s="754"/>
      <c r="IV64" s="754"/>
    </row>
    <row r="65" spans="1:256" s="796" customFormat="1" ht="13.5" customHeight="1">
      <c r="A65" s="3267"/>
      <c r="B65" s="3268"/>
      <c r="C65" s="2224"/>
      <c r="D65" s="3269" t="s">
        <v>182</v>
      </c>
      <c r="E65" s="3270"/>
      <c r="F65" s="3271">
        <f>SUM(F66:F67)</f>
        <v>37.567600000000013</v>
      </c>
      <c r="G65" s="200"/>
      <c r="H65" s="3272"/>
      <c r="I65" s="3273"/>
      <c r="J65" s="1020"/>
      <c r="L65" s="797"/>
      <c r="M65" s="797"/>
      <c r="N65" s="797"/>
      <c r="O65" s="797"/>
      <c r="P65" s="797"/>
      <c r="Q65" s="797"/>
      <c r="R65" s="797"/>
      <c r="S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7"/>
      <c r="BB65" s="797"/>
      <c r="BC65" s="797"/>
      <c r="BD65" s="797"/>
      <c r="BE65" s="797"/>
      <c r="BF65" s="797"/>
      <c r="BG65" s="797"/>
      <c r="BH65" s="797"/>
      <c r="BI65" s="797"/>
      <c r="BJ65" s="797"/>
      <c r="BK65" s="797"/>
      <c r="BL65" s="797"/>
      <c r="BM65" s="797"/>
      <c r="BN65" s="797"/>
      <c r="BO65" s="797"/>
      <c r="BP65" s="797"/>
      <c r="BQ65" s="797"/>
      <c r="BR65" s="797"/>
      <c r="BS65" s="797"/>
      <c r="BT65" s="797"/>
      <c r="BU65" s="797"/>
      <c r="BV65" s="797"/>
      <c r="BW65" s="797"/>
      <c r="BX65" s="797"/>
      <c r="BY65" s="797"/>
      <c r="BZ65" s="797"/>
      <c r="CA65" s="797"/>
      <c r="CB65" s="797"/>
      <c r="CC65" s="797"/>
      <c r="CD65" s="797"/>
      <c r="CE65" s="797"/>
      <c r="CF65" s="797"/>
      <c r="CG65" s="797"/>
      <c r="CH65" s="797"/>
      <c r="CI65" s="797"/>
      <c r="CJ65" s="797"/>
      <c r="CK65" s="797"/>
      <c r="CL65" s="797"/>
      <c r="CM65" s="797"/>
      <c r="CN65" s="797"/>
      <c r="CO65" s="797"/>
      <c r="CP65" s="797"/>
      <c r="CQ65" s="797"/>
      <c r="CR65" s="797"/>
      <c r="CS65" s="797"/>
      <c r="CT65" s="797"/>
      <c r="CU65" s="797"/>
      <c r="CV65" s="797"/>
      <c r="CW65" s="797"/>
      <c r="CX65" s="797"/>
      <c r="CY65" s="797"/>
      <c r="CZ65" s="797"/>
      <c r="DA65" s="797"/>
      <c r="DB65" s="797"/>
      <c r="DC65" s="797"/>
      <c r="DD65" s="797"/>
      <c r="DE65" s="797"/>
      <c r="DF65" s="797"/>
      <c r="DG65" s="797"/>
      <c r="DH65" s="797"/>
      <c r="DI65" s="797"/>
      <c r="DJ65" s="797"/>
      <c r="DK65" s="797"/>
      <c r="DL65" s="797"/>
      <c r="DM65" s="797"/>
      <c r="DN65" s="797"/>
      <c r="DO65" s="797"/>
      <c r="DP65" s="797"/>
      <c r="DQ65" s="797"/>
      <c r="DR65" s="797"/>
      <c r="DS65" s="797"/>
      <c r="DT65" s="797"/>
      <c r="DU65" s="797"/>
      <c r="DV65" s="797"/>
      <c r="DW65" s="797"/>
      <c r="DX65" s="797"/>
      <c r="DY65" s="797"/>
      <c r="DZ65" s="797"/>
      <c r="EA65" s="797"/>
      <c r="EB65" s="797"/>
      <c r="EC65" s="797"/>
      <c r="ED65" s="797"/>
      <c r="EE65" s="797"/>
      <c r="EF65" s="797"/>
      <c r="EG65" s="797"/>
      <c r="EH65" s="797"/>
      <c r="EI65" s="797"/>
      <c r="EJ65" s="797"/>
      <c r="EK65" s="797"/>
      <c r="EL65" s="797"/>
      <c r="EM65" s="797"/>
      <c r="EN65" s="797"/>
      <c r="EO65" s="797"/>
      <c r="EP65" s="797"/>
      <c r="EQ65" s="797"/>
      <c r="ER65" s="797"/>
      <c r="ES65" s="797"/>
      <c r="ET65" s="797"/>
      <c r="EU65" s="797"/>
      <c r="EV65" s="797"/>
      <c r="EW65" s="797"/>
      <c r="EX65" s="797"/>
      <c r="EY65" s="797"/>
      <c r="EZ65" s="797"/>
      <c r="FA65" s="797"/>
      <c r="FB65" s="797"/>
      <c r="FC65" s="797"/>
      <c r="FD65" s="797"/>
      <c r="FE65" s="797"/>
      <c r="FF65" s="797"/>
      <c r="FG65" s="797"/>
      <c r="FH65" s="797"/>
      <c r="FI65" s="797"/>
      <c r="FJ65" s="797"/>
      <c r="FK65" s="797"/>
      <c r="FL65" s="797"/>
      <c r="FM65" s="797"/>
      <c r="FN65" s="797"/>
      <c r="FO65" s="797"/>
      <c r="FP65" s="797"/>
      <c r="FQ65" s="797"/>
      <c r="FR65" s="797"/>
      <c r="FS65" s="797"/>
      <c r="FT65" s="797"/>
      <c r="FU65" s="797"/>
      <c r="FV65" s="797"/>
      <c r="FW65" s="797"/>
      <c r="FX65" s="797"/>
      <c r="FY65" s="797"/>
      <c r="FZ65" s="797"/>
      <c r="GA65" s="797"/>
      <c r="GB65" s="797"/>
      <c r="GC65" s="797"/>
      <c r="GD65" s="797"/>
      <c r="GE65" s="797"/>
      <c r="GF65" s="797"/>
      <c r="GG65" s="797"/>
      <c r="GH65" s="797"/>
      <c r="GI65" s="797"/>
      <c r="GJ65" s="797"/>
      <c r="GK65" s="797"/>
      <c r="GL65" s="797"/>
      <c r="GM65" s="797"/>
      <c r="GN65" s="797"/>
      <c r="GO65" s="797"/>
      <c r="GP65" s="797"/>
      <c r="GQ65" s="797"/>
      <c r="GR65" s="797"/>
      <c r="GS65" s="797"/>
      <c r="GT65" s="797"/>
      <c r="GU65" s="797"/>
      <c r="GV65" s="797"/>
      <c r="GW65" s="797"/>
      <c r="GX65" s="797"/>
      <c r="GY65" s="797"/>
      <c r="GZ65" s="797"/>
      <c r="HA65" s="797"/>
      <c r="HB65" s="797"/>
      <c r="HC65" s="797"/>
      <c r="HD65" s="797"/>
      <c r="HE65" s="797"/>
      <c r="HF65" s="797"/>
      <c r="HG65" s="797"/>
      <c r="HH65" s="797"/>
      <c r="HI65" s="797"/>
      <c r="HJ65" s="797"/>
      <c r="HK65" s="797"/>
      <c r="HL65" s="797"/>
      <c r="HM65" s="797"/>
      <c r="HN65" s="797"/>
      <c r="HO65" s="797"/>
      <c r="HP65" s="797"/>
      <c r="HQ65" s="797"/>
      <c r="HR65" s="797"/>
      <c r="HS65" s="797"/>
      <c r="HT65" s="797"/>
      <c r="HU65" s="797"/>
      <c r="HV65" s="797"/>
      <c r="HW65" s="797"/>
      <c r="HX65" s="797"/>
      <c r="HY65" s="797"/>
      <c r="HZ65" s="797"/>
      <c r="IA65" s="797"/>
      <c r="IB65" s="797"/>
      <c r="IC65" s="797"/>
      <c r="ID65" s="797"/>
      <c r="IE65" s="797"/>
      <c r="IF65" s="797"/>
      <c r="IG65" s="797"/>
      <c r="IH65" s="797"/>
      <c r="II65" s="797"/>
      <c r="IJ65" s="797"/>
      <c r="IK65" s="797"/>
      <c r="IL65" s="797"/>
      <c r="IM65" s="797"/>
      <c r="IN65" s="797"/>
      <c r="IO65" s="797"/>
      <c r="IP65" s="797"/>
      <c r="IQ65" s="797"/>
      <c r="IR65" s="797"/>
      <c r="IS65" s="797"/>
      <c r="IT65" s="797"/>
      <c r="IU65" s="797"/>
      <c r="IV65" s="797"/>
    </row>
    <row r="66" spans="1:256" s="753" customFormat="1" ht="13.5" customHeight="1">
      <c r="A66" s="3274"/>
      <c r="B66" s="3275"/>
      <c r="C66" s="3276"/>
      <c r="D66" s="3266" t="s">
        <v>2397</v>
      </c>
      <c r="E66" s="3266"/>
      <c r="F66" s="3277">
        <f>121.48</f>
        <v>121.48</v>
      </c>
      <c r="G66" s="199"/>
      <c r="H66" s="3263"/>
      <c r="I66" s="3278"/>
      <c r="J66" s="752"/>
      <c r="K66" s="3279"/>
      <c r="L66" s="3280"/>
      <c r="M66" s="3281"/>
      <c r="N66" s="3281"/>
      <c r="O66" s="3281"/>
      <c r="P66" s="754"/>
      <c r="Q66" s="754"/>
      <c r="R66" s="754"/>
      <c r="S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c r="CB66" s="754"/>
      <c r="CC66" s="754"/>
      <c r="CD66" s="754"/>
      <c r="CE66" s="754"/>
      <c r="CF66" s="754"/>
      <c r="CG66" s="754"/>
      <c r="CH66" s="754"/>
      <c r="CI66" s="754"/>
      <c r="CJ66" s="754"/>
      <c r="CK66" s="754"/>
      <c r="CL66" s="754"/>
      <c r="CM66" s="754"/>
      <c r="CN66" s="754"/>
      <c r="CO66" s="754"/>
      <c r="CP66" s="754"/>
      <c r="CQ66" s="754"/>
      <c r="CR66" s="754"/>
      <c r="CS66" s="754"/>
      <c r="CT66" s="754"/>
      <c r="CU66" s="754"/>
      <c r="CV66" s="754"/>
      <c r="CW66" s="754"/>
      <c r="CX66" s="754"/>
      <c r="CY66" s="754"/>
      <c r="CZ66" s="754"/>
      <c r="DA66" s="754"/>
      <c r="DB66" s="754"/>
      <c r="DC66" s="754"/>
      <c r="DD66" s="754"/>
      <c r="DE66" s="754"/>
      <c r="DF66" s="754"/>
      <c r="DG66" s="754"/>
      <c r="DH66" s="754"/>
      <c r="DI66" s="754"/>
      <c r="DJ66" s="754"/>
      <c r="DK66" s="754"/>
      <c r="DL66" s="754"/>
      <c r="DM66" s="754"/>
      <c r="DN66" s="754"/>
      <c r="DO66" s="754"/>
      <c r="DP66" s="754"/>
      <c r="DQ66" s="754"/>
      <c r="DR66" s="754"/>
      <c r="DS66" s="754"/>
      <c r="DT66" s="754"/>
      <c r="DU66" s="754"/>
      <c r="DV66" s="754"/>
      <c r="DW66" s="754"/>
      <c r="DX66" s="754"/>
      <c r="DY66" s="754"/>
      <c r="DZ66" s="754"/>
      <c r="EA66" s="754"/>
      <c r="EB66" s="754"/>
      <c r="EC66" s="754"/>
      <c r="ED66" s="754"/>
      <c r="EE66" s="754"/>
      <c r="EF66" s="754"/>
      <c r="EG66" s="754"/>
      <c r="EH66" s="754"/>
      <c r="EI66" s="754"/>
      <c r="EJ66" s="754"/>
      <c r="EK66" s="754"/>
      <c r="EL66" s="754"/>
      <c r="EM66" s="754"/>
      <c r="EN66" s="754"/>
      <c r="EO66" s="754"/>
      <c r="EP66" s="754"/>
      <c r="EQ66" s="754"/>
      <c r="ER66" s="754"/>
      <c r="ES66" s="754"/>
      <c r="ET66" s="754"/>
      <c r="EU66" s="754"/>
      <c r="EV66" s="754"/>
      <c r="EW66" s="754"/>
      <c r="EX66" s="754"/>
      <c r="EY66" s="754"/>
      <c r="EZ66" s="754"/>
      <c r="FA66" s="754"/>
      <c r="FB66" s="754"/>
      <c r="FC66" s="754"/>
      <c r="FD66" s="754"/>
      <c r="FE66" s="754"/>
      <c r="FF66" s="754"/>
      <c r="FG66" s="754"/>
      <c r="FH66" s="754"/>
      <c r="FI66" s="754"/>
      <c r="FJ66" s="754"/>
      <c r="FK66" s="754"/>
      <c r="FL66" s="754"/>
      <c r="FM66" s="754"/>
      <c r="FN66" s="754"/>
      <c r="FO66" s="754"/>
      <c r="FP66" s="754"/>
      <c r="FQ66" s="754"/>
      <c r="FR66" s="754"/>
      <c r="FS66" s="754"/>
      <c r="FT66" s="754"/>
      <c r="FU66" s="754"/>
      <c r="FV66" s="754"/>
      <c r="FW66" s="754"/>
      <c r="FX66" s="754"/>
      <c r="FY66" s="754"/>
      <c r="FZ66" s="754"/>
      <c r="GA66" s="754"/>
      <c r="GB66" s="754"/>
      <c r="GC66" s="754"/>
      <c r="GD66" s="754"/>
      <c r="GE66" s="754"/>
      <c r="GF66" s="754"/>
      <c r="GG66" s="754"/>
      <c r="GH66" s="754"/>
      <c r="GI66" s="754"/>
      <c r="GJ66" s="754"/>
      <c r="GK66" s="754"/>
      <c r="GL66" s="754"/>
      <c r="GM66" s="754"/>
      <c r="GN66" s="754"/>
      <c r="GO66" s="754"/>
      <c r="GP66" s="754"/>
      <c r="GQ66" s="754"/>
      <c r="GR66" s="754"/>
      <c r="GS66" s="754"/>
      <c r="GT66" s="754"/>
      <c r="GU66" s="754"/>
      <c r="GV66" s="754"/>
      <c r="GW66" s="754"/>
      <c r="GX66" s="754"/>
      <c r="GY66" s="754"/>
      <c r="GZ66" s="754"/>
      <c r="HA66" s="754"/>
      <c r="HB66" s="754"/>
      <c r="HC66" s="754"/>
      <c r="HD66" s="754"/>
      <c r="HE66" s="754"/>
      <c r="HF66" s="754"/>
      <c r="HG66" s="754"/>
      <c r="HH66" s="754"/>
      <c r="HI66" s="754"/>
      <c r="HJ66" s="754"/>
      <c r="HK66" s="754"/>
      <c r="HL66" s="754"/>
      <c r="HM66" s="754"/>
      <c r="HN66" s="754"/>
      <c r="HO66" s="754"/>
      <c r="HP66" s="754"/>
      <c r="HQ66" s="754"/>
      <c r="HR66" s="754"/>
      <c r="HS66" s="754"/>
      <c r="HT66" s="754"/>
      <c r="HU66" s="754"/>
      <c r="HV66" s="754"/>
      <c r="HW66" s="754"/>
      <c r="HX66" s="754"/>
      <c r="HY66" s="754"/>
      <c r="HZ66" s="754"/>
      <c r="IA66" s="754"/>
      <c r="IB66" s="754"/>
      <c r="IC66" s="754"/>
      <c r="ID66" s="754"/>
      <c r="IE66" s="754"/>
      <c r="IF66" s="754"/>
      <c r="IG66" s="754"/>
      <c r="IH66" s="754"/>
      <c r="II66" s="754"/>
      <c r="IJ66" s="754"/>
      <c r="IK66" s="754"/>
      <c r="IL66" s="754"/>
      <c r="IM66" s="754"/>
      <c r="IN66" s="754"/>
      <c r="IO66" s="754"/>
      <c r="IP66" s="754"/>
      <c r="IQ66" s="754"/>
      <c r="IR66" s="754"/>
      <c r="IS66" s="754"/>
      <c r="IT66" s="754"/>
      <c r="IU66" s="754"/>
      <c r="IV66" s="754"/>
    </row>
    <row r="67" spans="1:256" s="753" customFormat="1" ht="13.5" customHeight="1">
      <c r="A67" s="3274"/>
      <c r="B67" s="3275"/>
      <c r="C67" s="3276"/>
      <c r="D67" s="3266" t="s">
        <v>2398</v>
      </c>
      <c r="E67" s="3266"/>
      <c r="F67" s="3277">
        <f>-(F56*0.6)</f>
        <v>-83.912399999999991</v>
      </c>
      <c r="G67" s="199"/>
      <c r="H67" s="3263"/>
      <c r="I67" s="3278"/>
      <c r="J67" s="752"/>
      <c r="K67" s="3282"/>
      <c r="L67" s="3280"/>
      <c r="M67" s="3281"/>
      <c r="N67" s="3281"/>
      <c r="O67" s="3281"/>
      <c r="P67" s="754"/>
      <c r="Q67" s="754"/>
      <c r="R67" s="754"/>
      <c r="S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c r="CB67" s="754"/>
      <c r="CC67" s="754"/>
      <c r="CD67" s="754"/>
      <c r="CE67" s="754"/>
      <c r="CF67" s="754"/>
      <c r="CG67" s="754"/>
      <c r="CH67" s="754"/>
      <c r="CI67" s="754"/>
      <c r="CJ67" s="754"/>
      <c r="CK67" s="754"/>
      <c r="CL67" s="754"/>
      <c r="CM67" s="754"/>
      <c r="CN67" s="754"/>
      <c r="CO67" s="754"/>
      <c r="CP67" s="754"/>
      <c r="CQ67" s="754"/>
      <c r="CR67" s="754"/>
      <c r="CS67" s="754"/>
      <c r="CT67" s="754"/>
      <c r="CU67" s="754"/>
      <c r="CV67" s="754"/>
      <c r="CW67" s="754"/>
      <c r="CX67" s="754"/>
      <c r="CY67" s="754"/>
      <c r="CZ67" s="754"/>
      <c r="DA67" s="754"/>
      <c r="DB67" s="754"/>
      <c r="DC67" s="754"/>
      <c r="DD67" s="754"/>
      <c r="DE67" s="754"/>
      <c r="DF67" s="754"/>
      <c r="DG67" s="754"/>
      <c r="DH67" s="754"/>
      <c r="DI67" s="754"/>
      <c r="DJ67" s="754"/>
      <c r="DK67" s="754"/>
      <c r="DL67" s="754"/>
      <c r="DM67" s="754"/>
      <c r="DN67" s="754"/>
      <c r="DO67" s="754"/>
      <c r="DP67" s="754"/>
      <c r="DQ67" s="754"/>
      <c r="DR67" s="754"/>
      <c r="DS67" s="754"/>
      <c r="DT67" s="754"/>
      <c r="DU67" s="754"/>
      <c r="DV67" s="754"/>
      <c r="DW67" s="754"/>
      <c r="DX67" s="754"/>
      <c r="DY67" s="754"/>
      <c r="DZ67" s="754"/>
      <c r="EA67" s="754"/>
      <c r="EB67" s="754"/>
      <c r="EC67" s="754"/>
      <c r="ED67" s="754"/>
      <c r="EE67" s="754"/>
      <c r="EF67" s="754"/>
      <c r="EG67" s="754"/>
      <c r="EH67" s="754"/>
      <c r="EI67" s="754"/>
      <c r="EJ67" s="754"/>
      <c r="EK67" s="754"/>
      <c r="EL67" s="754"/>
      <c r="EM67" s="754"/>
      <c r="EN67" s="754"/>
      <c r="EO67" s="754"/>
      <c r="EP67" s="754"/>
      <c r="EQ67" s="754"/>
      <c r="ER67" s="754"/>
      <c r="ES67" s="754"/>
      <c r="ET67" s="754"/>
      <c r="EU67" s="754"/>
      <c r="EV67" s="754"/>
      <c r="EW67" s="754"/>
      <c r="EX67" s="754"/>
      <c r="EY67" s="754"/>
      <c r="EZ67" s="754"/>
      <c r="FA67" s="754"/>
      <c r="FB67" s="754"/>
      <c r="FC67" s="754"/>
      <c r="FD67" s="754"/>
      <c r="FE67" s="754"/>
      <c r="FF67" s="754"/>
      <c r="FG67" s="754"/>
      <c r="FH67" s="754"/>
      <c r="FI67" s="754"/>
      <c r="FJ67" s="754"/>
      <c r="FK67" s="754"/>
      <c r="FL67" s="754"/>
      <c r="FM67" s="754"/>
      <c r="FN67" s="754"/>
      <c r="FO67" s="754"/>
      <c r="FP67" s="754"/>
      <c r="FQ67" s="754"/>
      <c r="FR67" s="754"/>
      <c r="FS67" s="754"/>
      <c r="FT67" s="754"/>
      <c r="FU67" s="754"/>
      <c r="FV67" s="754"/>
      <c r="FW67" s="754"/>
      <c r="FX67" s="754"/>
      <c r="FY67" s="754"/>
      <c r="FZ67" s="754"/>
      <c r="GA67" s="754"/>
      <c r="GB67" s="754"/>
      <c r="GC67" s="754"/>
      <c r="GD67" s="754"/>
      <c r="GE67" s="754"/>
      <c r="GF67" s="754"/>
      <c r="GG67" s="754"/>
      <c r="GH67" s="754"/>
      <c r="GI67" s="754"/>
      <c r="GJ67" s="754"/>
      <c r="GK67" s="754"/>
      <c r="GL67" s="754"/>
      <c r="GM67" s="754"/>
      <c r="GN67" s="754"/>
      <c r="GO67" s="754"/>
      <c r="GP67" s="754"/>
      <c r="GQ67" s="754"/>
      <c r="GR67" s="754"/>
      <c r="GS67" s="754"/>
      <c r="GT67" s="754"/>
      <c r="GU67" s="754"/>
      <c r="GV67" s="754"/>
      <c r="GW67" s="754"/>
      <c r="GX67" s="754"/>
      <c r="GY67" s="754"/>
      <c r="GZ67" s="754"/>
      <c r="HA67" s="754"/>
      <c r="HB67" s="754"/>
      <c r="HC67" s="754"/>
      <c r="HD67" s="754"/>
      <c r="HE67" s="754"/>
      <c r="HF67" s="754"/>
      <c r="HG67" s="754"/>
      <c r="HH67" s="754"/>
      <c r="HI67" s="754"/>
      <c r="HJ67" s="754"/>
      <c r="HK67" s="754"/>
      <c r="HL67" s="754"/>
      <c r="HM67" s="754"/>
      <c r="HN67" s="754"/>
      <c r="HO67" s="754"/>
      <c r="HP67" s="754"/>
      <c r="HQ67" s="754"/>
      <c r="HR67" s="754"/>
      <c r="HS67" s="754"/>
      <c r="HT67" s="754"/>
      <c r="HU67" s="754"/>
      <c r="HV67" s="754"/>
      <c r="HW67" s="754"/>
      <c r="HX67" s="754"/>
      <c r="HY67" s="754"/>
      <c r="HZ67" s="754"/>
      <c r="IA67" s="754"/>
      <c r="IB67" s="754"/>
      <c r="IC67" s="754"/>
      <c r="ID67" s="754"/>
      <c r="IE67" s="754"/>
      <c r="IF67" s="754"/>
      <c r="IG67" s="754"/>
      <c r="IH67" s="754"/>
      <c r="II67" s="754"/>
      <c r="IJ67" s="754"/>
      <c r="IK67" s="754"/>
      <c r="IL67" s="754"/>
      <c r="IM67" s="754"/>
      <c r="IN67" s="754"/>
      <c r="IO67" s="754"/>
      <c r="IP67" s="754"/>
      <c r="IQ67" s="754"/>
      <c r="IR67" s="754"/>
      <c r="IS67" s="754"/>
      <c r="IT67" s="754"/>
      <c r="IU67" s="754"/>
      <c r="IV67" s="754"/>
    </row>
    <row r="68" spans="1:256" s="796" customFormat="1" ht="13.5" customHeight="1">
      <c r="A68" s="3267"/>
      <c r="B68" s="3268"/>
      <c r="C68" s="2224"/>
      <c r="D68" s="3269" t="s">
        <v>185</v>
      </c>
      <c r="E68" s="3270"/>
      <c r="F68" s="3271">
        <f>SUM(F69:F70)</f>
        <v>25.048400000000001</v>
      </c>
      <c r="G68" s="200"/>
      <c r="H68" s="3272"/>
      <c r="I68" s="3273"/>
      <c r="J68" s="752"/>
      <c r="K68" s="1021"/>
      <c r="L68" s="3280"/>
      <c r="M68" s="797"/>
      <c r="N68" s="797"/>
      <c r="O68" s="797"/>
      <c r="P68" s="797"/>
      <c r="Q68" s="797"/>
      <c r="R68" s="797"/>
      <c r="S68" s="797"/>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c r="CF68" s="797"/>
      <c r="CG68" s="797"/>
      <c r="CH68" s="797"/>
      <c r="CI68" s="797"/>
      <c r="CJ68" s="797"/>
      <c r="CK68" s="797"/>
      <c r="CL68" s="797"/>
      <c r="CM68" s="797"/>
      <c r="CN68" s="797"/>
      <c r="CO68" s="797"/>
      <c r="CP68" s="797"/>
      <c r="CQ68" s="797"/>
      <c r="CR68" s="797"/>
      <c r="CS68" s="797"/>
      <c r="CT68" s="797"/>
      <c r="CU68" s="797"/>
      <c r="CV68" s="797"/>
      <c r="CW68" s="797"/>
      <c r="CX68" s="797"/>
      <c r="CY68" s="797"/>
      <c r="CZ68" s="797"/>
      <c r="DA68" s="797"/>
      <c r="DB68" s="797"/>
      <c r="DC68" s="797"/>
      <c r="DD68" s="797"/>
      <c r="DE68" s="797"/>
      <c r="DF68" s="797"/>
      <c r="DG68" s="797"/>
      <c r="DH68" s="797"/>
      <c r="DI68" s="797"/>
      <c r="DJ68" s="797"/>
      <c r="DK68" s="797"/>
      <c r="DL68" s="797"/>
      <c r="DM68" s="797"/>
      <c r="DN68" s="797"/>
      <c r="DO68" s="797"/>
      <c r="DP68" s="797"/>
      <c r="DQ68" s="797"/>
      <c r="DR68" s="797"/>
      <c r="DS68" s="797"/>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H68" s="797"/>
      <c r="GI68" s="797"/>
      <c r="GJ68" s="797"/>
      <c r="GK68" s="797"/>
      <c r="GL68" s="797"/>
      <c r="GM68" s="797"/>
      <c r="GN68" s="797"/>
      <c r="GO68" s="797"/>
      <c r="GP68" s="797"/>
      <c r="GQ68" s="797"/>
      <c r="GR68" s="797"/>
      <c r="GS68" s="797"/>
      <c r="GT68" s="797"/>
      <c r="GU68" s="797"/>
      <c r="GV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7"/>
      <c r="IG68" s="797"/>
      <c r="IH68" s="797"/>
      <c r="II68" s="797"/>
      <c r="IJ68" s="797"/>
      <c r="IK68" s="797"/>
      <c r="IL68" s="797"/>
      <c r="IM68" s="797"/>
      <c r="IN68" s="797"/>
      <c r="IO68" s="797"/>
      <c r="IP68" s="797"/>
      <c r="IQ68" s="797"/>
      <c r="IR68" s="797"/>
      <c r="IS68" s="797"/>
      <c r="IT68" s="797"/>
      <c r="IU68" s="797"/>
      <c r="IV68" s="797"/>
    </row>
    <row r="69" spans="1:256" s="753" customFormat="1" ht="13.5" customHeight="1">
      <c r="A69" s="3274"/>
      <c r="B69" s="3275"/>
      <c r="C69" s="3276"/>
      <c r="D69" s="3266" t="s">
        <v>2399</v>
      </c>
      <c r="E69" s="3266"/>
      <c r="F69" s="3277">
        <f>(80.99)</f>
        <v>80.989999999999995</v>
      </c>
      <c r="G69" s="199"/>
      <c r="H69" s="3263"/>
      <c r="I69" s="3278"/>
      <c r="J69" s="3283"/>
      <c r="K69" s="3279"/>
      <c r="L69" s="3281"/>
      <c r="M69" s="3281"/>
      <c r="N69" s="3281"/>
      <c r="O69" s="3281"/>
      <c r="P69" s="754"/>
      <c r="Q69" s="754"/>
      <c r="R69" s="754"/>
      <c r="S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c r="CB69" s="754"/>
      <c r="CC69" s="754"/>
      <c r="CD69" s="754"/>
      <c r="CE69" s="754"/>
      <c r="CF69" s="754"/>
      <c r="CG69" s="754"/>
      <c r="CH69" s="754"/>
      <c r="CI69" s="754"/>
      <c r="CJ69" s="754"/>
      <c r="CK69" s="754"/>
      <c r="CL69" s="754"/>
      <c r="CM69" s="754"/>
      <c r="CN69" s="754"/>
      <c r="CO69" s="754"/>
      <c r="CP69" s="754"/>
      <c r="CQ69" s="754"/>
      <c r="CR69" s="754"/>
      <c r="CS69" s="754"/>
      <c r="CT69" s="754"/>
      <c r="CU69" s="754"/>
      <c r="CV69" s="754"/>
      <c r="CW69" s="754"/>
      <c r="CX69" s="754"/>
      <c r="CY69" s="754"/>
      <c r="CZ69" s="754"/>
      <c r="DA69" s="754"/>
      <c r="DB69" s="754"/>
      <c r="DC69" s="754"/>
      <c r="DD69" s="754"/>
      <c r="DE69" s="754"/>
      <c r="DF69" s="754"/>
      <c r="DG69" s="754"/>
      <c r="DH69" s="754"/>
      <c r="DI69" s="754"/>
      <c r="DJ69" s="754"/>
      <c r="DK69" s="754"/>
      <c r="DL69" s="754"/>
      <c r="DM69" s="754"/>
      <c r="DN69" s="754"/>
      <c r="DO69" s="754"/>
      <c r="DP69" s="754"/>
      <c r="DQ69" s="754"/>
      <c r="DR69" s="754"/>
      <c r="DS69" s="754"/>
      <c r="DT69" s="754"/>
      <c r="DU69" s="754"/>
      <c r="DV69" s="754"/>
      <c r="DW69" s="754"/>
      <c r="DX69" s="754"/>
      <c r="DY69" s="754"/>
      <c r="DZ69" s="754"/>
      <c r="EA69" s="754"/>
      <c r="EB69" s="754"/>
      <c r="EC69" s="754"/>
      <c r="ED69" s="754"/>
      <c r="EE69" s="754"/>
      <c r="EF69" s="754"/>
      <c r="EG69" s="754"/>
      <c r="EH69" s="754"/>
      <c r="EI69" s="754"/>
      <c r="EJ69" s="754"/>
      <c r="EK69" s="754"/>
      <c r="EL69" s="754"/>
      <c r="EM69" s="754"/>
      <c r="EN69" s="754"/>
      <c r="EO69" s="754"/>
      <c r="EP69" s="754"/>
      <c r="EQ69" s="754"/>
      <c r="ER69" s="754"/>
      <c r="ES69" s="754"/>
      <c r="ET69" s="754"/>
      <c r="EU69" s="754"/>
      <c r="EV69" s="754"/>
      <c r="EW69" s="754"/>
      <c r="EX69" s="754"/>
      <c r="EY69" s="754"/>
      <c r="EZ69" s="754"/>
      <c r="FA69" s="754"/>
      <c r="FB69" s="754"/>
      <c r="FC69" s="754"/>
      <c r="FD69" s="754"/>
      <c r="FE69" s="754"/>
      <c r="FF69" s="754"/>
      <c r="FG69" s="754"/>
      <c r="FH69" s="754"/>
      <c r="FI69" s="754"/>
      <c r="FJ69" s="754"/>
      <c r="FK69" s="754"/>
      <c r="FL69" s="754"/>
      <c r="FM69" s="754"/>
      <c r="FN69" s="754"/>
      <c r="FO69" s="754"/>
      <c r="FP69" s="754"/>
      <c r="FQ69" s="754"/>
      <c r="FR69" s="754"/>
      <c r="FS69" s="754"/>
      <c r="FT69" s="754"/>
      <c r="FU69" s="754"/>
      <c r="FV69" s="754"/>
      <c r="FW69" s="754"/>
      <c r="FX69" s="754"/>
      <c r="FY69" s="754"/>
      <c r="FZ69" s="754"/>
      <c r="GA69" s="754"/>
      <c r="GB69" s="754"/>
      <c r="GC69" s="754"/>
      <c r="GD69" s="754"/>
      <c r="GE69" s="754"/>
      <c r="GF69" s="754"/>
      <c r="GG69" s="754"/>
      <c r="GH69" s="754"/>
      <c r="GI69" s="754"/>
      <c r="GJ69" s="754"/>
      <c r="GK69" s="754"/>
      <c r="GL69" s="754"/>
      <c r="GM69" s="754"/>
      <c r="GN69" s="754"/>
      <c r="GO69" s="754"/>
      <c r="GP69" s="754"/>
      <c r="GQ69" s="754"/>
      <c r="GR69" s="754"/>
      <c r="GS69" s="754"/>
      <c r="GT69" s="754"/>
      <c r="GU69" s="754"/>
      <c r="GV69" s="754"/>
      <c r="GW69" s="754"/>
      <c r="GX69" s="754"/>
      <c r="GY69" s="754"/>
      <c r="GZ69" s="754"/>
      <c r="HA69" s="754"/>
      <c r="HB69" s="754"/>
      <c r="HC69" s="754"/>
      <c r="HD69" s="754"/>
      <c r="HE69" s="754"/>
      <c r="HF69" s="754"/>
      <c r="HG69" s="754"/>
      <c r="HH69" s="754"/>
      <c r="HI69" s="754"/>
      <c r="HJ69" s="754"/>
      <c r="HK69" s="754"/>
      <c r="HL69" s="754"/>
      <c r="HM69" s="754"/>
      <c r="HN69" s="754"/>
      <c r="HO69" s="754"/>
      <c r="HP69" s="754"/>
      <c r="HQ69" s="754"/>
      <c r="HR69" s="754"/>
      <c r="HS69" s="754"/>
      <c r="HT69" s="754"/>
      <c r="HU69" s="754"/>
      <c r="HV69" s="754"/>
      <c r="HW69" s="754"/>
      <c r="HX69" s="754"/>
      <c r="HY69" s="754"/>
      <c r="HZ69" s="754"/>
      <c r="IA69" s="754"/>
      <c r="IB69" s="754"/>
      <c r="IC69" s="754"/>
      <c r="ID69" s="754"/>
      <c r="IE69" s="754"/>
      <c r="IF69" s="754"/>
      <c r="IG69" s="754"/>
      <c r="IH69" s="754"/>
      <c r="II69" s="754"/>
      <c r="IJ69" s="754"/>
      <c r="IK69" s="754"/>
      <c r="IL69" s="754"/>
      <c r="IM69" s="754"/>
      <c r="IN69" s="754"/>
      <c r="IO69" s="754"/>
      <c r="IP69" s="754"/>
      <c r="IQ69" s="754"/>
      <c r="IR69" s="754"/>
      <c r="IS69" s="754"/>
      <c r="IT69" s="754"/>
      <c r="IU69" s="754"/>
      <c r="IV69" s="754"/>
    </row>
    <row r="70" spans="1:256" s="753" customFormat="1" ht="13.5" customHeight="1">
      <c r="A70" s="3274"/>
      <c r="B70" s="3275"/>
      <c r="C70" s="3276"/>
      <c r="D70" s="3266" t="s">
        <v>2400</v>
      </c>
      <c r="E70" s="3266"/>
      <c r="F70" s="3277">
        <f>-(F56*0.4)</f>
        <v>-55.941599999999994</v>
      </c>
      <c r="G70" s="199"/>
      <c r="H70" s="3263"/>
      <c r="I70" s="3278"/>
      <c r="J70" s="3283"/>
      <c r="K70" s="3279"/>
      <c r="L70" s="3281"/>
      <c r="M70" s="3281"/>
      <c r="N70" s="3281"/>
      <c r="O70" s="3281"/>
      <c r="P70" s="754"/>
      <c r="Q70" s="754"/>
      <c r="R70" s="754"/>
      <c r="S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c r="CB70" s="754"/>
      <c r="CC70" s="754"/>
      <c r="CD70" s="754"/>
      <c r="CE70" s="754"/>
      <c r="CF70" s="754"/>
      <c r="CG70" s="754"/>
      <c r="CH70" s="754"/>
      <c r="CI70" s="754"/>
      <c r="CJ70" s="754"/>
      <c r="CK70" s="754"/>
      <c r="CL70" s="754"/>
      <c r="CM70" s="754"/>
      <c r="CN70" s="754"/>
      <c r="CO70" s="754"/>
      <c r="CP70" s="754"/>
      <c r="CQ70" s="754"/>
      <c r="CR70" s="754"/>
      <c r="CS70" s="754"/>
      <c r="CT70" s="754"/>
      <c r="CU70" s="754"/>
      <c r="CV70" s="754"/>
      <c r="CW70" s="754"/>
      <c r="CX70" s="754"/>
      <c r="CY70" s="754"/>
      <c r="CZ70" s="754"/>
      <c r="DA70" s="754"/>
      <c r="DB70" s="754"/>
      <c r="DC70" s="754"/>
      <c r="DD70" s="754"/>
      <c r="DE70" s="754"/>
      <c r="DF70" s="754"/>
      <c r="DG70" s="754"/>
      <c r="DH70" s="754"/>
      <c r="DI70" s="754"/>
      <c r="DJ70" s="754"/>
      <c r="DK70" s="754"/>
      <c r="DL70" s="754"/>
      <c r="DM70" s="754"/>
      <c r="DN70" s="754"/>
      <c r="DO70" s="754"/>
      <c r="DP70" s="754"/>
      <c r="DQ70" s="754"/>
      <c r="DR70" s="754"/>
      <c r="DS70" s="754"/>
      <c r="DT70" s="754"/>
      <c r="DU70" s="754"/>
      <c r="DV70" s="754"/>
      <c r="DW70" s="754"/>
      <c r="DX70" s="754"/>
      <c r="DY70" s="754"/>
      <c r="DZ70" s="754"/>
      <c r="EA70" s="754"/>
      <c r="EB70" s="754"/>
      <c r="EC70" s="754"/>
      <c r="ED70" s="754"/>
      <c r="EE70" s="754"/>
      <c r="EF70" s="754"/>
      <c r="EG70" s="754"/>
      <c r="EH70" s="754"/>
      <c r="EI70" s="754"/>
      <c r="EJ70" s="754"/>
      <c r="EK70" s="754"/>
      <c r="EL70" s="754"/>
      <c r="EM70" s="754"/>
      <c r="EN70" s="754"/>
      <c r="EO70" s="754"/>
      <c r="EP70" s="754"/>
      <c r="EQ70" s="754"/>
      <c r="ER70" s="754"/>
      <c r="ES70" s="754"/>
      <c r="ET70" s="754"/>
      <c r="EU70" s="754"/>
      <c r="EV70" s="754"/>
      <c r="EW70" s="754"/>
      <c r="EX70" s="754"/>
      <c r="EY70" s="754"/>
      <c r="EZ70" s="754"/>
      <c r="FA70" s="754"/>
      <c r="FB70" s="754"/>
      <c r="FC70" s="754"/>
      <c r="FD70" s="754"/>
      <c r="FE70" s="754"/>
      <c r="FF70" s="754"/>
      <c r="FG70" s="754"/>
      <c r="FH70" s="754"/>
      <c r="FI70" s="754"/>
      <c r="FJ70" s="754"/>
      <c r="FK70" s="754"/>
      <c r="FL70" s="754"/>
      <c r="FM70" s="754"/>
      <c r="FN70" s="754"/>
      <c r="FO70" s="754"/>
      <c r="FP70" s="754"/>
      <c r="FQ70" s="754"/>
      <c r="FR70" s="754"/>
      <c r="FS70" s="754"/>
      <c r="FT70" s="754"/>
      <c r="FU70" s="754"/>
      <c r="FV70" s="754"/>
      <c r="FW70" s="754"/>
      <c r="FX70" s="754"/>
      <c r="FY70" s="754"/>
      <c r="FZ70" s="754"/>
      <c r="GA70" s="754"/>
      <c r="GB70" s="754"/>
      <c r="GC70" s="754"/>
      <c r="GD70" s="754"/>
      <c r="GE70" s="754"/>
      <c r="GF70" s="754"/>
      <c r="GG70" s="754"/>
      <c r="GH70" s="754"/>
      <c r="GI70" s="754"/>
      <c r="GJ70" s="754"/>
      <c r="GK70" s="754"/>
      <c r="GL70" s="754"/>
      <c r="GM70" s="754"/>
      <c r="GN70" s="754"/>
      <c r="GO70" s="754"/>
      <c r="GP70" s="754"/>
      <c r="GQ70" s="754"/>
      <c r="GR70" s="754"/>
      <c r="GS70" s="754"/>
      <c r="GT70" s="754"/>
      <c r="GU70" s="754"/>
      <c r="GV70" s="754"/>
      <c r="GW70" s="754"/>
      <c r="GX70" s="754"/>
      <c r="GY70" s="754"/>
      <c r="GZ70" s="754"/>
      <c r="HA70" s="754"/>
      <c r="HB70" s="754"/>
      <c r="HC70" s="754"/>
      <c r="HD70" s="754"/>
      <c r="HE70" s="754"/>
      <c r="HF70" s="754"/>
      <c r="HG70" s="754"/>
      <c r="HH70" s="754"/>
      <c r="HI70" s="754"/>
      <c r="HJ70" s="754"/>
      <c r="HK70" s="754"/>
      <c r="HL70" s="754"/>
      <c r="HM70" s="754"/>
      <c r="HN70" s="754"/>
      <c r="HO70" s="754"/>
      <c r="HP70" s="754"/>
      <c r="HQ70" s="754"/>
      <c r="HR70" s="754"/>
      <c r="HS70" s="754"/>
      <c r="HT70" s="754"/>
      <c r="HU70" s="754"/>
      <c r="HV70" s="754"/>
      <c r="HW70" s="754"/>
      <c r="HX70" s="754"/>
      <c r="HY70" s="754"/>
      <c r="HZ70" s="754"/>
      <c r="IA70" s="754"/>
      <c r="IB70" s="754"/>
      <c r="IC70" s="754"/>
      <c r="ID70" s="754"/>
      <c r="IE70" s="754"/>
      <c r="IF70" s="754"/>
      <c r="IG70" s="754"/>
      <c r="IH70" s="754"/>
      <c r="II70" s="754"/>
      <c r="IJ70" s="754"/>
      <c r="IK70" s="754"/>
      <c r="IL70" s="754"/>
      <c r="IM70" s="754"/>
      <c r="IN70" s="754"/>
      <c r="IO70" s="754"/>
      <c r="IP70" s="754"/>
      <c r="IQ70" s="754"/>
      <c r="IR70" s="754"/>
      <c r="IS70" s="754"/>
      <c r="IT70" s="754"/>
      <c r="IU70" s="754"/>
      <c r="IV70" s="754"/>
    </row>
    <row r="71" spans="1:256" s="2206" customFormat="1" ht="13.5" customHeight="1">
      <c r="A71" s="3284" t="s">
        <v>4236</v>
      </c>
      <c r="B71" s="2224"/>
      <c r="C71" s="3285">
        <v>167151101</v>
      </c>
      <c r="D71" s="2277" t="s">
        <v>2401</v>
      </c>
      <c r="E71" s="2347" t="s">
        <v>146</v>
      </c>
      <c r="F71" s="2300">
        <f>F65</f>
        <v>37.567600000000013</v>
      </c>
      <c r="G71" s="209"/>
      <c r="H71" s="2624">
        <f t="shared" ref="H71:H78" si="1">F71*G71</f>
        <v>0</v>
      </c>
      <c r="I71" s="2532" t="s">
        <v>137</v>
      </c>
      <c r="J71" s="647"/>
      <c r="K71" s="647"/>
      <c r="L71" s="612"/>
      <c r="M71" s="612"/>
      <c r="N71" s="612"/>
      <c r="O71" s="612"/>
      <c r="P71" s="612"/>
      <c r="Q71" s="612"/>
      <c r="R71" s="612"/>
      <c r="S71" s="788"/>
      <c r="V71" s="612"/>
    </row>
    <row r="72" spans="1:256" s="2206" customFormat="1" ht="13.5" customHeight="1">
      <c r="A72" s="3284" t="s">
        <v>4237</v>
      </c>
      <c r="B72" s="2224"/>
      <c r="C72" s="3285">
        <v>167151102</v>
      </c>
      <c r="D72" s="2277" t="s">
        <v>2402</v>
      </c>
      <c r="E72" s="2347" t="s">
        <v>146</v>
      </c>
      <c r="F72" s="2300">
        <f>F68</f>
        <v>25.048400000000001</v>
      </c>
      <c r="G72" s="209"/>
      <c r="H72" s="2624">
        <f t="shared" si="1"/>
        <v>0</v>
      </c>
      <c r="I72" s="2532" t="s">
        <v>137</v>
      </c>
      <c r="J72" s="783"/>
      <c r="K72" s="783"/>
      <c r="L72" s="3286"/>
      <c r="M72" s="3286"/>
      <c r="N72" s="3286"/>
      <c r="Q72" s="3286"/>
      <c r="V72" s="2714"/>
    </row>
    <row r="73" spans="1:256" s="753" customFormat="1" ht="27" customHeight="1">
      <c r="A73" s="3259" t="s">
        <v>4238</v>
      </c>
      <c r="B73" s="3261"/>
      <c r="C73" s="3285">
        <v>162751117</v>
      </c>
      <c r="D73" s="3266" t="s">
        <v>2403</v>
      </c>
      <c r="E73" s="3287" t="s">
        <v>146</v>
      </c>
      <c r="F73" s="3288">
        <f>F65</f>
        <v>37.567600000000013</v>
      </c>
      <c r="G73" s="5165" t="s">
        <v>3512</v>
      </c>
      <c r="H73" s="5166"/>
      <c r="I73" s="2532" t="s">
        <v>137</v>
      </c>
      <c r="J73" s="783"/>
      <c r="K73" s="783"/>
      <c r="L73" s="621"/>
      <c r="M73" s="621"/>
      <c r="N73" s="621"/>
      <c r="O73" s="621"/>
      <c r="P73" s="621"/>
      <c r="Q73" s="621"/>
      <c r="R73" s="621"/>
      <c r="S73" s="784"/>
      <c r="V73" s="783"/>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c r="CB73" s="754"/>
      <c r="CC73" s="754"/>
      <c r="CD73" s="754"/>
      <c r="CE73" s="754"/>
      <c r="CF73" s="754"/>
      <c r="CG73" s="754"/>
      <c r="CH73" s="754"/>
      <c r="CI73" s="754"/>
      <c r="CJ73" s="754"/>
      <c r="CK73" s="754"/>
      <c r="CL73" s="754"/>
      <c r="CM73" s="754"/>
      <c r="CN73" s="754"/>
      <c r="CO73" s="754"/>
      <c r="CP73" s="754"/>
      <c r="CQ73" s="754"/>
      <c r="CR73" s="754"/>
      <c r="CS73" s="754"/>
      <c r="CT73" s="754"/>
      <c r="CU73" s="754"/>
      <c r="CV73" s="754"/>
      <c r="CW73" s="754"/>
      <c r="CX73" s="754"/>
      <c r="CY73" s="754"/>
      <c r="CZ73" s="754"/>
      <c r="DA73" s="754"/>
      <c r="DB73" s="754"/>
      <c r="DC73" s="754"/>
      <c r="DD73" s="754"/>
      <c r="DE73" s="754"/>
      <c r="DF73" s="754"/>
      <c r="DG73" s="754"/>
      <c r="DH73" s="754"/>
      <c r="DI73" s="754"/>
      <c r="DJ73" s="754"/>
      <c r="DK73" s="754"/>
      <c r="DL73" s="754"/>
      <c r="DM73" s="754"/>
      <c r="DN73" s="754"/>
      <c r="DO73" s="754"/>
      <c r="DP73" s="754"/>
      <c r="DQ73" s="754"/>
      <c r="DR73" s="754"/>
      <c r="DS73" s="754"/>
      <c r="DT73" s="754"/>
      <c r="DU73" s="754"/>
      <c r="DV73" s="754"/>
      <c r="DW73" s="754"/>
      <c r="DX73" s="754"/>
      <c r="DY73" s="754"/>
      <c r="DZ73" s="754"/>
      <c r="EA73" s="754"/>
      <c r="EB73" s="754"/>
      <c r="EC73" s="754"/>
      <c r="ED73" s="754"/>
      <c r="EE73" s="754"/>
      <c r="EF73" s="754"/>
      <c r="EG73" s="754"/>
      <c r="EH73" s="754"/>
      <c r="EI73" s="754"/>
      <c r="EJ73" s="754"/>
      <c r="EK73" s="754"/>
      <c r="EL73" s="754"/>
      <c r="EM73" s="754"/>
      <c r="EN73" s="754"/>
      <c r="EO73" s="754"/>
      <c r="EP73" s="754"/>
      <c r="EQ73" s="754"/>
      <c r="ER73" s="754"/>
      <c r="ES73" s="754"/>
      <c r="ET73" s="754"/>
      <c r="EU73" s="754"/>
      <c r="EV73" s="754"/>
      <c r="EW73" s="754"/>
      <c r="EX73" s="754"/>
      <c r="EY73" s="754"/>
      <c r="EZ73" s="754"/>
      <c r="FA73" s="754"/>
      <c r="FB73" s="754"/>
      <c r="FC73" s="754"/>
      <c r="FD73" s="754"/>
      <c r="FE73" s="754"/>
      <c r="FF73" s="754"/>
      <c r="FG73" s="754"/>
      <c r="FH73" s="754"/>
      <c r="FI73" s="754"/>
      <c r="FJ73" s="754"/>
      <c r="FK73" s="754"/>
      <c r="FL73" s="754"/>
      <c r="FM73" s="754"/>
      <c r="FN73" s="754"/>
      <c r="FO73" s="754"/>
      <c r="FP73" s="754"/>
      <c r="FQ73" s="754"/>
      <c r="FR73" s="754"/>
      <c r="FS73" s="754"/>
      <c r="FT73" s="754"/>
      <c r="FU73" s="754"/>
      <c r="FV73" s="754"/>
      <c r="FW73" s="754"/>
      <c r="FX73" s="754"/>
      <c r="FY73" s="754"/>
      <c r="FZ73" s="754"/>
      <c r="GA73" s="754"/>
      <c r="GB73" s="754"/>
      <c r="GC73" s="754"/>
      <c r="GD73" s="754"/>
      <c r="GE73" s="754"/>
      <c r="GF73" s="754"/>
      <c r="GG73" s="754"/>
      <c r="GH73" s="754"/>
      <c r="GI73" s="754"/>
      <c r="GJ73" s="754"/>
      <c r="GK73" s="754"/>
      <c r="GL73" s="754"/>
      <c r="GM73" s="754"/>
      <c r="GN73" s="754"/>
      <c r="GO73" s="754"/>
      <c r="GP73" s="754"/>
      <c r="GQ73" s="754"/>
      <c r="GR73" s="754"/>
      <c r="GS73" s="754"/>
      <c r="GT73" s="754"/>
      <c r="GU73" s="754"/>
      <c r="GV73" s="754"/>
      <c r="GW73" s="754"/>
      <c r="GX73" s="754"/>
      <c r="GY73" s="754"/>
      <c r="GZ73" s="754"/>
      <c r="HA73" s="754"/>
      <c r="HB73" s="754"/>
      <c r="HC73" s="754"/>
      <c r="HD73" s="754"/>
      <c r="HE73" s="754"/>
      <c r="HF73" s="754"/>
      <c r="HG73" s="754"/>
      <c r="HH73" s="754"/>
      <c r="HI73" s="754"/>
      <c r="HJ73" s="754"/>
      <c r="HK73" s="754"/>
      <c r="HL73" s="754"/>
      <c r="HM73" s="754"/>
      <c r="HN73" s="754"/>
      <c r="HO73" s="754"/>
      <c r="HP73" s="754"/>
      <c r="HQ73" s="754"/>
      <c r="HR73" s="754"/>
      <c r="HS73" s="754"/>
      <c r="HT73" s="754"/>
      <c r="HU73" s="754"/>
      <c r="HV73" s="754"/>
      <c r="HW73" s="754"/>
      <c r="HX73" s="754"/>
      <c r="HY73" s="754"/>
      <c r="HZ73" s="754"/>
      <c r="IA73" s="754"/>
      <c r="IB73" s="754"/>
      <c r="IC73" s="754"/>
      <c r="ID73" s="754"/>
      <c r="IE73" s="754"/>
      <c r="IF73" s="754"/>
      <c r="IG73" s="754"/>
      <c r="IH73" s="754"/>
      <c r="II73" s="754"/>
      <c r="IJ73" s="754"/>
      <c r="IK73" s="754"/>
      <c r="IL73" s="754"/>
      <c r="IM73" s="754"/>
      <c r="IN73" s="754"/>
      <c r="IO73" s="754"/>
      <c r="IP73" s="754"/>
      <c r="IQ73" s="754"/>
      <c r="IR73" s="754"/>
      <c r="IS73" s="754"/>
      <c r="IT73" s="754"/>
      <c r="IU73" s="754"/>
      <c r="IV73" s="754"/>
    </row>
    <row r="74" spans="1:256" s="753" customFormat="1" ht="27" customHeight="1">
      <c r="A74" s="3259" t="s">
        <v>4239</v>
      </c>
      <c r="B74" s="3261"/>
      <c r="C74" s="3285">
        <v>162751137</v>
      </c>
      <c r="D74" s="3266" t="s">
        <v>191</v>
      </c>
      <c r="E74" s="3287" t="s">
        <v>146</v>
      </c>
      <c r="F74" s="3288">
        <v>352</v>
      </c>
      <c r="G74" s="5165" t="s">
        <v>3512</v>
      </c>
      <c r="H74" s="5166"/>
      <c r="I74" s="2532" t="s">
        <v>137</v>
      </c>
      <c r="J74" s="783"/>
      <c r="K74" s="783"/>
      <c r="L74" s="621"/>
      <c r="M74" s="621"/>
      <c r="N74" s="621"/>
      <c r="O74" s="621"/>
      <c r="P74" s="621"/>
      <c r="Q74" s="621"/>
      <c r="R74" s="621"/>
      <c r="S74" s="784"/>
      <c r="V74" s="783"/>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c r="CB74" s="754"/>
      <c r="CC74" s="754"/>
      <c r="CD74" s="754"/>
      <c r="CE74" s="754"/>
      <c r="CF74" s="754"/>
      <c r="CG74" s="754"/>
      <c r="CH74" s="754"/>
      <c r="CI74" s="754"/>
      <c r="CJ74" s="754"/>
      <c r="CK74" s="754"/>
      <c r="CL74" s="754"/>
      <c r="CM74" s="754"/>
      <c r="CN74" s="754"/>
      <c r="CO74" s="754"/>
      <c r="CP74" s="754"/>
      <c r="CQ74" s="754"/>
      <c r="CR74" s="754"/>
      <c r="CS74" s="754"/>
      <c r="CT74" s="754"/>
      <c r="CU74" s="754"/>
      <c r="CV74" s="754"/>
      <c r="CW74" s="754"/>
      <c r="CX74" s="754"/>
      <c r="CY74" s="754"/>
      <c r="CZ74" s="754"/>
      <c r="DA74" s="754"/>
      <c r="DB74" s="754"/>
      <c r="DC74" s="754"/>
      <c r="DD74" s="754"/>
      <c r="DE74" s="754"/>
      <c r="DF74" s="754"/>
      <c r="DG74" s="754"/>
      <c r="DH74" s="754"/>
      <c r="DI74" s="754"/>
      <c r="DJ74" s="754"/>
      <c r="DK74" s="754"/>
      <c r="DL74" s="754"/>
      <c r="DM74" s="754"/>
      <c r="DN74" s="754"/>
      <c r="DO74" s="754"/>
      <c r="DP74" s="754"/>
      <c r="DQ74" s="754"/>
      <c r="DR74" s="754"/>
      <c r="DS74" s="754"/>
      <c r="DT74" s="754"/>
      <c r="DU74" s="754"/>
      <c r="DV74" s="754"/>
      <c r="DW74" s="754"/>
      <c r="DX74" s="754"/>
      <c r="DY74" s="754"/>
      <c r="DZ74" s="754"/>
      <c r="EA74" s="754"/>
      <c r="EB74" s="754"/>
      <c r="EC74" s="754"/>
      <c r="ED74" s="754"/>
      <c r="EE74" s="754"/>
      <c r="EF74" s="754"/>
      <c r="EG74" s="754"/>
      <c r="EH74" s="754"/>
      <c r="EI74" s="754"/>
      <c r="EJ74" s="754"/>
      <c r="EK74" s="754"/>
      <c r="EL74" s="754"/>
      <c r="EM74" s="754"/>
      <c r="EN74" s="754"/>
      <c r="EO74" s="754"/>
      <c r="EP74" s="754"/>
      <c r="EQ74" s="754"/>
      <c r="ER74" s="754"/>
      <c r="ES74" s="754"/>
      <c r="ET74" s="754"/>
      <c r="EU74" s="754"/>
      <c r="EV74" s="754"/>
      <c r="EW74" s="754"/>
      <c r="EX74" s="754"/>
      <c r="EY74" s="754"/>
      <c r="EZ74" s="754"/>
      <c r="FA74" s="754"/>
      <c r="FB74" s="754"/>
      <c r="FC74" s="754"/>
      <c r="FD74" s="754"/>
      <c r="FE74" s="754"/>
      <c r="FF74" s="754"/>
      <c r="FG74" s="754"/>
      <c r="FH74" s="754"/>
      <c r="FI74" s="754"/>
      <c r="FJ74" s="754"/>
      <c r="FK74" s="754"/>
      <c r="FL74" s="754"/>
      <c r="FM74" s="754"/>
      <c r="FN74" s="754"/>
      <c r="FO74" s="754"/>
      <c r="FP74" s="754"/>
      <c r="FQ74" s="754"/>
      <c r="FR74" s="754"/>
      <c r="FS74" s="754"/>
      <c r="FT74" s="754"/>
      <c r="FU74" s="754"/>
      <c r="FV74" s="754"/>
      <c r="FW74" s="754"/>
      <c r="FX74" s="754"/>
      <c r="FY74" s="754"/>
      <c r="FZ74" s="754"/>
      <c r="GA74" s="754"/>
      <c r="GB74" s="754"/>
      <c r="GC74" s="754"/>
      <c r="GD74" s="754"/>
      <c r="GE74" s="754"/>
      <c r="GF74" s="754"/>
      <c r="GG74" s="754"/>
      <c r="GH74" s="754"/>
      <c r="GI74" s="754"/>
      <c r="GJ74" s="754"/>
      <c r="GK74" s="754"/>
      <c r="GL74" s="754"/>
      <c r="GM74" s="754"/>
      <c r="GN74" s="754"/>
      <c r="GO74" s="754"/>
      <c r="GP74" s="754"/>
      <c r="GQ74" s="754"/>
      <c r="GR74" s="754"/>
      <c r="GS74" s="754"/>
      <c r="GT74" s="754"/>
      <c r="GU74" s="754"/>
      <c r="GV74" s="754"/>
      <c r="GW74" s="754"/>
      <c r="GX74" s="754"/>
      <c r="GY74" s="754"/>
      <c r="GZ74" s="754"/>
      <c r="HA74" s="754"/>
      <c r="HB74" s="754"/>
      <c r="HC74" s="754"/>
      <c r="HD74" s="754"/>
      <c r="HE74" s="754"/>
      <c r="HF74" s="754"/>
      <c r="HG74" s="754"/>
      <c r="HH74" s="754"/>
      <c r="HI74" s="754"/>
      <c r="HJ74" s="754"/>
      <c r="HK74" s="754"/>
      <c r="HL74" s="754"/>
      <c r="HM74" s="754"/>
      <c r="HN74" s="754"/>
      <c r="HO74" s="754"/>
      <c r="HP74" s="754"/>
      <c r="HQ74" s="754"/>
      <c r="HR74" s="754"/>
      <c r="HS74" s="754"/>
      <c r="HT74" s="754"/>
      <c r="HU74" s="754"/>
      <c r="HV74" s="754"/>
      <c r="HW74" s="754"/>
      <c r="HX74" s="754"/>
      <c r="HY74" s="754"/>
      <c r="HZ74" s="754"/>
      <c r="IA74" s="754"/>
      <c r="IB74" s="754"/>
      <c r="IC74" s="754"/>
      <c r="ID74" s="754"/>
      <c r="IE74" s="754"/>
      <c r="IF74" s="754"/>
      <c r="IG74" s="754"/>
      <c r="IH74" s="754"/>
      <c r="II74" s="754"/>
      <c r="IJ74" s="754"/>
      <c r="IK74" s="754"/>
      <c r="IL74" s="754"/>
      <c r="IM74" s="754"/>
      <c r="IN74" s="754"/>
      <c r="IO74" s="754"/>
      <c r="IP74" s="754"/>
      <c r="IQ74" s="754"/>
      <c r="IR74" s="754"/>
      <c r="IS74" s="754"/>
      <c r="IT74" s="754"/>
      <c r="IU74" s="754"/>
      <c r="IV74" s="754"/>
    </row>
    <row r="75" spans="1:256" s="1271" customFormat="1" ht="26.25" customHeight="1">
      <c r="A75" s="3289" t="s">
        <v>6321</v>
      </c>
      <c r="B75" s="3290"/>
      <c r="C75" s="3290" t="s">
        <v>6324</v>
      </c>
      <c r="D75" s="3290" t="s">
        <v>6317</v>
      </c>
      <c r="E75" s="3290" t="s">
        <v>146</v>
      </c>
      <c r="F75" s="3291">
        <f>F65</f>
        <v>37.567600000000013</v>
      </c>
      <c r="G75" s="469"/>
      <c r="H75" s="3292">
        <f t="shared" si="1"/>
        <v>0</v>
      </c>
      <c r="I75" s="3293" t="s">
        <v>112</v>
      </c>
      <c r="J75" s="1270"/>
      <c r="K75" s="647"/>
    </row>
    <row r="76" spans="1:256" s="1271" customFormat="1" ht="26.25" customHeight="1">
      <c r="A76" s="3289" t="s">
        <v>6322</v>
      </c>
      <c r="B76" s="3290"/>
      <c r="C76" s="3290" t="s">
        <v>6325</v>
      </c>
      <c r="D76" s="3290" t="s">
        <v>6318</v>
      </c>
      <c r="E76" s="3290" t="s">
        <v>146</v>
      </c>
      <c r="F76" s="3291">
        <f>F68</f>
        <v>25.048400000000001</v>
      </c>
      <c r="G76" s="469"/>
      <c r="H76" s="3292">
        <f t="shared" si="1"/>
        <v>0</v>
      </c>
      <c r="I76" s="3293" t="s">
        <v>112</v>
      </c>
      <c r="J76" s="1270"/>
      <c r="K76" s="647"/>
    </row>
    <row r="77" spans="1:256" s="2206" customFormat="1" ht="27" customHeight="1">
      <c r="A77" s="3284" t="s">
        <v>4240</v>
      </c>
      <c r="B77" s="2224"/>
      <c r="C77" s="3285">
        <v>171251101</v>
      </c>
      <c r="D77" s="3266" t="s">
        <v>192</v>
      </c>
      <c r="E77" s="2347" t="s">
        <v>146</v>
      </c>
      <c r="F77" s="2300">
        <f>F63</f>
        <v>62.616000000000014</v>
      </c>
      <c r="G77" s="210"/>
      <c r="H77" s="2624">
        <f t="shared" si="1"/>
        <v>0</v>
      </c>
      <c r="I77" s="2532" t="s">
        <v>137</v>
      </c>
      <c r="J77" s="783"/>
      <c r="K77" s="783"/>
      <c r="L77" s="612"/>
      <c r="M77" s="612"/>
      <c r="N77" s="612"/>
      <c r="O77" s="612"/>
      <c r="P77" s="612"/>
      <c r="Q77" s="612"/>
      <c r="R77" s="612"/>
      <c r="S77" s="788"/>
      <c r="U77" s="621"/>
      <c r="V77" s="612"/>
      <c r="W77" s="1273"/>
    </row>
    <row r="78" spans="1:256" s="2206" customFormat="1" ht="27" customHeight="1">
      <c r="A78" s="3294" t="s">
        <v>4241</v>
      </c>
      <c r="B78" s="2224"/>
      <c r="C78" s="805" t="s">
        <v>6313</v>
      </c>
      <c r="D78" s="810" t="s">
        <v>6314</v>
      </c>
      <c r="E78" s="2347" t="s">
        <v>175</v>
      </c>
      <c r="F78" s="2300">
        <f>F63*2</f>
        <v>125.23200000000003</v>
      </c>
      <c r="G78" s="209"/>
      <c r="H78" s="2624">
        <f t="shared" si="1"/>
        <v>0</v>
      </c>
      <c r="I78" s="781" t="s">
        <v>6312</v>
      </c>
      <c r="J78" s="647"/>
      <c r="K78" s="647"/>
      <c r="L78" s="612"/>
      <c r="M78" s="612"/>
      <c r="N78" s="612"/>
      <c r="O78" s="612"/>
      <c r="P78" s="612"/>
      <c r="Q78" s="612"/>
      <c r="R78" s="612"/>
      <c r="S78" s="788"/>
      <c r="V78" s="612"/>
    </row>
    <row r="79" spans="1:256" s="647" customFormat="1" ht="13.5" customHeight="1">
      <c r="A79" s="3295"/>
      <c r="B79" s="3296"/>
      <c r="C79" s="3297"/>
      <c r="D79" s="3298" t="s">
        <v>193</v>
      </c>
      <c r="E79" s="3299"/>
      <c r="F79" s="3300"/>
      <c r="G79" s="3216"/>
      <c r="H79" s="3301"/>
      <c r="I79" s="3302"/>
      <c r="J79" s="815"/>
      <c r="L79" s="612"/>
      <c r="M79" s="612"/>
      <c r="N79" s="612"/>
      <c r="O79" s="612"/>
      <c r="P79" s="612"/>
      <c r="Q79" s="612"/>
      <c r="R79" s="612"/>
      <c r="S79" s="788"/>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6"/>
      <c r="BA79" s="816"/>
      <c r="BB79" s="816"/>
      <c r="BC79" s="816"/>
      <c r="BD79" s="816"/>
      <c r="BE79" s="816"/>
      <c r="BF79" s="816"/>
      <c r="BG79" s="816"/>
      <c r="BH79" s="816"/>
      <c r="BI79" s="816"/>
      <c r="BJ79" s="816"/>
      <c r="BK79" s="816"/>
      <c r="BL79" s="816"/>
      <c r="BM79" s="816"/>
      <c r="BN79" s="816"/>
      <c r="BO79" s="816"/>
      <c r="BP79" s="816"/>
      <c r="BQ79" s="816"/>
      <c r="BR79" s="816"/>
      <c r="BS79" s="816"/>
      <c r="BT79" s="816"/>
      <c r="BU79" s="816"/>
      <c r="BV79" s="816"/>
      <c r="BW79" s="816"/>
      <c r="BX79" s="816"/>
      <c r="BY79" s="816"/>
      <c r="BZ79" s="816"/>
      <c r="CA79" s="816"/>
      <c r="CB79" s="816"/>
      <c r="CC79" s="816"/>
      <c r="CD79" s="816"/>
      <c r="CE79" s="816"/>
      <c r="CF79" s="816"/>
      <c r="CG79" s="816"/>
      <c r="CH79" s="816"/>
      <c r="CI79" s="816"/>
      <c r="CJ79" s="816"/>
      <c r="CK79" s="816"/>
      <c r="CL79" s="816"/>
      <c r="CM79" s="816"/>
      <c r="CN79" s="816"/>
      <c r="CO79" s="816"/>
      <c r="CP79" s="816"/>
      <c r="CQ79" s="816"/>
      <c r="CR79" s="816"/>
      <c r="CS79" s="816"/>
      <c r="CT79" s="816"/>
      <c r="CU79" s="816"/>
      <c r="CV79" s="816"/>
      <c r="CW79" s="816"/>
      <c r="CX79" s="816"/>
      <c r="CY79" s="816"/>
      <c r="CZ79" s="816"/>
      <c r="DA79" s="816"/>
      <c r="DB79" s="816"/>
      <c r="DC79" s="816"/>
      <c r="DD79" s="816"/>
      <c r="DE79" s="816"/>
      <c r="DF79" s="816"/>
      <c r="DG79" s="816"/>
      <c r="DH79" s="816"/>
      <c r="DI79" s="816"/>
      <c r="DJ79" s="816"/>
      <c r="DK79" s="816"/>
      <c r="DL79" s="816"/>
      <c r="DM79" s="816"/>
      <c r="DN79" s="816"/>
      <c r="DO79" s="816"/>
      <c r="DP79" s="816"/>
      <c r="DQ79" s="816"/>
      <c r="DR79" s="816"/>
      <c r="DS79" s="816"/>
      <c r="DT79" s="816"/>
      <c r="DU79" s="816"/>
      <c r="DV79" s="816"/>
      <c r="DW79" s="816"/>
      <c r="DX79" s="816"/>
      <c r="DY79" s="816"/>
      <c r="DZ79" s="816"/>
      <c r="EA79" s="816"/>
      <c r="EB79" s="816"/>
      <c r="EC79" s="816"/>
      <c r="ED79" s="816"/>
      <c r="EE79" s="816"/>
      <c r="EF79" s="816"/>
      <c r="EG79" s="816"/>
      <c r="EH79" s="816"/>
      <c r="EI79" s="816"/>
      <c r="EJ79" s="816"/>
      <c r="EK79" s="816"/>
      <c r="EL79" s="816"/>
      <c r="EM79" s="816"/>
      <c r="EN79" s="816"/>
      <c r="EO79" s="816"/>
      <c r="EP79" s="816"/>
      <c r="EQ79" s="816"/>
      <c r="ER79" s="816"/>
      <c r="ES79" s="816"/>
      <c r="ET79" s="816"/>
      <c r="EU79" s="816"/>
      <c r="EV79" s="816"/>
      <c r="EW79" s="816"/>
      <c r="EX79" s="816"/>
      <c r="EY79" s="816"/>
      <c r="EZ79" s="816"/>
      <c r="FA79" s="816"/>
      <c r="FB79" s="816"/>
      <c r="FC79" s="816"/>
      <c r="FD79" s="816"/>
      <c r="FE79" s="816"/>
      <c r="FF79" s="816"/>
      <c r="FG79" s="816"/>
      <c r="FH79" s="816"/>
      <c r="FI79" s="816"/>
      <c r="FJ79" s="816"/>
      <c r="FK79" s="816"/>
      <c r="FL79" s="816"/>
      <c r="FM79" s="816"/>
      <c r="FN79" s="816"/>
      <c r="FO79" s="816"/>
      <c r="FP79" s="816"/>
      <c r="FQ79" s="816"/>
      <c r="FR79" s="816"/>
      <c r="FS79" s="816"/>
      <c r="FT79" s="816"/>
      <c r="FU79" s="816"/>
      <c r="FV79" s="816"/>
      <c r="FW79" s="816"/>
      <c r="FX79" s="816"/>
      <c r="FY79" s="816"/>
      <c r="FZ79" s="816"/>
      <c r="GA79" s="816"/>
      <c r="GB79" s="816"/>
      <c r="GC79" s="816"/>
      <c r="GD79" s="816"/>
      <c r="GE79" s="816"/>
      <c r="GF79" s="816"/>
      <c r="GG79" s="816"/>
      <c r="GH79" s="816"/>
      <c r="GI79" s="816"/>
      <c r="GJ79" s="816"/>
      <c r="GK79" s="816"/>
      <c r="GL79" s="816"/>
      <c r="GM79" s="816"/>
      <c r="GN79" s="816"/>
      <c r="GO79" s="816"/>
      <c r="GP79" s="816"/>
      <c r="GQ79" s="816"/>
      <c r="GR79" s="816"/>
      <c r="GS79" s="816"/>
      <c r="GT79" s="816"/>
      <c r="GU79" s="816"/>
      <c r="GV79" s="816"/>
      <c r="GW79" s="816"/>
      <c r="GX79" s="816"/>
      <c r="GY79" s="816"/>
      <c r="GZ79" s="816"/>
      <c r="HA79" s="816"/>
      <c r="HB79" s="816"/>
      <c r="HC79" s="816"/>
      <c r="HD79" s="816"/>
      <c r="HE79" s="816"/>
      <c r="HF79" s="816"/>
      <c r="HG79" s="816"/>
      <c r="HH79" s="816"/>
      <c r="HI79" s="816"/>
      <c r="HJ79" s="816"/>
      <c r="HK79" s="816"/>
      <c r="HL79" s="816"/>
      <c r="HM79" s="816"/>
      <c r="HN79" s="816"/>
      <c r="HO79" s="816"/>
      <c r="HP79" s="816"/>
      <c r="HQ79" s="816"/>
      <c r="HR79" s="816"/>
      <c r="HS79" s="816"/>
      <c r="HT79" s="816"/>
      <c r="HU79" s="816"/>
      <c r="HV79" s="816"/>
      <c r="HW79" s="816"/>
      <c r="HX79" s="816"/>
      <c r="HY79" s="816"/>
      <c r="HZ79" s="816"/>
      <c r="IA79" s="816"/>
      <c r="IB79" s="816"/>
      <c r="IC79" s="816"/>
      <c r="ID79" s="816"/>
      <c r="IE79" s="816"/>
      <c r="IF79" s="816"/>
      <c r="IG79" s="816"/>
      <c r="IH79" s="816"/>
      <c r="II79" s="816"/>
      <c r="IJ79" s="816"/>
      <c r="IK79" s="816"/>
      <c r="IL79" s="816"/>
      <c r="IM79" s="816"/>
      <c r="IN79" s="816"/>
      <c r="IO79" s="816"/>
      <c r="IP79" s="816"/>
      <c r="IQ79" s="816"/>
      <c r="IR79" s="816"/>
      <c r="IS79" s="816"/>
      <c r="IT79" s="816"/>
      <c r="IU79" s="816"/>
      <c r="IV79" s="816"/>
    </row>
    <row r="80" spans="1:256" s="753" customFormat="1" ht="81" customHeight="1">
      <c r="A80" s="3274"/>
      <c r="B80" s="3275"/>
      <c r="C80" s="3276"/>
      <c r="D80" s="2314" t="s">
        <v>2404</v>
      </c>
      <c r="E80" s="3266"/>
      <c r="F80" s="3288"/>
      <c r="G80" s="199"/>
      <c r="H80" s="3263"/>
      <c r="I80" s="3303"/>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c r="CB80" s="754"/>
      <c r="CC80" s="754"/>
      <c r="CD80" s="754"/>
      <c r="CE80" s="754"/>
      <c r="CF80" s="754"/>
      <c r="CG80" s="754"/>
      <c r="CH80" s="754"/>
      <c r="CI80" s="754"/>
      <c r="CJ80" s="754"/>
      <c r="CK80" s="754"/>
      <c r="CL80" s="754"/>
      <c r="CM80" s="754"/>
      <c r="CN80" s="754"/>
      <c r="CO80" s="754"/>
      <c r="CP80" s="754"/>
      <c r="CQ80" s="754"/>
      <c r="CR80" s="754"/>
      <c r="CS80" s="754"/>
      <c r="CT80" s="754"/>
      <c r="CU80" s="754"/>
      <c r="CV80" s="754"/>
      <c r="CW80" s="754"/>
      <c r="CX80" s="754"/>
      <c r="CY80" s="754"/>
      <c r="CZ80" s="754"/>
      <c r="DA80" s="754"/>
      <c r="DB80" s="754"/>
      <c r="DC80" s="754"/>
      <c r="DD80" s="754"/>
      <c r="DE80" s="754"/>
      <c r="DF80" s="754"/>
      <c r="DG80" s="754"/>
      <c r="DH80" s="754"/>
      <c r="DI80" s="754"/>
      <c r="DJ80" s="754"/>
      <c r="DK80" s="754"/>
      <c r="DL80" s="754"/>
      <c r="DM80" s="754"/>
      <c r="DN80" s="754"/>
      <c r="DO80" s="754"/>
      <c r="DP80" s="754"/>
      <c r="DQ80" s="754"/>
      <c r="DR80" s="754"/>
      <c r="DS80" s="754"/>
      <c r="DT80" s="754"/>
      <c r="DU80" s="754"/>
      <c r="DV80" s="754"/>
      <c r="DW80" s="754"/>
      <c r="DX80" s="754"/>
      <c r="DY80" s="754"/>
      <c r="DZ80" s="754"/>
      <c r="EA80" s="754"/>
      <c r="EB80" s="754"/>
      <c r="EC80" s="754"/>
      <c r="ED80" s="754"/>
      <c r="EE80" s="754"/>
      <c r="EF80" s="754"/>
      <c r="EG80" s="754"/>
      <c r="EH80" s="754"/>
      <c r="EI80" s="754"/>
      <c r="EJ80" s="754"/>
      <c r="EK80" s="754"/>
      <c r="EL80" s="754"/>
      <c r="EM80" s="754"/>
      <c r="EN80" s="754"/>
      <c r="EO80" s="754"/>
      <c r="EP80" s="754"/>
      <c r="EQ80" s="754"/>
      <c r="ER80" s="754"/>
      <c r="ES80" s="754"/>
      <c r="ET80" s="754"/>
      <c r="EU80" s="754"/>
      <c r="EV80" s="754"/>
      <c r="EW80" s="754"/>
      <c r="EX80" s="754"/>
      <c r="EY80" s="754"/>
      <c r="EZ80" s="754"/>
      <c r="FA80" s="754"/>
      <c r="FB80" s="754"/>
      <c r="FC80" s="754"/>
      <c r="FD80" s="754"/>
      <c r="FE80" s="754"/>
      <c r="FF80" s="754"/>
      <c r="FG80" s="754"/>
      <c r="FH80" s="754"/>
      <c r="FI80" s="754"/>
      <c r="FJ80" s="754"/>
      <c r="FK80" s="754"/>
      <c r="FL80" s="754"/>
      <c r="FM80" s="754"/>
      <c r="FN80" s="754"/>
      <c r="FO80" s="754"/>
      <c r="FP80" s="754"/>
      <c r="FQ80" s="754"/>
      <c r="FR80" s="754"/>
      <c r="FS80" s="754"/>
      <c r="FT80" s="754"/>
      <c r="FU80" s="754"/>
      <c r="FV80" s="754"/>
      <c r="FW80" s="754"/>
      <c r="FX80" s="754"/>
      <c r="FY80" s="754"/>
      <c r="FZ80" s="754"/>
      <c r="GA80" s="754"/>
      <c r="GB80" s="754"/>
      <c r="GC80" s="754"/>
      <c r="GD80" s="754"/>
      <c r="GE80" s="754"/>
      <c r="GF80" s="754"/>
      <c r="GG80" s="754"/>
      <c r="GH80" s="754"/>
      <c r="GI80" s="754"/>
      <c r="GJ80" s="754"/>
      <c r="GK80" s="754"/>
      <c r="GL80" s="754"/>
      <c r="GM80" s="754"/>
      <c r="GN80" s="754"/>
      <c r="GO80" s="754"/>
      <c r="GP80" s="754"/>
      <c r="GQ80" s="754"/>
      <c r="GR80" s="754"/>
      <c r="GS80" s="754"/>
      <c r="GT80" s="754"/>
      <c r="GU80" s="754"/>
      <c r="GV80" s="754"/>
      <c r="GW80" s="754"/>
      <c r="GX80" s="754"/>
      <c r="GY80" s="754"/>
      <c r="GZ80" s="754"/>
      <c r="HA80" s="754"/>
      <c r="HB80" s="754"/>
      <c r="HC80" s="754"/>
      <c r="HD80" s="754"/>
      <c r="HE80" s="754"/>
      <c r="HF80" s="754"/>
      <c r="HG80" s="754"/>
      <c r="HH80" s="754"/>
      <c r="HI80" s="754"/>
      <c r="HJ80" s="754"/>
      <c r="HK80" s="754"/>
      <c r="HL80" s="754"/>
      <c r="HM80" s="754"/>
      <c r="HN80" s="754"/>
      <c r="HO80" s="754"/>
      <c r="HP80" s="754"/>
      <c r="HQ80" s="754"/>
      <c r="HR80" s="754"/>
      <c r="HS80" s="754"/>
      <c r="HT80" s="754"/>
      <c r="HU80" s="754"/>
      <c r="HV80" s="754"/>
      <c r="HW80" s="754"/>
      <c r="HX80" s="754"/>
      <c r="HY80" s="754"/>
      <c r="HZ80" s="754"/>
      <c r="IA80" s="754"/>
      <c r="IB80" s="754"/>
      <c r="IC80" s="754"/>
      <c r="ID80" s="754"/>
      <c r="IE80" s="754"/>
      <c r="IF80" s="754"/>
      <c r="IG80" s="754"/>
      <c r="IH80" s="754"/>
      <c r="II80" s="754"/>
      <c r="IJ80" s="754"/>
      <c r="IK80" s="754"/>
      <c r="IL80" s="754"/>
      <c r="IM80" s="754"/>
      <c r="IN80" s="754"/>
      <c r="IO80" s="754"/>
      <c r="IP80" s="754"/>
      <c r="IQ80" s="754"/>
      <c r="IR80" s="754"/>
      <c r="IS80" s="754"/>
      <c r="IT80" s="754"/>
      <c r="IU80" s="754"/>
      <c r="IV80" s="754"/>
    </row>
    <row r="81" spans="1:23" s="2206" customFormat="1" ht="13.5" customHeight="1">
      <c r="A81" s="2222"/>
      <c r="B81" s="2224"/>
      <c r="C81" s="2216">
        <v>4</v>
      </c>
      <c r="D81" s="2216" t="s">
        <v>279</v>
      </c>
      <c r="E81" s="2216"/>
      <c r="F81" s="3304"/>
      <c r="G81" s="152"/>
      <c r="H81" s="2218">
        <f>SUM(H82:H83)</f>
        <v>0</v>
      </c>
      <c r="I81" s="2297"/>
      <c r="L81" s="3305"/>
    </row>
    <row r="82" spans="1:23" s="2206" customFormat="1" ht="13.5" customHeight="1">
      <c r="A82" s="3236">
        <v>22</v>
      </c>
      <c r="B82" s="3237">
        <v>271</v>
      </c>
      <c r="C82" s="2264">
        <v>451573111</v>
      </c>
      <c r="D82" s="2264" t="s">
        <v>2405</v>
      </c>
      <c r="E82" s="3237" t="s">
        <v>146</v>
      </c>
      <c r="F82" s="3238">
        <f>SUM(F83:F83)</f>
        <v>17.0808</v>
      </c>
      <c r="G82" s="105"/>
      <c r="H82" s="2266">
        <f>F82*G82</f>
        <v>0</v>
      </c>
      <c r="I82" s="2228" t="s">
        <v>137</v>
      </c>
      <c r="J82" s="3239"/>
    </row>
    <row r="83" spans="1:23" s="604" customFormat="1" ht="27" customHeight="1">
      <c r="A83" s="2576"/>
      <c r="B83" s="2577"/>
      <c r="C83" s="2582"/>
      <c r="D83" s="2230" t="s">
        <v>2406</v>
      </c>
      <c r="E83" s="2269"/>
      <c r="F83" s="2303">
        <f>(28.44+22.72+10.26+80.92)*0.8*0.15</f>
        <v>17.0808</v>
      </c>
      <c r="G83" s="3"/>
      <c r="H83" s="2580"/>
      <c r="I83" s="2581"/>
      <c r="J83" s="606"/>
      <c r="U83" s="605"/>
      <c r="W83" s="605"/>
    </row>
    <row r="84" spans="1:23" s="2206" customFormat="1" ht="13.5" customHeight="1">
      <c r="A84" s="2222"/>
      <c r="B84" s="2224"/>
      <c r="C84" s="2216" t="s">
        <v>1171</v>
      </c>
      <c r="D84" s="2216" t="s">
        <v>1646</v>
      </c>
      <c r="E84" s="2216"/>
      <c r="F84" s="3304"/>
      <c r="G84" s="152"/>
      <c r="H84" s="2218">
        <f>SUM(H85:H91)</f>
        <v>0</v>
      </c>
      <c r="I84" s="2297"/>
      <c r="L84" s="3305"/>
    </row>
    <row r="85" spans="1:23" s="612" customFormat="1" ht="13.5" customHeight="1">
      <c r="A85" s="2263">
        <v>23</v>
      </c>
      <c r="B85" s="2264">
        <v>271</v>
      </c>
      <c r="C85" s="2264" t="s">
        <v>2407</v>
      </c>
      <c r="D85" s="2264" t="s">
        <v>2408</v>
      </c>
      <c r="E85" s="2264" t="s">
        <v>205</v>
      </c>
      <c r="F85" s="2299">
        <f>F86</f>
        <v>9</v>
      </c>
      <c r="G85" s="105"/>
      <c r="H85" s="2266">
        <f>F85*G85</f>
        <v>0</v>
      </c>
      <c r="I85" s="2228" t="s">
        <v>111</v>
      </c>
      <c r="J85" s="201"/>
    </row>
    <row r="86" spans="1:23" s="604" customFormat="1" ht="13.5" customHeight="1">
      <c r="A86" s="2576"/>
      <c r="B86" s="2577"/>
      <c r="C86" s="2582"/>
      <c r="D86" s="2230" t="s">
        <v>2409</v>
      </c>
      <c r="E86" s="2269"/>
      <c r="F86" s="2303">
        <v>9</v>
      </c>
      <c r="G86" s="3"/>
      <c r="H86" s="2580"/>
      <c r="I86" s="2581"/>
      <c r="J86" s="606"/>
      <c r="U86" s="605"/>
      <c r="W86" s="605"/>
    </row>
    <row r="87" spans="1:23" s="604" customFormat="1" ht="27" customHeight="1">
      <c r="A87" s="2576"/>
      <c r="B87" s="2577"/>
      <c r="C87" s="2582"/>
      <c r="D87" s="2230" t="s">
        <v>2410</v>
      </c>
      <c r="E87" s="2269"/>
      <c r="F87" s="2303"/>
      <c r="G87" s="3"/>
      <c r="H87" s="2580"/>
      <c r="I87" s="2581"/>
      <c r="J87" s="606"/>
      <c r="U87" s="605"/>
      <c r="W87" s="605"/>
    </row>
    <row r="88" spans="1:23" s="612" customFormat="1" ht="13.5" customHeight="1">
      <c r="A88" s="2263">
        <v>24</v>
      </c>
      <c r="B88" s="2264">
        <v>271</v>
      </c>
      <c r="C88" s="2264" t="s">
        <v>2411</v>
      </c>
      <c r="D88" s="2264" t="s">
        <v>2412</v>
      </c>
      <c r="E88" s="2264" t="s">
        <v>49</v>
      </c>
      <c r="F88" s="2299">
        <f>F89</f>
        <v>1</v>
      </c>
      <c r="G88" s="105"/>
      <c r="H88" s="2266">
        <f>F88*G88</f>
        <v>0</v>
      </c>
      <c r="I88" s="2228" t="s">
        <v>112</v>
      </c>
      <c r="J88" s="201"/>
    </row>
    <row r="89" spans="1:23" s="604" customFormat="1" ht="27" customHeight="1">
      <c r="A89" s="2576"/>
      <c r="B89" s="2577"/>
      <c r="C89" s="2582"/>
      <c r="D89" s="2230" t="s">
        <v>2413</v>
      </c>
      <c r="E89" s="2269"/>
      <c r="F89" s="2303">
        <v>1</v>
      </c>
      <c r="G89" s="3"/>
      <c r="H89" s="2580"/>
      <c r="I89" s="2581"/>
      <c r="J89" s="606"/>
      <c r="U89" s="605"/>
      <c r="W89" s="605"/>
    </row>
    <row r="90" spans="1:23" s="604" customFormat="1" ht="13.5" customHeight="1">
      <c r="A90" s="2576"/>
      <c r="B90" s="2577"/>
      <c r="C90" s="2582"/>
      <c r="D90" s="2230" t="s">
        <v>2414</v>
      </c>
      <c r="E90" s="2269"/>
      <c r="F90" s="2303"/>
      <c r="G90" s="3"/>
      <c r="H90" s="2580"/>
      <c r="I90" s="2581"/>
      <c r="J90" s="606"/>
      <c r="U90" s="605"/>
      <c r="W90" s="605"/>
    </row>
    <row r="91" spans="1:23" s="604" customFormat="1" ht="27" customHeight="1">
      <c r="A91" s="2576"/>
      <c r="B91" s="2577"/>
      <c r="C91" s="2582"/>
      <c r="D91" s="2230" t="s">
        <v>2415</v>
      </c>
      <c r="E91" s="2269"/>
      <c r="F91" s="2303"/>
      <c r="G91" s="3"/>
      <c r="H91" s="2580"/>
      <c r="I91" s="2581"/>
      <c r="J91" s="606"/>
      <c r="U91" s="605"/>
      <c r="W91" s="605"/>
    </row>
    <row r="92" spans="1:23" s="2206" customFormat="1" ht="13.5" customHeight="1">
      <c r="A92" s="2222"/>
      <c r="B92" s="2224"/>
      <c r="C92" s="2216" t="s">
        <v>356</v>
      </c>
      <c r="D92" s="2216" t="s">
        <v>357</v>
      </c>
      <c r="E92" s="2216"/>
      <c r="F92" s="3304"/>
      <c r="G92" s="152"/>
      <c r="H92" s="2218">
        <f>SUM(H93:H98)</f>
        <v>0</v>
      </c>
      <c r="I92" s="2297"/>
      <c r="L92" s="3305"/>
    </row>
    <row r="93" spans="1:23" s="2206" customFormat="1" ht="13.5" customHeight="1">
      <c r="A93" s="3236">
        <v>25</v>
      </c>
      <c r="B93" s="3237" t="s">
        <v>2416</v>
      </c>
      <c r="C93" s="3237" t="s">
        <v>2417</v>
      </c>
      <c r="D93" s="3237" t="s">
        <v>2418</v>
      </c>
      <c r="E93" s="3237" t="s">
        <v>49</v>
      </c>
      <c r="F93" s="3238">
        <f>SUM(F94:F94)</f>
        <v>1</v>
      </c>
      <c r="G93" s="105"/>
      <c r="H93" s="2266">
        <f>F93*G93</f>
        <v>0</v>
      </c>
      <c r="I93" s="2228" t="s">
        <v>112</v>
      </c>
      <c r="J93" s="3241"/>
      <c r="M93" s="2241"/>
    </row>
    <row r="94" spans="1:23" s="612" customFormat="1" ht="13.5" customHeight="1">
      <c r="A94" s="2263"/>
      <c r="B94" s="2264"/>
      <c r="C94" s="2269"/>
      <c r="D94" s="2269" t="s">
        <v>2419</v>
      </c>
      <c r="E94" s="2269"/>
      <c r="F94" s="2303">
        <v>1</v>
      </c>
      <c r="G94" s="158"/>
      <c r="H94" s="2310"/>
      <c r="I94" s="2228"/>
    </row>
    <row r="95" spans="1:23" s="612" customFormat="1" ht="27" customHeight="1">
      <c r="A95" s="3306" t="s">
        <v>2420</v>
      </c>
      <c r="B95" s="2608" t="s">
        <v>2416</v>
      </c>
      <c r="C95" s="2224" t="s">
        <v>2421</v>
      </c>
      <c r="D95" s="2264" t="s">
        <v>2422</v>
      </c>
      <c r="E95" s="2264" t="s">
        <v>49</v>
      </c>
      <c r="F95" s="2299">
        <f>F96</f>
        <v>1</v>
      </c>
      <c r="G95" s="105"/>
      <c r="H95" s="2266">
        <f>F95*G95</f>
        <v>0</v>
      </c>
      <c r="I95" s="2228" t="s">
        <v>112</v>
      </c>
      <c r="J95" s="660"/>
    </row>
    <row r="96" spans="1:23" s="612" customFormat="1" ht="27" customHeight="1">
      <c r="A96" s="3306"/>
      <c r="B96" s="2608"/>
      <c r="C96" s="2224"/>
      <c r="D96" s="2269" t="s">
        <v>2423</v>
      </c>
      <c r="E96" s="2264"/>
      <c r="F96" s="3307">
        <v>1</v>
      </c>
      <c r="G96" s="105"/>
      <c r="H96" s="2266"/>
      <c r="I96" s="2228"/>
      <c r="J96" s="660"/>
    </row>
    <row r="97" spans="1:23" s="2206" customFormat="1" ht="13.5" customHeight="1">
      <c r="A97" s="3236">
        <v>27</v>
      </c>
      <c r="B97" s="3237" t="s">
        <v>362</v>
      </c>
      <c r="C97" s="3237" t="s">
        <v>2424</v>
      </c>
      <c r="D97" s="3237" t="s">
        <v>2425</v>
      </c>
      <c r="E97" s="3237" t="s">
        <v>69</v>
      </c>
      <c r="F97" s="3238">
        <f>F98</f>
        <v>15</v>
      </c>
      <c r="G97" s="105"/>
      <c r="H97" s="2266">
        <f>F97*G97</f>
        <v>0</v>
      </c>
      <c r="I97" s="2228" t="s">
        <v>137</v>
      </c>
      <c r="J97" s="660"/>
      <c r="K97" s="612"/>
      <c r="L97" s="612"/>
      <c r="M97" s="612"/>
      <c r="N97" s="612"/>
      <c r="O97" s="612"/>
      <c r="P97" s="612"/>
      <c r="Q97" s="612"/>
    </row>
    <row r="98" spans="1:23" s="604" customFormat="1" ht="27" customHeight="1">
      <c r="A98" s="2576"/>
      <c r="B98" s="2577"/>
      <c r="C98" s="2582"/>
      <c r="D98" s="2230" t="s">
        <v>365</v>
      </c>
      <c r="E98" s="2269"/>
      <c r="F98" s="2303">
        <v>15</v>
      </c>
      <c r="G98" s="3"/>
      <c r="H98" s="2580"/>
      <c r="I98" s="2581"/>
      <c r="J98" s="606"/>
      <c r="U98" s="605"/>
      <c r="W98" s="605"/>
    </row>
    <row r="99" spans="1:23" ht="21" customHeight="1">
      <c r="A99" s="2215"/>
      <c r="B99" s="2216"/>
      <c r="C99" s="2216" t="s">
        <v>366</v>
      </c>
      <c r="D99" s="2216" t="s">
        <v>367</v>
      </c>
      <c r="E99" s="2216"/>
      <c r="F99" s="2568"/>
      <c r="G99" s="152"/>
      <c r="H99" s="2218">
        <f>H100+H220+H446</f>
        <v>0</v>
      </c>
      <c r="I99" s="2219"/>
      <c r="J99" s="2220"/>
    </row>
    <row r="100" spans="1:23" s="2206" customFormat="1" ht="13.5" customHeight="1">
      <c r="A100" s="2215"/>
      <c r="B100" s="2216"/>
      <c r="C100" s="2216">
        <v>721</v>
      </c>
      <c r="D100" s="2216" t="s">
        <v>2426</v>
      </c>
      <c r="E100" s="2216"/>
      <c r="F100" s="3304"/>
      <c r="G100" s="152"/>
      <c r="H100" s="2218">
        <f>SUM(H101:H219)</f>
        <v>0</v>
      </c>
      <c r="I100" s="2221"/>
    </row>
    <row r="101" spans="1:23" s="2206" customFormat="1" ht="13.5" customHeight="1">
      <c r="A101" s="3308">
        <v>28</v>
      </c>
      <c r="B101" s="2224">
        <v>721</v>
      </c>
      <c r="C101" s="2224">
        <v>721173401</v>
      </c>
      <c r="D101" s="2224" t="s">
        <v>2427</v>
      </c>
      <c r="E101" s="2224" t="s">
        <v>141</v>
      </c>
      <c r="F101" s="2305">
        <f>F103</f>
        <v>65.12</v>
      </c>
      <c r="G101" s="124"/>
      <c r="H101" s="2226">
        <f>F101*G101</f>
        <v>0</v>
      </c>
      <c r="I101" s="2297" t="s">
        <v>1801</v>
      </c>
      <c r="J101" s="3309"/>
      <c r="O101" s="2320"/>
      <c r="P101" s="2320"/>
    </row>
    <row r="102" spans="1:23" s="2250" customFormat="1" ht="13.5" customHeight="1">
      <c r="A102" s="2319"/>
      <c r="B102" s="2244"/>
      <c r="C102" s="2244"/>
      <c r="D102" s="2277" t="s">
        <v>2428</v>
      </c>
      <c r="E102" s="2244"/>
      <c r="F102" s="2300"/>
      <c r="G102" s="127"/>
      <c r="H102" s="2226"/>
      <c r="I102" s="2219"/>
    </row>
    <row r="103" spans="1:23" s="2250" customFormat="1" ht="13.5" customHeight="1">
      <c r="A103" s="2319"/>
      <c r="B103" s="2244"/>
      <c r="C103" s="2244"/>
      <c r="D103" s="2277" t="s">
        <v>2429</v>
      </c>
      <c r="E103" s="2244"/>
      <c r="F103" s="2300">
        <f>(59.2)*1.1</f>
        <v>65.12</v>
      </c>
      <c r="G103" s="127"/>
      <c r="H103" s="2226"/>
      <c r="I103" s="2297"/>
    </row>
    <row r="104" spans="1:23" s="612" customFormat="1" ht="13.5" customHeight="1">
      <c r="A104" s="2263"/>
      <c r="B104" s="2264"/>
      <c r="C104" s="3310"/>
      <c r="D104" s="2269" t="s">
        <v>2430</v>
      </c>
      <c r="E104" s="3310"/>
      <c r="F104" s="3307"/>
      <c r="G104" s="202"/>
      <c r="H104" s="3311"/>
      <c r="I104" s="3312"/>
      <c r="J104" s="665"/>
      <c r="K104" s="663"/>
      <c r="L104" s="663"/>
    </row>
    <row r="105" spans="1:23" s="2206" customFormat="1" ht="13.5" customHeight="1">
      <c r="A105" s="3308">
        <v>29</v>
      </c>
      <c r="B105" s="2224">
        <v>721</v>
      </c>
      <c r="C105" s="2224">
        <v>721173402</v>
      </c>
      <c r="D105" s="2224" t="s">
        <v>2431</v>
      </c>
      <c r="E105" s="2224" t="s">
        <v>141</v>
      </c>
      <c r="F105" s="2305">
        <f>F107</f>
        <v>95.39200000000001</v>
      </c>
      <c r="G105" s="124"/>
      <c r="H105" s="2226">
        <f>F105*G105</f>
        <v>0</v>
      </c>
      <c r="I105" s="2297" t="s">
        <v>1801</v>
      </c>
      <c r="J105" s="3309"/>
      <c r="O105" s="2320"/>
      <c r="P105" s="2320"/>
    </row>
    <row r="106" spans="1:23" s="2250" customFormat="1" ht="13.5" customHeight="1">
      <c r="A106" s="2319"/>
      <c r="B106" s="2244"/>
      <c r="C106" s="2244"/>
      <c r="D106" s="2277" t="s">
        <v>2428</v>
      </c>
      <c r="E106" s="2244"/>
      <c r="F106" s="2300"/>
      <c r="G106" s="127"/>
      <c r="H106" s="2226"/>
      <c r="I106" s="2219"/>
    </row>
    <row r="107" spans="1:23" s="2250" customFormat="1" ht="13.5" customHeight="1">
      <c r="A107" s="2319"/>
      <c r="B107" s="2244"/>
      <c r="C107" s="2244"/>
      <c r="D107" s="2277" t="s">
        <v>2432</v>
      </c>
      <c r="E107" s="2244"/>
      <c r="F107" s="2300">
        <f>(86.72)*1.1</f>
        <v>95.39200000000001</v>
      </c>
      <c r="G107" s="127"/>
      <c r="H107" s="2226"/>
      <c r="I107" s="2297"/>
    </row>
    <row r="108" spans="1:23" s="612" customFormat="1" ht="13.5" customHeight="1">
      <c r="A108" s="2263"/>
      <c r="B108" s="2264"/>
      <c r="C108" s="3310"/>
      <c r="D108" s="2269" t="s">
        <v>2430</v>
      </c>
      <c r="E108" s="3310"/>
      <c r="F108" s="3307"/>
      <c r="G108" s="202"/>
      <c r="H108" s="3311"/>
      <c r="I108" s="3312"/>
      <c r="J108" s="665"/>
      <c r="K108" s="663"/>
      <c r="L108" s="663"/>
    </row>
    <row r="109" spans="1:23" s="2206" customFormat="1" ht="13.5" customHeight="1">
      <c r="A109" s="3308">
        <v>30</v>
      </c>
      <c r="B109" s="2224">
        <v>721</v>
      </c>
      <c r="C109" s="2224">
        <v>721173403</v>
      </c>
      <c r="D109" s="2224" t="s">
        <v>2433</v>
      </c>
      <c r="E109" s="2224" t="s">
        <v>141</v>
      </c>
      <c r="F109" s="2305">
        <f>F111</f>
        <v>13.97</v>
      </c>
      <c r="G109" s="124"/>
      <c r="H109" s="2226">
        <f>F109*G109</f>
        <v>0</v>
      </c>
      <c r="I109" s="2297" t="s">
        <v>1801</v>
      </c>
      <c r="J109" s="3313"/>
      <c r="O109" s="2320"/>
      <c r="P109" s="2320"/>
    </row>
    <row r="110" spans="1:23" s="2250" customFormat="1" ht="13.5" customHeight="1">
      <c r="A110" s="2319"/>
      <c r="B110" s="2244"/>
      <c r="C110" s="2244"/>
      <c r="D110" s="2277" t="s">
        <v>2428</v>
      </c>
      <c r="E110" s="2244"/>
      <c r="F110" s="2300"/>
      <c r="G110" s="127"/>
      <c r="H110" s="2226"/>
      <c r="I110" s="2219"/>
    </row>
    <row r="111" spans="1:23" s="2250" customFormat="1" ht="13.5" customHeight="1">
      <c r="A111" s="2319"/>
      <c r="B111" s="2244"/>
      <c r="C111" s="2244"/>
      <c r="D111" s="2277" t="s">
        <v>2434</v>
      </c>
      <c r="E111" s="2244"/>
      <c r="F111" s="2300">
        <f>(12.7)*1.1</f>
        <v>13.97</v>
      </c>
      <c r="G111" s="127"/>
      <c r="H111" s="2226"/>
      <c r="I111" s="2297"/>
    </row>
    <row r="112" spans="1:23" s="612" customFormat="1" ht="13.5" customHeight="1">
      <c r="A112" s="2263"/>
      <c r="B112" s="2264"/>
      <c r="C112" s="3310"/>
      <c r="D112" s="2269" t="s">
        <v>2430</v>
      </c>
      <c r="E112" s="3310"/>
      <c r="F112" s="3307"/>
      <c r="G112" s="202"/>
      <c r="H112" s="3311"/>
      <c r="I112" s="3312"/>
      <c r="J112" s="665"/>
      <c r="K112" s="663"/>
      <c r="L112" s="663"/>
    </row>
    <row r="113" spans="1:18" s="2206" customFormat="1" ht="13.5" customHeight="1">
      <c r="A113" s="2222">
        <v>31</v>
      </c>
      <c r="B113" s="2224">
        <v>721</v>
      </c>
      <c r="C113" s="2224">
        <v>721174042</v>
      </c>
      <c r="D113" s="2224" t="s">
        <v>2435</v>
      </c>
      <c r="E113" s="2224" t="s">
        <v>141</v>
      </c>
      <c r="F113" s="2305">
        <f>SUM(F115:F115)</f>
        <v>18.700000000000003</v>
      </c>
      <c r="G113" s="124"/>
      <c r="H113" s="2226">
        <f>F113*G113</f>
        <v>0</v>
      </c>
      <c r="I113" s="2297" t="s">
        <v>1801</v>
      </c>
      <c r="J113" s="3309"/>
      <c r="O113" s="2320"/>
    </row>
    <row r="114" spans="1:18" s="2206" customFormat="1" ht="13.5" customHeight="1">
      <c r="A114" s="2344"/>
      <c r="B114" s="2277"/>
      <c r="C114" s="2277"/>
      <c r="D114" s="2277" t="s">
        <v>2436</v>
      </c>
      <c r="E114" s="2277"/>
      <c r="F114" s="3314"/>
      <c r="G114" s="170"/>
      <c r="H114" s="2345"/>
      <c r="I114" s="2309"/>
      <c r="O114" s="2233"/>
      <c r="R114" s="2295"/>
    </row>
    <row r="115" spans="1:18" s="2206" customFormat="1" ht="13.5" customHeight="1">
      <c r="A115" s="2222"/>
      <c r="B115" s="2224"/>
      <c r="C115" s="2277"/>
      <c r="D115" s="2277" t="s">
        <v>2437</v>
      </c>
      <c r="E115" s="2277"/>
      <c r="F115" s="2300">
        <f>(17)*1.1</f>
        <v>18.700000000000003</v>
      </c>
      <c r="G115" s="170"/>
      <c r="H115" s="2345"/>
      <c r="I115" s="2297"/>
      <c r="O115" s="2233"/>
    </row>
    <row r="116" spans="1:18" s="2206" customFormat="1" ht="13.5" customHeight="1">
      <c r="A116" s="2344"/>
      <c r="B116" s="2277"/>
      <c r="C116" s="2277"/>
      <c r="D116" s="2269" t="s">
        <v>2430</v>
      </c>
      <c r="E116" s="2277"/>
      <c r="F116" s="2625"/>
      <c r="G116" s="170"/>
      <c r="H116" s="2345"/>
      <c r="I116" s="3315"/>
      <c r="J116" s="3316"/>
      <c r="O116" s="2233"/>
      <c r="R116" s="2295"/>
    </row>
    <row r="117" spans="1:18" s="2206" customFormat="1" ht="13.5" customHeight="1">
      <c r="A117" s="2222">
        <v>32</v>
      </c>
      <c r="B117" s="2224">
        <v>721</v>
      </c>
      <c r="C117" s="2224">
        <v>721174043</v>
      </c>
      <c r="D117" s="2224" t="s">
        <v>2438</v>
      </c>
      <c r="E117" s="2224" t="s">
        <v>141</v>
      </c>
      <c r="F117" s="2305">
        <f>SUM(F119:F119)</f>
        <v>54.670000000000009</v>
      </c>
      <c r="G117" s="124"/>
      <c r="H117" s="2226">
        <f>F117*G117</f>
        <v>0</v>
      </c>
      <c r="I117" s="2297" t="s">
        <v>1801</v>
      </c>
      <c r="J117" s="3309"/>
      <c r="O117" s="2320"/>
    </row>
    <row r="118" spans="1:18" s="2206" customFormat="1" ht="13.5" customHeight="1">
      <c r="A118" s="2344"/>
      <c r="B118" s="2277"/>
      <c r="C118" s="2277"/>
      <c r="D118" s="2277" t="s">
        <v>2436</v>
      </c>
      <c r="E118" s="2277"/>
      <c r="F118" s="3314"/>
      <c r="G118" s="170"/>
      <c r="H118" s="2345"/>
      <c r="I118" s="2309"/>
      <c r="O118" s="2233"/>
      <c r="R118" s="2295"/>
    </row>
    <row r="119" spans="1:18" s="2206" customFormat="1" ht="13.5" customHeight="1">
      <c r="A119" s="2222"/>
      <c r="B119" s="2224"/>
      <c r="C119" s="2277"/>
      <c r="D119" s="2277" t="s">
        <v>2439</v>
      </c>
      <c r="E119" s="2277"/>
      <c r="F119" s="2300">
        <f>(49.7)*1.1</f>
        <v>54.670000000000009</v>
      </c>
      <c r="G119" s="170"/>
      <c r="H119" s="2345"/>
      <c r="I119" s="2297"/>
      <c r="O119" s="2233"/>
    </row>
    <row r="120" spans="1:18" s="2206" customFormat="1" ht="13.5" customHeight="1">
      <c r="A120" s="2344"/>
      <c r="B120" s="2277"/>
      <c r="C120" s="2277"/>
      <c r="D120" s="2269" t="s">
        <v>2430</v>
      </c>
      <c r="E120" s="2277"/>
      <c r="F120" s="2625"/>
      <c r="G120" s="170"/>
      <c r="H120" s="2345"/>
      <c r="I120" s="3315"/>
      <c r="J120" s="3316"/>
      <c r="O120" s="2233"/>
      <c r="R120" s="2295"/>
    </row>
    <row r="121" spans="1:18" s="2206" customFormat="1" ht="13.5" customHeight="1">
      <c r="A121" s="2222">
        <v>33</v>
      </c>
      <c r="B121" s="2224">
        <v>721</v>
      </c>
      <c r="C121" s="2224">
        <v>721174044</v>
      </c>
      <c r="D121" s="2224" t="s">
        <v>2440</v>
      </c>
      <c r="E121" s="2224" t="s">
        <v>141</v>
      </c>
      <c r="F121" s="2305">
        <f>SUM(F123:F123)</f>
        <v>4.7300000000000004</v>
      </c>
      <c r="G121" s="124"/>
      <c r="H121" s="2226">
        <f>F121*G121</f>
        <v>0</v>
      </c>
      <c r="I121" s="2297" t="s">
        <v>1801</v>
      </c>
      <c r="J121" s="3309"/>
      <c r="O121" s="2320"/>
    </row>
    <row r="122" spans="1:18" s="2206" customFormat="1" ht="13.5" customHeight="1">
      <c r="A122" s="2344"/>
      <c r="B122" s="2277"/>
      <c r="C122" s="2277"/>
      <c r="D122" s="2277" t="s">
        <v>2436</v>
      </c>
      <c r="E122" s="2277"/>
      <c r="F122" s="3314"/>
      <c r="G122" s="170"/>
      <c r="H122" s="2345"/>
      <c r="I122" s="2309"/>
      <c r="O122" s="2233"/>
      <c r="R122" s="2295"/>
    </row>
    <row r="123" spans="1:18" s="2206" customFormat="1" ht="13.5" customHeight="1">
      <c r="A123" s="2222"/>
      <c r="B123" s="2224"/>
      <c r="C123" s="2277"/>
      <c r="D123" s="2277" t="s">
        <v>2441</v>
      </c>
      <c r="E123" s="2277"/>
      <c r="F123" s="2300">
        <f>(4.3)*1.1</f>
        <v>4.7300000000000004</v>
      </c>
      <c r="G123" s="170"/>
      <c r="H123" s="2345"/>
      <c r="I123" s="2297"/>
      <c r="O123" s="2233"/>
    </row>
    <row r="124" spans="1:18" s="2206" customFormat="1" ht="13.5" customHeight="1">
      <c r="A124" s="2344"/>
      <c r="B124" s="2277"/>
      <c r="C124" s="2277"/>
      <c r="D124" s="2269" t="s">
        <v>2430</v>
      </c>
      <c r="E124" s="2277"/>
      <c r="F124" s="2625"/>
      <c r="G124" s="170"/>
      <c r="H124" s="2345"/>
      <c r="I124" s="3315"/>
      <c r="J124" s="3316"/>
      <c r="O124" s="2233"/>
      <c r="R124" s="2295"/>
    </row>
    <row r="125" spans="1:18" s="2206" customFormat="1" ht="13.5" customHeight="1">
      <c r="A125" s="2222">
        <v>34</v>
      </c>
      <c r="B125" s="2224">
        <v>721</v>
      </c>
      <c r="C125" s="2224">
        <v>721174045</v>
      </c>
      <c r="D125" s="2224" t="s">
        <v>2442</v>
      </c>
      <c r="E125" s="2224" t="s">
        <v>141</v>
      </c>
      <c r="F125" s="2305">
        <f>SUM(F127:F127)</f>
        <v>14.190000000000001</v>
      </c>
      <c r="G125" s="124"/>
      <c r="H125" s="2226">
        <f>F125*G125</f>
        <v>0</v>
      </c>
      <c r="I125" s="2297" t="s">
        <v>1801</v>
      </c>
      <c r="J125" s="3309"/>
      <c r="O125" s="2320"/>
    </row>
    <row r="126" spans="1:18" s="2206" customFormat="1" ht="13.5" customHeight="1">
      <c r="A126" s="2344"/>
      <c r="B126" s="2277"/>
      <c r="C126" s="2277"/>
      <c r="D126" s="2277" t="s">
        <v>2436</v>
      </c>
      <c r="E126" s="2277"/>
      <c r="F126" s="3314"/>
      <c r="G126" s="170"/>
      <c r="H126" s="2345"/>
      <c r="I126" s="2309"/>
      <c r="O126" s="2233"/>
      <c r="R126" s="2295"/>
    </row>
    <row r="127" spans="1:18" s="2206" customFormat="1" ht="13.5" customHeight="1">
      <c r="A127" s="2222"/>
      <c r="B127" s="2224"/>
      <c r="C127" s="2277"/>
      <c r="D127" s="2277" t="s">
        <v>2443</v>
      </c>
      <c r="E127" s="2277"/>
      <c r="F127" s="2300">
        <f>(12.9)*1.1</f>
        <v>14.190000000000001</v>
      </c>
      <c r="G127" s="170"/>
      <c r="H127" s="2345"/>
      <c r="I127" s="2297"/>
      <c r="O127" s="2233"/>
    </row>
    <row r="128" spans="1:18" s="2206" customFormat="1" ht="13.5" customHeight="1">
      <c r="A128" s="2344"/>
      <c r="B128" s="2277"/>
      <c r="C128" s="2277"/>
      <c r="D128" s="2269" t="s">
        <v>2430</v>
      </c>
      <c r="E128" s="2277"/>
      <c r="F128" s="2625"/>
      <c r="G128" s="170"/>
      <c r="H128" s="2345"/>
      <c r="I128" s="3315"/>
      <c r="J128" s="3316"/>
      <c r="O128" s="2233"/>
      <c r="R128" s="2295"/>
    </row>
    <row r="129" spans="1:20" s="2206" customFormat="1" ht="13.5" customHeight="1">
      <c r="A129" s="3308">
        <v>35</v>
      </c>
      <c r="B129" s="2224">
        <v>721</v>
      </c>
      <c r="C129" s="2224">
        <v>721175211</v>
      </c>
      <c r="D129" s="2224" t="s">
        <v>2444</v>
      </c>
      <c r="E129" s="2224" t="s">
        <v>141</v>
      </c>
      <c r="F129" s="2305">
        <f>SUM(F131:F131)</f>
        <v>63.470000000000006</v>
      </c>
      <c r="G129" s="124"/>
      <c r="H129" s="2226">
        <f>F129*G129</f>
        <v>0</v>
      </c>
      <c r="I129" s="2297" t="s">
        <v>1801</v>
      </c>
      <c r="J129" s="3316"/>
      <c r="O129" s="2295"/>
      <c r="P129" s="2320"/>
    </row>
    <row r="130" spans="1:20" s="2206" customFormat="1" ht="13.5" customHeight="1">
      <c r="A130" s="2344"/>
      <c r="B130" s="2277"/>
      <c r="C130" s="2277"/>
      <c r="D130" s="2277" t="s">
        <v>2445</v>
      </c>
      <c r="E130" s="2277"/>
      <c r="F130" s="3314"/>
      <c r="G130" s="170"/>
      <c r="H130" s="2345"/>
      <c r="I130" s="2309"/>
      <c r="J130" s="2304"/>
      <c r="R130" s="2295"/>
    </row>
    <row r="131" spans="1:20" s="2206" customFormat="1" ht="13.5" customHeight="1">
      <c r="A131" s="2344"/>
      <c r="B131" s="2277"/>
      <c r="C131" s="2277"/>
      <c r="D131" s="2277" t="s">
        <v>2446</v>
      </c>
      <c r="E131" s="2277"/>
      <c r="F131" s="2300">
        <f>(57.7)*1.1</f>
        <v>63.470000000000006</v>
      </c>
      <c r="G131" s="170"/>
      <c r="H131" s="2345"/>
      <c r="I131" s="2297"/>
      <c r="J131" s="3317"/>
      <c r="R131" s="2295"/>
    </row>
    <row r="132" spans="1:20" s="2206" customFormat="1" ht="13.5" customHeight="1">
      <c r="A132" s="2344"/>
      <c r="B132" s="2277"/>
      <c r="C132" s="2277"/>
      <c r="D132" s="2269" t="s">
        <v>2430</v>
      </c>
      <c r="E132" s="2277"/>
      <c r="F132" s="2625"/>
      <c r="G132" s="170"/>
      <c r="H132" s="2345"/>
      <c r="I132" s="3315"/>
      <c r="J132" s="3316"/>
      <c r="R132" s="2295"/>
    </row>
    <row r="133" spans="1:20" s="2206" customFormat="1" ht="13.5" customHeight="1">
      <c r="A133" s="3308">
        <v>36</v>
      </c>
      <c r="B133" s="2224">
        <v>721</v>
      </c>
      <c r="C133" s="2224">
        <v>721175212</v>
      </c>
      <c r="D133" s="2224" t="s">
        <v>2447</v>
      </c>
      <c r="E133" s="2224" t="s">
        <v>141</v>
      </c>
      <c r="F133" s="2305">
        <f>SUM(F135:F135)</f>
        <v>48.620000000000005</v>
      </c>
      <c r="G133" s="124"/>
      <c r="H133" s="2226">
        <f>F133*G133</f>
        <v>0</v>
      </c>
      <c r="I133" s="2297" t="s">
        <v>1801</v>
      </c>
      <c r="J133" s="3316"/>
      <c r="O133" s="2295"/>
      <c r="P133" s="2320"/>
    </row>
    <row r="134" spans="1:20" s="2206" customFormat="1" ht="13.5" customHeight="1">
      <c r="A134" s="2344"/>
      <c r="B134" s="2277"/>
      <c r="C134" s="2277"/>
      <c r="D134" s="2277" t="s">
        <v>2445</v>
      </c>
      <c r="E134" s="2277"/>
      <c r="F134" s="3314"/>
      <c r="G134" s="170"/>
      <c r="H134" s="2345"/>
      <c r="I134" s="2309"/>
      <c r="J134" s="2304"/>
      <c r="R134" s="2295"/>
    </row>
    <row r="135" spans="1:20" s="2206" customFormat="1" ht="13.5" customHeight="1">
      <c r="A135" s="2344"/>
      <c r="B135" s="2277"/>
      <c r="C135" s="2277"/>
      <c r="D135" s="2277" t="s">
        <v>2448</v>
      </c>
      <c r="E135" s="2277"/>
      <c r="F135" s="2300">
        <f>(44.2)*1.1</f>
        <v>48.620000000000005</v>
      </c>
      <c r="G135" s="170"/>
      <c r="H135" s="2345"/>
      <c r="I135" s="2297"/>
      <c r="J135" s="3317"/>
      <c r="R135" s="2295"/>
    </row>
    <row r="136" spans="1:20" s="2206" customFormat="1" ht="13.5" customHeight="1">
      <c r="A136" s="2344"/>
      <c r="B136" s="2277"/>
      <c r="C136" s="2277"/>
      <c r="D136" s="2269" t="s">
        <v>2430</v>
      </c>
      <c r="E136" s="2277"/>
      <c r="F136" s="2625"/>
      <c r="G136" s="170"/>
      <c r="H136" s="2345"/>
      <c r="I136" s="3315"/>
      <c r="J136" s="3316"/>
      <c r="R136" s="2295"/>
    </row>
    <row r="137" spans="1:20" s="2308" customFormat="1" ht="13.5" customHeight="1">
      <c r="A137" s="2222">
        <v>37</v>
      </c>
      <c r="B137" s="2224">
        <v>721</v>
      </c>
      <c r="C137" s="2224" t="s">
        <v>2449</v>
      </c>
      <c r="D137" s="2224" t="s">
        <v>2450</v>
      </c>
      <c r="E137" s="2224" t="s">
        <v>141</v>
      </c>
      <c r="F137" s="2305">
        <f>SUM(F139:F139)</f>
        <v>21.12</v>
      </c>
      <c r="G137" s="124"/>
      <c r="H137" s="2226">
        <f>F137*G137</f>
        <v>0</v>
      </c>
      <c r="I137" s="2297" t="s">
        <v>112</v>
      </c>
      <c r="J137" s="569"/>
      <c r="K137" s="570"/>
      <c r="L137" s="570"/>
      <c r="M137" s="570"/>
      <c r="N137" s="570"/>
      <c r="O137" s="570"/>
      <c r="P137" s="467"/>
      <c r="Q137" s="2206"/>
      <c r="R137" s="569"/>
      <c r="S137" s="569"/>
      <c r="T137" s="569"/>
    </row>
    <row r="138" spans="1:20" s="2308" customFormat="1" ht="13.5" customHeight="1">
      <c r="A138" s="2312"/>
      <c r="B138" s="2296"/>
      <c r="C138" s="2296"/>
      <c r="D138" s="2277" t="s">
        <v>2451</v>
      </c>
      <c r="E138" s="2296"/>
      <c r="F138" s="3314"/>
      <c r="G138" s="170"/>
      <c r="H138" s="2345"/>
      <c r="I138" s="2309"/>
      <c r="J138" s="569"/>
      <c r="K138" s="570"/>
      <c r="L138" s="570"/>
      <c r="M138" s="570"/>
      <c r="N138" s="570"/>
      <c r="O138" s="570"/>
      <c r="P138" s="467"/>
      <c r="Q138" s="2206"/>
      <c r="R138" s="569"/>
      <c r="T138" s="3318"/>
    </row>
    <row r="139" spans="1:20" s="2308" customFormat="1" ht="13.5" customHeight="1">
      <c r="A139" s="2312"/>
      <c r="B139" s="2296"/>
      <c r="C139" s="2296"/>
      <c r="D139" s="2277" t="s">
        <v>2452</v>
      </c>
      <c r="E139" s="2296"/>
      <c r="F139" s="3314">
        <f>(19.2)*1.1</f>
        <v>21.12</v>
      </c>
      <c r="G139" s="155"/>
      <c r="H139" s="2286"/>
      <c r="I139" s="2297"/>
      <c r="J139" s="3319"/>
    </row>
    <row r="140" spans="1:20" s="2308" customFormat="1" ht="13.5" customHeight="1">
      <c r="A140" s="2312"/>
      <c r="B140" s="2296"/>
      <c r="C140" s="2296"/>
      <c r="D140" s="2277" t="s">
        <v>2453</v>
      </c>
      <c r="E140" s="2296"/>
      <c r="F140" s="2221"/>
      <c r="G140" s="155"/>
      <c r="H140" s="2286"/>
      <c r="I140" s="2309"/>
    </row>
    <row r="141" spans="1:20" s="2308" customFormat="1" ht="13.5" customHeight="1">
      <c r="A141" s="2222">
        <v>38</v>
      </c>
      <c r="B141" s="2224">
        <v>721</v>
      </c>
      <c r="C141" s="2224" t="s">
        <v>2454</v>
      </c>
      <c r="D141" s="2224" t="s">
        <v>2455</v>
      </c>
      <c r="E141" s="2224" t="s">
        <v>141</v>
      </c>
      <c r="F141" s="2305">
        <f>SUM(F143:F143)</f>
        <v>35.64</v>
      </c>
      <c r="G141" s="124"/>
      <c r="H141" s="2226">
        <f>F141*G141</f>
        <v>0</v>
      </c>
      <c r="I141" s="2297" t="s">
        <v>112</v>
      </c>
      <c r="J141" s="569"/>
      <c r="K141" s="570"/>
      <c r="L141" s="570"/>
      <c r="M141" s="570"/>
      <c r="N141" s="570"/>
      <c r="O141" s="570"/>
      <c r="P141" s="467"/>
      <c r="Q141" s="2206"/>
      <c r="R141" s="569"/>
      <c r="S141" s="569"/>
      <c r="T141" s="569"/>
    </row>
    <row r="142" spans="1:20" s="2308" customFormat="1" ht="13.5" customHeight="1">
      <c r="A142" s="2312"/>
      <c r="B142" s="2296"/>
      <c r="C142" s="2296"/>
      <c r="D142" s="2277" t="s">
        <v>2451</v>
      </c>
      <c r="E142" s="2296"/>
      <c r="F142" s="3314"/>
      <c r="G142" s="170"/>
      <c r="H142" s="2345"/>
      <c r="I142" s="2309"/>
      <c r="J142" s="569"/>
      <c r="K142" s="570"/>
      <c r="L142" s="570"/>
      <c r="M142" s="570"/>
      <c r="N142" s="570"/>
      <c r="O142" s="570"/>
      <c r="P142" s="467"/>
      <c r="Q142" s="2206"/>
      <c r="R142" s="569"/>
      <c r="T142" s="3318"/>
    </row>
    <row r="143" spans="1:20" s="2308" customFormat="1" ht="13.5" customHeight="1">
      <c r="A143" s="2312"/>
      <c r="B143" s="2296"/>
      <c r="C143" s="2296"/>
      <c r="D143" s="2277" t="s">
        <v>2456</v>
      </c>
      <c r="E143" s="2296"/>
      <c r="F143" s="3314">
        <f>(32.4)*1.1</f>
        <v>35.64</v>
      </c>
      <c r="G143" s="155"/>
      <c r="H143" s="2286"/>
      <c r="I143" s="2221"/>
      <c r="J143" s="3319"/>
      <c r="K143" s="3318"/>
      <c r="L143" s="3318"/>
      <c r="M143" s="3318"/>
      <c r="N143" s="3318"/>
      <c r="O143" s="3318"/>
      <c r="P143" s="3318"/>
      <c r="Q143" s="3318"/>
      <c r="R143" s="3318"/>
      <c r="S143" s="3318"/>
      <c r="T143" s="3318"/>
    </row>
    <row r="144" spans="1:20" s="2308" customFormat="1" ht="13.5" customHeight="1">
      <c r="A144" s="2312"/>
      <c r="B144" s="2296"/>
      <c r="C144" s="2296"/>
      <c r="D144" s="2277" t="s">
        <v>2453</v>
      </c>
      <c r="E144" s="2296"/>
      <c r="F144" s="2221"/>
      <c r="G144" s="155"/>
      <c r="H144" s="2286"/>
      <c r="I144" s="2297"/>
      <c r="J144" s="3318"/>
      <c r="K144" s="3318"/>
      <c r="L144" s="3318"/>
      <c r="M144" s="3318"/>
      <c r="N144" s="3318"/>
      <c r="O144" s="3318"/>
      <c r="P144" s="3318"/>
      <c r="Q144" s="3318"/>
      <c r="R144" s="3318"/>
      <c r="S144" s="3318"/>
      <c r="T144" s="3318"/>
    </row>
    <row r="145" spans="1:256" s="2308" customFormat="1" ht="13.5" customHeight="1">
      <c r="A145" s="2222">
        <v>39</v>
      </c>
      <c r="B145" s="2224">
        <v>721</v>
      </c>
      <c r="C145" s="2224" t="s">
        <v>2457</v>
      </c>
      <c r="D145" s="2224" t="s">
        <v>2458</v>
      </c>
      <c r="E145" s="2224" t="s">
        <v>141</v>
      </c>
      <c r="F145" s="2305">
        <f>SUM(F147:F147)</f>
        <v>4.7300000000000004</v>
      </c>
      <c r="G145" s="124"/>
      <c r="H145" s="2226">
        <f>F145*G145</f>
        <v>0</v>
      </c>
      <c r="I145" s="2297" t="s">
        <v>112</v>
      </c>
      <c r="J145" s="569"/>
      <c r="K145" s="570"/>
      <c r="L145" s="570"/>
      <c r="M145" s="570"/>
      <c r="N145" s="570"/>
      <c r="O145" s="570"/>
      <c r="P145" s="467"/>
      <c r="Q145" s="2206"/>
      <c r="R145" s="569"/>
      <c r="S145" s="569"/>
      <c r="T145" s="569"/>
    </row>
    <row r="146" spans="1:256" s="2308" customFormat="1" ht="13.5" customHeight="1">
      <c r="A146" s="2312"/>
      <c r="B146" s="2296"/>
      <c r="C146" s="2296"/>
      <c r="D146" s="2277" t="s">
        <v>2451</v>
      </c>
      <c r="E146" s="2296"/>
      <c r="F146" s="3314"/>
      <c r="G146" s="170"/>
      <c r="H146" s="2345"/>
      <c r="I146" s="2309"/>
      <c r="J146" s="569"/>
      <c r="K146" s="570"/>
      <c r="L146" s="570"/>
      <c r="M146" s="570"/>
      <c r="N146" s="570"/>
      <c r="O146" s="570"/>
      <c r="P146" s="467"/>
      <c r="Q146" s="2206"/>
      <c r="R146" s="569"/>
      <c r="T146" s="3318"/>
    </row>
    <row r="147" spans="1:256" s="2308" customFormat="1" ht="13.5" customHeight="1">
      <c r="A147" s="2312"/>
      <c r="B147" s="2296"/>
      <c r="C147" s="2296"/>
      <c r="D147" s="2277" t="s">
        <v>2441</v>
      </c>
      <c r="E147" s="2296"/>
      <c r="F147" s="3314">
        <f>(4.3)*1.1</f>
        <v>4.7300000000000004</v>
      </c>
      <c r="G147" s="155"/>
      <c r="H147" s="2286"/>
      <c r="I147" s="2297"/>
      <c r="J147" s="3319"/>
    </row>
    <row r="148" spans="1:256" s="2308" customFormat="1" ht="13.5" customHeight="1">
      <c r="A148" s="2312"/>
      <c r="B148" s="2296"/>
      <c r="C148" s="2296"/>
      <c r="D148" s="2277" t="s">
        <v>2453</v>
      </c>
      <c r="E148" s="2296"/>
      <c r="F148" s="2221"/>
      <c r="G148" s="155"/>
      <c r="H148" s="2286"/>
      <c r="I148" s="2309"/>
    </row>
    <row r="149" spans="1:256" s="2308" customFormat="1" ht="13.5" customHeight="1">
      <c r="A149" s="2222">
        <v>40</v>
      </c>
      <c r="B149" s="2223" t="s">
        <v>1860</v>
      </c>
      <c r="C149" s="2224" t="s">
        <v>2459</v>
      </c>
      <c r="D149" s="2224" t="s">
        <v>2460</v>
      </c>
      <c r="E149" s="2224" t="s">
        <v>205</v>
      </c>
      <c r="F149" s="2305">
        <f>SUM(F152:F154)</f>
        <v>6</v>
      </c>
      <c r="G149" s="124"/>
      <c r="H149" s="2226">
        <f>F149*G149</f>
        <v>0</v>
      </c>
      <c r="I149" s="2297" t="s">
        <v>112</v>
      </c>
      <c r="J149" s="3320"/>
      <c r="K149" s="2233"/>
      <c r="L149" s="2233"/>
      <c r="M149" s="2233"/>
      <c r="N149" s="2233"/>
      <c r="O149" s="2233"/>
      <c r="P149" s="3318"/>
      <c r="Q149" s="3318"/>
      <c r="R149" s="3321"/>
      <c r="S149" s="3318"/>
      <c r="T149" s="3318"/>
      <c r="U149" s="3322"/>
      <c r="V149" s="3318"/>
      <c r="W149" s="3318"/>
      <c r="X149" s="3318"/>
      <c r="Y149" s="3318"/>
      <c r="Z149" s="3318"/>
      <c r="AA149" s="3318"/>
      <c r="AB149" s="3318"/>
      <c r="AC149" s="3318"/>
      <c r="AD149" s="3318"/>
      <c r="AE149" s="3318"/>
      <c r="AF149" s="3318"/>
      <c r="AG149" s="3318"/>
      <c r="AH149" s="3318"/>
      <c r="AI149" s="3318"/>
      <c r="AJ149" s="3318"/>
      <c r="AK149" s="3318"/>
      <c r="AL149" s="3318"/>
      <c r="AM149" s="3318"/>
      <c r="AN149" s="3318"/>
    </row>
    <row r="150" spans="1:256" s="3143" customFormat="1" ht="40.5" customHeight="1">
      <c r="A150" s="3323"/>
      <c r="B150" s="3324"/>
      <c r="C150" s="2230"/>
      <c r="D150" s="2230" t="s">
        <v>2461</v>
      </c>
      <c r="E150" s="2230"/>
      <c r="F150" s="3325"/>
      <c r="G150" s="207"/>
      <c r="H150" s="3326"/>
      <c r="I150" s="3327"/>
      <c r="J150" s="3328"/>
      <c r="K150" s="2057"/>
      <c r="L150" s="2057"/>
      <c r="P150" s="71"/>
      <c r="W150" s="2057"/>
    </row>
    <row r="151" spans="1:256" s="3333" customFormat="1" ht="13.5" customHeight="1">
      <c r="A151" s="3329"/>
      <c r="B151" s="3330"/>
      <c r="C151" s="3330"/>
      <c r="D151" s="3330" t="s">
        <v>2462</v>
      </c>
      <c r="E151" s="3330"/>
      <c r="F151" s="3331"/>
      <c r="G151" s="203"/>
      <c r="H151" s="3332"/>
      <c r="I151" s="3327"/>
      <c r="J151" s="3142"/>
      <c r="K151" s="2206"/>
      <c r="L151" s="2206"/>
      <c r="M151" s="2206"/>
      <c r="N151" s="2206"/>
      <c r="O151" s="2206"/>
      <c r="P151" s="2206"/>
      <c r="Q151" s="2206"/>
      <c r="R151" s="2206"/>
      <c r="S151" s="2206"/>
      <c r="T151" s="2206"/>
      <c r="U151" s="2206"/>
      <c r="V151" s="2206"/>
      <c r="W151" s="2206"/>
      <c r="X151" s="2206"/>
      <c r="Y151" s="2206"/>
      <c r="Z151" s="2206"/>
      <c r="AA151" s="2206"/>
      <c r="AB151" s="2206"/>
      <c r="AC151" s="2206"/>
      <c r="AD151" s="2206"/>
      <c r="AE151" s="2206"/>
      <c r="AF151" s="2206"/>
      <c r="AG151" s="2206"/>
      <c r="AH151" s="2206"/>
      <c r="AI151" s="2206"/>
      <c r="AJ151" s="2206"/>
      <c r="AK151" s="2206"/>
      <c r="AL151" s="2206"/>
      <c r="AM151" s="2206"/>
      <c r="AN151" s="2206"/>
      <c r="AO151" s="2206"/>
      <c r="AP151" s="2206"/>
      <c r="AQ151" s="2206"/>
      <c r="AR151" s="1825"/>
      <c r="AS151" s="1825"/>
      <c r="AT151" s="1825"/>
      <c r="AU151" s="1825"/>
      <c r="AV151" s="1825"/>
      <c r="AW151" s="1825"/>
      <c r="AX151" s="1825"/>
      <c r="AY151" s="1825"/>
      <c r="AZ151" s="1825"/>
      <c r="BA151" s="1825"/>
      <c r="BB151" s="1825"/>
      <c r="BC151" s="1825"/>
      <c r="BD151" s="1825"/>
      <c r="BE151" s="1825"/>
      <c r="BF151" s="1825"/>
      <c r="BG151" s="1825"/>
      <c r="BH151" s="1825"/>
      <c r="BI151" s="1825"/>
      <c r="BJ151" s="1825"/>
      <c r="BK151" s="1825"/>
      <c r="BL151" s="1825"/>
      <c r="BM151" s="1825"/>
      <c r="BN151" s="1825"/>
      <c r="BO151" s="1825"/>
      <c r="BP151" s="1825"/>
      <c r="BQ151" s="1825"/>
      <c r="BR151" s="1825"/>
      <c r="BS151" s="1825"/>
      <c r="BT151" s="1825"/>
      <c r="BU151" s="1825"/>
      <c r="BV151" s="1825"/>
      <c r="BW151" s="1825"/>
      <c r="BX151" s="1825"/>
      <c r="BY151" s="1825"/>
      <c r="BZ151" s="1825"/>
      <c r="CA151" s="1825"/>
      <c r="CB151" s="1825"/>
      <c r="CC151" s="1825"/>
      <c r="CD151" s="1825"/>
      <c r="CE151" s="1825"/>
      <c r="CF151" s="1825"/>
      <c r="CG151" s="1825"/>
      <c r="CH151" s="1825"/>
      <c r="CI151" s="1825"/>
      <c r="CJ151" s="1825"/>
      <c r="CK151" s="1825"/>
      <c r="CL151" s="1825"/>
      <c r="CM151" s="1825"/>
      <c r="CN151" s="1825"/>
      <c r="CO151" s="1825"/>
      <c r="CP151" s="1825"/>
      <c r="CQ151" s="1825"/>
      <c r="CR151" s="1825"/>
      <c r="CS151" s="1825"/>
      <c r="CT151" s="1825"/>
      <c r="CU151" s="1825"/>
      <c r="CV151" s="1825"/>
      <c r="CW151" s="1825"/>
      <c r="CX151" s="1825"/>
      <c r="CY151" s="1825"/>
      <c r="CZ151" s="1825"/>
      <c r="DA151" s="1825"/>
      <c r="DB151" s="1825"/>
      <c r="DC151" s="1825"/>
      <c r="DD151" s="1825"/>
      <c r="DE151" s="1825"/>
      <c r="DF151" s="1825"/>
      <c r="DG151" s="1825"/>
      <c r="DH151" s="1825"/>
      <c r="DI151" s="1825"/>
      <c r="DJ151" s="1825"/>
      <c r="DK151" s="1825"/>
      <c r="DL151" s="1825"/>
      <c r="DM151" s="1825"/>
      <c r="DN151" s="1825"/>
      <c r="DO151" s="1825"/>
      <c r="DP151" s="1825"/>
      <c r="DQ151" s="1825"/>
      <c r="DR151" s="1825"/>
      <c r="DS151" s="1825"/>
      <c r="DT151" s="1825"/>
      <c r="DU151" s="1825"/>
      <c r="DV151" s="1825"/>
      <c r="DW151" s="1825"/>
      <c r="DX151" s="1825"/>
      <c r="DY151" s="1825"/>
      <c r="DZ151" s="1825"/>
      <c r="EA151" s="1825"/>
      <c r="EB151" s="1825"/>
      <c r="EC151" s="1825"/>
      <c r="ED151" s="1825"/>
      <c r="EE151" s="1825"/>
      <c r="EF151" s="1825"/>
      <c r="EG151" s="1825"/>
      <c r="EH151" s="1825"/>
      <c r="EI151" s="1825"/>
      <c r="EJ151" s="1825"/>
      <c r="EK151" s="1825"/>
      <c r="EL151" s="1825"/>
      <c r="EM151" s="1825"/>
      <c r="EN151" s="1825"/>
      <c r="EO151" s="1825"/>
      <c r="EP151" s="1825"/>
      <c r="EQ151" s="1825"/>
      <c r="ER151" s="1825"/>
      <c r="ES151" s="1825"/>
      <c r="ET151" s="1825"/>
      <c r="EU151" s="1825"/>
      <c r="EV151" s="1825"/>
      <c r="EW151" s="1825"/>
      <c r="EX151" s="1825"/>
      <c r="EY151" s="1825"/>
      <c r="EZ151" s="1825"/>
      <c r="FA151" s="1825"/>
      <c r="FB151" s="1825"/>
      <c r="FC151" s="1825"/>
      <c r="FD151" s="1825"/>
      <c r="FE151" s="1825"/>
      <c r="FF151" s="1825"/>
      <c r="FG151" s="1825"/>
      <c r="FH151" s="1825"/>
      <c r="FI151" s="1825"/>
      <c r="FJ151" s="1825"/>
      <c r="FK151" s="1825"/>
      <c r="FL151" s="1825"/>
      <c r="FM151" s="1825"/>
      <c r="FN151" s="1825"/>
      <c r="FO151" s="1825"/>
      <c r="FP151" s="1825"/>
      <c r="FQ151" s="1825"/>
      <c r="FR151" s="1825"/>
      <c r="FS151" s="1825"/>
      <c r="FT151" s="1825"/>
      <c r="FU151" s="1825"/>
      <c r="FV151" s="1825"/>
      <c r="FW151" s="1825"/>
      <c r="FX151" s="1825"/>
      <c r="FY151" s="1825"/>
      <c r="FZ151" s="1825"/>
      <c r="GA151" s="1825"/>
      <c r="GB151" s="1825"/>
      <c r="GC151" s="1825"/>
      <c r="GD151" s="1825"/>
      <c r="GE151" s="1825"/>
      <c r="GF151" s="1825"/>
      <c r="GG151" s="1825"/>
      <c r="GH151" s="1825"/>
      <c r="GI151" s="1825"/>
      <c r="GJ151" s="1825"/>
      <c r="GK151" s="1825"/>
      <c r="GL151" s="1825"/>
      <c r="GM151" s="1825"/>
      <c r="GN151" s="1825"/>
      <c r="GO151" s="1825"/>
      <c r="GP151" s="1825"/>
      <c r="GQ151" s="1825"/>
      <c r="GR151" s="1825"/>
      <c r="GS151" s="1825"/>
      <c r="GT151" s="1825"/>
      <c r="GU151" s="1825"/>
      <c r="GV151" s="1825"/>
      <c r="GW151" s="1825"/>
      <c r="GX151" s="1825"/>
      <c r="GY151" s="1825"/>
      <c r="GZ151" s="1825"/>
      <c r="HA151" s="1825"/>
      <c r="HB151" s="1825"/>
      <c r="HC151" s="1825"/>
      <c r="HD151" s="1825"/>
      <c r="HE151" s="1825"/>
      <c r="HF151" s="1825"/>
      <c r="HG151" s="1825"/>
      <c r="HH151" s="1825"/>
      <c r="HI151" s="1825"/>
      <c r="HJ151" s="1825"/>
      <c r="HK151" s="1825"/>
      <c r="HL151" s="1825"/>
      <c r="HM151" s="1825"/>
      <c r="HN151" s="1825"/>
      <c r="HO151" s="1825"/>
      <c r="HP151" s="1825"/>
      <c r="HQ151" s="1825"/>
      <c r="HR151" s="1825"/>
      <c r="HS151" s="1825"/>
      <c r="HT151" s="1825"/>
      <c r="HU151" s="1825"/>
      <c r="HV151" s="1825"/>
      <c r="HW151" s="1825"/>
      <c r="HX151" s="1825"/>
      <c r="HY151" s="1825"/>
      <c r="HZ151" s="1825"/>
      <c r="IA151" s="1825"/>
      <c r="IB151" s="1825"/>
      <c r="IC151" s="1825"/>
      <c r="ID151" s="1825"/>
      <c r="IE151" s="1825"/>
      <c r="IF151" s="1825"/>
      <c r="IG151" s="1825"/>
      <c r="IH151" s="1825"/>
      <c r="II151" s="1825"/>
      <c r="IJ151" s="1825"/>
      <c r="IK151" s="1825"/>
      <c r="IL151" s="1825"/>
      <c r="IM151" s="1825"/>
      <c r="IN151" s="1825"/>
      <c r="IO151" s="1825"/>
      <c r="IP151" s="1825"/>
      <c r="IQ151" s="1825"/>
      <c r="IR151" s="1825"/>
      <c r="IS151" s="1825"/>
      <c r="IT151" s="1825"/>
      <c r="IU151" s="1825"/>
      <c r="IV151" s="1825"/>
    </row>
    <row r="152" spans="1:256" s="3333" customFormat="1" ht="13.5" customHeight="1">
      <c r="A152" s="3329"/>
      <c r="B152" s="3330"/>
      <c r="C152" s="3330"/>
      <c r="D152" s="3330" t="s">
        <v>2463</v>
      </c>
      <c r="E152" s="3330"/>
      <c r="F152" s="3331">
        <v>3</v>
      </c>
      <c r="G152" s="203"/>
      <c r="H152" s="3332"/>
      <c r="I152" s="3334"/>
      <c r="J152" s="3142"/>
      <c r="K152" s="2206"/>
      <c r="L152" s="2206"/>
      <c r="M152" s="2206"/>
      <c r="N152" s="2206"/>
      <c r="O152" s="2206"/>
      <c r="P152" s="2206"/>
      <c r="Q152" s="2206"/>
      <c r="R152" s="2206"/>
      <c r="S152" s="2206"/>
      <c r="T152" s="2206"/>
      <c r="U152" s="2206"/>
      <c r="V152" s="2206"/>
      <c r="W152" s="2206"/>
      <c r="X152" s="2206"/>
      <c r="Y152" s="2206"/>
      <c r="Z152" s="2206"/>
      <c r="AA152" s="2206"/>
      <c r="AB152" s="2206"/>
      <c r="AC152" s="2206"/>
      <c r="AD152" s="2206"/>
      <c r="AE152" s="2206"/>
      <c r="AF152" s="2206"/>
      <c r="AG152" s="2206"/>
      <c r="AH152" s="2206"/>
      <c r="AI152" s="2206"/>
      <c r="AJ152" s="2206"/>
      <c r="AK152" s="2206"/>
      <c r="AL152" s="2206"/>
      <c r="AM152" s="2206"/>
      <c r="AN152" s="2206"/>
      <c r="AO152" s="2206"/>
      <c r="AP152" s="2206"/>
      <c r="AQ152" s="2206"/>
      <c r="AR152" s="1825"/>
      <c r="AS152" s="1825"/>
      <c r="AT152" s="1825"/>
      <c r="AU152" s="1825"/>
      <c r="AV152" s="1825"/>
      <c r="AW152" s="1825"/>
      <c r="AX152" s="1825"/>
      <c r="AY152" s="1825"/>
      <c r="AZ152" s="1825"/>
      <c r="BA152" s="1825"/>
      <c r="BB152" s="1825"/>
      <c r="BC152" s="1825"/>
      <c r="BD152" s="1825"/>
      <c r="BE152" s="1825"/>
      <c r="BF152" s="1825"/>
      <c r="BG152" s="1825"/>
      <c r="BH152" s="1825"/>
      <c r="BI152" s="1825"/>
      <c r="BJ152" s="1825"/>
      <c r="BK152" s="1825"/>
      <c r="BL152" s="1825"/>
      <c r="BM152" s="1825"/>
      <c r="BN152" s="1825"/>
      <c r="BO152" s="1825"/>
      <c r="BP152" s="1825"/>
      <c r="BQ152" s="1825"/>
      <c r="BR152" s="1825"/>
      <c r="BS152" s="1825"/>
      <c r="BT152" s="1825"/>
      <c r="BU152" s="1825"/>
      <c r="BV152" s="1825"/>
      <c r="BW152" s="1825"/>
      <c r="BX152" s="1825"/>
      <c r="BY152" s="1825"/>
      <c r="BZ152" s="1825"/>
      <c r="CA152" s="1825"/>
      <c r="CB152" s="1825"/>
      <c r="CC152" s="1825"/>
      <c r="CD152" s="1825"/>
      <c r="CE152" s="1825"/>
      <c r="CF152" s="1825"/>
      <c r="CG152" s="1825"/>
      <c r="CH152" s="1825"/>
      <c r="CI152" s="1825"/>
      <c r="CJ152" s="1825"/>
      <c r="CK152" s="1825"/>
      <c r="CL152" s="1825"/>
      <c r="CM152" s="1825"/>
      <c r="CN152" s="1825"/>
      <c r="CO152" s="1825"/>
      <c r="CP152" s="1825"/>
      <c r="CQ152" s="1825"/>
      <c r="CR152" s="1825"/>
      <c r="CS152" s="1825"/>
      <c r="CT152" s="1825"/>
      <c r="CU152" s="1825"/>
      <c r="CV152" s="1825"/>
      <c r="CW152" s="1825"/>
      <c r="CX152" s="1825"/>
      <c r="CY152" s="1825"/>
      <c r="CZ152" s="1825"/>
      <c r="DA152" s="1825"/>
      <c r="DB152" s="1825"/>
      <c r="DC152" s="1825"/>
      <c r="DD152" s="1825"/>
      <c r="DE152" s="1825"/>
      <c r="DF152" s="1825"/>
      <c r="DG152" s="1825"/>
      <c r="DH152" s="1825"/>
      <c r="DI152" s="1825"/>
      <c r="DJ152" s="1825"/>
      <c r="DK152" s="1825"/>
      <c r="DL152" s="1825"/>
      <c r="DM152" s="1825"/>
      <c r="DN152" s="1825"/>
      <c r="DO152" s="1825"/>
      <c r="DP152" s="1825"/>
      <c r="DQ152" s="1825"/>
      <c r="DR152" s="1825"/>
      <c r="DS152" s="1825"/>
      <c r="DT152" s="1825"/>
      <c r="DU152" s="1825"/>
      <c r="DV152" s="1825"/>
      <c r="DW152" s="1825"/>
      <c r="DX152" s="1825"/>
      <c r="DY152" s="1825"/>
      <c r="DZ152" s="1825"/>
      <c r="EA152" s="1825"/>
      <c r="EB152" s="1825"/>
      <c r="EC152" s="1825"/>
      <c r="ED152" s="1825"/>
      <c r="EE152" s="1825"/>
      <c r="EF152" s="1825"/>
      <c r="EG152" s="1825"/>
      <c r="EH152" s="1825"/>
      <c r="EI152" s="1825"/>
      <c r="EJ152" s="1825"/>
      <c r="EK152" s="1825"/>
      <c r="EL152" s="1825"/>
      <c r="EM152" s="1825"/>
      <c r="EN152" s="1825"/>
      <c r="EO152" s="1825"/>
      <c r="EP152" s="1825"/>
      <c r="EQ152" s="1825"/>
      <c r="ER152" s="1825"/>
      <c r="ES152" s="1825"/>
      <c r="ET152" s="1825"/>
      <c r="EU152" s="1825"/>
      <c r="EV152" s="1825"/>
      <c r="EW152" s="1825"/>
      <c r="EX152" s="1825"/>
      <c r="EY152" s="1825"/>
      <c r="EZ152" s="1825"/>
      <c r="FA152" s="1825"/>
      <c r="FB152" s="1825"/>
      <c r="FC152" s="1825"/>
      <c r="FD152" s="1825"/>
      <c r="FE152" s="1825"/>
      <c r="FF152" s="1825"/>
      <c r="FG152" s="1825"/>
      <c r="FH152" s="1825"/>
      <c r="FI152" s="1825"/>
      <c r="FJ152" s="1825"/>
      <c r="FK152" s="1825"/>
      <c r="FL152" s="1825"/>
      <c r="FM152" s="1825"/>
      <c r="FN152" s="1825"/>
      <c r="FO152" s="1825"/>
      <c r="FP152" s="1825"/>
      <c r="FQ152" s="1825"/>
      <c r="FR152" s="1825"/>
      <c r="FS152" s="1825"/>
      <c r="FT152" s="1825"/>
      <c r="FU152" s="1825"/>
      <c r="FV152" s="1825"/>
      <c r="FW152" s="1825"/>
      <c r="FX152" s="1825"/>
      <c r="FY152" s="1825"/>
      <c r="FZ152" s="1825"/>
      <c r="GA152" s="1825"/>
      <c r="GB152" s="1825"/>
      <c r="GC152" s="1825"/>
      <c r="GD152" s="1825"/>
      <c r="GE152" s="1825"/>
      <c r="GF152" s="1825"/>
      <c r="GG152" s="1825"/>
      <c r="GH152" s="1825"/>
      <c r="GI152" s="1825"/>
      <c r="GJ152" s="1825"/>
      <c r="GK152" s="1825"/>
      <c r="GL152" s="1825"/>
      <c r="GM152" s="1825"/>
      <c r="GN152" s="1825"/>
      <c r="GO152" s="1825"/>
      <c r="GP152" s="1825"/>
      <c r="GQ152" s="1825"/>
      <c r="GR152" s="1825"/>
      <c r="GS152" s="1825"/>
      <c r="GT152" s="1825"/>
      <c r="GU152" s="1825"/>
      <c r="GV152" s="1825"/>
      <c r="GW152" s="1825"/>
      <c r="GX152" s="1825"/>
      <c r="GY152" s="1825"/>
      <c r="GZ152" s="1825"/>
      <c r="HA152" s="1825"/>
      <c r="HB152" s="1825"/>
      <c r="HC152" s="1825"/>
      <c r="HD152" s="1825"/>
      <c r="HE152" s="1825"/>
      <c r="HF152" s="1825"/>
      <c r="HG152" s="1825"/>
      <c r="HH152" s="1825"/>
      <c r="HI152" s="1825"/>
      <c r="HJ152" s="1825"/>
      <c r="HK152" s="1825"/>
      <c r="HL152" s="1825"/>
      <c r="HM152" s="1825"/>
      <c r="HN152" s="1825"/>
      <c r="HO152" s="1825"/>
      <c r="HP152" s="1825"/>
      <c r="HQ152" s="1825"/>
      <c r="HR152" s="1825"/>
      <c r="HS152" s="1825"/>
      <c r="HT152" s="1825"/>
      <c r="HU152" s="1825"/>
      <c r="HV152" s="1825"/>
      <c r="HW152" s="1825"/>
      <c r="HX152" s="1825"/>
      <c r="HY152" s="1825"/>
      <c r="HZ152" s="1825"/>
      <c r="IA152" s="1825"/>
      <c r="IB152" s="1825"/>
      <c r="IC152" s="1825"/>
      <c r="ID152" s="1825"/>
      <c r="IE152" s="1825"/>
      <c r="IF152" s="1825"/>
      <c r="IG152" s="1825"/>
      <c r="IH152" s="1825"/>
      <c r="II152" s="1825"/>
      <c r="IJ152" s="1825"/>
      <c r="IK152" s="1825"/>
      <c r="IL152" s="1825"/>
      <c r="IM152" s="1825"/>
      <c r="IN152" s="1825"/>
      <c r="IO152" s="1825"/>
      <c r="IP152" s="1825"/>
      <c r="IQ152" s="1825"/>
      <c r="IR152" s="1825"/>
      <c r="IS152" s="1825"/>
      <c r="IT152" s="1825"/>
      <c r="IU152" s="1825"/>
      <c r="IV152" s="1825"/>
    </row>
    <row r="153" spans="1:256" s="3333" customFormat="1" ht="13.5" customHeight="1">
      <c r="A153" s="3329"/>
      <c r="B153" s="3330"/>
      <c r="C153" s="3330"/>
      <c r="D153" s="3330" t="s">
        <v>2464</v>
      </c>
      <c r="E153" s="3330"/>
      <c r="F153" s="3331">
        <v>2</v>
      </c>
      <c r="G153" s="203"/>
      <c r="H153" s="3332"/>
      <c r="I153" s="3335"/>
      <c r="J153" s="3142"/>
      <c r="K153" s="2206"/>
      <c r="L153" s="2206"/>
      <c r="M153" s="2206"/>
      <c r="N153" s="2206"/>
      <c r="O153" s="2206"/>
      <c r="P153" s="2206"/>
      <c r="Q153" s="2206"/>
      <c r="R153" s="2206"/>
      <c r="S153" s="2206"/>
      <c r="T153" s="2206"/>
      <c r="U153" s="2206"/>
      <c r="V153" s="2206"/>
      <c r="W153" s="2206"/>
      <c r="X153" s="2206"/>
      <c r="Y153" s="2206"/>
      <c r="Z153" s="2206"/>
      <c r="AA153" s="2206"/>
      <c r="AB153" s="2206"/>
      <c r="AC153" s="2206"/>
      <c r="AD153" s="2206"/>
      <c r="AE153" s="2206"/>
      <c r="AF153" s="2206"/>
      <c r="AG153" s="2206"/>
      <c r="AH153" s="2206"/>
      <c r="AI153" s="2206"/>
      <c r="AJ153" s="2206"/>
      <c r="AK153" s="2206"/>
      <c r="AL153" s="2206"/>
      <c r="AM153" s="2206"/>
      <c r="AN153" s="2206"/>
      <c r="AO153" s="2206"/>
      <c r="AP153" s="2206"/>
      <c r="AQ153" s="2206"/>
      <c r="AR153" s="1825"/>
      <c r="AS153" s="1825"/>
      <c r="AT153" s="1825"/>
      <c r="AU153" s="1825"/>
      <c r="AV153" s="1825"/>
      <c r="AW153" s="1825"/>
      <c r="AX153" s="1825"/>
      <c r="AY153" s="1825"/>
      <c r="AZ153" s="1825"/>
      <c r="BA153" s="1825"/>
      <c r="BB153" s="1825"/>
      <c r="BC153" s="1825"/>
      <c r="BD153" s="1825"/>
      <c r="BE153" s="1825"/>
      <c r="BF153" s="1825"/>
      <c r="BG153" s="1825"/>
      <c r="BH153" s="1825"/>
      <c r="BI153" s="1825"/>
      <c r="BJ153" s="1825"/>
      <c r="BK153" s="1825"/>
      <c r="BL153" s="1825"/>
      <c r="BM153" s="1825"/>
      <c r="BN153" s="1825"/>
      <c r="BO153" s="1825"/>
      <c r="BP153" s="1825"/>
      <c r="BQ153" s="1825"/>
      <c r="BR153" s="1825"/>
      <c r="BS153" s="1825"/>
      <c r="BT153" s="1825"/>
      <c r="BU153" s="1825"/>
      <c r="BV153" s="1825"/>
      <c r="BW153" s="1825"/>
      <c r="BX153" s="1825"/>
      <c r="BY153" s="1825"/>
      <c r="BZ153" s="1825"/>
      <c r="CA153" s="1825"/>
      <c r="CB153" s="1825"/>
      <c r="CC153" s="1825"/>
      <c r="CD153" s="1825"/>
      <c r="CE153" s="1825"/>
      <c r="CF153" s="1825"/>
      <c r="CG153" s="1825"/>
      <c r="CH153" s="1825"/>
      <c r="CI153" s="1825"/>
      <c r="CJ153" s="1825"/>
      <c r="CK153" s="1825"/>
      <c r="CL153" s="1825"/>
      <c r="CM153" s="1825"/>
      <c r="CN153" s="1825"/>
      <c r="CO153" s="1825"/>
      <c r="CP153" s="1825"/>
      <c r="CQ153" s="1825"/>
      <c r="CR153" s="1825"/>
      <c r="CS153" s="1825"/>
      <c r="CT153" s="1825"/>
      <c r="CU153" s="1825"/>
      <c r="CV153" s="1825"/>
      <c r="CW153" s="1825"/>
      <c r="CX153" s="1825"/>
      <c r="CY153" s="1825"/>
      <c r="CZ153" s="1825"/>
      <c r="DA153" s="1825"/>
      <c r="DB153" s="1825"/>
      <c r="DC153" s="1825"/>
      <c r="DD153" s="1825"/>
      <c r="DE153" s="1825"/>
      <c r="DF153" s="1825"/>
      <c r="DG153" s="1825"/>
      <c r="DH153" s="1825"/>
      <c r="DI153" s="1825"/>
      <c r="DJ153" s="1825"/>
      <c r="DK153" s="1825"/>
      <c r="DL153" s="1825"/>
      <c r="DM153" s="1825"/>
      <c r="DN153" s="1825"/>
      <c r="DO153" s="1825"/>
      <c r="DP153" s="1825"/>
      <c r="DQ153" s="1825"/>
      <c r="DR153" s="1825"/>
      <c r="DS153" s="1825"/>
      <c r="DT153" s="1825"/>
      <c r="DU153" s="1825"/>
      <c r="DV153" s="1825"/>
      <c r="DW153" s="1825"/>
      <c r="DX153" s="1825"/>
      <c r="DY153" s="1825"/>
      <c r="DZ153" s="1825"/>
      <c r="EA153" s="1825"/>
      <c r="EB153" s="1825"/>
      <c r="EC153" s="1825"/>
      <c r="ED153" s="1825"/>
      <c r="EE153" s="1825"/>
      <c r="EF153" s="1825"/>
      <c r="EG153" s="1825"/>
      <c r="EH153" s="1825"/>
      <c r="EI153" s="1825"/>
      <c r="EJ153" s="1825"/>
      <c r="EK153" s="1825"/>
      <c r="EL153" s="1825"/>
      <c r="EM153" s="1825"/>
      <c r="EN153" s="1825"/>
      <c r="EO153" s="1825"/>
      <c r="EP153" s="1825"/>
      <c r="EQ153" s="1825"/>
      <c r="ER153" s="1825"/>
      <c r="ES153" s="1825"/>
      <c r="ET153" s="1825"/>
      <c r="EU153" s="1825"/>
      <c r="EV153" s="1825"/>
      <c r="EW153" s="1825"/>
      <c r="EX153" s="1825"/>
      <c r="EY153" s="1825"/>
      <c r="EZ153" s="1825"/>
      <c r="FA153" s="1825"/>
      <c r="FB153" s="1825"/>
      <c r="FC153" s="1825"/>
      <c r="FD153" s="1825"/>
      <c r="FE153" s="1825"/>
      <c r="FF153" s="1825"/>
      <c r="FG153" s="1825"/>
      <c r="FH153" s="1825"/>
      <c r="FI153" s="1825"/>
      <c r="FJ153" s="1825"/>
      <c r="FK153" s="1825"/>
      <c r="FL153" s="1825"/>
      <c r="FM153" s="1825"/>
      <c r="FN153" s="1825"/>
      <c r="FO153" s="1825"/>
      <c r="FP153" s="1825"/>
      <c r="FQ153" s="1825"/>
      <c r="FR153" s="1825"/>
      <c r="FS153" s="1825"/>
      <c r="FT153" s="1825"/>
      <c r="FU153" s="1825"/>
      <c r="FV153" s="1825"/>
      <c r="FW153" s="1825"/>
      <c r="FX153" s="1825"/>
      <c r="FY153" s="1825"/>
      <c r="FZ153" s="1825"/>
      <c r="GA153" s="1825"/>
      <c r="GB153" s="1825"/>
      <c r="GC153" s="1825"/>
      <c r="GD153" s="1825"/>
      <c r="GE153" s="1825"/>
      <c r="GF153" s="1825"/>
      <c r="GG153" s="1825"/>
      <c r="GH153" s="1825"/>
      <c r="GI153" s="1825"/>
      <c r="GJ153" s="1825"/>
      <c r="GK153" s="1825"/>
      <c r="GL153" s="1825"/>
      <c r="GM153" s="1825"/>
      <c r="GN153" s="1825"/>
      <c r="GO153" s="1825"/>
      <c r="GP153" s="1825"/>
      <c r="GQ153" s="1825"/>
      <c r="GR153" s="1825"/>
      <c r="GS153" s="1825"/>
      <c r="GT153" s="1825"/>
      <c r="GU153" s="1825"/>
      <c r="GV153" s="1825"/>
      <c r="GW153" s="1825"/>
      <c r="GX153" s="1825"/>
      <c r="GY153" s="1825"/>
      <c r="GZ153" s="1825"/>
      <c r="HA153" s="1825"/>
      <c r="HB153" s="1825"/>
      <c r="HC153" s="1825"/>
      <c r="HD153" s="1825"/>
      <c r="HE153" s="1825"/>
      <c r="HF153" s="1825"/>
      <c r="HG153" s="1825"/>
      <c r="HH153" s="1825"/>
      <c r="HI153" s="1825"/>
      <c r="HJ153" s="1825"/>
      <c r="HK153" s="1825"/>
      <c r="HL153" s="1825"/>
      <c r="HM153" s="1825"/>
      <c r="HN153" s="1825"/>
      <c r="HO153" s="1825"/>
      <c r="HP153" s="1825"/>
      <c r="HQ153" s="1825"/>
      <c r="HR153" s="1825"/>
      <c r="HS153" s="1825"/>
      <c r="HT153" s="1825"/>
      <c r="HU153" s="1825"/>
      <c r="HV153" s="1825"/>
      <c r="HW153" s="1825"/>
      <c r="HX153" s="1825"/>
      <c r="HY153" s="1825"/>
      <c r="HZ153" s="1825"/>
      <c r="IA153" s="1825"/>
      <c r="IB153" s="1825"/>
      <c r="IC153" s="1825"/>
      <c r="ID153" s="1825"/>
      <c r="IE153" s="1825"/>
      <c r="IF153" s="1825"/>
      <c r="IG153" s="1825"/>
      <c r="IH153" s="1825"/>
      <c r="II153" s="1825"/>
      <c r="IJ153" s="1825"/>
      <c r="IK153" s="1825"/>
      <c r="IL153" s="1825"/>
      <c r="IM153" s="1825"/>
      <c r="IN153" s="1825"/>
      <c r="IO153" s="1825"/>
      <c r="IP153" s="1825"/>
      <c r="IQ153" s="1825"/>
      <c r="IR153" s="1825"/>
      <c r="IS153" s="1825"/>
      <c r="IT153" s="1825"/>
      <c r="IU153" s="1825"/>
      <c r="IV153" s="1825"/>
    </row>
    <row r="154" spans="1:256" s="3333" customFormat="1" ht="13.5" customHeight="1">
      <c r="A154" s="3329"/>
      <c r="B154" s="3330"/>
      <c r="C154" s="3330"/>
      <c r="D154" s="3330" t="s">
        <v>2465</v>
      </c>
      <c r="E154" s="3330"/>
      <c r="F154" s="3331">
        <v>1</v>
      </c>
      <c r="G154" s="203"/>
      <c r="H154" s="3332"/>
      <c r="I154" s="3335"/>
      <c r="J154" s="3142"/>
      <c r="K154" s="2206"/>
      <c r="L154" s="2206"/>
      <c r="M154" s="2206"/>
      <c r="N154" s="2206"/>
      <c r="O154" s="2206"/>
      <c r="P154" s="2206"/>
      <c r="Q154" s="2206"/>
      <c r="R154" s="2206"/>
      <c r="S154" s="2206"/>
      <c r="T154" s="2206"/>
      <c r="U154" s="2206"/>
      <c r="V154" s="2206"/>
      <c r="W154" s="2206"/>
      <c r="X154" s="2206"/>
      <c r="Y154" s="2206"/>
      <c r="Z154" s="2206"/>
      <c r="AA154" s="2206"/>
      <c r="AB154" s="2206"/>
      <c r="AC154" s="2206"/>
      <c r="AD154" s="2206"/>
      <c r="AE154" s="2206"/>
      <c r="AF154" s="2206"/>
      <c r="AG154" s="2206"/>
      <c r="AH154" s="2206"/>
      <c r="AI154" s="2206"/>
      <c r="AJ154" s="2206"/>
      <c r="AK154" s="2206"/>
      <c r="AL154" s="2206"/>
      <c r="AM154" s="2206"/>
      <c r="AN154" s="2206"/>
      <c r="AO154" s="2206"/>
      <c r="AP154" s="2206"/>
      <c r="AQ154" s="2206"/>
      <c r="AR154" s="1825"/>
      <c r="AS154" s="1825"/>
      <c r="AT154" s="1825"/>
      <c r="AU154" s="1825"/>
      <c r="AV154" s="1825"/>
      <c r="AW154" s="1825"/>
      <c r="AX154" s="1825"/>
      <c r="AY154" s="1825"/>
      <c r="AZ154" s="1825"/>
      <c r="BA154" s="1825"/>
      <c r="BB154" s="1825"/>
      <c r="BC154" s="1825"/>
      <c r="BD154" s="1825"/>
      <c r="BE154" s="1825"/>
      <c r="BF154" s="1825"/>
      <c r="BG154" s="1825"/>
      <c r="BH154" s="1825"/>
      <c r="BI154" s="1825"/>
      <c r="BJ154" s="1825"/>
      <c r="BK154" s="1825"/>
      <c r="BL154" s="1825"/>
      <c r="BM154" s="1825"/>
      <c r="BN154" s="1825"/>
      <c r="BO154" s="1825"/>
      <c r="BP154" s="1825"/>
      <c r="BQ154" s="1825"/>
      <c r="BR154" s="1825"/>
      <c r="BS154" s="1825"/>
      <c r="BT154" s="1825"/>
      <c r="BU154" s="1825"/>
      <c r="BV154" s="1825"/>
      <c r="BW154" s="1825"/>
      <c r="BX154" s="1825"/>
      <c r="BY154" s="1825"/>
      <c r="BZ154" s="1825"/>
      <c r="CA154" s="1825"/>
      <c r="CB154" s="1825"/>
      <c r="CC154" s="1825"/>
      <c r="CD154" s="1825"/>
      <c r="CE154" s="1825"/>
      <c r="CF154" s="1825"/>
      <c r="CG154" s="1825"/>
      <c r="CH154" s="1825"/>
      <c r="CI154" s="1825"/>
      <c r="CJ154" s="1825"/>
      <c r="CK154" s="1825"/>
      <c r="CL154" s="1825"/>
      <c r="CM154" s="1825"/>
      <c r="CN154" s="1825"/>
      <c r="CO154" s="1825"/>
      <c r="CP154" s="1825"/>
      <c r="CQ154" s="1825"/>
      <c r="CR154" s="1825"/>
      <c r="CS154" s="1825"/>
      <c r="CT154" s="1825"/>
      <c r="CU154" s="1825"/>
      <c r="CV154" s="1825"/>
      <c r="CW154" s="1825"/>
      <c r="CX154" s="1825"/>
      <c r="CY154" s="1825"/>
      <c r="CZ154" s="1825"/>
      <c r="DA154" s="1825"/>
      <c r="DB154" s="1825"/>
      <c r="DC154" s="1825"/>
      <c r="DD154" s="1825"/>
      <c r="DE154" s="1825"/>
      <c r="DF154" s="1825"/>
      <c r="DG154" s="1825"/>
      <c r="DH154" s="1825"/>
      <c r="DI154" s="1825"/>
      <c r="DJ154" s="1825"/>
      <c r="DK154" s="1825"/>
      <c r="DL154" s="1825"/>
      <c r="DM154" s="1825"/>
      <c r="DN154" s="1825"/>
      <c r="DO154" s="1825"/>
      <c r="DP154" s="1825"/>
      <c r="DQ154" s="1825"/>
      <c r="DR154" s="1825"/>
      <c r="DS154" s="1825"/>
      <c r="DT154" s="1825"/>
      <c r="DU154" s="1825"/>
      <c r="DV154" s="1825"/>
      <c r="DW154" s="1825"/>
      <c r="DX154" s="1825"/>
      <c r="DY154" s="1825"/>
      <c r="DZ154" s="1825"/>
      <c r="EA154" s="1825"/>
      <c r="EB154" s="1825"/>
      <c r="EC154" s="1825"/>
      <c r="ED154" s="1825"/>
      <c r="EE154" s="1825"/>
      <c r="EF154" s="1825"/>
      <c r="EG154" s="1825"/>
      <c r="EH154" s="1825"/>
      <c r="EI154" s="1825"/>
      <c r="EJ154" s="1825"/>
      <c r="EK154" s="1825"/>
      <c r="EL154" s="1825"/>
      <c r="EM154" s="1825"/>
      <c r="EN154" s="1825"/>
      <c r="EO154" s="1825"/>
      <c r="EP154" s="1825"/>
      <c r="EQ154" s="1825"/>
      <c r="ER154" s="1825"/>
      <c r="ES154" s="1825"/>
      <c r="ET154" s="1825"/>
      <c r="EU154" s="1825"/>
      <c r="EV154" s="1825"/>
      <c r="EW154" s="1825"/>
      <c r="EX154" s="1825"/>
      <c r="EY154" s="1825"/>
      <c r="EZ154" s="1825"/>
      <c r="FA154" s="1825"/>
      <c r="FB154" s="1825"/>
      <c r="FC154" s="1825"/>
      <c r="FD154" s="1825"/>
      <c r="FE154" s="1825"/>
      <c r="FF154" s="1825"/>
      <c r="FG154" s="1825"/>
      <c r="FH154" s="1825"/>
      <c r="FI154" s="1825"/>
      <c r="FJ154" s="1825"/>
      <c r="FK154" s="1825"/>
      <c r="FL154" s="1825"/>
      <c r="FM154" s="1825"/>
      <c r="FN154" s="1825"/>
      <c r="FO154" s="1825"/>
      <c r="FP154" s="1825"/>
      <c r="FQ154" s="1825"/>
      <c r="FR154" s="1825"/>
      <c r="FS154" s="1825"/>
      <c r="FT154" s="1825"/>
      <c r="FU154" s="1825"/>
      <c r="FV154" s="1825"/>
      <c r="FW154" s="1825"/>
      <c r="FX154" s="1825"/>
      <c r="FY154" s="1825"/>
      <c r="FZ154" s="1825"/>
      <c r="GA154" s="1825"/>
      <c r="GB154" s="1825"/>
      <c r="GC154" s="1825"/>
      <c r="GD154" s="1825"/>
      <c r="GE154" s="1825"/>
      <c r="GF154" s="1825"/>
      <c r="GG154" s="1825"/>
      <c r="GH154" s="1825"/>
      <c r="GI154" s="1825"/>
      <c r="GJ154" s="1825"/>
      <c r="GK154" s="1825"/>
      <c r="GL154" s="1825"/>
      <c r="GM154" s="1825"/>
      <c r="GN154" s="1825"/>
      <c r="GO154" s="1825"/>
      <c r="GP154" s="1825"/>
      <c r="GQ154" s="1825"/>
      <c r="GR154" s="1825"/>
      <c r="GS154" s="1825"/>
      <c r="GT154" s="1825"/>
      <c r="GU154" s="1825"/>
      <c r="GV154" s="1825"/>
      <c r="GW154" s="1825"/>
      <c r="GX154" s="1825"/>
      <c r="GY154" s="1825"/>
      <c r="GZ154" s="1825"/>
      <c r="HA154" s="1825"/>
      <c r="HB154" s="1825"/>
      <c r="HC154" s="1825"/>
      <c r="HD154" s="1825"/>
      <c r="HE154" s="1825"/>
      <c r="HF154" s="1825"/>
      <c r="HG154" s="1825"/>
      <c r="HH154" s="1825"/>
      <c r="HI154" s="1825"/>
      <c r="HJ154" s="1825"/>
      <c r="HK154" s="1825"/>
      <c r="HL154" s="1825"/>
      <c r="HM154" s="1825"/>
      <c r="HN154" s="1825"/>
      <c r="HO154" s="1825"/>
      <c r="HP154" s="1825"/>
      <c r="HQ154" s="1825"/>
      <c r="HR154" s="1825"/>
      <c r="HS154" s="1825"/>
      <c r="HT154" s="1825"/>
      <c r="HU154" s="1825"/>
      <c r="HV154" s="1825"/>
      <c r="HW154" s="1825"/>
      <c r="HX154" s="1825"/>
      <c r="HY154" s="1825"/>
      <c r="HZ154" s="1825"/>
      <c r="IA154" s="1825"/>
      <c r="IB154" s="1825"/>
      <c r="IC154" s="1825"/>
      <c r="ID154" s="1825"/>
      <c r="IE154" s="1825"/>
      <c r="IF154" s="1825"/>
      <c r="IG154" s="1825"/>
      <c r="IH154" s="1825"/>
      <c r="II154" s="1825"/>
      <c r="IJ154" s="1825"/>
      <c r="IK154" s="1825"/>
      <c r="IL154" s="1825"/>
      <c r="IM154" s="1825"/>
      <c r="IN154" s="1825"/>
      <c r="IO154" s="1825"/>
      <c r="IP154" s="1825"/>
      <c r="IQ154" s="1825"/>
      <c r="IR154" s="1825"/>
      <c r="IS154" s="1825"/>
      <c r="IT154" s="1825"/>
      <c r="IU154" s="1825"/>
      <c r="IV154" s="1825"/>
    </row>
    <row r="155" spans="1:256" s="3143" customFormat="1" ht="27" customHeight="1">
      <c r="A155" s="3323"/>
      <c r="B155" s="3324"/>
      <c r="C155" s="2230"/>
      <c r="D155" s="2230" t="s">
        <v>2466</v>
      </c>
      <c r="E155" s="2230"/>
      <c r="F155" s="3325"/>
      <c r="G155" s="207"/>
      <c r="H155" s="3326"/>
      <c r="I155" s="3327"/>
      <c r="J155" s="3328"/>
      <c r="K155" s="2057"/>
      <c r="L155" s="2057"/>
    </row>
    <row r="156" spans="1:256" s="3318" customFormat="1" ht="13.5" customHeight="1">
      <c r="A156" s="2222">
        <v>41</v>
      </c>
      <c r="B156" s="2223" t="s">
        <v>1860</v>
      </c>
      <c r="C156" s="2224" t="s">
        <v>2467</v>
      </c>
      <c r="D156" s="2224" t="s">
        <v>2468</v>
      </c>
      <c r="E156" s="2224" t="s">
        <v>205</v>
      </c>
      <c r="F156" s="2305">
        <f>SUM(F158:F159)</f>
        <v>5</v>
      </c>
      <c r="G156" s="124"/>
      <c r="H156" s="2226">
        <f t="shared" ref="H156" si="2">F156*G156</f>
        <v>0</v>
      </c>
      <c r="I156" s="2297" t="s">
        <v>112</v>
      </c>
      <c r="J156" s="3336"/>
      <c r="K156" s="2233"/>
      <c r="L156" s="2233"/>
      <c r="M156" s="2233"/>
      <c r="N156" s="2233"/>
      <c r="O156" s="2233"/>
      <c r="P156" s="3337"/>
    </row>
    <row r="157" spans="1:256" s="3318" customFormat="1" ht="13.5" customHeight="1">
      <c r="A157" s="2312"/>
      <c r="B157" s="2296"/>
      <c r="C157" s="2296"/>
      <c r="D157" s="2277" t="s">
        <v>2469</v>
      </c>
      <c r="E157" s="2296"/>
      <c r="F157" s="3338"/>
      <c r="G157" s="155"/>
      <c r="H157" s="2286"/>
      <c r="I157" s="2309"/>
      <c r="J157" s="3339"/>
      <c r="K157" s="2233"/>
      <c r="P157" s="3337"/>
    </row>
    <row r="158" spans="1:256" s="3318" customFormat="1" ht="13.5" customHeight="1">
      <c r="A158" s="2312"/>
      <c r="B158" s="2296"/>
      <c r="C158" s="2296"/>
      <c r="D158" s="2277" t="s">
        <v>2470</v>
      </c>
      <c r="E158" s="2296"/>
      <c r="F158" s="2300">
        <v>4</v>
      </c>
      <c r="G158" s="155"/>
      <c r="H158" s="2286"/>
      <c r="I158" s="2309"/>
      <c r="J158" s="3339"/>
      <c r="K158" s="2233"/>
      <c r="P158" s="3337"/>
    </row>
    <row r="159" spans="1:256" s="3318" customFormat="1" ht="13.5" customHeight="1">
      <c r="A159" s="2312"/>
      <c r="B159" s="2296"/>
      <c r="C159" s="2296"/>
      <c r="D159" s="2277" t="s">
        <v>2471</v>
      </c>
      <c r="E159" s="2296"/>
      <c r="F159" s="2300">
        <v>1</v>
      </c>
      <c r="G159" s="155"/>
      <c r="H159" s="2286"/>
      <c r="I159" s="2309"/>
      <c r="J159" s="3339"/>
      <c r="K159" s="2233"/>
      <c r="P159" s="3337"/>
    </row>
    <row r="160" spans="1:256" s="3318" customFormat="1" ht="13.5" customHeight="1">
      <c r="A160" s="2312"/>
      <c r="B160" s="2296"/>
      <c r="C160" s="2296"/>
      <c r="D160" s="2277" t="s">
        <v>2472</v>
      </c>
      <c r="E160" s="2296"/>
      <c r="F160" s="2300"/>
      <c r="G160" s="155"/>
      <c r="H160" s="2286"/>
      <c r="I160" s="2309"/>
      <c r="J160" s="3339"/>
      <c r="K160" s="2233"/>
      <c r="P160" s="3337"/>
    </row>
    <row r="161" spans="1:40" s="2250" customFormat="1" ht="13.5" customHeight="1">
      <c r="A161" s="3340">
        <v>42</v>
      </c>
      <c r="B161" s="2223" t="s">
        <v>1860</v>
      </c>
      <c r="C161" s="2224" t="s">
        <v>2473</v>
      </c>
      <c r="D161" s="2224" t="s">
        <v>2474</v>
      </c>
      <c r="E161" s="2224" t="s">
        <v>205</v>
      </c>
      <c r="F161" s="3341">
        <f>F162</f>
        <v>7</v>
      </c>
      <c r="G161" s="124"/>
      <c r="H161" s="2231">
        <f>ROUND(F161*G161,2)</f>
        <v>0</v>
      </c>
      <c r="I161" s="3233" t="s">
        <v>112</v>
      </c>
      <c r="J161" s="3342"/>
      <c r="K161" s="3343"/>
      <c r="L161" s="3343"/>
      <c r="M161" s="3343"/>
      <c r="N161" s="3343"/>
      <c r="O161" s="3343"/>
      <c r="P161" s="3343"/>
      <c r="Q161" s="3342"/>
    </row>
    <row r="162" spans="1:40" s="2250" customFormat="1" ht="13.5" customHeight="1">
      <c r="A162" s="2222"/>
      <c r="B162" s="2223"/>
      <c r="C162" s="2590"/>
      <c r="D162" s="2277" t="s">
        <v>2475</v>
      </c>
      <c r="E162" s="2224"/>
      <c r="F162" s="3344">
        <v>7</v>
      </c>
      <c r="G162" s="124"/>
      <c r="H162" s="2226"/>
      <c r="I162" s="2297"/>
      <c r="J162" s="3345"/>
      <c r="Q162" s="3345"/>
    </row>
    <row r="163" spans="1:40" s="2250" customFormat="1" ht="13.5" customHeight="1">
      <c r="A163" s="2222"/>
      <c r="B163" s="2223"/>
      <c r="C163" s="2590"/>
      <c r="D163" s="2277" t="s">
        <v>2476</v>
      </c>
      <c r="E163" s="2224"/>
      <c r="F163" s="2593"/>
      <c r="G163" s="124"/>
      <c r="H163" s="2226"/>
      <c r="I163" s="2297"/>
      <c r="J163" s="3346"/>
    </row>
    <row r="164" spans="1:40" s="2250" customFormat="1" ht="38.25" customHeight="1">
      <c r="A164" s="2344"/>
      <c r="B164" s="2344"/>
      <c r="C164" s="2277"/>
      <c r="D164" s="2277" t="s">
        <v>2477</v>
      </c>
      <c r="E164" s="2277"/>
      <c r="F164" s="2332"/>
      <c r="G164" s="170"/>
      <c r="H164" s="2345"/>
      <c r="I164" s="2625"/>
      <c r="J164" s="3346"/>
    </row>
    <row r="165" spans="1:40" s="2206" customFormat="1" ht="13.5" customHeight="1">
      <c r="A165" s="2222">
        <v>43</v>
      </c>
      <c r="B165" s="2224">
        <v>721</v>
      </c>
      <c r="C165" s="2224">
        <v>721290111</v>
      </c>
      <c r="D165" s="2224" t="s">
        <v>2478</v>
      </c>
      <c r="E165" s="2224" t="s">
        <v>141</v>
      </c>
      <c r="F165" s="2305">
        <f>SUM(F167:F173)</f>
        <v>368.42000000000007</v>
      </c>
      <c r="G165" s="124"/>
      <c r="H165" s="2226">
        <f>F165*G165</f>
        <v>0</v>
      </c>
      <c r="I165" s="2297" t="s">
        <v>1801</v>
      </c>
      <c r="J165" s="3347"/>
      <c r="R165" s="2295"/>
    </row>
    <row r="166" spans="1:40" s="2206" customFormat="1" ht="13.5" customHeight="1">
      <c r="A166" s="2222"/>
      <c r="B166" s="2224"/>
      <c r="C166" s="2224"/>
      <c r="D166" s="2277" t="s">
        <v>2479</v>
      </c>
      <c r="E166" s="2296"/>
      <c r="F166" s="2300">
        <v>19.2</v>
      </c>
      <c r="G166" s="124"/>
      <c r="H166" s="2226"/>
      <c r="I166" s="2297"/>
      <c r="J166" s="3348"/>
      <c r="R166" s="2295"/>
    </row>
    <row r="167" spans="1:40" s="2206" customFormat="1" ht="13.5" customHeight="1">
      <c r="A167" s="2222"/>
      <c r="B167" s="2224"/>
      <c r="C167" s="2224"/>
      <c r="D167" s="2277" t="s">
        <v>2480</v>
      </c>
      <c r="E167" s="2296"/>
      <c r="F167" s="2300">
        <v>32.4</v>
      </c>
      <c r="G167" s="124"/>
      <c r="H167" s="2226"/>
      <c r="I167" s="2297"/>
      <c r="J167" s="3348"/>
      <c r="L167" s="3349"/>
      <c r="R167" s="2295"/>
    </row>
    <row r="168" spans="1:40" s="2206" customFormat="1" ht="13.5" customHeight="1">
      <c r="A168" s="2222"/>
      <c r="B168" s="2224"/>
      <c r="C168" s="2224"/>
      <c r="D168" s="2277" t="s">
        <v>2481</v>
      </c>
      <c r="E168" s="2296"/>
      <c r="F168" s="2300">
        <v>4.3</v>
      </c>
      <c r="G168" s="124"/>
      <c r="H168" s="2226"/>
      <c r="I168" s="2297"/>
      <c r="J168" s="3348"/>
      <c r="R168" s="2295"/>
    </row>
    <row r="169" spans="1:40" s="2206" customFormat="1" ht="13.5" customHeight="1">
      <c r="A169" s="2222"/>
      <c r="B169" s="2224"/>
      <c r="C169" s="2224"/>
      <c r="D169" s="2277" t="s">
        <v>2482</v>
      </c>
      <c r="E169" s="2296"/>
      <c r="F169" s="2300">
        <v>17</v>
      </c>
      <c r="G169" s="124"/>
      <c r="H169" s="2226"/>
      <c r="I169" s="2297"/>
      <c r="J169" s="3348"/>
      <c r="K169" s="3348"/>
      <c r="R169" s="2295"/>
    </row>
    <row r="170" spans="1:40" s="2206" customFormat="1" ht="13.5" customHeight="1">
      <c r="A170" s="2222"/>
      <c r="B170" s="2224"/>
      <c r="C170" s="2224"/>
      <c r="D170" s="2277" t="s">
        <v>2483</v>
      </c>
      <c r="E170" s="2296"/>
      <c r="F170" s="2300">
        <v>49.7</v>
      </c>
      <c r="G170" s="124"/>
      <c r="H170" s="2226"/>
      <c r="I170" s="2297"/>
      <c r="J170" s="3348"/>
      <c r="K170" s="3348"/>
      <c r="R170" s="2295"/>
    </row>
    <row r="171" spans="1:40" s="2206" customFormat="1" ht="13.5" customHeight="1">
      <c r="A171" s="2222"/>
      <c r="B171" s="2224"/>
      <c r="C171" s="2224"/>
      <c r="D171" s="2277" t="s">
        <v>2484</v>
      </c>
      <c r="E171" s="2296"/>
      <c r="F171" s="2300">
        <f>57.7+4.3</f>
        <v>62</v>
      </c>
      <c r="G171" s="124"/>
      <c r="H171" s="2226"/>
      <c r="I171" s="2297"/>
      <c r="J171" s="3350"/>
      <c r="K171" s="3350"/>
      <c r="R171" s="2295"/>
    </row>
    <row r="172" spans="1:40" s="2206" customFormat="1" ht="13.5" customHeight="1">
      <c r="A172" s="2222"/>
      <c r="B172" s="2224"/>
      <c r="C172" s="2224"/>
      <c r="D172" s="2277" t="s">
        <v>2485</v>
      </c>
      <c r="E172" s="2296"/>
      <c r="F172" s="2300">
        <f>(44.2+12.9+59.2)</f>
        <v>116.30000000000001</v>
      </c>
      <c r="G172" s="124"/>
      <c r="H172" s="2226"/>
      <c r="I172" s="2297"/>
      <c r="J172" s="3348"/>
      <c r="R172" s="2295"/>
    </row>
    <row r="173" spans="1:40" s="2206" customFormat="1" ht="13.5" customHeight="1">
      <c r="A173" s="2222"/>
      <c r="B173" s="2224"/>
      <c r="C173" s="2224"/>
      <c r="D173" s="2277" t="s">
        <v>2486</v>
      </c>
      <c r="E173" s="2296"/>
      <c r="F173" s="2300">
        <v>86.72</v>
      </c>
      <c r="G173" s="124"/>
      <c r="H173" s="2226"/>
      <c r="I173" s="2297"/>
      <c r="J173" s="3348"/>
      <c r="R173" s="2295"/>
    </row>
    <row r="174" spans="1:40" s="2206" customFormat="1" ht="13.5" customHeight="1">
      <c r="A174" s="2222">
        <v>44</v>
      </c>
      <c r="B174" s="2224">
        <v>721</v>
      </c>
      <c r="C174" s="2224">
        <v>721290112</v>
      </c>
      <c r="D174" s="2224" t="s">
        <v>2487</v>
      </c>
      <c r="E174" s="2224" t="s">
        <v>141</v>
      </c>
      <c r="F174" s="2305">
        <f>SUM(F175:F175)</f>
        <v>12.7</v>
      </c>
      <c r="G174" s="124"/>
      <c r="H174" s="2226">
        <f>F174*G174</f>
        <v>0</v>
      </c>
      <c r="I174" s="2297" t="s">
        <v>1801</v>
      </c>
      <c r="J174" s="3351"/>
      <c r="K174" s="2294"/>
      <c r="R174" s="2295"/>
    </row>
    <row r="175" spans="1:40" s="2206" customFormat="1" ht="13.5" customHeight="1">
      <c r="A175" s="2222"/>
      <c r="B175" s="2224"/>
      <c r="C175" s="2224"/>
      <c r="D175" s="2277" t="s">
        <v>2488</v>
      </c>
      <c r="E175" s="2296"/>
      <c r="F175" s="2300">
        <v>12.7</v>
      </c>
      <c r="G175" s="124"/>
      <c r="H175" s="2226"/>
      <c r="I175" s="2297"/>
      <c r="J175" s="2304"/>
      <c r="K175" s="2294"/>
      <c r="R175" s="2295"/>
    </row>
    <row r="176" spans="1:40" s="2308" customFormat="1" ht="13.5" customHeight="1">
      <c r="A176" s="2222">
        <v>45</v>
      </c>
      <c r="B176" s="2223" t="s">
        <v>1860</v>
      </c>
      <c r="C176" s="2224" t="s">
        <v>2489</v>
      </c>
      <c r="D176" s="2224" t="s">
        <v>2490</v>
      </c>
      <c r="E176" s="2224" t="s">
        <v>205</v>
      </c>
      <c r="F176" s="2305">
        <f>F178</f>
        <v>2</v>
      </c>
      <c r="G176" s="124"/>
      <c r="H176" s="2226">
        <f>F176*G176</f>
        <v>0</v>
      </c>
      <c r="I176" s="2297" t="s">
        <v>111</v>
      </c>
      <c r="J176" s="3319"/>
      <c r="K176" s="2261"/>
      <c r="L176" s="3318"/>
      <c r="M176" s="3318"/>
      <c r="N176" s="3318"/>
      <c r="O176" s="3318"/>
      <c r="P176" s="3318"/>
      <c r="Q176" s="3318"/>
      <c r="R176" s="3318"/>
      <c r="S176" s="3318"/>
      <c r="T176" s="3318"/>
      <c r="U176" s="3318"/>
      <c r="V176" s="3318"/>
      <c r="W176" s="3318"/>
      <c r="X176" s="3318"/>
      <c r="Y176" s="3318"/>
      <c r="Z176" s="3318"/>
      <c r="AA176" s="3318"/>
      <c r="AB176" s="3318"/>
      <c r="AC176" s="3318"/>
      <c r="AD176" s="3318"/>
      <c r="AE176" s="3318"/>
      <c r="AF176" s="3318"/>
      <c r="AG176" s="3318"/>
      <c r="AH176" s="3318"/>
      <c r="AI176" s="3318"/>
      <c r="AJ176" s="3318"/>
      <c r="AK176" s="3318"/>
      <c r="AL176" s="3318"/>
      <c r="AM176" s="3318"/>
      <c r="AN176" s="3318"/>
    </row>
    <row r="177" spans="1:40" s="2308" customFormat="1" ht="13.5" customHeight="1">
      <c r="A177" s="2312"/>
      <c r="B177" s="2296"/>
      <c r="C177" s="2296"/>
      <c r="D177" s="2277" t="s">
        <v>2491</v>
      </c>
      <c r="E177" s="2296"/>
      <c r="F177" s="2221"/>
      <c r="G177" s="155"/>
      <c r="H177" s="2286"/>
      <c r="I177" s="2309"/>
      <c r="J177" s="3320"/>
      <c r="K177" s="2233"/>
      <c r="L177" s="3318"/>
      <c r="M177" s="3318"/>
      <c r="N177" s="3318"/>
      <c r="O177" s="3318"/>
      <c r="Q177" s="3318"/>
      <c r="R177" s="3322"/>
      <c r="S177" s="3320"/>
      <c r="T177" s="2233"/>
      <c r="U177" s="3318"/>
      <c r="V177" s="3318"/>
      <c r="W177" s="3318"/>
      <c r="X177" s="3318"/>
      <c r="Z177" s="3318"/>
      <c r="AA177" s="3322"/>
      <c r="AB177" s="3318"/>
      <c r="AC177" s="3318"/>
      <c r="AD177" s="3318"/>
      <c r="AE177" s="3318"/>
      <c r="AF177" s="3318"/>
      <c r="AG177" s="3318"/>
      <c r="AH177" s="3318"/>
      <c r="AI177" s="3318"/>
      <c r="AJ177" s="3318"/>
      <c r="AK177" s="3318"/>
      <c r="AL177" s="3318"/>
      <c r="AM177" s="3318"/>
      <c r="AN177" s="3318"/>
    </row>
    <row r="178" spans="1:40" s="2308" customFormat="1" ht="13.5" customHeight="1">
      <c r="A178" s="2312"/>
      <c r="B178" s="2296"/>
      <c r="C178" s="2296"/>
      <c r="D178" s="2277" t="s">
        <v>2492</v>
      </c>
      <c r="E178" s="2296"/>
      <c r="F178" s="2300">
        <v>2</v>
      </c>
      <c r="G178" s="155"/>
      <c r="H178" s="2286"/>
      <c r="I178" s="2309"/>
      <c r="J178" s="3320"/>
      <c r="K178" s="2233"/>
      <c r="L178" s="3318"/>
      <c r="M178" s="3318"/>
      <c r="N178" s="3318"/>
      <c r="O178" s="3318"/>
      <c r="Q178" s="3318"/>
      <c r="R178" s="3322"/>
      <c r="S178" s="3320"/>
      <c r="T178" s="2233"/>
      <c r="U178" s="3318"/>
      <c r="V178" s="3318"/>
      <c r="W178" s="3318"/>
      <c r="X178" s="3318"/>
      <c r="Z178" s="3318"/>
      <c r="AA178" s="3322"/>
      <c r="AB178" s="3318"/>
      <c r="AC178" s="3318"/>
      <c r="AD178" s="3318"/>
      <c r="AE178" s="3318"/>
      <c r="AF178" s="3318"/>
      <c r="AG178" s="3318"/>
      <c r="AH178" s="3318"/>
      <c r="AI178" s="3318"/>
      <c r="AJ178" s="3318"/>
      <c r="AK178" s="3318"/>
      <c r="AL178" s="3318"/>
      <c r="AM178" s="3318"/>
      <c r="AN178" s="3318"/>
    </row>
    <row r="179" spans="1:40" s="2308" customFormat="1" ht="13.5" customHeight="1">
      <c r="A179" s="2312"/>
      <c r="B179" s="2296"/>
      <c r="C179" s="2296"/>
      <c r="D179" s="2277" t="s">
        <v>2472</v>
      </c>
      <c r="E179" s="2296"/>
      <c r="F179" s="2300"/>
      <c r="G179" s="155"/>
      <c r="H179" s="2286"/>
      <c r="I179" s="2309"/>
      <c r="J179" s="3320"/>
      <c r="K179" s="2233"/>
      <c r="L179" s="3318"/>
      <c r="M179" s="3318"/>
      <c r="N179" s="3318"/>
      <c r="O179" s="3318"/>
      <c r="Q179" s="3318"/>
      <c r="R179" s="3322"/>
      <c r="S179" s="2249"/>
      <c r="T179" s="3318"/>
      <c r="U179" s="3318"/>
      <c r="V179" s="3318"/>
      <c r="W179" s="3318"/>
      <c r="X179" s="3318"/>
      <c r="Y179" s="3318"/>
      <c r="Z179" s="3318"/>
      <c r="AA179" s="3318"/>
      <c r="AB179" s="3318"/>
      <c r="AC179" s="3318"/>
      <c r="AD179" s="3318"/>
      <c r="AE179" s="3318"/>
      <c r="AF179" s="3318"/>
      <c r="AG179" s="3318"/>
      <c r="AH179" s="3318"/>
      <c r="AI179" s="3318"/>
      <c r="AJ179" s="3318"/>
      <c r="AK179" s="3318"/>
      <c r="AL179" s="3318"/>
      <c r="AM179" s="3318"/>
      <c r="AN179" s="3318"/>
    </row>
    <row r="180" spans="1:40" s="2308" customFormat="1" ht="13.5" customHeight="1">
      <c r="A180" s="2222">
        <v>46</v>
      </c>
      <c r="B180" s="2223" t="s">
        <v>1860</v>
      </c>
      <c r="C180" s="2224" t="s">
        <v>2493</v>
      </c>
      <c r="D180" s="2224" t="s">
        <v>2494</v>
      </c>
      <c r="E180" s="2224" t="s">
        <v>205</v>
      </c>
      <c r="F180" s="2305">
        <f>SUM(F182:F182)</f>
        <v>5</v>
      </c>
      <c r="G180" s="124"/>
      <c r="H180" s="2226">
        <f>F180*G180</f>
        <v>0</v>
      </c>
      <c r="I180" s="2297" t="s">
        <v>111</v>
      </c>
      <c r="J180" s="3319"/>
      <c r="K180" s="2261"/>
      <c r="L180" s="3318"/>
      <c r="M180" s="3318"/>
      <c r="N180" s="3318"/>
      <c r="O180" s="3318"/>
      <c r="P180" s="3318"/>
      <c r="Q180" s="3318"/>
      <c r="R180" s="3318"/>
      <c r="S180" s="3318"/>
      <c r="T180" s="3318"/>
      <c r="U180" s="3318"/>
      <c r="V180" s="3318"/>
      <c r="W180" s="3318"/>
      <c r="X180" s="3318"/>
      <c r="Y180" s="3318"/>
      <c r="Z180" s="3318"/>
      <c r="AA180" s="3318"/>
      <c r="AB180" s="3318"/>
      <c r="AC180" s="3318"/>
      <c r="AD180" s="3318"/>
      <c r="AE180" s="3318"/>
      <c r="AF180" s="3318"/>
      <c r="AG180" s="3318"/>
      <c r="AH180" s="3318"/>
      <c r="AI180" s="3318"/>
      <c r="AJ180" s="3318"/>
      <c r="AK180" s="3318"/>
      <c r="AL180" s="3318"/>
      <c r="AM180" s="3318"/>
      <c r="AN180" s="3318"/>
    </row>
    <row r="181" spans="1:40" s="2308" customFormat="1" ht="13.5" customHeight="1">
      <c r="A181" s="2312"/>
      <c r="B181" s="2296"/>
      <c r="C181" s="2296"/>
      <c r="D181" s="2277" t="s">
        <v>2491</v>
      </c>
      <c r="E181" s="2296"/>
      <c r="F181" s="2221"/>
      <c r="G181" s="155"/>
      <c r="H181" s="2286"/>
      <c r="I181" s="2309"/>
      <c r="J181" s="3320"/>
      <c r="K181" s="2233"/>
      <c r="L181" s="3318"/>
      <c r="M181" s="3318"/>
      <c r="N181" s="3318"/>
      <c r="O181" s="3318"/>
      <c r="Q181" s="3318"/>
      <c r="R181" s="3322"/>
      <c r="S181" s="3320"/>
      <c r="T181" s="2233"/>
      <c r="U181" s="3318"/>
      <c r="V181" s="3318"/>
      <c r="W181" s="3318"/>
      <c r="X181" s="3318"/>
      <c r="Z181" s="3318"/>
      <c r="AA181" s="3322"/>
      <c r="AB181" s="3318"/>
      <c r="AC181" s="3318"/>
      <c r="AD181" s="3318"/>
      <c r="AE181" s="3318"/>
      <c r="AF181" s="3318"/>
      <c r="AG181" s="3318"/>
      <c r="AH181" s="3318"/>
      <c r="AI181" s="3318"/>
      <c r="AJ181" s="3318"/>
      <c r="AK181" s="3318"/>
      <c r="AL181" s="3318"/>
      <c r="AM181" s="3318"/>
      <c r="AN181" s="3318"/>
    </row>
    <row r="182" spans="1:40" s="2308" customFormat="1" ht="13.5" customHeight="1">
      <c r="A182" s="2312"/>
      <c r="B182" s="2296"/>
      <c r="C182" s="2296"/>
      <c r="D182" s="2277" t="s">
        <v>2492</v>
      </c>
      <c r="E182" s="2296"/>
      <c r="F182" s="2300">
        <v>5</v>
      </c>
      <c r="G182" s="155"/>
      <c r="H182" s="2286"/>
      <c r="I182" s="2309"/>
      <c r="J182" s="3320"/>
      <c r="K182" s="2233"/>
      <c r="L182" s="3318"/>
      <c r="M182" s="3318"/>
      <c r="N182" s="3318"/>
      <c r="O182" s="3318"/>
      <c r="Q182" s="3318"/>
      <c r="R182" s="3322"/>
      <c r="S182" s="3320"/>
      <c r="T182" s="2233"/>
      <c r="U182" s="3318"/>
      <c r="V182" s="3318"/>
      <c r="W182" s="3318"/>
      <c r="X182" s="3318"/>
      <c r="Z182" s="3318"/>
      <c r="AA182" s="3322"/>
      <c r="AB182" s="3318"/>
      <c r="AC182" s="3318"/>
      <c r="AD182" s="3318"/>
      <c r="AE182" s="3318"/>
      <c r="AF182" s="3318"/>
      <c r="AG182" s="3318"/>
      <c r="AH182" s="3318"/>
      <c r="AI182" s="3318"/>
      <c r="AJ182" s="3318"/>
      <c r="AK182" s="3318"/>
      <c r="AL182" s="3318"/>
      <c r="AM182" s="3318"/>
      <c r="AN182" s="3318"/>
    </row>
    <row r="183" spans="1:40" s="2308" customFormat="1" ht="13.5" customHeight="1">
      <c r="A183" s="2312"/>
      <c r="B183" s="2296"/>
      <c r="C183" s="2296"/>
      <c r="D183" s="2277" t="s">
        <v>2472</v>
      </c>
      <c r="E183" s="2296"/>
      <c r="F183" s="2300"/>
      <c r="G183" s="155"/>
      <c r="H183" s="2286"/>
      <c r="I183" s="2309"/>
      <c r="J183" s="3320"/>
      <c r="K183" s="2233"/>
      <c r="L183" s="3318"/>
      <c r="M183" s="3318"/>
      <c r="N183" s="3318"/>
      <c r="O183" s="3318"/>
      <c r="Q183" s="3318"/>
      <c r="R183" s="3322"/>
      <c r="S183" s="2249"/>
      <c r="T183" s="3318"/>
      <c r="U183" s="3318"/>
      <c r="V183" s="3318"/>
      <c r="W183" s="3318"/>
      <c r="X183" s="3318"/>
      <c r="Y183" s="3318"/>
      <c r="Z183" s="3318"/>
      <c r="AA183" s="3318"/>
      <c r="AB183" s="3318"/>
      <c r="AC183" s="3318"/>
      <c r="AD183" s="3318"/>
      <c r="AE183" s="3318"/>
      <c r="AF183" s="3318"/>
      <c r="AG183" s="3318"/>
      <c r="AH183" s="3318"/>
      <c r="AI183" s="3318"/>
      <c r="AJ183" s="3318"/>
      <c r="AK183" s="3318"/>
      <c r="AL183" s="3318"/>
      <c r="AM183" s="3318"/>
      <c r="AN183" s="3318"/>
    </row>
    <row r="184" spans="1:40" s="2308" customFormat="1" ht="13.5" customHeight="1">
      <c r="A184" s="2222">
        <v>47</v>
      </c>
      <c r="B184" s="2223" t="s">
        <v>1860</v>
      </c>
      <c r="C184" s="2224" t="s">
        <v>2495</v>
      </c>
      <c r="D184" s="2224" t="s">
        <v>2496</v>
      </c>
      <c r="E184" s="2224" t="s">
        <v>205</v>
      </c>
      <c r="F184" s="2305">
        <f>F186</f>
        <v>1</v>
      </c>
      <c r="G184" s="124"/>
      <c r="H184" s="2226">
        <f>F184*G184</f>
        <v>0</v>
      </c>
      <c r="I184" s="2297" t="s">
        <v>111</v>
      </c>
      <c r="J184" s="3319"/>
      <c r="K184" s="2261"/>
      <c r="L184" s="3318"/>
      <c r="M184" s="3318"/>
      <c r="N184" s="3318"/>
      <c r="O184" s="3318"/>
      <c r="P184" s="3318"/>
      <c r="Q184" s="3318"/>
      <c r="R184" s="3318"/>
      <c r="S184" s="3318"/>
      <c r="T184" s="3318"/>
      <c r="U184" s="3318"/>
      <c r="V184" s="3318"/>
      <c r="W184" s="3318"/>
      <c r="X184" s="3318"/>
      <c r="Y184" s="3318"/>
      <c r="Z184" s="3318"/>
      <c r="AA184" s="3318"/>
      <c r="AB184" s="3318"/>
      <c r="AC184" s="3318"/>
      <c r="AD184" s="3318"/>
      <c r="AE184" s="3318"/>
      <c r="AF184" s="3318"/>
      <c r="AG184" s="3318"/>
      <c r="AH184" s="3318"/>
      <c r="AI184" s="3318"/>
      <c r="AJ184" s="3318"/>
      <c r="AK184" s="3318"/>
      <c r="AL184" s="3318"/>
      <c r="AM184" s="3318"/>
      <c r="AN184" s="3318"/>
    </row>
    <row r="185" spans="1:40" s="2308" customFormat="1" ht="13.5" customHeight="1">
      <c r="A185" s="2312"/>
      <c r="B185" s="2296"/>
      <c r="C185" s="2296"/>
      <c r="D185" s="2277" t="s">
        <v>2491</v>
      </c>
      <c r="E185" s="2296"/>
      <c r="F185" s="2221"/>
      <c r="G185" s="155"/>
      <c r="H185" s="2286"/>
      <c r="I185" s="2309"/>
      <c r="J185" s="3320"/>
      <c r="K185" s="2233"/>
      <c r="L185" s="3318"/>
      <c r="M185" s="3318"/>
      <c r="N185" s="3318"/>
      <c r="O185" s="3318"/>
      <c r="Q185" s="3318"/>
      <c r="R185" s="3322"/>
      <c r="S185" s="3320"/>
      <c r="T185" s="2233"/>
      <c r="U185" s="3318"/>
      <c r="V185" s="3318"/>
      <c r="W185" s="3318"/>
      <c r="X185" s="3318"/>
      <c r="Z185" s="3318"/>
      <c r="AA185" s="3322"/>
      <c r="AB185" s="3318"/>
      <c r="AC185" s="3318"/>
      <c r="AD185" s="3318"/>
      <c r="AE185" s="3318"/>
      <c r="AF185" s="3318"/>
      <c r="AG185" s="3318"/>
      <c r="AH185" s="3318"/>
      <c r="AI185" s="3318"/>
      <c r="AJ185" s="3318"/>
      <c r="AK185" s="3318"/>
      <c r="AL185" s="3318"/>
      <c r="AM185" s="3318"/>
      <c r="AN185" s="3318"/>
    </row>
    <row r="186" spans="1:40" s="2308" customFormat="1" ht="13.5" customHeight="1">
      <c r="A186" s="2312"/>
      <c r="B186" s="2296"/>
      <c r="C186" s="2296"/>
      <c r="D186" s="2277" t="s">
        <v>2492</v>
      </c>
      <c r="E186" s="2296"/>
      <c r="F186" s="2300">
        <v>1</v>
      </c>
      <c r="G186" s="155"/>
      <c r="H186" s="2286"/>
      <c r="I186" s="2309"/>
      <c r="J186" s="3320"/>
      <c r="K186" s="2233"/>
      <c r="L186" s="3318"/>
      <c r="M186" s="3318"/>
      <c r="N186" s="3318"/>
      <c r="O186" s="3318"/>
      <c r="Q186" s="3318"/>
      <c r="R186" s="3322"/>
      <c r="S186" s="3320"/>
      <c r="T186" s="2233"/>
      <c r="U186" s="3318"/>
      <c r="V186" s="3318"/>
      <c r="W186" s="3318"/>
      <c r="X186" s="3318"/>
      <c r="Z186" s="3318"/>
      <c r="AA186" s="3322"/>
      <c r="AB186" s="3318"/>
      <c r="AC186" s="3318"/>
      <c r="AD186" s="3318"/>
      <c r="AE186" s="3318"/>
      <c r="AF186" s="3318"/>
      <c r="AG186" s="3318"/>
      <c r="AH186" s="3318"/>
      <c r="AI186" s="3318"/>
      <c r="AJ186" s="3318"/>
      <c r="AK186" s="3318"/>
      <c r="AL186" s="3318"/>
      <c r="AM186" s="3318"/>
      <c r="AN186" s="3318"/>
    </row>
    <row r="187" spans="1:40" s="2308" customFormat="1" ht="13.5" customHeight="1">
      <c r="A187" s="2312"/>
      <c r="B187" s="2296"/>
      <c r="C187" s="2296"/>
      <c r="D187" s="2277" t="s">
        <v>2472</v>
      </c>
      <c r="E187" s="2296"/>
      <c r="F187" s="2300"/>
      <c r="G187" s="155"/>
      <c r="H187" s="2286"/>
      <c r="I187" s="2309"/>
      <c r="J187" s="3320"/>
      <c r="K187" s="2233"/>
      <c r="L187" s="3318"/>
      <c r="M187" s="3318"/>
      <c r="N187" s="3318"/>
      <c r="O187" s="3318"/>
      <c r="Q187" s="3318"/>
      <c r="R187" s="3322"/>
      <c r="S187" s="2249"/>
      <c r="T187" s="3318"/>
      <c r="U187" s="3318"/>
      <c r="V187" s="3318"/>
      <c r="W187" s="3318"/>
      <c r="X187" s="3318"/>
      <c r="Y187" s="3318"/>
      <c r="Z187" s="3318"/>
      <c r="AA187" s="3318"/>
      <c r="AB187" s="3318"/>
      <c r="AC187" s="3318"/>
      <c r="AD187" s="3318"/>
      <c r="AE187" s="3318"/>
      <c r="AF187" s="3318"/>
      <c r="AG187" s="3318"/>
      <c r="AH187" s="3318"/>
      <c r="AI187" s="3318"/>
      <c r="AJ187" s="3318"/>
      <c r="AK187" s="3318"/>
      <c r="AL187" s="3318"/>
      <c r="AM187" s="3318"/>
      <c r="AN187" s="3318"/>
    </row>
    <row r="188" spans="1:40" s="2308" customFormat="1" ht="13.5" customHeight="1">
      <c r="A188" s="2222">
        <v>48</v>
      </c>
      <c r="B188" s="2223" t="s">
        <v>1860</v>
      </c>
      <c r="C188" s="2224" t="s">
        <v>2497</v>
      </c>
      <c r="D188" s="2224" t="s">
        <v>2498</v>
      </c>
      <c r="E188" s="2224" t="s">
        <v>205</v>
      </c>
      <c r="F188" s="2305">
        <f>SUM(F190:F190)</f>
        <v>6</v>
      </c>
      <c r="G188" s="124"/>
      <c r="H188" s="2226">
        <f>F188*G188</f>
        <v>0</v>
      </c>
      <c r="I188" s="2297" t="s">
        <v>111</v>
      </c>
      <c r="J188" s="3320"/>
      <c r="K188" s="2233"/>
      <c r="L188" s="3318"/>
      <c r="M188" s="3318"/>
      <c r="N188" s="3318"/>
      <c r="O188" s="3318"/>
      <c r="P188" s="3318"/>
      <c r="Q188" s="3318"/>
      <c r="R188" s="3322"/>
      <c r="S188" s="3318"/>
      <c r="T188" s="3318"/>
      <c r="U188" s="3318"/>
      <c r="V188" s="3318"/>
      <c r="W188" s="3318"/>
      <c r="X188" s="3318"/>
      <c r="Y188" s="3318"/>
      <c r="Z188" s="3318"/>
      <c r="AA188" s="3318"/>
      <c r="AB188" s="3318"/>
      <c r="AC188" s="3318"/>
      <c r="AD188" s="3318"/>
      <c r="AE188" s="3318"/>
      <c r="AF188" s="3318"/>
      <c r="AG188" s="3318"/>
      <c r="AH188" s="3318"/>
      <c r="AI188" s="3318"/>
      <c r="AJ188" s="3318"/>
      <c r="AK188" s="3318"/>
      <c r="AL188" s="3318"/>
      <c r="AM188" s="3318"/>
      <c r="AN188" s="3318"/>
    </row>
    <row r="189" spans="1:40" s="2308" customFormat="1" ht="13.5" customHeight="1">
      <c r="A189" s="2312"/>
      <c r="B189" s="2296"/>
      <c r="C189" s="2296"/>
      <c r="D189" s="2277" t="s">
        <v>2499</v>
      </c>
      <c r="E189" s="2296"/>
      <c r="F189" s="2221"/>
      <c r="G189" s="155"/>
      <c r="H189" s="2286"/>
      <c r="I189" s="2309"/>
      <c r="J189" s="3320"/>
      <c r="K189" s="2249"/>
      <c r="S189" s="3318"/>
      <c r="T189" s="3352"/>
      <c r="U189" s="2249"/>
      <c r="V189" s="3318"/>
      <c r="W189" s="3318"/>
      <c r="X189" s="3318"/>
      <c r="Y189" s="3318"/>
      <c r="Z189" s="3318"/>
      <c r="AA189" s="3318"/>
      <c r="AB189" s="3318"/>
      <c r="AC189" s="3318"/>
      <c r="AD189" s="3318"/>
      <c r="AE189" s="3318"/>
      <c r="AF189" s="3318"/>
      <c r="AG189" s="3318"/>
      <c r="AH189" s="3318"/>
      <c r="AI189" s="3318"/>
      <c r="AJ189" s="3318"/>
      <c r="AK189" s="3318"/>
      <c r="AL189" s="3318"/>
      <c r="AM189" s="3318"/>
      <c r="AN189" s="3318"/>
    </row>
    <row r="190" spans="1:40" s="2308" customFormat="1" ht="13.5" customHeight="1">
      <c r="A190" s="2312"/>
      <c r="B190" s="2296"/>
      <c r="C190" s="2296"/>
      <c r="D190" s="2277" t="s">
        <v>2492</v>
      </c>
      <c r="E190" s="2296"/>
      <c r="F190" s="2300">
        <v>6</v>
      </c>
      <c r="G190" s="155"/>
      <c r="H190" s="2286"/>
      <c r="I190" s="2309"/>
      <c r="J190" s="3320"/>
      <c r="K190" s="3318"/>
      <c r="S190" s="3318"/>
      <c r="T190" s="3352"/>
      <c r="U190" s="2249"/>
      <c r="V190" s="3318"/>
      <c r="W190" s="3318"/>
      <c r="X190" s="3318"/>
      <c r="Y190" s="3318"/>
      <c r="Z190" s="3318"/>
      <c r="AA190" s="3318"/>
      <c r="AB190" s="3318"/>
      <c r="AC190" s="3318"/>
      <c r="AD190" s="3318"/>
      <c r="AE190" s="3318"/>
      <c r="AF190" s="3318"/>
      <c r="AG190" s="3318"/>
      <c r="AH190" s="3318"/>
      <c r="AI190" s="3318"/>
      <c r="AJ190" s="3318"/>
      <c r="AK190" s="3318"/>
      <c r="AL190" s="3318"/>
      <c r="AM190" s="3318"/>
      <c r="AN190" s="3318"/>
    </row>
    <row r="191" spans="1:40" s="2308" customFormat="1" ht="13.5" customHeight="1">
      <c r="A191" s="2312"/>
      <c r="B191" s="2296"/>
      <c r="C191" s="2296"/>
      <c r="D191" s="2277" t="s">
        <v>2500</v>
      </c>
      <c r="E191" s="2296"/>
      <c r="F191" s="2300"/>
      <c r="G191" s="155"/>
      <c r="H191" s="2286"/>
      <c r="I191" s="2309"/>
      <c r="J191" s="3320"/>
      <c r="K191" s="3318"/>
      <c r="S191" s="3318"/>
      <c r="T191" s="3352"/>
      <c r="U191" s="2249"/>
      <c r="V191" s="3318"/>
      <c r="W191" s="3318"/>
      <c r="X191" s="3318"/>
      <c r="Y191" s="3318"/>
      <c r="Z191" s="3318"/>
      <c r="AA191" s="3318"/>
      <c r="AB191" s="3318"/>
      <c r="AC191" s="3318"/>
      <c r="AD191" s="3318"/>
      <c r="AE191" s="3318"/>
      <c r="AF191" s="3318"/>
      <c r="AG191" s="3318"/>
      <c r="AH191" s="3318"/>
      <c r="AI191" s="3318"/>
      <c r="AJ191" s="3318"/>
      <c r="AK191" s="3318"/>
      <c r="AL191" s="3318"/>
      <c r="AM191" s="3318"/>
      <c r="AN191" s="3318"/>
    </row>
    <row r="192" spans="1:40" s="2308" customFormat="1" ht="13.5" customHeight="1">
      <c r="A192" s="2222">
        <v>49</v>
      </c>
      <c r="B192" s="2223" t="s">
        <v>1860</v>
      </c>
      <c r="C192" s="2224" t="s">
        <v>2501</v>
      </c>
      <c r="D192" s="2224" t="s">
        <v>2502</v>
      </c>
      <c r="E192" s="2224" t="s">
        <v>205</v>
      </c>
      <c r="F192" s="2305">
        <f>SUM(F194:F194)</f>
        <v>5</v>
      </c>
      <c r="G192" s="124"/>
      <c r="H192" s="2226">
        <f>F192*G192</f>
        <v>0</v>
      </c>
      <c r="I192" s="2297" t="s">
        <v>111</v>
      </c>
      <c r="J192" s="3320"/>
      <c r="K192" s="2233"/>
      <c r="L192" s="2233"/>
      <c r="M192" s="2233"/>
      <c r="N192" s="2233"/>
      <c r="O192" s="2233"/>
      <c r="P192" s="3318"/>
      <c r="Q192" s="3318"/>
      <c r="R192" s="3318"/>
      <c r="S192" s="3318"/>
      <c r="T192" s="3318"/>
      <c r="U192" s="3322"/>
      <c r="V192" s="3318"/>
      <c r="W192" s="3318"/>
      <c r="X192" s="3318"/>
      <c r="Y192" s="3318"/>
      <c r="Z192" s="3318"/>
      <c r="AA192" s="3318"/>
      <c r="AB192" s="3318"/>
      <c r="AC192" s="3318"/>
      <c r="AD192" s="3318"/>
      <c r="AE192" s="3318"/>
      <c r="AF192" s="3318"/>
      <c r="AG192" s="3318"/>
      <c r="AH192" s="3318"/>
      <c r="AI192" s="3318"/>
      <c r="AJ192" s="3318"/>
      <c r="AK192" s="3318"/>
      <c r="AL192" s="3318"/>
      <c r="AM192" s="3318"/>
      <c r="AN192" s="3318"/>
    </row>
    <row r="193" spans="1:40" s="2308" customFormat="1" ht="13.5" customHeight="1">
      <c r="A193" s="2312"/>
      <c r="B193" s="2296"/>
      <c r="C193" s="2296"/>
      <c r="D193" s="2277" t="s">
        <v>2503</v>
      </c>
      <c r="E193" s="2296"/>
      <c r="F193" s="2221"/>
      <c r="G193" s="155"/>
      <c r="H193" s="2286"/>
      <c r="I193" s="2309"/>
      <c r="J193" s="3353"/>
      <c r="K193" s="2249"/>
      <c r="L193" s="3318"/>
      <c r="M193" s="3318"/>
      <c r="N193" s="3318"/>
      <c r="O193" s="3318"/>
      <c r="P193" s="3318"/>
      <c r="Q193" s="2250"/>
      <c r="R193" s="3318"/>
      <c r="S193" s="3318"/>
      <c r="T193" s="3318"/>
      <c r="U193" s="3322"/>
      <c r="V193" s="3318"/>
      <c r="W193" s="3318"/>
      <c r="X193" s="3318"/>
      <c r="Y193" s="3318"/>
      <c r="Z193" s="3318"/>
      <c r="AA193" s="3318"/>
      <c r="AB193" s="3318"/>
      <c r="AC193" s="3318"/>
      <c r="AD193" s="3318"/>
      <c r="AE193" s="3318"/>
      <c r="AF193" s="3318"/>
      <c r="AG193" s="3318"/>
      <c r="AH193" s="3318"/>
      <c r="AI193" s="3318"/>
      <c r="AJ193" s="3318"/>
      <c r="AK193" s="3318"/>
      <c r="AL193" s="3318"/>
      <c r="AM193" s="3318"/>
      <c r="AN193" s="3318"/>
    </row>
    <row r="194" spans="1:40" s="2308" customFormat="1" ht="13.5" customHeight="1">
      <c r="A194" s="2312"/>
      <c r="B194" s="2296"/>
      <c r="C194" s="2296"/>
      <c r="D194" s="2277" t="s">
        <v>2492</v>
      </c>
      <c r="E194" s="2296"/>
      <c r="F194" s="2300">
        <v>5</v>
      </c>
      <c r="G194" s="155"/>
      <c r="H194" s="2286"/>
      <c r="I194" s="2309"/>
      <c r="J194" s="3353"/>
      <c r="K194" s="2249"/>
      <c r="L194" s="3318"/>
      <c r="M194" s="3318"/>
      <c r="N194" s="3318"/>
      <c r="O194" s="3318"/>
      <c r="P194" s="3318"/>
      <c r="Q194" s="2250"/>
      <c r="R194" s="3318"/>
      <c r="S194" s="3318"/>
      <c r="T194" s="3318"/>
      <c r="U194" s="3322"/>
      <c r="V194" s="3318"/>
      <c r="W194" s="3318"/>
      <c r="X194" s="3318"/>
      <c r="Y194" s="3318"/>
      <c r="Z194" s="3318"/>
      <c r="AA194" s="3318"/>
      <c r="AB194" s="3318"/>
      <c r="AC194" s="3318"/>
      <c r="AD194" s="3318"/>
      <c r="AE194" s="3318"/>
      <c r="AF194" s="3318"/>
      <c r="AG194" s="3318"/>
      <c r="AH194" s="3318"/>
      <c r="AI194" s="3318"/>
      <c r="AJ194" s="3318"/>
      <c r="AK194" s="3318"/>
      <c r="AL194" s="3318"/>
      <c r="AM194" s="3318"/>
      <c r="AN194" s="3318"/>
    </row>
    <row r="195" spans="1:40" s="2308" customFormat="1" ht="13.5" customHeight="1">
      <c r="A195" s="2312"/>
      <c r="B195" s="2296"/>
      <c r="C195" s="2296"/>
      <c r="D195" s="2277" t="s">
        <v>2504</v>
      </c>
      <c r="E195" s="2296"/>
      <c r="F195" s="2300"/>
      <c r="G195" s="155"/>
      <c r="H195" s="2286"/>
      <c r="I195" s="2309"/>
      <c r="J195" s="2304"/>
      <c r="K195" s="3318"/>
      <c r="L195" s="3318"/>
      <c r="M195" s="3318"/>
      <c r="N195" s="3318"/>
      <c r="O195" s="3318"/>
      <c r="P195" s="3318"/>
      <c r="Q195" s="2250"/>
      <c r="R195" s="3318"/>
      <c r="S195" s="3318"/>
      <c r="T195" s="3318"/>
      <c r="U195" s="3318"/>
      <c r="V195" s="3318"/>
      <c r="W195" s="3318"/>
      <c r="X195" s="3318"/>
      <c r="Y195" s="3318"/>
      <c r="Z195" s="3318"/>
      <c r="AA195" s="3318"/>
      <c r="AB195" s="3318"/>
      <c r="AC195" s="3318"/>
      <c r="AD195" s="3318"/>
      <c r="AE195" s="3318"/>
      <c r="AF195" s="3318"/>
      <c r="AG195" s="3318"/>
      <c r="AH195" s="3318"/>
      <c r="AI195" s="3318"/>
      <c r="AJ195" s="3318"/>
      <c r="AK195" s="3318"/>
      <c r="AL195" s="3318"/>
      <c r="AM195" s="3318"/>
      <c r="AN195" s="3318"/>
    </row>
    <row r="196" spans="1:40" s="2308" customFormat="1" ht="13.5" customHeight="1">
      <c r="A196" s="2222">
        <v>50</v>
      </c>
      <c r="B196" s="2223">
        <v>721</v>
      </c>
      <c r="C196" s="2224" t="s">
        <v>2505</v>
      </c>
      <c r="D196" s="2224" t="s">
        <v>2506</v>
      </c>
      <c r="E196" s="2224" t="s">
        <v>205</v>
      </c>
      <c r="F196" s="2305">
        <f>SUM(F198:F198)</f>
        <v>19</v>
      </c>
      <c r="G196" s="124"/>
      <c r="H196" s="2226">
        <f>F196*G196</f>
        <v>0</v>
      </c>
      <c r="I196" s="2297" t="s">
        <v>111</v>
      </c>
      <c r="J196" s="3354"/>
      <c r="K196" s="2233"/>
      <c r="L196" s="3318"/>
      <c r="M196" s="3318"/>
      <c r="N196" s="3318"/>
      <c r="O196" s="3318"/>
      <c r="P196" s="3318"/>
      <c r="Q196" s="3318"/>
      <c r="R196" s="3322"/>
      <c r="S196" s="3318"/>
      <c r="T196" s="3318"/>
      <c r="U196" s="3318"/>
      <c r="V196" s="3318"/>
      <c r="W196" s="3318"/>
      <c r="X196" s="3318"/>
      <c r="Y196" s="3318"/>
      <c r="Z196" s="3318"/>
      <c r="AA196" s="3318"/>
      <c r="AB196" s="3318"/>
      <c r="AC196" s="3318"/>
      <c r="AD196" s="3318"/>
      <c r="AE196" s="3318"/>
      <c r="AF196" s="3318"/>
      <c r="AG196" s="3318"/>
      <c r="AH196" s="3318"/>
      <c r="AI196" s="3318"/>
      <c r="AJ196" s="3318"/>
      <c r="AK196" s="3318"/>
      <c r="AL196" s="3318"/>
      <c r="AM196" s="3318"/>
      <c r="AN196" s="3318"/>
    </row>
    <row r="197" spans="1:40" s="2308" customFormat="1" ht="13.5" customHeight="1">
      <c r="A197" s="2312"/>
      <c r="B197" s="2296"/>
      <c r="C197" s="2296"/>
      <c r="D197" s="2277" t="s">
        <v>2507</v>
      </c>
      <c r="E197" s="2296"/>
      <c r="F197" s="2300"/>
      <c r="G197" s="155"/>
      <c r="H197" s="2286"/>
      <c r="I197" s="2309"/>
      <c r="J197" s="3320"/>
      <c r="K197" s="2249"/>
      <c r="S197" s="3318"/>
      <c r="T197" s="3352"/>
      <c r="U197" s="2249"/>
      <c r="V197" s="3318"/>
      <c r="W197" s="3318"/>
      <c r="X197" s="3318"/>
      <c r="Y197" s="3318"/>
      <c r="Z197" s="3318"/>
      <c r="AA197" s="3318"/>
      <c r="AB197" s="3318"/>
      <c r="AC197" s="3318"/>
      <c r="AD197" s="3318"/>
      <c r="AE197" s="3318"/>
      <c r="AF197" s="3318"/>
      <c r="AG197" s="3318"/>
      <c r="AH197" s="3318"/>
      <c r="AI197" s="3318"/>
      <c r="AJ197" s="3318"/>
      <c r="AK197" s="3318"/>
      <c r="AL197" s="3318"/>
      <c r="AM197" s="3318"/>
      <c r="AN197" s="3318"/>
    </row>
    <row r="198" spans="1:40" s="2308" customFormat="1" ht="13.5" customHeight="1">
      <c r="A198" s="2312"/>
      <c r="B198" s="2296"/>
      <c r="C198" s="2296"/>
      <c r="D198" s="2277" t="s">
        <v>2492</v>
      </c>
      <c r="E198" s="2296"/>
      <c r="F198" s="2300">
        <v>19</v>
      </c>
      <c r="G198" s="155"/>
      <c r="H198" s="2286"/>
      <c r="I198" s="2309"/>
      <c r="J198" s="3320"/>
      <c r="K198" s="2249"/>
      <c r="S198" s="3318"/>
      <c r="T198" s="3352"/>
      <c r="U198" s="2249"/>
      <c r="V198" s="3318"/>
      <c r="W198" s="3318"/>
      <c r="X198" s="3318"/>
      <c r="Y198" s="3318"/>
      <c r="Z198" s="3318"/>
      <c r="AA198" s="3318"/>
      <c r="AB198" s="3318"/>
      <c r="AC198" s="3318"/>
      <c r="AD198" s="3318"/>
      <c r="AE198" s="3318"/>
      <c r="AF198" s="3318"/>
      <c r="AG198" s="3318"/>
      <c r="AH198" s="3318"/>
      <c r="AI198" s="3318"/>
      <c r="AJ198" s="3318"/>
      <c r="AK198" s="3318"/>
      <c r="AL198" s="3318"/>
      <c r="AM198" s="3318"/>
      <c r="AN198" s="3318"/>
    </row>
    <row r="199" spans="1:40" s="2308" customFormat="1" ht="27" customHeight="1">
      <c r="A199" s="2312"/>
      <c r="B199" s="2296"/>
      <c r="C199" s="2296"/>
      <c r="D199" s="2277" t="s">
        <v>2508</v>
      </c>
      <c r="E199" s="2296"/>
      <c r="F199" s="2300"/>
      <c r="G199" s="155"/>
      <c r="H199" s="2286"/>
      <c r="I199" s="2309"/>
      <c r="V199" s="3318"/>
      <c r="W199" s="3318"/>
      <c r="X199" s="3318"/>
      <c r="Y199" s="3318"/>
      <c r="Z199" s="3318"/>
      <c r="AA199" s="3318"/>
      <c r="AB199" s="3318"/>
      <c r="AC199" s="3318"/>
      <c r="AD199" s="3318"/>
      <c r="AE199" s="3318"/>
      <c r="AF199" s="3318"/>
      <c r="AG199" s="3318"/>
      <c r="AH199" s="3318"/>
      <c r="AI199" s="3318"/>
      <c r="AJ199" s="3318"/>
      <c r="AK199" s="3318"/>
      <c r="AL199" s="3318"/>
      <c r="AM199" s="3318"/>
      <c r="AN199" s="3318"/>
    </row>
    <row r="200" spans="1:40" s="2206" customFormat="1" ht="13.5" customHeight="1">
      <c r="A200" s="2222">
        <v>51</v>
      </c>
      <c r="B200" s="2224">
        <v>721</v>
      </c>
      <c r="C200" s="2224" t="s">
        <v>2509</v>
      </c>
      <c r="D200" s="2224" t="s">
        <v>2510</v>
      </c>
      <c r="E200" s="2224" t="s">
        <v>49</v>
      </c>
      <c r="F200" s="2305">
        <f>SUM(F201)</f>
        <v>1</v>
      </c>
      <c r="G200" s="124"/>
      <c r="H200" s="2226">
        <f>F200*G200</f>
        <v>0</v>
      </c>
      <c r="I200" s="2297" t="s">
        <v>111</v>
      </c>
    </row>
    <row r="201" spans="1:40" s="2250" customFormat="1" ht="27" customHeight="1">
      <c r="A201" s="2319"/>
      <c r="B201" s="2244"/>
      <c r="C201" s="2244"/>
      <c r="D201" s="2277" t="s">
        <v>2511</v>
      </c>
      <c r="E201" s="2244"/>
      <c r="F201" s="2300">
        <v>1</v>
      </c>
      <c r="G201" s="127"/>
      <c r="H201" s="2226"/>
      <c r="I201" s="2219"/>
    </row>
    <row r="202" spans="1:40" s="2250" customFormat="1" ht="27" customHeight="1">
      <c r="A202" s="2319"/>
      <c r="B202" s="2244"/>
      <c r="C202" s="2244"/>
      <c r="D202" s="2277" t="s">
        <v>2512</v>
      </c>
      <c r="E202" s="2244"/>
      <c r="F202" s="2300"/>
      <c r="G202" s="127"/>
      <c r="H202" s="2226"/>
      <c r="I202" s="2219"/>
    </row>
    <row r="203" spans="1:40" s="2206" customFormat="1" ht="13.5" customHeight="1">
      <c r="A203" s="3355">
        <v>52</v>
      </c>
      <c r="B203" s="2224">
        <v>721</v>
      </c>
      <c r="C203" s="2224" t="s">
        <v>1925</v>
      </c>
      <c r="D203" s="2224" t="s">
        <v>1926</v>
      </c>
      <c r="E203" s="2224" t="s">
        <v>49</v>
      </c>
      <c r="F203" s="2305">
        <f>SUM(F204)</f>
        <v>1</v>
      </c>
      <c r="G203" s="5206" t="s">
        <v>3512</v>
      </c>
      <c r="H203" s="5207"/>
      <c r="I203" s="2297" t="s">
        <v>111</v>
      </c>
    </row>
    <row r="204" spans="1:40" s="2206" customFormat="1" ht="27" customHeight="1">
      <c r="A204" s="2222"/>
      <c r="B204" s="2224"/>
      <c r="C204" s="2224"/>
      <c r="D204" s="2277" t="s">
        <v>2513</v>
      </c>
      <c r="E204" s="2340"/>
      <c r="F204" s="2300">
        <v>1</v>
      </c>
      <c r="G204" s="2226"/>
      <c r="H204" s="2226"/>
      <c r="I204" s="2297"/>
      <c r="J204" s="2320"/>
      <c r="K204" s="2341"/>
    </row>
    <row r="205" spans="1:40" s="2206" customFormat="1" ht="81" customHeight="1">
      <c r="A205" s="2105"/>
      <c r="B205" s="2276"/>
      <c r="C205" s="2244"/>
      <c r="D205" s="2314" t="s">
        <v>2514</v>
      </c>
      <c r="E205" s="2277"/>
      <c r="F205" s="3314"/>
      <c r="G205" s="2279"/>
      <c r="H205" s="2279"/>
      <c r="I205" s="2219"/>
      <c r="J205" s="2315"/>
      <c r="K205" s="2316"/>
      <c r="L205" s="2317"/>
      <c r="M205" s="2317"/>
    </row>
    <row r="206" spans="1:40" s="2206" customFormat="1" ht="13.5" customHeight="1">
      <c r="A206" s="3355">
        <v>53</v>
      </c>
      <c r="B206" s="2224">
        <v>721</v>
      </c>
      <c r="C206" s="2224" t="s">
        <v>2515</v>
      </c>
      <c r="D206" s="2224" t="s">
        <v>2516</v>
      </c>
      <c r="E206" s="2224" t="s">
        <v>49</v>
      </c>
      <c r="F206" s="2305">
        <f>SUM(F207)</f>
        <v>1</v>
      </c>
      <c r="G206" s="5206" t="s">
        <v>3512</v>
      </c>
      <c r="H206" s="5207"/>
      <c r="I206" s="2297" t="s">
        <v>111</v>
      </c>
    </row>
    <row r="207" spans="1:40" s="2206" customFormat="1" ht="27" customHeight="1">
      <c r="A207" s="2222"/>
      <c r="B207" s="2224"/>
      <c r="C207" s="2224"/>
      <c r="D207" s="2277" t="s">
        <v>2517</v>
      </c>
      <c r="E207" s="2224"/>
      <c r="F207" s="2300">
        <v>1</v>
      </c>
      <c r="G207" s="124"/>
      <c r="H207" s="2226"/>
      <c r="I207" s="2297"/>
    </row>
    <row r="208" spans="1:40" s="2250" customFormat="1" ht="101.25">
      <c r="A208" s="2319"/>
      <c r="B208" s="2244"/>
      <c r="C208" s="2244"/>
      <c r="D208" s="2313" t="s">
        <v>2518</v>
      </c>
      <c r="E208" s="2244"/>
      <c r="F208" s="2300"/>
      <c r="G208" s="127"/>
      <c r="H208" s="2226"/>
      <c r="I208" s="2219"/>
    </row>
    <row r="209" spans="1:29" s="2206" customFormat="1" ht="13.5" customHeight="1">
      <c r="A209" s="2222">
        <v>54</v>
      </c>
      <c r="B209" s="2224">
        <v>721</v>
      </c>
      <c r="C209" s="2224" t="s">
        <v>2519</v>
      </c>
      <c r="D209" s="2224" t="s">
        <v>1836</v>
      </c>
      <c r="E209" s="2224" t="s">
        <v>49</v>
      </c>
      <c r="F209" s="2305">
        <f>SUM(F211)</f>
        <v>1</v>
      </c>
      <c r="G209" s="124"/>
      <c r="H209" s="2226">
        <f>F209*G209</f>
        <v>0</v>
      </c>
      <c r="I209" s="2297" t="s">
        <v>111</v>
      </c>
    </row>
    <row r="210" spans="1:29" s="2250" customFormat="1" ht="27" customHeight="1">
      <c r="A210" s="2319"/>
      <c r="B210" s="2244"/>
      <c r="C210" s="2244"/>
      <c r="D210" s="2277" t="s">
        <v>2520</v>
      </c>
      <c r="E210" s="2244"/>
      <c r="F210" s="2300"/>
      <c r="G210" s="127"/>
      <c r="H210" s="2226"/>
      <c r="I210" s="2219"/>
    </row>
    <row r="211" spans="1:29" s="2250" customFormat="1" ht="13.5" customHeight="1">
      <c r="A211" s="2319"/>
      <c r="B211" s="2244"/>
      <c r="C211" s="2244"/>
      <c r="D211" s="2277" t="s">
        <v>1838</v>
      </c>
      <c r="E211" s="2244"/>
      <c r="F211" s="2300">
        <v>1</v>
      </c>
      <c r="G211" s="127"/>
      <c r="H211" s="2226"/>
      <c r="I211" s="2219"/>
    </row>
    <row r="212" spans="1:29" s="2250" customFormat="1" ht="13.5" customHeight="1">
      <c r="A212" s="2319"/>
      <c r="B212" s="2244"/>
      <c r="C212" s="2244"/>
      <c r="D212" s="2277" t="s">
        <v>2521</v>
      </c>
      <c r="E212" s="2244"/>
      <c r="F212" s="2300"/>
      <c r="G212" s="127"/>
      <c r="H212" s="2226"/>
      <c r="I212" s="2219"/>
    </row>
    <row r="213" spans="1:29" s="2206" customFormat="1" ht="13.5" customHeight="1">
      <c r="A213" s="2222">
        <v>55</v>
      </c>
      <c r="B213" s="2224">
        <v>721</v>
      </c>
      <c r="C213" s="2224" t="s">
        <v>2522</v>
      </c>
      <c r="D213" s="2224" t="s">
        <v>1881</v>
      </c>
      <c r="E213" s="2224" t="s">
        <v>49</v>
      </c>
      <c r="F213" s="2305">
        <f>SUM(F214)</f>
        <v>1</v>
      </c>
      <c r="G213" s="124"/>
      <c r="H213" s="2226">
        <f>F213*G213</f>
        <v>0</v>
      </c>
      <c r="I213" s="2297" t="s">
        <v>111</v>
      </c>
    </row>
    <row r="214" spans="1:29" s="2321" customFormat="1" ht="27" customHeight="1">
      <c r="A214" s="2222"/>
      <c r="B214" s="2223"/>
      <c r="C214" s="2224"/>
      <c r="D214" s="2277" t="s">
        <v>1882</v>
      </c>
      <c r="E214" s="2224"/>
      <c r="F214" s="2300">
        <v>1</v>
      </c>
      <c r="G214" s="124"/>
      <c r="H214" s="2226"/>
      <c r="I214" s="2297"/>
      <c r="J214" s="2320"/>
      <c r="M214" s="2295"/>
    </row>
    <row r="215" spans="1:29" s="2321" customFormat="1" ht="27" customHeight="1">
      <c r="A215" s="2222"/>
      <c r="B215" s="2223"/>
      <c r="C215" s="2224"/>
      <c r="D215" s="2277" t="s">
        <v>1883</v>
      </c>
      <c r="E215" s="2224"/>
      <c r="F215" s="2300"/>
      <c r="G215" s="124"/>
      <c r="H215" s="2226"/>
      <c r="I215" s="2297"/>
      <c r="J215" s="2320"/>
      <c r="M215" s="2295"/>
    </row>
    <row r="216" spans="1:29" s="2206" customFormat="1" ht="13.5" customHeight="1">
      <c r="A216" s="3308">
        <v>56</v>
      </c>
      <c r="B216" s="2224">
        <v>721</v>
      </c>
      <c r="C216" s="2224">
        <v>998721202</v>
      </c>
      <c r="D216" s="2224" t="s">
        <v>2523</v>
      </c>
      <c r="E216" s="2224" t="s">
        <v>10</v>
      </c>
      <c r="F216" s="2305">
        <v>0.97</v>
      </c>
      <c r="G216" s="126"/>
      <c r="H216" s="2226">
        <f>F216*G216</f>
        <v>0</v>
      </c>
      <c r="I216" s="2297" t="s">
        <v>137</v>
      </c>
      <c r="J216" s="3357"/>
      <c r="K216" s="3358"/>
    </row>
    <row r="217" spans="1:29" s="2250" customFormat="1" ht="13.5" customHeight="1">
      <c r="A217" s="3308">
        <v>57</v>
      </c>
      <c r="B217" s="2224" t="s">
        <v>362</v>
      </c>
      <c r="C217" s="2224" t="s">
        <v>1885</v>
      </c>
      <c r="D217" s="2224" t="s">
        <v>1886</v>
      </c>
      <c r="E217" s="2224" t="s">
        <v>69</v>
      </c>
      <c r="F217" s="2305">
        <f>SUM(F218)</f>
        <v>10</v>
      </c>
      <c r="G217" s="124"/>
      <c r="H217" s="2226">
        <f>F217*G217</f>
        <v>0</v>
      </c>
      <c r="I217" s="2297" t="s">
        <v>137</v>
      </c>
    </row>
    <row r="218" spans="1:29" s="2250" customFormat="1" ht="13.5" customHeight="1">
      <c r="A218" s="2319"/>
      <c r="B218" s="2244"/>
      <c r="C218" s="2244"/>
      <c r="D218" s="2277" t="s">
        <v>2524</v>
      </c>
      <c r="E218" s="2244"/>
      <c r="F218" s="2300">
        <v>10</v>
      </c>
      <c r="G218" s="127"/>
      <c r="H218" s="2226"/>
      <c r="I218" s="2219"/>
    </row>
    <row r="219" spans="1:29" s="2250" customFormat="1" ht="27" customHeight="1">
      <c r="A219" s="2319"/>
      <c r="B219" s="2244"/>
      <c r="C219" s="2244"/>
      <c r="D219" s="3359" t="s">
        <v>1992</v>
      </c>
      <c r="E219" s="2244"/>
      <c r="F219" s="2300"/>
      <c r="G219" s="127"/>
      <c r="H219" s="2226"/>
      <c r="I219" s="2219"/>
    </row>
    <row r="220" spans="1:29" s="2206" customFormat="1" ht="13.5" customHeight="1">
      <c r="A220" s="2215"/>
      <c r="B220" s="2216"/>
      <c r="C220" s="2216">
        <v>722</v>
      </c>
      <c r="D220" s="2216" t="s">
        <v>2525</v>
      </c>
      <c r="E220" s="2216"/>
      <c r="F220" s="3304"/>
      <c r="G220" s="204"/>
      <c r="H220" s="2218">
        <f>SUM(H221:H230,H233:H236,H240:H243,H246:H249,H253:H256,H259:H262,H266:H269,H272:H275,H279:H445)</f>
        <v>0</v>
      </c>
      <c r="I220" s="2221"/>
      <c r="J220" s="3349"/>
    </row>
    <row r="221" spans="1:29" s="593" customFormat="1" ht="13.5" customHeight="1">
      <c r="A221" s="2222">
        <v>58</v>
      </c>
      <c r="B221" s="2224">
        <v>721</v>
      </c>
      <c r="C221" s="2224">
        <v>722130233</v>
      </c>
      <c r="D221" s="2224" t="s">
        <v>2526</v>
      </c>
      <c r="E221" s="2224" t="s">
        <v>141</v>
      </c>
      <c r="F221" s="2305">
        <f>SUM(F223)</f>
        <v>22.330000000000002</v>
      </c>
      <c r="G221" s="124"/>
      <c r="H221" s="2226">
        <f>F221*G221</f>
        <v>0</v>
      </c>
      <c r="I221" s="2297" t="s">
        <v>112</v>
      </c>
      <c r="J221" s="3320"/>
      <c r="K221" s="2233"/>
      <c r="L221" s="2233"/>
      <c r="M221" s="2233"/>
      <c r="N221" s="2233"/>
      <c r="O221" s="2233"/>
      <c r="P221" s="2233"/>
      <c r="Q221" s="3318"/>
      <c r="R221" s="3318"/>
      <c r="S221" s="3318"/>
      <c r="T221" s="3318"/>
      <c r="U221" s="3322"/>
      <c r="V221" s="2206"/>
      <c r="W221" s="2206"/>
      <c r="X221" s="2206"/>
      <c r="Y221" s="2206"/>
      <c r="Z221" s="2206"/>
      <c r="AA221" s="2206"/>
      <c r="AB221" s="2206"/>
      <c r="AC221" s="2206"/>
    </row>
    <row r="222" spans="1:29" s="593" customFormat="1" ht="13.5" customHeight="1">
      <c r="A222" s="2312"/>
      <c r="B222" s="2296"/>
      <c r="C222" s="2296"/>
      <c r="D222" s="2277" t="s">
        <v>2527</v>
      </c>
      <c r="E222" s="2296"/>
      <c r="F222" s="2300"/>
      <c r="G222" s="155"/>
      <c r="H222" s="2286"/>
      <c r="I222" s="2309"/>
      <c r="J222" s="3320"/>
      <c r="K222" s="2233"/>
      <c r="L222" s="2233"/>
      <c r="M222" s="2233"/>
      <c r="N222" s="2233"/>
      <c r="O222" s="2233"/>
      <c r="P222" s="2233"/>
      <c r="Q222" s="3318"/>
      <c r="R222" s="3318"/>
      <c r="S222" s="3318"/>
      <c r="T222" s="3318"/>
      <c r="U222" s="3322"/>
      <c r="V222" s="3318"/>
      <c r="W222" s="3318"/>
      <c r="X222" s="3318"/>
      <c r="Y222" s="3318"/>
      <c r="Z222" s="3318"/>
      <c r="AA222" s="3318"/>
      <c r="AB222" s="3318"/>
      <c r="AC222" s="3318"/>
    </row>
    <row r="223" spans="1:29" s="593" customFormat="1" ht="13.5" customHeight="1">
      <c r="A223" s="2312"/>
      <c r="B223" s="2296"/>
      <c r="C223" s="2296"/>
      <c r="D223" s="2277" t="s">
        <v>2528</v>
      </c>
      <c r="E223" s="2296"/>
      <c r="F223" s="2300">
        <f>(20.3)*1.1</f>
        <v>22.330000000000002</v>
      </c>
      <c r="G223" s="155"/>
      <c r="H223" s="2286"/>
      <c r="I223" s="2309"/>
      <c r="J223" s="3360"/>
      <c r="K223" s="2233"/>
      <c r="L223" s="2233"/>
      <c r="M223" s="2233"/>
      <c r="N223" s="2233"/>
      <c r="O223" s="2233"/>
      <c r="P223" s="2233"/>
      <c r="Q223" s="3318"/>
      <c r="R223" s="3318"/>
      <c r="S223" s="3318"/>
      <c r="T223" s="3318"/>
      <c r="U223" s="3322"/>
      <c r="V223" s="3318"/>
      <c r="W223" s="3318"/>
      <c r="X223" s="3318"/>
      <c r="Y223" s="3318"/>
      <c r="Z223" s="3318"/>
      <c r="AA223" s="3318"/>
      <c r="AB223" s="3318"/>
      <c r="AC223" s="3318"/>
    </row>
    <row r="224" spans="1:29" s="593" customFormat="1" ht="13.5" customHeight="1">
      <c r="A224" s="2312"/>
      <c r="B224" s="2296"/>
      <c r="C224" s="2296"/>
      <c r="D224" s="2277" t="s">
        <v>2430</v>
      </c>
      <c r="E224" s="2296"/>
      <c r="F224" s="3361"/>
      <c r="G224" s="155"/>
      <c r="H224" s="2286"/>
      <c r="I224" s="2342"/>
      <c r="J224" s="3320"/>
      <c r="K224" s="2233"/>
      <c r="L224" s="2233"/>
      <c r="M224" s="2233"/>
      <c r="N224" s="2233"/>
      <c r="O224" s="2233"/>
      <c r="P224" s="2233"/>
      <c r="Q224" s="3318"/>
      <c r="R224" s="3318"/>
      <c r="S224" s="3318"/>
      <c r="T224" s="3318"/>
      <c r="U224" s="3322"/>
      <c r="V224" s="3318"/>
      <c r="W224" s="3318"/>
      <c r="X224" s="3318"/>
      <c r="Y224" s="3318"/>
      <c r="Z224" s="3318"/>
      <c r="AA224" s="3318"/>
      <c r="AB224" s="3318"/>
      <c r="AC224" s="3318"/>
    </row>
    <row r="225" spans="1:30" s="593" customFormat="1" ht="13.5" customHeight="1">
      <c r="A225" s="2222">
        <v>59</v>
      </c>
      <c r="B225" s="2224">
        <v>721</v>
      </c>
      <c r="C225" s="2224">
        <v>722130234</v>
      </c>
      <c r="D225" s="2224" t="s">
        <v>2529</v>
      </c>
      <c r="E225" s="2224" t="s">
        <v>141</v>
      </c>
      <c r="F225" s="2305">
        <f>SUM(F227)</f>
        <v>10.780000000000001</v>
      </c>
      <c r="G225" s="124"/>
      <c r="H225" s="2226">
        <f>F225*G225</f>
        <v>0</v>
      </c>
      <c r="I225" s="2297" t="s">
        <v>112</v>
      </c>
      <c r="J225" s="3320"/>
      <c r="K225" s="2233"/>
      <c r="L225" s="2233"/>
      <c r="M225" s="2233"/>
      <c r="N225" s="2233"/>
      <c r="O225" s="2233"/>
      <c r="P225" s="2233"/>
      <c r="Q225" s="3318"/>
      <c r="R225" s="3318"/>
      <c r="S225" s="3318"/>
      <c r="T225" s="3318"/>
      <c r="U225" s="3322"/>
      <c r="V225" s="2206"/>
      <c r="W225" s="2206"/>
      <c r="X225" s="2206"/>
      <c r="Y225" s="2206"/>
      <c r="Z225" s="2206"/>
      <c r="AA225" s="2206"/>
      <c r="AB225" s="2206"/>
      <c r="AC225" s="2206"/>
    </row>
    <row r="226" spans="1:30" s="593" customFormat="1" ht="13.5" customHeight="1">
      <c r="A226" s="2312"/>
      <c r="B226" s="2296"/>
      <c r="C226" s="2296"/>
      <c r="D226" s="2277" t="s">
        <v>2527</v>
      </c>
      <c r="E226" s="2296"/>
      <c r="F226" s="2300"/>
      <c r="G226" s="155"/>
      <c r="H226" s="2286"/>
      <c r="I226" s="2309"/>
      <c r="J226" s="3320"/>
      <c r="K226" s="2233"/>
      <c r="L226" s="2233"/>
      <c r="M226" s="2233"/>
      <c r="N226" s="2233"/>
      <c r="O226" s="2233"/>
      <c r="P226" s="2233"/>
      <c r="Q226" s="3318"/>
      <c r="R226" s="3318"/>
      <c r="S226" s="3318"/>
      <c r="T226" s="3318"/>
      <c r="U226" s="3322"/>
      <c r="V226" s="3318"/>
      <c r="W226" s="3318"/>
      <c r="X226" s="3318"/>
      <c r="Y226" s="3318"/>
      <c r="Z226" s="3318"/>
      <c r="AA226" s="3318"/>
      <c r="AB226" s="3318"/>
      <c r="AC226" s="3318"/>
    </row>
    <row r="227" spans="1:30" s="593" customFormat="1" ht="13.5" customHeight="1">
      <c r="A227" s="2312"/>
      <c r="B227" s="2296"/>
      <c r="C227" s="2296"/>
      <c r="D227" s="2277" t="s">
        <v>2530</v>
      </c>
      <c r="E227" s="2296"/>
      <c r="F227" s="2300">
        <f>(9.8)*1.1</f>
        <v>10.780000000000001</v>
      </c>
      <c r="G227" s="155"/>
      <c r="H227" s="2286"/>
      <c r="I227" s="2309"/>
      <c r="J227" s="3360"/>
      <c r="K227" s="2233"/>
      <c r="L227" s="2233"/>
      <c r="M227" s="2233"/>
      <c r="N227" s="2233"/>
      <c r="O227" s="2233"/>
      <c r="P227" s="2233"/>
      <c r="Q227" s="3318"/>
      <c r="R227" s="3318"/>
      <c r="S227" s="3318"/>
      <c r="T227" s="3318"/>
      <c r="U227" s="3322"/>
      <c r="V227" s="3318"/>
      <c r="W227" s="3318"/>
      <c r="X227" s="3318"/>
      <c r="Y227" s="3318"/>
      <c r="Z227" s="3318"/>
      <c r="AA227" s="3318"/>
      <c r="AB227" s="3318"/>
      <c r="AC227" s="3318"/>
    </row>
    <row r="228" spans="1:30" s="593" customFormat="1" ht="13.5" customHeight="1">
      <c r="A228" s="2312"/>
      <c r="B228" s="2296"/>
      <c r="C228" s="2296"/>
      <c r="D228" s="2277" t="s">
        <v>2430</v>
      </c>
      <c r="E228" s="2296"/>
      <c r="F228" s="3361"/>
      <c r="G228" s="155"/>
      <c r="H228" s="2286"/>
      <c r="I228" s="2342"/>
      <c r="J228" s="3320"/>
      <c r="K228" s="2233"/>
      <c r="L228" s="2233"/>
      <c r="M228" s="2233"/>
      <c r="N228" s="2233"/>
      <c r="O228" s="2233"/>
      <c r="P228" s="2233"/>
      <c r="Q228" s="3318"/>
      <c r="R228" s="3318"/>
      <c r="S228" s="3318"/>
      <c r="T228" s="3318"/>
      <c r="U228" s="3322"/>
      <c r="V228" s="3318"/>
      <c r="W228" s="3318"/>
      <c r="X228" s="3318"/>
      <c r="Y228" s="3318"/>
      <c r="Z228" s="3318"/>
      <c r="AA228" s="3318"/>
      <c r="AB228" s="3318"/>
      <c r="AC228" s="3318"/>
    </row>
    <row r="229" spans="1:30" s="593" customFormat="1" ht="27" customHeight="1">
      <c r="A229" s="2222">
        <v>60</v>
      </c>
      <c r="B229" s="2224">
        <v>721</v>
      </c>
      <c r="C229" s="2224" t="s">
        <v>2531</v>
      </c>
      <c r="D229" s="2224" t="s">
        <v>2532</v>
      </c>
      <c r="E229" s="2224" t="s">
        <v>141</v>
      </c>
      <c r="F229" s="2305">
        <f>SUM(F233:F233)</f>
        <v>273.60000000000002</v>
      </c>
      <c r="G229" s="2226">
        <f>SUM(H231:H232)/F229</f>
        <v>0</v>
      </c>
      <c r="H229" s="2226">
        <f>F229*G229</f>
        <v>0</v>
      </c>
      <c r="I229" s="2297" t="s">
        <v>112</v>
      </c>
      <c r="V229" s="2206"/>
      <c r="W229" s="2206"/>
      <c r="X229" s="2206"/>
      <c r="Y229" s="2206"/>
      <c r="Z229" s="2206"/>
      <c r="AA229" s="2206"/>
      <c r="AB229" s="2206"/>
      <c r="AC229" s="2206"/>
    </row>
    <row r="230" spans="1:30" s="593" customFormat="1" ht="27" customHeight="1">
      <c r="A230" s="2312"/>
      <c r="B230" s="2296"/>
      <c r="C230" s="2296"/>
      <c r="D230" s="2277" t="s">
        <v>2533</v>
      </c>
      <c r="E230" s="2296"/>
      <c r="F230" s="2300"/>
      <c r="G230" s="155"/>
      <c r="H230" s="2286"/>
      <c r="I230" s="2309"/>
      <c r="J230" s="3336"/>
      <c r="K230" s="2233"/>
      <c r="L230" s="2233"/>
      <c r="M230" s="2233"/>
      <c r="N230" s="2233"/>
      <c r="O230" s="2233"/>
      <c r="P230" s="2233"/>
      <c r="Q230" s="3318"/>
      <c r="R230" s="3318"/>
      <c r="S230" s="3318"/>
      <c r="T230" s="3318"/>
      <c r="U230" s="3337"/>
      <c r="V230" s="3318"/>
      <c r="W230" s="3318"/>
      <c r="X230" s="3318"/>
      <c r="Y230" s="3318"/>
      <c r="Z230" s="3318"/>
      <c r="AA230" s="3318"/>
      <c r="AB230" s="3318"/>
      <c r="AC230" s="3318"/>
    </row>
    <row r="231" spans="1:30" s="2206" customFormat="1" ht="13.5" customHeight="1">
      <c r="A231" s="3362"/>
      <c r="B231" s="2244"/>
      <c r="C231" s="2347" t="s">
        <v>2531</v>
      </c>
      <c r="D231" s="2277" t="s">
        <v>2534</v>
      </c>
      <c r="E231" s="2347" t="s">
        <v>141</v>
      </c>
      <c r="F231" s="2624">
        <f>(F233)*1.1</f>
        <v>300.96000000000004</v>
      </c>
      <c r="G231" s="211"/>
      <c r="H231" s="2624">
        <f t="shared" ref="H231:H232" si="3">F231*G231</f>
        <v>0</v>
      </c>
      <c r="I231" s="2532" t="s">
        <v>112</v>
      </c>
      <c r="J231" s="3336"/>
      <c r="K231" s="2233"/>
      <c r="L231" s="593"/>
      <c r="M231" s="593"/>
      <c r="N231" s="593"/>
      <c r="O231" s="593"/>
      <c r="P231" s="593"/>
      <c r="Q231" s="593"/>
      <c r="R231" s="593"/>
      <c r="S231" s="593"/>
      <c r="T231" s="593"/>
      <c r="U231" s="3337"/>
      <c r="W231" s="3363"/>
      <c r="X231" s="3364"/>
      <c r="Y231" s="3365"/>
      <c r="Z231" s="2233"/>
      <c r="AA231" s="2233"/>
      <c r="AB231" s="2233"/>
      <c r="AC231" s="2233"/>
      <c r="AD231" s="2233"/>
    </row>
    <row r="232" spans="1:30" s="2206" customFormat="1" ht="27" customHeight="1">
      <c r="A232" s="3362"/>
      <c r="B232" s="2244"/>
      <c r="C232" s="2347">
        <v>722181221</v>
      </c>
      <c r="D232" s="2277" t="s">
        <v>2535</v>
      </c>
      <c r="E232" s="2347" t="s">
        <v>141</v>
      </c>
      <c r="F232" s="2624">
        <f>(F233)*1.1</f>
        <v>300.96000000000004</v>
      </c>
      <c r="G232" s="211"/>
      <c r="H232" s="2624">
        <f t="shared" si="3"/>
        <v>0</v>
      </c>
      <c r="I232" s="2532" t="s">
        <v>137</v>
      </c>
      <c r="J232" s="3336"/>
      <c r="K232" s="2233"/>
      <c r="L232" s="2233"/>
      <c r="M232" s="2233"/>
      <c r="N232" s="2233"/>
      <c r="O232" s="2233"/>
      <c r="P232" s="2233"/>
      <c r="Q232" s="3318"/>
      <c r="R232" s="3318"/>
      <c r="S232" s="3318"/>
      <c r="T232" s="3318"/>
      <c r="U232" s="3322"/>
      <c r="W232" s="3363"/>
      <c r="X232" s="3364"/>
      <c r="Y232" s="3365"/>
      <c r="Z232" s="2233"/>
      <c r="AA232" s="2233"/>
      <c r="AB232" s="2233"/>
      <c r="AC232" s="2233"/>
      <c r="AD232" s="2233"/>
    </row>
    <row r="233" spans="1:30" s="593" customFormat="1" ht="13.5" customHeight="1">
      <c r="A233" s="2312"/>
      <c r="B233" s="2296"/>
      <c r="C233" s="2296"/>
      <c r="D233" s="2277" t="s">
        <v>2536</v>
      </c>
      <c r="E233" s="2296"/>
      <c r="F233" s="2300">
        <f>(273.6)</f>
        <v>273.60000000000002</v>
      </c>
      <c r="G233" s="155"/>
      <c r="H233" s="2286"/>
      <c r="I233" s="2297"/>
      <c r="T233" s="3318"/>
      <c r="U233" s="3337"/>
      <c r="V233" s="3318"/>
      <c r="W233" s="3318"/>
      <c r="X233" s="3318"/>
      <c r="Y233" s="3318"/>
      <c r="Z233" s="3318"/>
      <c r="AA233" s="3318"/>
      <c r="AB233" s="3318"/>
      <c r="AC233" s="3318"/>
    </row>
    <row r="234" spans="1:30" s="593" customFormat="1" ht="13.5" customHeight="1">
      <c r="A234" s="2312"/>
      <c r="B234" s="2296"/>
      <c r="C234" s="2296"/>
      <c r="D234" s="2277" t="s">
        <v>2430</v>
      </c>
      <c r="E234" s="2296"/>
      <c r="F234" s="3361"/>
      <c r="G234" s="155"/>
      <c r="H234" s="2286"/>
      <c r="I234" s="3315"/>
      <c r="J234" s="3336"/>
      <c r="K234" s="2233"/>
      <c r="L234" s="2233"/>
      <c r="M234" s="2233"/>
      <c r="N234" s="2233"/>
      <c r="O234" s="2233"/>
      <c r="P234" s="2233"/>
      <c r="Q234" s="3318"/>
      <c r="R234" s="3318"/>
      <c r="S234" s="3318"/>
      <c r="T234" s="3318"/>
      <c r="U234" s="3337"/>
      <c r="V234" s="3318"/>
      <c r="W234" s="3318"/>
      <c r="X234" s="3318"/>
      <c r="Y234" s="3318"/>
      <c r="Z234" s="3318"/>
      <c r="AA234" s="3318"/>
      <c r="AB234" s="3318"/>
      <c r="AC234" s="3318"/>
    </row>
    <row r="235" spans="1:30" s="593" customFormat="1" ht="27" customHeight="1">
      <c r="A235" s="2222">
        <v>61</v>
      </c>
      <c r="B235" s="2224">
        <v>721</v>
      </c>
      <c r="C235" s="2224" t="s">
        <v>2537</v>
      </c>
      <c r="D235" s="2224" t="s">
        <v>2538</v>
      </c>
      <c r="E235" s="2224" t="s">
        <v>141</v>
      </c>
      <c r="F235" s="2305">
        <f>SUM(F240:F240)</f>
        <v>277.8</v>
      </c>
      <c r="G235" s="2226">
        <f>SUM(H237:H239)/F235</f>
        <v>0</v>
      </c>
      <c r="H235" s="2226">
        <f>F235*G235</f>
        <v>0</v>
      </c>
      <c r="I235" s="2297" t="s">
        <v>112</v>
      </c>
      <c r="J235" s="3336"/>
      <c r="K235" s="2233"/>
      <c r="L235" s="2233"/>
      <c r="M235" s="2233"/>
      <c r="N235" s="2233"/>
      <c r="O235" s="2233"/>
      <c r="P235" s="2233"/>
      <c r="Q235" s="3318"/>
      <c r="R235" s="3318"/>
      <c r="S235" s="3318"/>
      <c r="T235" s="3318"/>
      <c r="U235" s="3337"/>
      <c r="V235" s="2206"/>
      <c r="W235" s="2206"/>
      <c r="X235" s="2206"/>
      <c r="Y235" s="2206"/>
      <c r="Z235" s="2206"/>
      <c r="AA235" s="2206"/>
      <c r="AB235" s="2206"/>
      <c r="AC235" s="2206"/>
    </row>
    <row r="236" spans="1:30" s="593" customFormat="1" ht="27" customHeight="1">
      <c r="A236" s="2312"/>
      <c r="B236" s="2296"/>
      <c r="C236" s="2296"/>
      <c r="D236" s="2277" t="s">
        <v>2539</v>
      </c>
      <c r="E236" s="2296"/>
      <c r="F236" s="2300"/>
      <c r="G236" s="155"/>
      <c r="H236" s="2286"/>
      <c r="I236" s="2309"/>
      <c r="J236" s="3336"/>
      <c r="K236" s="2233"/>
      <c r="L236" s="2233"/>
      <c r="M236" s="2233"/>
      <c r="N236" s="2233"/>
      <c r="O236" s="2233"/>
      <c r="P236" s="2233"/>
      <c r="Q236" s="3318"/>
      <c r="R236" s="3318"/>
      <c r="S236" s="3318"/>
      <c r="T236" s="3318"/>
      <c r="U236" s="3337"/>
      <c r="V236" s="3318"/>
      <c r="W236" s="3318"/>
      <c r="X236" s="3318"/>
      <c r="Y236" s="3318"/>
      <c r="Z236" s="3318"/>
      <c r="AA236" s="3318"/>
      <c r="AB236" s="3318"/>
      <c r="AC236" s="3318"/>
    </row>
    <row r="237" spans="1:30" s="2206" customFormat="1" ht="13.5" customHeight="1">
      <c r="A237" s="3362"/>
      <c r="B237" s="2244"/>
      <c r="C237" s="2347" t="s">
        <v>2531</v>
      </c>
      <c r="D237" s="2277" t="s">
        <v>2540</v>
      </c>
      <c r="E237" s="2347" t="s">
        <v>141</v>
      </c>
      <c r="F237" s="2624">
        <f>(F240)*1.1</f>
        <v>305.58000000000004</v>
      </c>
      <c r="G237" s="211"/>
      <c r="H237" s="2624">
        <f t="shared" ref="H237:H239" si="4">F237*G237</f>
        <v>0</v>
      </c>
      <c r="I237" s="2532" t="s">
        <v>112</v>
      </c>
      <c r="J237" s="3336"/>
      <c r="K237" s="2233"/>
      <c r="L237" s="593"/>
      <c r="M237" s="593"/>
      <c r="N237" s="593"/>
      <c r="O237" s="593"/>
      <c r="P237" s="593"/>
      <c r="Q237" s="593"/>
      <c r="R237" s="593"/>
      <c r="S237" s="593"/>
      <c r="T237" s="593"/>
      <c r="U237" s="3337"/>
      <c r="W237" s="3363"/>
      <c r="X237" s="3364"/>
      <c r="Y237" s="3365"/>
      <c r="Z237" s="2233"/>
      <c r="AA237" s="2233"/>
      <c r="AB237" s="2233"/>
      <c r="AC237" s="2233"/>
      <c r="AD237" s="2233"/>
    </row>
    <row r="238" spans="1:30" s="2206" customFormat="1" ht="27" customHeight="1">
      <c r="A238" s="3362"/>
      <c r="B238" s="2244"/>
      <c r="C238" s="2347">
        <v>713463211</v>
      </c>
      <c r="D238" s="2277" t="s">
        <v>2541</v>
      </c>
      <c r="E238" s="2347" t="s">
        <v>141</v>
      </c>
      <c r="F238" s="2624">
        <f>F235</f>
        <v>277.8</v>
      </c>
      <c r="G238" s="211"/>
      <c r="H238" s="2624">
        <f t="shared" si="4"/>
        <v>0</v>
      </c>
      <c r="I238" s="2532" t="s">
        <v>137</v>
      </c>
      <c r="J238" s="3336"/>
      <c r="K238" s="2233"/>
      <c r="L238" s="2233"/>
      <c r="M238" s="2233"/>
      <c r="N238" s="2233"/>
      <c r="O238" s="2233"/>
      <c r="P238" s="2233"/>
      <c r="Q238" s="3318"/>
      <c r="R238" s="3318"/>
      <c r="S238" s="3318"/>
      <c r="T238" s="3318"/>
      <c r="U238" s="3337"/>
      <c r="W238" s="3363"/>
      <c r="X238" s="3364"/>
      <c r="Y238" s="3365"/>
      <c r="Z238" s="2233"/>
      <c r="AA238" s="2233"/>
      <c r="AB238" s="2233"/>
      <c r="AC238" s="2233"/>
      <c r="AD238" s="2233"/>
    </row>
    <row r="239" spans="1:30" s="2206" customFormat="1" ht="13.5" customHeight="1">
      <c r="A239" s="3366"/>
      <c r="B239" s="3367"/>
      <c r="C239" s="3368" t="s">
        <v>2542</v>
      </c>
      <c r="D239" s="3369" t="s">
        <v>2543</v>
      </c>
      <c r="E239" s="3368" t="s">
        <v>141</v>
      </c>
      <c r="F239" s="3370">
        <f>(F240)*1.1</f>
        <v>305.58000000000004</v>
      </c>
      <c r="G239" s="212"/>
      <c r="H239" s="3370">
        <f t="shared" si="4"/>
        <v>0</v>
      </c>
      <c r="I239" s="2538" t="s">
        <v>112</v>
      </c>
      <c r="J239" s="3336"/>
      <c r="K239" s="2233"/>
      <c r="L239" s="2233"/>
      <c r="M239" s="2233"/>
      <c r="N239" s="2233"/>
      <c r="O239" s="2233"/>
      <c r="P239" s="2233"/>
      <c r="Q239" s="3318"/>
      <c r="R239" s="3318"/>
      <c r="S239" s="3318"/>
      <c r="T239" s="3318"/>
      <c r="U239" s="3337"/>
      <c r="W239" s="3363"/>
      <c r="X239" s="3364"/>
      <c r="Y239" s="3365"/>
      <c r="Z239" s="2233"/>
      <c r="AA239" s="2233"/>
      <c r="AB239" s="2233"/>
      <c r="AC239" s="2233"/>
      <c r="AD239" s="2233"/>
    </row>
    <row r="240" spans="1:30" s="593" customFormat="1" ht="13.5" customHeight="1">
      <c r="A240" s="2312"/>
      <c r="B240" s="2296"/>
      <c r="C240" s="2296"/>
      <c r="D240" s="2277" t="s">
        <v>2544</v>
      </c>
      <c r="E240" s="2296"/>
      <c r="F240" s="2300">
        <v>277.8</v>
      </c>
      <c r="G240" s="155"/>
      <c r="H240" s="2286"/>
      <c r="I240" s="2297"/>
      <c r="J240" s="3371"/>
      <c r="O240" s="2249"/>
      <c r="T240" s="3318"/>
      <c r="U240" s="3337"/>
      <c r="V240" s="3318"/>
      <c r="W240" s="3318"/>
      <c r="X240" s="3318"/>
      <c r="Y240" s="3318"/>
      <c r="Z240" s="3318"/>
      <c r="AA240" s="3318"/>
      <c r="AB240" s="3318"/>
      <c r="AC240" s="3318"/>
    </row>
    <row r="241" spans="1:30" s="593" customFormat="1" ht="13.5" customHeight="1">
      <c r="A241" s="2312"/>
      <c r="B241" s="2296"/>
      <c r="C241" s="2296"/>
      <c r="D241" s="2277" t="s">
        <v>2430</v>
      </c>
      <c r="E241" s="2296"/>
      <c r="F241" s="3361"/>
      <c r="G241" s="155"/>
      <c r="H241" s="2286"/>
      <c r="I241" s="3315"/>
      <c r="J241" s="3336"/>
      <c r="K241" s="2233"/>
      <c r="L241" s="2233"/>
      <c r="M241" s="2233"/>
      <c r="N241" s="2233"/>
      <c r="O241" s="2233"/>
      <c r="P241" s="2233"/>
      <c r="Q241" s="3318"/>
      <c r="R241" s="3318"/>
      <c r="S241" s="3318"/>
      <c r="T241" s="3318"/>
      <c r="U241" s="3337"/>
      <c r="V241" s="3318"/>
      <c r="W241" s="3318"/>
      <c r="X241" s="3318"/>
      <c r="Y241" s="3318"/>
      <c r="Z241" s="3318"/>
      <c r="AA241" s="3318"/>
      <c r="AB241" s="3318"/>
      <c r="AC241" s="3318"/>
    </row>
    <row r="242" spans="1:30" s="593" customFormat="1" ht="27" customHeight="1">
      <c r="A242" s="2222">
        <v>62</v>
      </c>
      <c r="B242" s="2224">
        <v>721</v>
      </c>
      <c r="C242" s="2224" t="s">
        <v>2545</v>
      </c>
      <c r="D242" s="2224" t="s">
        <v>2546</v>
      </c>
      <c r="E242" s="2224" t="s">
        <v>141</v>
      </c>
      <c r="F242" s="2305">
        <f>SUM(F246:F246)</f>
        <v>86.9</v>
      </c>
      <c r="G242" s="2226">
        <f>SUM(H244:H245)/F242</f>
        <v>0</v>
      </c>
      <c r="H242" s="2226">
        <f>F242*G242</f>
        <v>0</v>
      </c>
      <c r="I242" s="2297" t="s">
        <v>112</v>
      </c>
      <c r="J242" s="3336"/>
      <c r="K242" s="2233"/>
      <c r="L242" s="2233"/>
      <c r="M242" s="2233"/>
      <c r="N242" s="2233"/>
      <c r="O242" s="2233"/>
      <c r="P242" s="2233"/>
      <c r="Q242" s="3318"/>
      <c r="R242" s="3318"/>
      <c r="S242" s="3318"/>
      <c r="T242" s="3318"/>
      <c r="U242" s="3337"/>
      <c r="V242" s="2206"/>
      <c r="W242" s="2206"/>
      <c r="X242" s="2206"/>
      <c r="Y242" s="2206"/>
      <c r="Z242" s="2206"/>
      <c r="AA242" s="2206"/>
      <c r="AB242" s="2206"/>
      <c r="AC242" s="2206"/>
    </row>
    <row r="243" spans="1:30" s="593" customFormat="1" ht="27" customHeight="1">
      <c r="A243" s="2312"/>
      <c r="B243" s="2296"/>
      <c r="C243" s="2296"/>
      <c r="D243" s="2277" t="s">
        <v>2533</v>
      </c>
      <c r="E243" s="2296"/>
      <c r="F243" s="2300"/>
      <c r="G243" s="155"/>
      <c r="H243" s="2286"/>
      <c r="I243" s="2309"/>
      <c r="J243" s="3336"/>
      <c r="K243" s="2233"/>
      <c r="L243" s="2233"/>
      <c r="M243" s="2233"/>
      <c r="N243" s="2233"/>
      <c r="O243" s="2233"/>
      <c r="P243" s="2233"/>
      <c r="Q243" s="3318"/>
      <c r="R243" s="3318"/>
      <c r="S243" s="3318"/>
      <c r="T243" s="3318"/>
      <c r="U243" s="3322"/>
      <c r="V243" s="3318"/>
      <c r="W243" s="3318"/>
      <c r="X243" s="3318"/>
      <c r="Y243" s="3318"/>
      <c r="Z243" s="3318"/>
      <c r="AA243" s="3318"/>
      <c r="AB243" s="3318"/>
      <c r="AC243" s="3318"/>
    </row>
    <row r="244" spans="1:30" s="2206" customFormat="1" ht="13.5" customHeight="1">
      <c r="A244" s="3362"/>
      <c r="B244" s="2244"/>
      <c r="C244" s="2347" t="s">
        <v>2545</v>
      </c>
      <c r="D244" s="2277" t="s">
        <v>2547</v>
      </c>
      <c r="E244" s="2347" t="s">
        <v>141</v>
      </c>
      <c r="F244" s="2624">
        <f>(F246)*1.1</f>
        <v>95.590000000000018</v>
      </c>
      <c r="G244" s="211"/>
      <c r="H244" s="2624">
        <f t="shared" ref="H244:H245" si="5">F244*G244</f>
        <v>0</v>
      </c>
      <c r="I244" s="2532" t="s">
        <v>112</v>
      </c>
      <c r="J244" s="3336"/>
      <c r="K244" s="2233"/>
      <c r="L244" s="593"/>
      <c r="M244" s="593"/>
      <c r="N244" s="593"/>
      <c r="O244" s="593"/>
      <c r="P244" s="593"/>
      <c r="Q244" s="593"/>
      <c r="R244" s="593"/>
      <c r="S244" s="593"/>
      <c r="T244" s="593"/>
      <c r="U244" s="3337"/>
      <c r="W244" s="3363"/>
      <c r="X244" s="3364"/>
      <c r="Y244" s="3365"/>
      <c r="Z244" s="2233"/>
      <c r="AA244" s="2233"/>
      <c r="AB244" s="2233"/>
      <c r="AC244" s="2233"/>
      <c r="AD244" s="2233"/>
    </row>
    <row r="245" spans="1:30" s="2206" customFormat="1" ht="27" customHeight="1">
      <c r="A245" s="3362"/>
      <c r="B245" s="2244"/>
      <c r="C245" s="2347">
        <v>722181221</v>
      </c>
      <c r="D245" s="2277" t="s">
        <v>2548</v>
      </c>
      <c r="E245" s="2347" t="s">
        <v>141</v>
      </c>
      <c r="F245" s="2624">
        <f>(F246)*1.1</f>
        <v>95.590000000000018</v>
      </c>
      <c r="G245" s="211"/>
      <c r="H245" s="2624">
        <f t="shared" si="5"/>
        <v>0</v>
      </c>
      <c r="I245" s="2532" t="s">
        <v>137</v>
      </c>
      <c r="J245" s="3336"/>
      <c r="K245" s="2233"/>
      <c r="L245" s="2233"/>
      <c r="M245" s="2233"/>
      <c r="N245" s="2233"/>
      <c r="O245" s="2233"/>
      <c r="P245" s="2233"/>
      <c r="Q245" s="3318"/>
      <c r="R245" s="3318"/>
      <c r="S245" s="3318"/>
      <c r="T245" s="3318"/>
      <c r="U245" s="3322"/>
      <c r="W245" s="3363"/>
      <c r="X245" s="3364"/>
      <c r="Y245" s="3365"/>
      <c r="Z245" s="2233"/>
      <c r="AA245" s="2233"/>
      <c r="AB245" s="2233"/>
      <c r="AC245" s="2233"/>
      <c r="AD245" s="2233"/>
    </row>
    <row r="246" spans="1:30" s="593" customFormat="1" ht="13.5" customHeight="1">
      <c r="A246" s="2312"/>
      <c r="B246" s="2296"/>
      <c r="C246" s="2296"/>
      <c r="D246" s="2277" t="s">
        <v>2549</v>
      </c>
      <c r="E246" s="2296"/>
      <c r="F246" s="2300">
        <v>86.9</v>
      </c>
      <c r="G246" s="155"/>
      <c r="H246" s="2286"/>
      <c r="I246" s="2297"/>
      <c r="J246" s="3336"/>
      <c r="K246" s="2233"/>
      <c r="L246" s="2233"/>
      <c r="M246" s="2233"/>
      <c r="N246" s="2233"/>
      <c r="O246" s="2233"/>
      <c r="P246" s="2233"/>
      <c r="Q246" s="3318"/>
      <c r="R246" s="3318"/>
      <c r="S246" s="3318"/>
      <c r="T246" s="3318"/>
      <c r="U246" s="3337"/>
      <c r="V246" s="3318"/>
      <c r="W246" s="3318"/>
      <c r="X246" s="3318"/>
      <c r="Y246" s="3318"/>
      <c r="Z246" s="3318"/>
      <c r="AA246" s="3318"/>
      <c r="AB246" s="3318"/>
      <c r="AC246" s="3318"/>
    </row>
    <row r="247" spans="1:30" s="593" customFormat="1" ht="13.5" customHeight="1">
      <c r="A247" s="2312"/>
      <c r="B247" s="2296"/>
      <c r="C247" s="2296"/>
      <c r="D247" s="2277" t="s">
        <v>2430</v>
      </c>
      <c r="E247" s="2296"/>
      <c r="F247" s="3361"/>
      <c r="G247" s="155"/>
      <c r="H247" s="2286"/>
      <c r="I247" s="3315"/>
      <c r="J247" s="3336"/>
      <c r="K247" s="2233"/>
      <c r="L247" s="2233"/>
      <c r="M247" s="2233"/>
      <c r="N247" s="2233"/>
      <c r="O247" s="2233"/>
      <c r="P247" s="2233"/>
      <c r="Q247" s="3318"/>
      <c r="R247" s="3318"/>
      <c r="S247" s="3318"/>
      <c r="T247" s="3318"/>
      <c r="U247" s="3337"/>
      <c r="V247" s="3318"/>
      <c r="W247" s="3318"/>
      <c r="X247" s="3318"/>
      <c r="Y247" s="3318"/>
      <c r="Z247" s="3318"/>
      <c r="AA247" s="3318"/>
      <c r="AB247" s="3318"/>
      <c r="AC247" s="3318"/>
    </row>
    <row r="248" spans="1:30" s="593" customFormat="1" ht="27" customHeight="1">
      <c r="A248" s="2222">
        <v>63</v>
      </c>
      <c r="B248" s="2224">
        <v>721</v>
      </c>
      <c r="C248" s="2224" t="s">
        <v>2550</v>
      </c>
      <c r="D248" s="2224" t="s">
        <v>2551</v>
      </c>
      <c r="E248" s="2224" t="s">
        <v>141</v>
      </c>
      <c r="F248" s="2305">
        <f>SUM(F253:F253)</f>
        <v>90.1</v>
      </c>
      <c r="G248" s="2226">
        <f>SUM(H250:H252)/F248</f>
        <v>0</v>
      </c>
      <c r="H248" s="2226">
        <f>F248*G248</f>
        <v>0</v>
      </c>
      <c r="I248" s="2297" t="s">
        <v>112</v>
      </c>
      <c r="J248" s="3336"/>
      <c r="K248" s="2233"/>
      <c r="L248" s="2233"/>
      <c r="M248" s="2233"/>
      <c r="N248" s="2233"/>
      <c r="O248" s="2233"/>
      <c r="P248" s="2233"/>
      <c r="Q248" s="3318"/>
      <c r="R248" s="3318"/>
      <c r="S248" s="3318"/>
      <c r="T248" s="3318"/>
      <c r="U248" s="3337"/>
      <c r="V248" s="3318"/>
      <c r="W248" s="2206"/>
      <c r="X248" s="2206"/>
      <c r="Y248" s="2206"/>
      <c r="Z248" s="2206"/>
      <c r="AA248" s="2206"/>
      <c r="AB248" s="2206"/>
      <c r="AC248" s="2206"/>
    </row>
    <row r="249" spans="1:30" s="593" customFormat="1" ht="27" customHeight="1">
      <c r="A249" s="2312"/>
      <c r="B249" s="2296"/>
      <c r="C249" s="2296"/>
      <c r="D249" s="2277" t="s">
        <v>2539</v>
      </c>
      <c r="E249" s="2296"/>
      <c r="F249" s="2300"/>
      <c r="G249" s="155"/>
      <c r="H249" s="2286"/>
      <c r="I249" s="2309"/>
      <c r="J249" s="3336"/>
      <c r="K249" s="2233"/>
      <c r="L249" s="2233"/>
      <c r="M249" s="2233"/>
      <c r="N249" s="2233"/>
      <c r="O249" s="2233"/>
      <c r="P249" s="2233"/>
      <c r="Q249" s="3318"/>
      <c r="R249" s="3318"/>
      <c r="S249" s="3318"/>
      <c r="T249" s="3318"/>
      <c r="U249" s="3337"/>
      <c r="V249" s="3318"/>
      <c r="W249" s="3318"/>
      <c r="X249" s="3318"/>
      <c r="Y249" s="3318"/>
      <c r="Z249" s="3318"/>
      <c r="AA249" s="3318"/>
      <c r="AB249" s="3318"/>
      <c r="AC249" s="3318"/>
    </row>
    <row r="250" spans="1:30" s="2206" customFormat="1" ht="13.5" customHeight="1">
      <c r="A250" s="3362"/>
      <c r="B250" s="2244"/>
      <c r="C250" s="2347" t="s">
        <v>2545</v>
      </c>
      <c r="D250" s="2277" t="s">
        <v>2552</v>
      </c>
      <c r="E250" s="2347" t="s">
        <v>141</v>
      </c>
      <c r="F250" s="2624">
        <f>(F253)*1.1</f>
        <v>99.11</v>
      </c>
      <c r="G250" s="211"/>
      <c r="H250" s="2624">
        <f t="shared" ref="H250:H252" si="6">F250*G250</f>
        <v>0</v>
      </c>
      <c r="I250" s="2532" t="s">
        <v>112</v>
      </c>
      <c r="J250" s="3336"/>
      <c r="K250" s="2233"/>
      <c r="L250" s="593"/>
      <c r="M250" s="593"/>
      <c r="N250" s="593"/>
      <c r="O250" s="593"/>
      <c r="P250" s="593"/>
      <c r="Q250" s="593"/>
      <c r="R250" s="593"/>
      <c r="S250" s="593"/>
      <c r="T250" s="593"/>
      <c r="U250" s="3337"/>
      <c r="W250" s="3363"/>
      <c r="X250" s="3364"/>
      <c r="Y250" s="3365"/>
      <c r="Z250" s="2233"/>
      <c r="AA250" s="2233"/>
      <c r="AB250" s="2233"/>
      <c r="AC250" s="2233"/>
      <c r="AD250" s="2233"/>
    </row>
    <row r="251" spans="1:30" s="2206" customFormat="1" ht="27" customHeight="1">
      <c r="A251" s="3362"/>
      <c r="B251" s="2244"/>
      <c r="C251" s="2347">
        <v>713463211</v>
      </c>
      <c r="D251" s="2277" t="s">
        <v>2541</v>
      </c>
      <c r="E251" s="2347" t="s">
        <v>141</v>
      </c>
      <c r="F251" s="2624">
        <f>F248</f>
        <v>90.1</v>
      </c>
      <c r="G251" s="211"/>
      <c r="H251" s="2624">
        <f t="shared" si="6"/>
        <v>0</v>
      </c>
      <c r="I251" s="2532" t="s">
        <v>137</v>
      </c>
      <c r="J251" s="3336"/>
      <c r="K251" s="2233"/>
      <c r="L251" s="2233"/>
      <c r="M251" s="2233"/>
      <c r="N251" s="2233"/>
      <c r="O251" s="2233"/>
      <c r="P251" s="2233"/>
      <c r="Q251" s="3318"/>
      <c r="R251" s="3318"/>
      <c r="S251" s="3318"/>
      <c r="T251" s="3318"/>
      <c r="U251" s="3337"/>
      <c r="W251" s="3363"/>
      <c r="X251" s="3364"/>
      <c r="Y251" s="3365"/>
      <c r="Z251" s="2233"/>
      <c r="AA251" s="2233"/>
      <c r="AB251" s="2233"/>
      <c r="AC251" s="2233"/>
      <c r="AD251" s="2233"/>
    </row>
    <row r="252" spans="1:30" s="2206" customFormat="1" ht="13.5" customHeight="1">
      <c r="A252" s="3366"/>
      <c r="B252" s="3367"/>
      <c r="C252" s="3368" t="s">
        <v>2553</v>
      </c>
      <c r="D252" s="3369" t="s">
        <v>2554</v>
      </c>
      <c r="E252" s="3368" t="s">
        <v>141</v>
      </c>
      <c r="F252" s="3370">
        <f>(F253)*1.1</f>
        <v>99.11</v>
      </c>
      <c r="G252" s="212"/>
      <c r="H252" s="3370">
        <f t="shared" si="6"/>
        <v>0</v>
      </c>
      <c r="I252" s="2538" t="s">
        <v>112</v>
      </c>
      <c r="J252" s="3336"/>
      <c r="K252" s="2233"/>
      <c r="L252" s="2233"/>
      <c r="M252" s="2233"/>
      <c r="N252" s="2233"/>
      <c r="O252" s="2233"/>
      <c r="P252" s="2233"/>
      <c r="Q252" s="3318"/>
      <c r="R252" s="3318"/>
      <c r="S252" s="3318"/>
      <c r="T252" s="3318"/>
      <c r="U252" s="3337"/>
      <c r="W252" s="3363"/>
      <c r="X252" s="3364"/>
      <c r="Y252" s="3365"/>
      <c r="Z252" s="2233"/>
      <c r="AA252" s="2233"/>
      <c r="AB252" s="2233"/>
      <c r="AC252" s="2233"/>
      <c r="AD252" s="2233"/>
    </row>
    <row r="253" spans="1:30" s="593" customFormat="1" ht="13.5" customHeight="1">
      <c r="A253" s="2312"/>
      <c r="B253" s="2296"/>
      <c r="C253" s="2296"/>
      <c r="D253" s="2277" t="s">
        <v>2555</v>
      </c>
      <c r="E253" s="2296"/>
      <c r="F253" s="2300">
        <v>90.1</v>
      </c>
      <c r="G253" s="155"/>
      <c r="H253" s="2286"/>
      <c r="I253" s="2297"/>
      <c r="J253" s="3371"/>
      <c r="O253" s="2249"/>
      <c r="T253" s="3318"/>
      <c r="U253" s="3337"/>
      <c r="V253" s="3318"/>
      <c r="W253" s="3318"/>
      <c r="X253" s="3318"/>
      <c r="Y253" s="3318"/>
      <c r="Z253" s="3318"/>
      <c r="AA253" s="3318"/>
      <c r="AB253" s="3318"/>
      <c r="AC253" s="3318"/>
    </row>
    <row r="254" spans="1:30" s="593" customFormat="1" ht="13.5" customHeight="1">
      <c r="A254" s="2312"/>
      <c r="B254" s="2296"/>
      <c r="C254" s="2296"/>
      <c r="D254" s="2277" t="s">
        <v>2430</v>
      </c>
      <c r="E254" s="2296"/>
      <c r="F254" s="3361"/>
      <c r="G254" s="155"/>
      <c r="H254" s="2286"/>
      <c r="I254" s="3315"/>
      <c r="V254" s="3318"/>
      <c r="W254" s="3318"/>
      <c r="X254" s="3318"/>
      <c r="Y254" s="3318"/>
      <c r="Z254" s="3318"/>
      <c r="AA254" s="3318"/>
      <c r="AB254" s="3318"/>
      <c r="AC254" s="3318"/>
    </row>
    <row r="255" spans="1:30" s="593" customFormat="1" ht="27" customHeight="1">
      <c r="A255" s="2222">
        <v>64</v>
      </c>
      <c r="B255" s="2224">
        <v>721</v>
      </c>
      <c r="C255" s="2224" t="s">
        <v>2556</v>
      </c>
      <c r="D255" s="2224" t="s">
        <v>2557</v>
      </c>
      <c r="E255" s="2224" t="s">
        <v>141</v>
      </c>
      <c r="F255" s="2305">
        <f>SUM(F259:F259)</f>
        <v>79.8</v>
      </c>
      <c r="G255" s="2226">
        <f>SUM(H257:H258)/F255</f>
        <v>0</v>
      </c>
      <c r="H255" s="2226">
        <f>F255*G255</f>
        <v>0</v>
      </c>
      <c r="I255" s="2297" t="s">
        <v>112</v>
      </c>
      <c r="J255" s="3336"/>
      <c r="K255" s="2233"/>
      <c r="L255" s="2233"/>
      <c r="M255" s="2233"/>
      <c r="N255" s="2233"/>
      <c r="O255" s="2233"/>
      <c r="P255" s="2233"/>
      <c r="Q255" s="3318"/>
      <c r="R255" s="3318"/>
      <c r="S255" s="3318"/>
      <c r="T255" s="3318"/>
      <c r="U255" s="3337"/>
      <c r="V255" s="2206"/>
      <c r="W255" s="2206"/>
      <c r="X255" s="2206"/>
      <c r="Y255" s="2206"/>
      <c r="Z255" s="2206"/>
      <c r="AA255" s="2206"/>
      <c r="AB255" s="2206"/>
      <c r="AC255" s="2206"/>
    </row>
    <row r="256" spans="1:30" s="593" customFormat="1" ht="27" customHeight="1">
      <c r="A256" s="2312"/>
      <c r="B256" s="2296"/>
      <c r="C256" s="2296"/>
      <c r="D256" s="2277" t="s">
        <v>2533</v>
      </c>
      <c r="E256" s="2296"/>
      <c r="F256" s="2300"/>
      <c r="G256" s="155"/>
      <c r="H256" s="2286"/>
      <c r="I256" s="2309"/>
      <c r="J256" s="3336"/>
      <c r="K256" s="2233"/>
      <c r="L256" s="2233"/>
      <c r="M256" s="2233"/>
      <c r="N256" s="2233"/>
      <c r="O256" s="2233"/>
      <c r="P256" s="2233"/>
      <c r="Q256" s="3318"/>
      <c r="R256" s="3318"/>
      <c r="S256" s="3318"/>
      <c r="T256" s="3318"/>
      <c r="U256" s="3337"/>
      <c r="V256" s="3318"/>
      <c r="W256" s="3318"/>
      <c r="X256" s="3318"/>
      <c r="Y256" s="3318"/>
      <c r="Z256" s="3318"/>
      <c r="AA256" s="3318"/>
      <c r="AB256" s="3318"/>
      <c r="AC256" s="3318"/>
    </row>
    <row r="257" spans="1:30" s="2206" customFormat="1" ht="13.5" customHeight="1">
      <c r="A257" s="3362"/>
      <c r="B257" s="2244"/>
      <c r="C257" s="2347" t="s">
        <v>2556</v>
      </c>
      <c r="D257" s="2277" t="s">
        <v>2558</v>
      </c>
      <c r="E257" s="2347" t="s">
        <v>141</v>
      </c>
      <c r="F257" s="2624">
        <f>(F259)*1.1</f>
        <v>87.78</v>
      </c>
      <c r="G257" s="211"/>
      <c r="H257" s="2624">
        <f t="shared" ref="H257:H258" si="7">F257*G257</f>
        <v>0</v>
      </c>
      <c r="I257" s="2532" t="s">
        <v>112</v>
      </c>
      <c r="J257" s="3336"/>
      <c r="K257" s="2233"/>
      <c r="L257" s="593"/>
      <c r="M257" s="593"/>
      <c r="N257" s="593"/>
      <c r="O257" s="593"/>
      <c r="P257" s="593"/>
      <c r="Q257" s="593"/>
      <c r="R257" s="593"/>
      <c r="S257" s="593"/>
      <c r="T257" s="593"/>
      <c r="U257" s="3337"/>
      <c r="W257" s="3363"/>
      <c r="X257" s="3364"/>
      <c r="Y257" s="3365"/>
      <c r="Z257" s="2233"/>
      <c r="AA257" s="2233"/>
      <c r="AB257" s="2233"/>
      <c r="AC257" s="2233"/>
      <c r="AD257" s="2233"/>
    </row>
    <row r="258" spans="1:30" s="2206" customFormat="1" ht="27" customHeight="1">
      <c r="A258" s="3362"/>
      <c r="B258" s="2244"/>
      <c r="C258" s="2347">
        <v>722181222</v>
      </c>
      <c r="D258" s="2277" t="s">
        <v>2559</v>
      </c>
      <c r="E258" s="2347" t="s">
        <v>141</v>
      </c>
      <c r="F258" s="2624">
        <f>(F259)*1.1</f>
        <v>87.78</v>
      </c>
      <c r="G258" s="211"/>
      <c r="H258" s="2624">
        <f t="shared" si="7"/>
        <v>0</v>
      </c>
      <c r="I258" s="2532" t="s">
        <v>137</v>
      </c>
      <c r="J258" s="3336"/>
      <c r="K258" s="2233"/>
      <c r="L258" s="2233"/>
      <c r="M258" s="2233"/>
      <c r="N258" s="2233"/>
      <c r="O258" s="2233"/>
      <c r="P258" s="2233"/>
      <c r="Q258" s="3318"/>
      <c r="R258" s="3318"/>
      <c r="S258" s="3318"/>
      <c r="T258" s="3318"/>
      <c r="U258" s="3337"/>
      <c r="W258" s="3363"/>
      <c r="X258" s="3364"/>
      <c r="Y258" s="3365"/>
      <c r="Z258" s="2233"/>
      <c r="AA258" s="2233"/>
      <c r="AB258" s="2233"/>
      <c r="AC258" s="2233"/>
      <c r="AD258" s="2233"/>
    </row>
    <row r="259" spans="1:30" s="593" customFormat="1" ht="13.5" customHeight="1">
      <c r="A259" s="2312"/>
      <c r="B259" s="2296"/>
      <c r="C259" s="2296"/>
      <c r="D259" s="2277" t="s">
        <v>2560</v>
      </c>
      <c r="E259" s="2296"/>
      <c r="F259" s="2300">
        <v>79.8</v>
      </c>
      <c r="G259" s="155"/>
      <c r="H259" s="2286"/>
      <c r="I259" s="2297"/>
      <c r="V259" s="3318"/>
      <c r="W259" s="3318"/>
      <c r="X259" s="3318"/>
      <c r="Y259" s="3318"/>
      <c r="Z259" s="3318"/>
      <c r="AA259" s="3318"/>
      <c r="AB259" s="3318"/>
      <c r="AC259" s="3318"/>
    </row>
    <row r="260" spans="1:30" s="593" customFormat="1" ht="13.5" customHeight="1">
      <c r="A260" s="2312"/>
      <c r="B260" s="2296"/>
      <c r="C260" s="2296"/>
      <c r="D260" s="2277" t="s">
        <v>2430</v>
      </c>
      <c r="E260" s="2296"/>
      <c r="F260" s="3361"/>
      <c r="G260" s="155"/>
      <c r="H260" s="2286"/>
      <c r="I260" s="3315"/>
      <c r="V260" s="3318"/>
      <c r="W260" s="3318"/>
      <c r="X260" s="3318"/>
      <c r="Y260" s="3318"/>
      <c r="Z260" s="3318"/>
      <c r="AA260" s="3318"/>
      <c r="AB260" s="3318"/>
      <c r="AC260" s="3318"/>
    </row>
    <row r="261" spans="1:30" s="593" customFormat="1" ht="27" customHeight="1">
      <c r="A261" s="2222">
        <v>65</v>
      </c>
      <c r="B261" s="2224">
        <v>721</v>
      </c>
      <c r="C261" s="2224" t="s">
        <v>2561</v>
      </c>
      <c r="D261" s="2224" t="s">
        <v>2562</v>
      </c>
      <c r="E261" s="2224" t="s">
        <v>141</v>
      </c>
      <c r="F261" s="2305">
        <f>SUM(F266:F266)</f>
        <v>38.5</v>
      </c>
      <c r="G261" s="2226">
        <f>SUM(H263:H265)/F261</f>
        <v>0</v>
      </c>
      <c r="H261" s="2226">
        <f>F261*G261</f>
        <v>0</v>
      </c>
      <c r="I261" s="2297" t="s">
        <v>112</v>
      </c>
      <c r="J261" s="3336"/>
      <c r="K261" s="2233"/>
      <c r="L261" s="2233"/>
      <c r="M261" s="2233"/>
      <c r="N261" s="2233"/>
      <c r="O261" s="2233"/>
      <c r="P261" s="2233"/>
      <c r="Q261" s="3318"/>
      <c r="R261" s="3318"/>
      <c r="S261" s="3318"/>
      <c r="T261" s="3318"/>
      <c r="U261" s="3337"/>
      <c r="V261" s="2206"/>
      <c r="W261" s="2206"/>
      <c r="X261" s="2206"/>
      <c r="Y261" s="2206"/>
      <c r="Z261" s="2206"/>
      <c r="AA261" s="2206"/>
      <c r="AB261" s="2206"/>
      <c r="AC261" s="2206"/>
    </row>
    <row r="262" spans="1:30" s="593" customFormat="1" ht="27" customHeight="1">
      <c r="A262" s="2312"/>
      <c r="B262" s="2296"/>
      <c r="C262" s="2296"/>
      <c r="D262" s="2277" t="s">
        <v>2563</v>
      </c>
      <c r="E262" s="2296"/>
      <c r="F262" s="2300"/>
      <c r="G262" s="155"/>
      <c r="H262" s="2286"/>
      <c r="I262" s="2309"/>
      <c r="J262" s="3336"/>
      <c r="K262" s="2233"/>
      <c r="L262" s="2233"/>
      <c r="M262" s="2233"/>
      <c r="N262" s="2233"/>
      <c r="O262" s="2233"/>
      <c r="P262" s="2233"/>
      <c r="Q262" s="3318"/>
      <c r="R262" s="3318"/>
      <c r="S262" s="3318"/>
      <c r="T262" s="3318"/>
      <c r="U262" s="3337"/>
      <c r="V262" s="3318"/>
      <c r="W262" s="3318"/>
      <c r="X262" s="3318"/>
      <c r="Y262" s="3318"/>
      <c r="Z262" s="3318"/>
      <c r="AA262" s="3318"/>
      <c r="AB262" s="3318"/>
      <c r="AC262" s="3318"/>
    </row>
    <row r="263" spans="1:30" s="2206" customFormat="1" ht="13.5" customHeight="1">
      <c r="A263" s="3362"/>
      <c r="B263" s="2244"/>
      <c r="C263" s="2347" t="s">
        <v>2556</v>
      </c>
      <c r="D263" s="2277" t="s">
        <v>2564</v>
      </c>
      <c r="E263" s="2347" t="s">
        <v>141</v>
      </c>
      <c r="F263" s="2624">
        <f>(F266)*1.1</f>
        <v>42.35</v>
      </c>
      <c r="G263" s="211"/>
      <c r="H263" s="2624">
        <f t="shared" ref="H263:H265" si="8">F263*G263</f>
        <v>0</v>
      </c>
      <c r="I263" s="2532" t="s">
        <v>112</v>
      </c>
      <c r="J263" s="3336"/>
      <c r="K263" s="2233"/>
      <c r="L263" s="593"/>
      <c r="M263" s="593"/>
      <c r="N263" s="593"/>
      <c r="O263" s="593"/>
      <c r="P263" s="593"/>
      <c r="Q263" s="593"/>
      <c r="R263" s="593"/>
      <c r="S263" s="593"/>
      <c r="T263" s="593"/>
      <c r="U263" s="3337"/>
      <c r="W263" s="3363"/>
      <c r="X263" s="3364"/>
      <c r="Y263" s="3365"/>
      <c r="Z263" s="2233"/>
      <c r="AA263" s="2233"/>
      <c r="AB263" s="2233"/>
      <c r="AC263" s="2233"/>
      <c r="AD263" s="2233"/>
    </row>
    <row r="264" spans="1:30" s="2206" customFormat="1" ht="27" customHeight="1">
      <c r="A264" s="3362"/>
      <c r="B264" s="2244"/>
      <c r="C264" s="2347">
        <v>713463211</v>
      </c>
      <c r="D264" s="2277" t="s">
        <v>2541</v>
      </c>
      <c r="E264" s="2347" t="s">
        <v>141</v>
      </c>
      <c r="F264" s="2624">
        <f>F261</f>
        <v>38.5</v>
      </c>
      <c r="G264" s="211"/>
      <c r="H264" s="2624">
        <f t="shared" si="8"/>
        <v>0</v>
      </c>
      <c r="I264" s="2532" t="s">
        <v>137</v>
      </c>
      <c r="J264" s="3336"/>
      <c r="K264" s="2233"/>
      <c r="L264" s="2233"/>
      <c r="M264" s="2233"/>
      <c r="N264" s="2233"/>
      <c r="O264" s="2233"/>
      <c r="P264" s="2233"/>
      <c r="Q264" s="3318"/>
      <c r="R264" s="3318"/>
      <c r="S264" s="3318"/>
      <c r="T264" s="3318"/>
      <c r="U264" s="3337"/>
      <c r="W264" s="3363"/>
      <c r="X264" s="3364"/>
      <c r="Y264" s="3365"/>
      <c r="Z264" s="2233"/>
      <c r="AA264" s="2233"/>
      <c r="AB264" s="2233"/>
      <c r="AC264" s="2233"/>
      <c r="AD264" s="2233"/>
    </row>
    <row r="265" spans="1:30" s="2206" customFormat="1" ht="13.5" customHeight="1">
      <c r="A265" s="3366"/>
      <c r="B265" s="3367"/>
      <c r="C265" s="3368" t="s">
        <v>2565</v>
      </c>
      <c r="D265" s="3369" t="s">
        <v>2566</v>
      </c>
      <c r="E265" s="3368" t="s">
        <v>141</v>
      </c>
      <c r="F265" s="3370">
        <f>(F266)*1.1</f>
        <v>42.35</v>
      </c>
      <c r="G265" s="212"/>
      <c r="H265" s="3370">
        <f t="shared" si="8"/>
        <v>0</v>
      </c>
      <c r="I265" s="2538" t="s">
        <v>112</v>
      </c>
      <c r="J265" s="3336"/>
      <c r="K265" s="2233"/>
      <c r="L265" s="2233"/>
      <c r="M265" s="2233"/>
      <c r="N265" s="2233"/>
      <c r="O265" s="2233"/>
      <c r="P265" s="2233"/>
      <c r="Q265" s="3318"/>
      <c r="R265" s="3318"/>
      <c r="S265" s="3318"/>
      <c r="T265" s="3318"/>
      <c r="U265" s="3337"/>
      <c r="W265" s="3363"/>
      <c r="X265" s="3364"/>
      <c r="Y265" s="3365"/>
      <c r="Z265" s="2233"/>
      <c r="AA265" s="2233"/>
      <c r="AB265" s="2233"/>
      <c r="AC265" s="2233"/>
      <c r="AD265" s="2233"/>
    </row>
    <row r="266" spans="1:30" s="593" customFormat="1" ht="13.5" customHeight="1">
      <c r="A266" s="2312"/>
      <c r="B266" s="2296"/>
      <c r="C266" s="2296"/>
      <c r="D266" s="2277" t="s">
        <v>2567</v>
      </c>
      <c r="E266" s="2296"/>
      <c r="F266" s="2300">
        <v>38.5</v>
      </c>
      <c r="G266" s="155"/>
      <c r="H266" s="2286"/>
      <c r="I266" s="2297"/>
      <c r="J266" s="2232"/>
      <c r="K266" s="3318"/>
      <c r="L266" s="3318"/>
      <c r="M266" s="3318"/>
      <c r="N266" s="3318"/>
      <c r="O266" s="2288"/>
      <c r="P266" s="3318"/>
      <c r="Q266" s="3318"/>
      <c r="R266" s="3318"/>
      <c r="S266" s="3318"/>
      <c r="T266" s="3318"/>
      <c r="U266" s="3318"/>
      <c r="V266" s="3318"/>
      <c r="W266" s="3318"/>
      <c r="X266" s="3318"/>
      <c r="Y266" s="3318"/>
      <c r="Z266" s="3318"/>
      <c r="AA266" s="3318"/>
      <c r="AB266" s="3318"/>
      <c r="AC266" s="3318"/>
    </row>
    <row r="267" spans="1:30" s="593" customFormat="1" ht="13.5" customHeight="1">
      <c r="A267" s="2312"/>
      <c r="B267" s="2296"/>
      <c r="C267" s="2296"/>
      <c r="D267" s="2277" t="s">
        <v>2430</v>
      </c>
      <c r="E267" s="2296"/>
      <c r="F267" s="3361"/>
      <c r="G267" s="155"/>
      <c r="H267" s="2286"/>
      <c r="I267" s="3315"/>
      <c r="J267" s="3339"/>
      <c r="V267" s="3318"/>
      <c r="W267" s="3318"/>
      <c r="X267" s="3318"/>
      <c r="Y267" s="3318"/>
      <c r="Z267" s="3318"/>
      <c r="AA267" s="3318"/>
      <c r="AB267" s="3318"/>
      <c r="AC267" s="3318"/>
    </row>
    <row r="268" spans="1:30" s="593" customFormat="1" ht="27" customHeight="1">
      <c r="A268" s="2222">
        <v>66</v>
      </c>
      <c r="B268" s="2224">
        <v>721</v>
      </c>
      <c r="C268" s="2224" t="s">
        <v>2568</v>
      </c>
      <c r="D268" s="2224" t="s">
        <v>2569</v>
      </c>
      <c r="E268" s="2224" t="s">
        <v>141</v>
      </c>
      <c r="F268" s="2305">
        <f>SUM(F272:F272)</f>
        <v>74.900000000000006</v>
      </c>
      <c r="G268" s="2226">
        <f>SUM(H270:H271)/F268</f>
        <v>0</v>
      </c>
      <c r="H268" s="2226">
        <f>F268*G268</f>
        <v>0</v>
      </c>
      <c r="I268" s="2297" t="s">
        <v>112</v>
      </c>
      <c r="J268" s="3336"/>
      <c r="K268" s="2233"/>
      <c r="L268" s="2233"/>
      <c r="M268" s="2233"/>
      <c r="N268" s="2233"/>
      <c r="O268" s="2233"/>
      <c r="P268" s="2233"/>
      <c r="Q268" s="3318"/>
      <c r="R268" s="3318"/>
      <c r="S268" s="3318"/>
      <c r="T268" s="3318"/>
      <c r="U268" s="3337"/>
      <c r="V268" s="2206"/>
      <c r="W268" s="2206"/>
      <c r="X268" s="2206"/>
      <c r="Y268" s="2206"/>
      <c r="Z268" s="2206"/>
      <c r="AA268" s="2206"/>
      <c r="AB268" s="2206"/>
      <c r="AC268" s="2206"/>
    </row>
    <row r="269" spans="1:30" s="593" customFormat="1" ht="27" customHeight="1">
      <c r="A269" s="2312"/>
      <c r="B269" s="2296"/>
      <c r="C269" s="2296"/>
      <c r="D269" s="2277" t="s">
        <v>2533</v>
      </c>
      <c r="E269" s="2296"/>
      <c r="F269" s="2300"/>
      <c r="G269" s="155"/>
      <c r="H269" s="2286"/>
      <c r="I269" s="2309"/>
      <c r="J269" s="3336"/>
      <c r="K269" s="2233"/>
      <c r="L269" s="2233"/>
      <c r="M269" s="2233"/>
      <c r="N269" s="2233"/>
      <c r="O269" s="2233"/>
      <c r="P269" s="2233"/>
      <c r="Q269" s="3318"/>
      <c r="R269" s="3318"/>
      <c r="S269" s="3318"/>
      <c r="T269" s="3318"/>
      <c r="U269" s="3337"/>
      <c r="V269" s="3318"/>
      <c r="W269" s="3318"/>
      <c r="X269" s="3318"/>
      <c r="Y269" s="3318"/>
      <c r="Z269" s="3318"/>
      <c r="AA269" s="3318"/>
      <c r="AB269" s="3318"/>
      <c r="AC269" s="3318"/>
    </row>
    <row r="270" spans="1:30" s="2206" customFormat="1" ht="13.5" customHeight="1">
      <c r="A270" s="3362"/>
      <c r="B270" s="2244"/>
      <c r="C270" s="2347" t="s">
        <v>2568</v>
      </c>
      <c r="D270" s="2277" t="s">
        <v>2570</v>
      </c>
      <c r="E270" s="2347" t="s">
        <v>141</v>
      </c>
      <c r="F270" s="2624">
        <f>(F272)*1.1</f>
        <v>82.390000000000015</v>
      </c>
      <c r="G270" s="211"/>
      <c r="H270" s="2624">
        <f t="shared" ref="H270:H271" si="9">F270*G270</f>
        <v>0</v>
      </c>
      <c r="I270" s="2532" t="s">
        <v>112</v>
      </c>
      <c r="J270" s="3336"/>
      <c r="K270" s="2233"/>
      <c r="L270" s="593"/>
      <c r="M270" s="593"/>
      <c r="N270" s="593"/>
      <c r="O270" s="593"/>
      <c r="P270" s="593"/>
      <c r="Q270" s="593"/>
      <c r="R270" s="593"/>
      <c r="S270" s="593"/>
      <c r="T270" s="593"/>
      <c r="U270" s="3337"/>
      <c r="W270" s="3363"/>
      <c r="X270" s="3364"/>
      <c r="Y270" s="3365"/>
      <c r="Z270" s="2233"/>
      <c r="AA270" s="2233"/>
      <c r="AB270" s="2233"/>
      <c r="AC270" s="2233"/>
      <c r="AD270" s="2233"/>
    </row>
    <row r="271" spans="1:30" s="2206" customFormat="1" ht="27" customHeight="1">
      <c r="A271" s="3362"/>
      <c r="B271" s="2244"/>
      <c r="C271" s="2347">
        <v>722181222</v>
      </c>
      <c r="D271" s="2277" t="s">
        <v>2571</v>
      </c>
      <c r="E271" s="2347" t="s">
        <v>141</v>
      </c>
      <c r="F271" s="2624">
        <f>(F272)*1.1</f>
        <v>82.390000000000015</v>
      </c>
      <c r="G271" s="211"/>
      <c r="H271" s="2624">
        <f t="shared" si="9"/>
        <v>0</v>
      </c>
      <c r="I271" s="2532" t="s">
        <v>137</v>
      </c>
      <c r="J271" s="3336"/>
      <c r="K271" s="2233"/>
      <c r="L271" s="2233"/>
      <c r="M271" s="2233"/>
      <c r="N271" s="2233"/>
      <c r="O271" s="2233"/>
      <c r="P271" s="2233"/>
      <c r="Q271" s="3318"/>
      <c r="R271" s="3318"/>
      <c r="S271" s="3318"/>
      <c r="T271" s="3318"/>
      <c r="U271" s="3337"/>
      <c r="W271" s="3363"/>
      <c r="X271" s="3364"/>
      <c r="Y271" s="3365"/>
      <c r="Z271" s="2233"/>
      <c r="AA271" s="2233"/>
      <c r="AB271" s="2233"/>
      <c r="AC271" s="2233"/>
      <c r="AD271" s="2233"/>
    </row>
    <row r="272" spans="1:30" s="593" customFormat="1" ht="13.5" customHeight="1">
      <c r="A272" s="2312"/>
      <c r="B272" s="2296"/>
      <c r="C272" s="2296"/>
      <c r="D272" s="2277" t="s">
        <v>2572</v>
      </c>
      <c r="E272" s="2296"/>
      <c r="F272" s="2300">
        <v>74.900000000000006</v>
      </c>
      <c r="G272" s="155"/>
      <c r="H272" s="2286"/>
      <c r="I272" s="2297"/>
      <c r="V272" s="3318"/>
      <c r="W272" s="3318"/>
      <c r="X272" s="3318"/>
      <c r="Y272" s="3318"/>
      <c r="Z272" s="3318"/>
      <c r="AA272" s="3318"/>
      <c r="AB272" s="3318"/>
      <c r="AC272" s="3318"/>
    </row>
    <row r="273" spans="1:30" s="593" customFormat="1" ht="13.5" customHeight="1">
      <c r="A273" s="2312"/>
      <c r="B273" s="2296"/>
      <c r="C273" s="2296"/>
      <c r="D273" s="2277" t="s">
        <v>2430</v>
      </c>
      <c r="E273" s="2296"/>
      <c r="F273" s="3361"/>
      <c r="G273" s="155"/>
      <c r="H273" s="2286"/>
      <c r="I273" s="3315"/>
      <c r="V273" s="3318"/>
      <c r="W273" s="3318"/>
      <c r="X273" s="3318"/>
      <c r="Y273" s="3318"/>
      <c r="Z273" s="3318"/>
      <c r="AA273" s="3318"/>
      <c r="AB273" s="3318"/>
      <c r="AC273" s="3318"/>
    </row>
    <row r="274" spans="1:30" s="593" customFormat="1" ht="27" customHeight="1">
      <c r="A274" s="2222">
        <v>67</v>
      </c>
      <c r="B274" s="2224">
        <v>721</v>
      </c>
      <c r="C274" s="2224" t="s">
        <v>2573</v>
      </c>
      <c r="D274" s="2224" t="s">
        <v>2574</v>
      </c>
      <c r="E274" s="2224" t="s">
        <v>141</v>
      </c>
      <c r="F274" s="2305">
        <f>SUM(F279:F279)</f>
        <v>29.9</v>
      </c>
      <c r="G274" s="2226">
        <f>SUM(H276:H278)/F274</f>
        <v>0</v>
      </c>
      <c r="H274" s="2226">
        <f>F274*G274</f>
        <v>0</v>
      </c>
      <c r="I274" s="2297" t="s">
        <v>112</v>
      </c>
      <c r="J274" s="3336"/>
      <c r="K274" s="2233"/>
      <c r="L274" s="2233"/>
      <c r="M274" s="2233"/>
      <c r="N274" s="2233"/>
      <c r="O274" s="2233"/>
      <c r="P274" s="2233"/>
      <c r="Q274" s="3318"/>
      <c r="R274" s="3318"/>
      <c r="S274" s="3318"/>
      <c r="T274" s="3318"/>
      <c r="U274" s="3337"/>
      <c r="V274" s="2206"/>
      <c r="W274" s="2206"/>
      <c r="X274" s="2206"/>
      <c r="Y274" s="2206"/>
      <c r="Z274" s="2206"/>
      <c r="AA274" s="2206"/>
      <c r="AB274" s="2206"/>
      <c r="AC274" s="2206"/>
    </row>
    <row r="275" spans="1:30" s="593" customFormat="1" ht="27" customHeight="1">
      <c r="A275" s="2312"/>
      <c r="B275" s="2296"/>
      <c r="C275" s="2296"/>
      <c r="D275" s="2277" t="s">
        <v>2563</v>
      </c>
      <c r="E275" s="2296"/>
      <c r="F275" s="2300"/>
      <c r="G275" s="155"/>
      <c r="H275" s="2286"/>
      <c r="I275" s="2309"/>
      <c r="J275" s="3320"/>
      <c r="K275" s="2233"/>
      <c r="L275" s="2233"/>
      <c r="M275" s="2233"/>
      <c r="N275" s="2233"/>
      <c r="O275" s="2233"/>
      <c r="P275" s="2233"/>
      <c r="Q275" s="3318"/>
      <c r="R275" s="3318"/>
      <c r="S275" s="3318"/>
      <c r="T275" s="3318"/>
      <c r="U275" s="3322"/>
      <c r="V275" s="3318"/>
      <c r="W275" s="3318"/>
      <c r="X275" s="3318"/>
      <c r="Y275" s="3318"/>
      <c r="Z275" s="3318"/>
      <c r="AA275" s="3318"/>
      <c r="AB275" s="3318"/>
      <c r="AC275" s="3318"/>
    </row>
    <row r="276" spans="1:30" s="2206" customFormat="1" ht="13.5" customHeight="1">
      <c r="A276" s="3362"/>
      <c r="B276" s="2244"/>
      <c r="C276" s="2347" t="s">
        <v>2568</v>
      </c>
      <c r="D276" s="2277" t="s">
        <v>2575</v>
      </c>
      <c r="E276" s="2347" t="s">
        <v>141</v>
      </c>
      <c r="F276" s="2624">
        <f>(F279)*1.1</f>
        <v>32.89</v>
      </c>
      <c r="G276" s="211"/>
      <c r="H276" s="2624">
        <f t="shared" ref="H276:H278" si="10">F276*G276</f>
        <v>0</v>
      </c>
      <c r="I276" s="2532" t="s">
        <v>112</v>
      </c>
      <c r="J276" s="3336"/>
      <c r="K276" s="2233"/>
      <c r="L276" s="593"/>
      <c r="M276" s="593"/>
      <c r="N276" s="593"/>
      <c r="O276" s="593"/>
      <c r="P276" s="593"/>
      <c r="Q276" s="593"/>
      <c r="R276" s="593"/>
      <c r="S276" s="593"/>
      <c r="T276" s="593"/>
      <c r="U276" s="3337"/>
      <c r="W276" s="3363"/>
      <c r="X276" s="3364"/>
      <c r="Y276" s="3365"/>
      <c r="Z276" s="2233"/>
      <c r="AA276" s="2233"/>
      <c r="AB276" s="2233"/>
      <c r="AC276" s="2233"/>
      <c r="AD276" s="2233"/>
    </row>
    <row r="277" spans="1:30" s="2206" customFormat="1" ht="27" customHeight="1">
      <c r="A277" s="3362"/>
      <c r="B277" s="2244"/>
      <c r="C277" s="2347">
        <v>713463211</v>
      </c>
      <c r="D277" s="2277" t="s">
        <v>2541</v>
      </c>
      <c r="E277" s="2347" t="s">
        <v>141</v>
      </c>
      <c r="F277" s="2624">
        <f>F274</f>
        <v>29.9</v>
      </c>
      <c r="G277" s="211"/>
      <c r="H277" s="2624">
        <f t="shared" si="10"/>
        <v>0</v>
      </c>
      <c r="I277" s="2532" t="s">
        <v>137</v>
      </c>
      <c r="J277" s="3336"/>
      <c r="K277" s="2233"/>
      <c r="L277" s="2233"/>
      <c r="M277" s="2233"/>
      <c r="N277" s="2233"/>
      <c r="O277" s="2233"/>
      <c r="P277" s="2233"/>
      <c r="Q277" s="3318"/>
      <c r="R277" s="3318"/>
      <c r="S277" s="3318"/>
      <c r="T277" s="3318"/>
      <c r="U277" s="3337"/>
      <c r="W277" s="3363"/>
      <c r="X277" s="3364"/>
      <c r="Y277" s="3365"/>
      <c r="Z277" s="2233"/>
      <c r="AA277" s="2233"/>
      <c r="AB277" s="2233"/>
      <c r="AC277" s="2233"/>
      <c r="AD277" s="2233"/>
    </row>
    <row r="278" spans="1:30" s="2206" customFormat="1" ht="13.5" customHeight="1">
      <c r="A278" s="3366"/>
      <c r="B278" s="3367"/>
      <c r="C278" s="3368" t="s">
        <v>2576</v>
      </c>
      <c r="D278" s="3369" t="s">
        <v>2577</v>
      </c>
      <c r="E278" s="3368" t="s">
        <v>141</v>
      </c>
      <c r="F278" s="3370">
        <f>(F279)*1.1</f>
        <v>32.89</v>
      </c>
      <c r="G278" s="212"/>
      <c r="H278" s="3370">
        <f t="shared" si="10"/>
        <v>0</v>
      </c>
      <c r="I278" s="2538" t="s">
        <v>112</v>
      </c>
      <c r="J278" s="3336"/>
      <c r="K278" s="2233"/>
      <c r="L278" s="2233"/>
      <c r="M278" s="2233"/>
      <c r="N278" s="2233"/>
      <c r="O278" s="2233"/>
      <c r="P278" s="2233"/>
      <c r="Q278" s="3318"/>
      <c r="R278" s="3318"/>
      <c r="S278" s="3318"/>
      <c r="T278" s="3318"/>
      <c r="U278" s="3337"/>
      <c r="W278" s="3363"/>
      <c r="X278" s="3364"/>
      <c r="Y278" s="3365"/>
      <c r="Z278" s="2233"/>
      <c r="AA278" s="2233"/>
      <c r="AB278" s="2233"/>
      <c r="AC278" s="2233"/>
      <c r="AD278" s="2233"/>
    </row>
    <row r="279" spans="1:30" s="593" customFormat="1" ht="13.5" customHeight="1">
      <c r="A279" s="2312"/>
      <c r="B279" s="2296"/>
      <c r="C279" s="2296"/>
      <c r="D279" s="2277" t="s">
        <v>2578</v>
      </c>
      <c r="E279" s="2296"/>
      <c r="F279" s="2300">
        <v>29.9</v>
      </c>
      <c r="G279" s="155"/>
      <c r="H279" s="2286"/>
      <c r="I279" s="2297"/>
      <c r="J279" s="2291"/>
      <c r="K279" s="2233"/>
      <c r="L279" s="2233"/>
      <c r="M279" s="2233"/>
      <c r="N279" s="2233"/>
      <c r="P279" s="2233"/>
      <c r="Q279" s="3318"/>
      <c r="R279" s="3318"/>
      <c r="S279" s="3318"/>
      <c r="T279" s="3318"/>
      <c r="U279" s="2308"/>
      <c r="V279" s="3318"/>
      <c r="W279" s="3318"/>
      <c r="X279" s="3318"/>
      <c r="Y279" s="3318"/>
      <c r="Z279" s="3318"/>
      <c r="AA279" s="3318"/>
      <c r="AB279" s="3318"/>
      <c r="AC279" s="3318"/>
    </row>
    <row r="280" spans="1:30" s="593" customFormat="1" ht="13.5" customHeight="1">
      <c r="A280" s="2312"/>
      <c r="B280" s="2296"/>
      <c r="C280" s="2296"/>
      <c r="D280" s="2277" t="s">
        <v>2430</v>
      </c>
      <c r="E280" s="2296"/>
      <c r="F280" s="3361"/>
      <c r="G280" s="155"/>
      <c r="H280" s="2286"/>
      <c r="I280" s="2309"/>
      <c r="V280" s="3318"/>
      <c r="W280" s="3318"/>
      <c r="X280" s="3318"/>
      <c r="Y280" s="3318"/>
      <c r="Z280" s="3318"/>
      <c r="AA280" s="3318"/>
      <c r="AB280" s="3318"/>
      <c r="AC280" s="3318"/>
    </row>
    <row r="281" spans="1:30" s="593" customFormat="1" ht="13.5" customHeight="1">
      <c r="A281" s="2222">
        <v>68</v>
      </c>
      <c r="B281" s="2224">
        <v>721</v>
      </c>
      <c r="C281" s="2224">
        <v>722290226</v>
      </c>
      <c r="D281" s="2224" t="s">
        <v>2579</v>
      </c>
      <c r="E281" s="2224" t="s">
        <v>141</v>
      </c>
      <c r="F281" s="2305">
        <f>SUM(F284:F295)</f>
        <v>1963.2000000000003</v>
      </c>
      <c r="G281" s="124"/>
      <c r="H281" s="2226">
        <f>F281*G281</f>
        <v>0</v>
      </c>
      <c r="I281" s="2297" t="s">
        <v>137</v>
      </c>
      <c r="J281" s="3346"/>
      <c r="K281" s="3318"/>
      <c r="L281" s="3318"/>
      <c r="M281" s="3318"/>
      <c r="N281" s="3318"/>
      <c r="O281" s="3318"/>
      <c r="P281" s="3318"/>
      <c r="Q281" s="3318"/>
      <c r="R281" s="3318"/>
      <c r="S281" s="3318"/>
      <c r="T281" s="3318"/>
      <c r="U281" s="3318"/>
      <c r="V281" s="3318"/>
      <c r="W281" s="3318"/>
      <c r="X281" s="3318"/>
      <c r="Y281" s="3318"/>
      <c r="Z281" s="3318"/>
      <c r="AA281" s="3318"/>
      <c r="AB281" s="3318"/>
      <c r="AC281" s="3318"/>
    </row>
    <row r="282" spans="1:30" s="593" customFormat="1" ht="13.5" customHeight="1">
      <c r="A282" s="2222"/>
      <c r="B282" s="2224"/>
      <c r="C282" s="2224"/>
      <c r="D282" s="2277" t="s">
        <v>2580</v>
      </c>
      <c r="E282" s="2224"/>
      <c r="F282" s="3372"/>
      <c r="G282" s="124"/>
      <c r="H282" s="2226"/>
      <c r="I282" s="2297"/>
      <c r="J282" s="3318"/>
      <c r="K282" s="3318"/>
      <c r="L282" s="3318"/>
      <c r="M282" s="3318"/>
      <c r="N282" s="3318"/>
      <c r="O282" s="3318"/>
      <c r="P282" s="3318"/>
      <c r="Q282" s="3318"/>
      <c r="R282" s="3318"/>
      <c r="S282" s="3318"/>
      <c r="T282" s="3318"/>
      <c r="U282" s="3318"/>
      <c r="V282" s="3318"/>
      <c r="W282" s="3318"/>
      <c r="X282" s="3318"/>
      <c r="Y282" s="3318"/>
      <c r="Z282" s="3318"/>
      <c r="AA282" s="3318"/>
      <c r="AB282" s="3318"/>
      <c r="AC282" s="3318"/>
    </row>
    <row r="283" spans="1:30" s="593" customFormat="1" ht="13.5" customHeight="1">
      <c r="A283" s="2222"/>
      <c r="B283" s="2224"/>
      <c r="C283" s="2224"/>
      <c r="D283" s="2277" t="s">
        <v>2581</v>
      </c>
      <c r="E283" s="2224"/>
      <c r="F283" s="2300"/>
      <c r="G283" s="124"/>
      <c r="H283" s="2226"/>
      <c r="I283" s="2297"/>
      <c r="J283" s="3318"/>
      <c r="K283" s="3318"/>
      <c r="L283" s="3318"/>
      <c r="M283" s="3318"/>
      <c r="N283" s="3318"/>
      <c r="O283" s="3318"/>
      <c r="P283" s="3318"/>
      <c r="Q283" s="3318"/>
      <c r="R283" s="3318"/>
      <c r="S283" s="3318"/>
      <c r="T283" s="3318"/>
      <c r="U283" s="3318"/>
      <c r="V283" s="3318"/>
      <c r="W283" s="3318"/>
      <c r="X283" s="3318"/>
      <c r="Y283" s="3318"/>
      <c r="Z283" s="3318"/>
      <c r="AA283" s="3318"/>
      <c r="AB283" s="3318"/>
      <c r="AC283" s="3318"/>
    </row>
    <row r="284" spans="1:30" s="593" customFormat="1" ht="13.5" customHeight="1">
      <c r="A284" s="2222"/>
      <c r="B284" s="2224"/>
      <c r="C284" s="2224"/>
      <c r="D284" s="2277" t="s">
        <v>2582</v>
      </c>
      <c r="E284" s="2224"/>
      <c r="F284" s="2300">
        <f>(20.3)*2</f>
        <v>40.6</v>
      </c>
      <c r="G284" s="124"/>
      <c r="H284" s="2226"/>
      <c r="I284" s="2297"/>
      <c r="J284" s="3373"/>
      <c r="K284" s="3374"/>
      <c r="L284" s="3318"/>
      <c r="M284" s="3318"/>
      <c r="N284" s="3318"/>
      <c r="O284" s="3318"/>
      <c r="P284" s="3318"/>
      <c r="Q284" s="3318"/>
      <c r="R284" s="3318"/>
      <c r="S284" s="3318"/>
      <c r="T284" s="3318"/>
      <c r="U284" s="3318"/>
      <c r="V284" s="3318"/>
      <c r="W284" s="3318"/>
      <c r="X284" s="3318"/>
      <c r="Y284" s="3318"/>
      <c r="Z284" s="3318"/>
      <c r="AA284" s="3318"/>
      <c r="AB284" s="3318"/>
      <c r="AC284" s="3318"/>
    </row>
    <row r="285" spans="1:30" s="593" customFormat="1" ht="13.5" customHeight="1">
      <c r="A285" s="2222"/>
      <c r="B285" s="2224"/>
      <c r="C285" s="2224"/>
      <c r="D285" s="2277" t="s">
        <v>2583</v>
      </c>
      <c r="E285" s="2224"/>
      <c r="F285" s="2300">
        <f>(9.8)*2</f>
        <v>19.600000000000001</v>
      </c>
      <c r="G285" s="124"/>
      <c r="H285" s="2226"/>
      <c r="I285" s="2297"/>
      <c r="J285" s="3318"/>
      <c r="K285" s="3318"/>
      <c r="L285" s="3318"/>
      <c r="M285" s="3318"/>
      <c r="N285" s="3318"/>
      <c r="O285" s="3318"/>
      <c r="P285" s="3318"/>
      <c r="Q285" s="3318"/>
      <c r="R285" s="3318"/>
      <c r="S285" s="3318"/>
      <c r="T285" s="3318"/>
      <c r="U285" s="3318"/>
      <c r="V285" s="3318"/>
      <c r="W285" s="3318"/>
      <c r="X285" s="3318"/>
      <c r="Y285" s="3318"/>
      <c r="Z285" s="3318"/>
      <c r="AA285" s="3318"/>
      <c r="AB285" s="3318"/>
      <c r="AC285" s="3318"/>
    </row>
    <row r="286" spans="1:30" s="593" customFormat="1" ht="13.5" customHeight="1">
      <c r="A286" s="2222"/>
      <c r="B286" s="2224"/>
      <c r="C286" s="2224"/>
      <c r="D286" s="2277" t="s">
        <v>2584</v>
      </c>
      <c r="E286" s="2224"/>
      <c r="F286" s="2300"/>
      <c r="G286" s="124"/>
      <c r="H286" s="2226"/>
      <c r="I286" s="2297"/>
      <c r="J286" s="3373"/>
      <c r="K286" s="3374"/>
      <c r="L286" s="3318"/>
      <c r="M286" s="3318"/>
      <c r="N286" s="3318"/>
      <c r="O286" s="3318"/>
      <c r="P286" s="3318"/>
      <c r="Q286" s="3318"/>
      <c r="R286" s="3318"/>
      <c r="S286" s="3318"/>
      <c r="T286" s="3318"/>
      <c r="U286" s="3318"/>
      <c r="V286" s="3318"/>
      <c r="W286" s="3318"/>
      <c r="X286" s="3318"/>
      <c r="Y286" s="3318"/>
      <c r="Z286" s="3318"/>
      <c r="AA286" s="3318"/>
      <c r="AB286" s="3318"/>
      <c r="AC286" s="3318"/>
    </row>
    <row r="287" spans="1:30" s="593" customFormat="1" ht="13.5" customHeight="1">
      <c r="A287" s="2222"/>
      <c r="B287" s="2224"/>
      <c r="C287" s="2224"/>
      <c r="D287" s="2347" t="s">
        <v>2585</v>
      </c>
      <c r="E287" s="2224"/>
      <c r="F287" s="2300">
        <f>(273.6)*2</f>
        <v>547.20000000000005</v>
      </c>
      <c r="G287" s="124"/>
      <c r="H287" s="2226"/>
      <c r="I287" s="2297"/>
      <c r="J287" s="3373"/>
      <c r="K287" s="3374"/>
      <c r="L287" s="3318"/>
      <c r="M287" s="3318"/>
      <c r="N287" s="3318"/>
      <c r="O287" s="3318"/>
      <c r="P287" s="3318"/>
      <c r="Q287" s="3318"/>
      <c r="R287" s="3318"/>
      <c r="S287" s="3318"/>
      <c r="T287" s="3318"/>
      <c r="U287" s="3318"/>
      <c r="V287" s="3318"/>
      <c r="W287" s="3318"/>
      <c r="X287" s="3318"/>
      <c r="Y287" s="3318"/>
      <c r="Z287" s="3318"/>
      <c r="AA287" s="3318"/>
      <c r="AB287" s="3318"/>
      <c r="AC287" s="3318"/>
    </row>
    <row r="288" spans="1:30" s="593" customFormat="1" ht="13.5" customHeight="1">
      <c r="A288" s="2222"/>
      <c r="B288" s="2224"/>
      <c r="C288" s="2224"/>
      <c r="D288" s="2347" t="s">
        <v>2586</v>
      </c>
      <c r="E288" s="2224"/>
      <c r="F288" s="2300">
        <f>(86.9)*2</f>
        <v>173.8</v>
      </c>
      <c r="G288" s="124"/>
      <c r="H288" s="2226"/>
      <c r="I288" s="2297"/>
      <c r="J288" s="3373"/>
      <c r="K288" s="3374"/>
      <c r="L288" s="3318"/>
      <c r="M288" s="3318"/>
      <c r="N288" s="3318"/>
      <c r="O288" s="3318"/>
      <c r="P288" s="3318"/>
      <c r="Q288" s="3318"/>
      <c r="R288" s="3318"/>
      <c r="S288" s="3318"/>
      <c r="T288" s="3318"/>
      <c r="U288" s="3318"/>
      <c r="V288" s="3318"/>
      <c r="W288" s="3318"/>
      <c r="X288" s="3318"/>
      <c r="Y288" s="3318"/>
      <c r="Z288" s="3318"/>
      <c r="AA288" s="3318"/>
      <c r="AB288" s="3318"/>
      <c r="AC288" s="3318"/>
    </row>
    <row r="289" spans="1:29" s="593" customFormat="1" ht="13.5" customHeight="1">
      <c r="A289" s="2222"/>
      <c r="B289" s="2224"/>
      <c r="C289" s="2224"/>
      <c r="D289" s="2347" t="s">
        <v>2587</v>
      </c>
      <c r="E289" s="2224"/>
      <c r="F289" s="2300">
        <f>(79.8)*2</f>
        <v>159.6</v>
      </c>
      <c r="G289" s="124"/>
      <c r="H289" s="2226"/>
      <c r="I289" s="2297"/>
      <c r="J289" s="3318"/>
      <c r="K289" s="3318"/>
      <c r="L289" s="3318"/>
      <c r="M289" s="3318"/>
      <c r="N289" s="3318"/>
      <c r="O289" s="3318"/>
      <c r="P289" s="3318"/>
      <c r="Q289" s="3318"/>
      <c r="R289" s="3318"/>
      <c r="S289" s="3318"/>
      <c r="T289" s="3318"/>
      <c r="U289" s="3318"/>
      <c r="V289" s="3318"/>
      <c r="W289" s="3318"/>
      <c r="X289" s="3318"/>
      <c r="Y289" s="3318"/>
      <c r="Z289" s="3318"/>
      <c r="AA289" s="3318"/>
      <c r="AB289" s="3318"/>
      <c r="AC289" s="3318"/>
    </row>
    <row r="290" spans="1:29" s="593" customFormat="1" ht="13.5" customHeight="1">
      <c r="A290" s="2222"/>
      <c r="B290" s="2224"/>
      <c r="C290" s="2224"/>
      <c r="D290" s="2347" t="s">
        <v>2588</v>
      </c>
      <c r="E290" s="2224"/>
      <c r="F290" s="2300">
        <f>(74.9)*2</f>
        <v>149.80000000000001</v>
      </c>
      <c r="G290" s="124"/>
      <c r="H290" s="2226"/>
      <c r="I290" s="2297"/>
      <c r="J290" s="3318"/>
      <c r="K290" s="3318"/>
      <c r="L290" s="3318"/>
      <c r="M290" s="3318"/>
      <c r="N290" s="3318"/>
      <c r="O290" s="3318"/>
      <c r="P290" s="3318"/>
      <c r="Q290" s="3318"/>
      <c r="R290" s="3318"/>
      <c r="S290" s="3318"/>
      <c r="T290" s="3318"/>
      <c r="U290" s="3318"/>
      <c r="V290" s="3318"/>
      <c r="W290" s="3318"/>
      <c r="X290" s="3318"/>
      <c r="Y290" s="3318"/>
      <c r="Z290" s="3318"/>
      <c r="AA290" s="3318"/>
      <c r="AB290" s="3318"/>
      <c r="AC290" s="3318"/>
    </row>
    <row r="291" spans="1:29" s="593" customFormat="1" ht="13.5" customHeight="1">
      <c r="A291" s="2222"/>
      <c r="B291" s="2224"/>
      <c r="C291" s="2224"/>
      <c r="D291" s="2277" t="s">
        <v>2589</v>
      </c>
      <c r="E291" s="2224"/>
      <c r="F291" s="2300"/>
      <c r="G291" s="124"/>
      <c r="H291" s="2226"/>
      <c r="I291" s="2297"/>
      <c r="J291" s="3318"/>
      <c r="K291" s="3318"/>
      <c r="L291" s="3318"/>
      <c r="M291" s="3318"/>
      <c r="N291" s="3318"/>
      <c r="O291" s="3318"/>
      <c r="P291" s="3318"/>
      <c r="Q291" s="3318"/>
      <c r="R291" s="3318"/>
      <c r="S291" s="3318"/>
      <c r="T291" s="3318"/>
      <c r="U291" s="3318"/>
      <c r="V291" s="3318"/>
      <c r="W291" s="3318"/>
      <c r="X291" s="3318"/>
      <c r="Y291" s="3318"/>
      <c r="Z291" s="3318"/>
      <c r="AA291" s="3318"/>
      <c r="AB291" s="3318"/>
      <c r="AC291" s="3318"/>
    </row>
    <row r="292" spans="1:29" s="593" customFormat="1" ht="13.5" customHeight="1">
      <c r="A292" s="2222"/>
      <c r="B292" s="2224"/>
      <c r="C292" s="2224"/>
      <c r="D292" s="2347" t="s">
        <v>2590</v>
      </c>
      <c r="E292" s="2224"/>
      <c r="F292" s="2300">
        <f>(277.8)*2</f>
        <v>555.6</v>
      </c>
      <c r="G292" s="124"/>
      <c r="H292" s="2226"/>
      <c r="I292" s="2297"/>
      <c r="J292" s="3318"/>
      <c r="K292" s="3318"/>
      <c r="L292" s="3318"/>
      <c r="M292" s="3318"/>
      <c r="N292" s="3318"/>
      <c r="O292" s="3318"/>
      <c r="P292" s="3318"/>
      <c r="Q292" s="3318"/>
      <c r="R292" s="3318"/>
      <c r="S292" s="3318"/>
      <c r="T292" s="3318"/>
      <c r="U292" s="3318"/>
      <c r="V292" s="3318"/>
      <c r="W292" s="3318"/>
      <c r="X292" s="3318"/>
      <c r="Y292" s="3318"/>
      <c r="Z292" s="3318"/>
      <c r="AA292" s="3318"/>
      <c r="AB292" s="3318"/>
      <c r="AC292" s="3318"/>
    </row>
    <row r="293" spans="1:29" s="593" customFormat="1" ht="13.5" customHeight="1">
      <c r="A293" s="2222"/>
      <c r="B293" s="2224"/>
      <c r="C293" s="2224"/>
      <c r="D293" s="2347" t="s">
        <v>2591</v>
      </c>
      <c r="E293" s="2224"/>
      <c r="F293" s="2300">
        <f>(90.1)*2</f>
        <v>180.2</v>
      </c>
      <c r="G293" s="124"/>
      <c r="H293" s="2226"/>
      <c r="I293" s="2297"/>
      <c r="J293" s="3318"/>
      <c r="K293" s="3318"/>
      <c r="L293" s="3318"/>
      <c r="M293" s="3318"/>
      <c r="N293" s="3318"/>
      <c r="O293" s="3318"/>
      <c r="P293" s="3318"/>
      <c r="Q293" s="3318"/>
      <c r="R293" s="3318"/>
      <c r="S293" s="3318"/>
      <c r="T293" s="3318"/>
      <c r="U293" s="3318"/>
      <c r="V293" s="3318"/>
      <c r="W293" s="3318"/>
      <c r="X293" s="3318"/>
      <c r="Y293" s="3318"/>
      <c r="Z293" s="3318"/>
      <c r="AA293" s="3318"/>
      <c r="AB293" s="3318"/>
      <c r="AC293" s="3318"/>
    </row>
    <row r="294" spans="1:29" s="593" customFormat="1" ht="13.5" customHeight="1">
      <c r="A294" s="2222"/>
      <c r="B294" s="2224"/>
      <c r="C294" s="2224"/>
      <c r="D294" s="2347" t="s">
        <v>2592</v>
      </c>
      <c r="E294" s="2224"/>
      <c r="F294" s="2300">
        <f>(38.5)*2</f>
        <v>77</v>
      </c>
      <c r="G294" s="124"/>
      <c r="H294" s="2226"/>
      <c r="I294" s="2297"/>
      <c r="J294" s="3318"/>
      <c r="K294" s="3318"/>
      <c r="L294" s="3318"/>
      <c r="M294" s="3318"/>
      <c r="N294" s="3318"/>
      <c r="O294" s="3318"/>
      <c r="P294" s="3318"/>
      <c r="Q294" s="3318"/>
      <c r="R294" s="3318"/>
      <c r="S294" s="3318"/>
      <c r="T294" s="3318"/>
      <c r="U294" s="3318"/>
      <c r="V294" s="3318"/>
      <c r="W294" s="3318"/>
      <c r="X294" s="3318"/>
      <c r="Y294" s="3318"/>
      <c r="Z294" s="3318"/>
      <c r="AA294" s="3318"/>
      <c r="AB294" s="3318"/>
      <c r="AC294" s="3318"/>
    </row>
    <row r="295" spans="1:29" s="593" customFormat="1" ht="13.5" customHeight="1">
      <c r="A295" s="2222"/>
      <c r="B295" s="2224"/>
      <c r="C295" s="2224"/>
      <c r="D295" s="2347" t="s">
        <v>2593</v>
      </c>
      <c r="E295" s="2224"/>
      <c r="F295" s="2300">
        <f>(29.9)*2</f>
        <v>59.8</v>
      </c>
      <c r="G295" s="124"/>
      <c r="H295" s="2226"/>
      <c r="I295" s="2297"/>
      <c r="J295" s="3318"/>
      <c r="K295" s="3318"/>
      <c r="L295" s="3318"/>
      <c r="M295" s="3318"/>
      <c r="N295" s="3318"/>
      <c r="O295" s="3318"/>
      <c r="P295" s="3318"/>
      <c r="Q295" s="3318"/>
      <c r="R295" s="3318"/>
      <c r="S295" s="3318"/>
      <c r="T295" s="3318"/>
      <c r="U295" s="3318"/>
      <c r="V295" s="3318"/>
      <c r="W295" s="3318"/>
      <c r="X295" s="3318"/>
      <c r="Y295" s="3318"/>
      <c r="Z295" s="3318"/>
      <c r="AA295" s="3318"/>
      <c r="AB295" s="3318"/>
      <c r="AC295" s="3318"/>
    </row>
    <row r="296" spans="1:29" s="593" customFormat="1" ht="13.5" customHeight="1">
      <c r="A296" s="2222">
        <v>69</v>
      </c>
      <c r="B296" s="2224">
        <v>721</v>
      </c>
      <c r="C296" s="2224">
        <v>722290234</v>
      </c>
      <c r="D296" s="2224" t="s">
        <v>2594</v>
      </c>
      <c r="E296" s="2224" t="s">
        <v>141</v>
      </c>
      <c r="F296" s="2305">
        <f>(F281)/2</f>
        <v>981.60000000000014</v>
      </c>
      <c r="G296" s="124"/>
      <c r="H296" s="2226">
        <f>F296*G296</f>
        <v>0</v>
      </c>
      <c r="I296" s="2297" t="s">
        <v>137</v>
      </c>
      <c r="J296" s="3318"/>
      <c r="K296" s="3318"/>
      <c r="L296" s="3318"/>
      <c r="M296" s="3318"/>
      <c r="N296" s="3318"/>
      <c r="O296" s="3318"/>
      <c r="P296" s="3318"/>
      <c r="Q296" s="3318"/>
      <c r="R296" s="3318"/>
      <c r="S296" s="3318"/>
      <c r="T296" s="3318"/>
      <c r="U296" s="3318"/>
      <c r="V296" s="3318"/>
      <c r="W296" s="3318"/>
      <c r="X296" s="3318"/>
      <c r="Y296" s="3318"/>
      <c r="Z296" s="3318"/>
      <c r="AA296" s="3318"/>
      <c r="AB296" s="3318"/>
      <c r="AC296" s="3318"/>
    </row>
    <row r="297" spans="1:29" s="593" customFormat="1" ht="13.5" customHeight="1">
      <c r="A297" s="2222">
        <v>70</v>
      </c>
      <c r="B297" s="2224" t="s">
        <v>1860</v>
      </c>
      <c r="C297" s="2224" t="s">
        <v>2595</v>
      </c>
      <c r="D297" s="2224" t="s">
        <v>2596</v>
      </c>
      <c r="E297" s="2224" t="s">
        <v>205</v>
      </c>
      <c r="F297" s="2305">
        <f>SUM(F299:F300)</f>
        <v>4</v>
      </c>
      <c r="G297" s="124"/>
      <c r="H297" s="2226">
        <f>F297*G297</f>
        <v>0</v>
      </c>
      <c r="I297" s="2297" t="s">
        <v>112</v>
      </c>
      <c r="J297" s="3336"/>
      <c r="K297" s="2233"/>
      <c r="L297" s="3318"/>
      <c r="M297" s="3318"/>
      <c r="N297" s="3318"/>
      <c r="O297" s="3318"/>
      <c r="P297" s="3318"/>
      <c r="Q297" s="3318"/>
      <c r="R297" s="3375"/>
      <c r="S297" s="3318"/>
      <c r="T297" s="3318"/>
      <c r="U297" s="3318"/>
      <c r="V297" s="3318"/>
      <c r="W297" s="3318"/>
      <c r="X297" s="3318"/>
      <c r="Y297" s="3318"/>
      <c r="Z297" s="3318"/>
      <c r="AA297" s="3318"/>
      <c r="AB297" s="3318"/>
      <c r="AC297" s="3318"/>
    </row>
    <row r="298" spans="1:29" s="2308" customFormat="1" ht="13.5" customHeight="1">
      <c r="A298" s="2222"/>
      <c r="B298" s="2224"/>
      <c r="C298" s="2224"/>
      <c r="D298" s="2277" t="s">
        <v>2597</v>
      </c>
      <c r="E298" s="2296"/>
      <c r="F298" s="2330"/>
      <c r="G298" s="124"/>
      <c r="H298" s="2226"/>
      <c r="I298" s="2297"/>
      <c r="J298" s="3321"/>
      <c r="K298" s="2250"/>
      <c r="L298" s="2250"/>
      <c r="M298" s="2250"/>
      <c r="N298" s="2250"/>
      <c r="O298" s="2250"/>
      <c r="P298" s="2250"/>
      <c r="Q298" s="2250"/>
      <c r="R298" s="3376"/>
      <c r="S298" s="2250"/>
    </row>
    <row r="299" spans="1:29" s="2308" customFormat="1" ht="13.5" customHeight="1">
      <c r="A299" s="2222"/>
      <c r="B299" s="2224"/>
      <c r="C299" s="2224"/>
      <c r="D299" s="3330" t="s">
        <v>2598</v>
      </c>
      <c r="E299" s="2224"/>
      <c r="F299" s="2330">
        <v>1</v>
      </c>
      <c r="G299" s="124"/>
      <c r="H299" s="2226"/>
      <c r="I299" s="2332"/>
      <c r="K299" s="3377"/>
    </row>
    <row r="300" spans="1:29" s="2308" customFormat="1" ht="13.5" customHeight="1">
      <c r="A300" s="2222"/>
      <c r="B300" s="2224"/>
      <c r="C300" s="2224"/>
      <c r="D300" s="3330" t="s">
        <v>2492</v>
      </c>
      <c r="E300" s="2224"/>
      <c r="F300" s="2330">
        <v>3</v>
      </c>
      <c r="G300" s="124"/>
      <c r="H300" s="2226"/>
      <c r="I300" s="2332"/>
      <c r="K300" s="3377"/>
    </row>
    <row r="301" spans="1:29" s="2308" customFormat="1" ht="27" customHeight="1">
      <c r="A301" s="2222"/>
      <c r="B301" s="2224"/>
      <c r="C301" s="2224"/>
      <c r="D301" s="2277" t="s">
        <v>2599</v>
      </c>
      <c r="E301" s="2224"/>
      <c r="F301" s="3378"/>
      <c r="G301" s="124"/>
      <c r="H301" s="2226"/>
      <c r="I301" s="2332"/>
      <c r="J301" s="71"/>
      <c r="K301" s="2283"/>
      <c r="L301" s="2202"/>
      <c r="M301" s="2202"/>
      <c r="N301" s="2202"/>
      <c r="O301" s="2202"/>
      <c r="P301" s="2202"/>
      <c r="Q301" s="2202"/>
      <c r="R301" s="2333"/>
      <c r="S301" s="2202"/>
    </row>
    <row r="302" spans="1:29" s="593" customFormat="1" ht="13.5" customHeight="1">
      <c r="A302" s="2222">
        <v>71</v>
      </c>
      <c r="B302" s="2224" t="s">
        <v>1860</v>
      </c>
      <c r="C302" s="2224" t="s">
        <v>2600</v>
      </c>
      <c r="D302" s="2224" t="s">
        <v>2601</v>
      </c>
      <c r="E302" s="2224" t="s">
        <v>205</v>
      </c>
      <c r="F302" s="2305">
        <f>SUM(F304:F304)</f>
        <v>1</v>
      </c>
      <c r="G302" s="124"/>
      <c r="H302" s="2226">
        <f>F302*G302</f>
        <v>0</v>
      </c>
      <c r="I302" s="2297" t="s">
        <v>112</v>
      </c>
      <c r="J302" s="3336"/>
      <c r="K302" s="2233"/>
      <c r="L302" s="3318"/>
      <c r="M302" s="3318"/>
      <c r="N302" s="3318"/>
      <c r="O302" s="3318"/>
      <c r="P302" s="3318"/>
      <c r="Q302" s="3318"/>
      <c r="R302" s="3375"/>
      <c r="S302" s="3318"/>
      <c r="T302" s="3318"/>
      <c r="U302" s="3318"/>
      <c r="V302" s="3318"/>
      <c r="W302" s="3318"/>
      <c r="X302" s="3318"/>
      <c r="Y302" s="3318"/>
      <c r="Z302" s="3318"/>
      <c r="AA302" s="3318"/>
      <c r="AB302" s="3318"/>
      <c r="AC302" s="3318"/>
    </row>
    <row r="303" spans="1:29" s="2308" customFormat="1" ht="13.5" customHeight="1">
      <c r="A303" s="2222"/>
      <c r="B303" s="2224"/>
      <c r="C303" s="2224"/>
      <c r="D303" s="2277" t="s">
        <v>2602</v>
      </c>
      <c r="E303" s="2296"/>
      <c r="F303" s="2330"/>
      <c r="G303" s="124"/>
      <c r="H303" s="2226"/>
      <c r="I303" s="2297"/>
      <c r="J303" s="3321"/>
      <c r="K303" s="2250"/>
      <c r="L303" s="2250"/>
      <c r="M303" s="2250"/>
      <c r="N303" s="2250"/>
      <c r="O303" s="2250"/>
      <c r="P303" s="2250"/>
      <c r="Q303" s="2250"/>
      <c r="R303" s="3376"/>
      <c r="S303" s="2250"/>
    </row>
    <row r="304" spans="1:29" s="2308" customFormat="1" ht="13.5" customHeight="1">
      <c r="A304" s="2222"/>
      <c r="B304" s="2224"/>
      <c r="C304" s="2224"/>
      <c r="D304" s="3330" t="s">
        <v>2492</v>
      </c>
      <c r="E304" s="2224"/>
      <c r="F304" s="2330">
        <v>1</v>
      </c>
      <c r="G304" s="124"/>
      <c r="H304" s="2226"/>
      <c r="I304" s="2332"/>
      <c r="K304" s="3377"/>
    </row>
    <row r="305" spans="1:29" s="2308" customFormat="1" ht="27" customHeight="1">
      <c r="A305" s="2222"/>
      <c r="B305" s="2224"/>
      <c r="C305" s="2224"/>
      <c r="D305" s="2277" t="s">
        <v>2599</v>
      </c>
      <c r="E305" s="2224"/>
      <c r="F305" s="3378"/>
      <c r="G305" s="124"/>
      <c r="H305" s="2226"/>
      <c r="I305" s="2332"/>
      <c r="J305" s="71"/>
      <c r="K305" s="2283"/>
      <c r="L305" s="2202"/>
      <c r="M305" s="2202"/>
      <c r="N305" s="2202"/>
      <c r="O305" s="2202"/>
      <c r="P305" s="2202"/>
      <c r="Q305" s="2202"/>
      <c r="R305" s="2333"/>
      <c r="S305" s="2202"/>
    </row>
    <row r="306" spans="1:29" s="593" customFormat="1" ht="13.5" customHeight="1">
      <c r="A306" s="2222">
        <v>72</v>
      </c>
      <c r="B306" s="2224" t="s">
        <v>1860</v>
      </c>
      <c r="C306" s="2224" t="s">
        <v>2603</v>
      </c>
      <c r="D306" s="2224" t="s">
        <v>2604</v>
      </c>
      <c r="E306" s="2224" t="s">
        <v>205</v>
      </c>
      <c r="F306" s="2305">
        <f>SUM(F308:F309)</f>
        <v>3</v>
      </c>
      <c r="G306" s="124"/>
      <c r="H306" s="2226">
        <f>F306*G306</f>
        <v>0</v>
      </c>
      <c r="I306" s="2297" t="s">
        <v>112</v>
      </c>
      <c r="J306" s="3336"/>
      <c r="K306" s="2233"/>
      <c r="L306" s="3318"/>
      <c r="M306" s="3318"/>
      <c r="N306" s="3318"/>
      <c r="O306" s="3318"/>
      <c r="P306" s="3318"/>
      <c r="Q306" s="3318"/>
      <c r="R306" s="3375"/>
      <c r="S306" s="3318"/>
      <c r="T306" s="3318"/>
      <c r="U306" s="3318"/>
      <c r="V306" s="3318"/>
      <c r="W306" s="3318"/>
      <c r="X306" s="3318"/>
      <c r="Y306" s="3318"/>
      <c r="Z306" s="3318"/>
      <c r="AA306" s="3318"/>
      <c r="AB306" s="3318"/>
      <c r="AC306" s="3318"/>
    </row>
    <row r="307" spans="1:29" s="2308" customFormat="1" ht="13.5" customHeight="1">
      <c r="A307" s="2222"/>
      <c r="B307" s="2224"/>
      <c r="C307" s="2224"/>
      <c r="D307" s="2277" t="s">
        <v>2605</v>
      </c>
      <c r="E307" s="2296"/>
      <c r="F307" s="2330"/>
      <c r="G307" s="124"/>
      <c r="H307" s="2226"/>
      <c r="I307" s="2297"/>
      <c r="J307" s="3321"/>
      <c r="K307" s="2250"/>
      <c r="L307" s="2250"/>
      <c r="M307" s="2250"/>
      <c r="N307" s="2250"/>
      <c r="O307" s="2250"/>
      <c r="P307" s="2250"/>
      <c r="Q307" s="2250"/>
      <c r="R307" s="3376"/>
      <c r="S307" s="2250"/>
    </row>
    <row r="308" spans="1:29" s="2308" customFormat="1" ht="13.5" customHeight="1">
      <c r="A308" s="2222"/>
      <c r="B308" s="2224"/>
      <c r="C308" s="2224"/>
      <c r="D308" s="2277" t="s">
        <v>2606</v>
      </c>
      <c r="E308" s="2296"/>
      <c r="F308" s="2330">
        <v>1</v>
      </c>
      <c r="G308" s="124"/>
      <c r="H308" s="2226"/>
      <c r="I308" s="2297"/>
      <c r="J308" s="3321"/>
      <c r="K308" s="2250"/>
      <c r="L308" s="2250"/>
      <c r="M308" s="2250"/>
      <c r="N308" s="2250"/>
      <c r="O308" s="2250"/>
      <c r="P308" s="2250"/>
      <c r="Q308" s="2250"/>
      <c r="R308" s="3376"/>
      <c r="S308" s="2250"/>
    </row>
    <row r="309" spans="1:29" s="2308" customFormat="1" ht="13.5" customHeight="1">
      <c r="A309" s="2222"/>
      <c r="B309" s="2224"/>
      <c r="C309" s="2224"/>
      <c r="D309" s="3330" t="s">
        <v>2492</v>
      </c>
      <c r="E309" s="2224"/>
      <c r="F309" s="2330">
        <v>2</v>
      </c>
      <c r="G309" s="124"/>
      <c r="H309" s="2226"/>
      <c r="I309" s="2332"/>
      <c r="K309" s="3377"/>
    </row>
    <row r="310" spans="1:29" s="2308" customFormat="1" ht="27" customHeight="1">
      <c r="A310" s="2222"/>
      <c r="B310" s="2224"/>
      <c r="C310" s="2224"/>
      <c r="D310" s="2277" t="s">
        <v>2599</v>
      </c>
      <c r="E310" s="2224"/>
      <c r="F310" s="3378"/>
      <c r="G310" s="124"/>
      <c r="H310" s="2226"/>
      <c r="I310" s="2332"/>
      <c r="J310" s="71"/>
      <c r="K310" s="2283"/>
      <c r="L310" s="2202"/>
      <c r="M310" s="2202"/>
      <c r="N310" s="2202"/>
      <c r="O310" s="2202"/>
      <c r="P310" s="2202"/>
      <c r="Q310" s="2202"/>
      <c r="R310" s="2333"/>
      <c r="S310" s="2202"/>
    </row>
    <row r="311" spans="1:29" s="2308" customFormat="1" ht="13.5" customHeight="1">
      <c r="A311" s="2222">
        <v>73</v>
      </c>
      <c r="B311" s="2224">
        <v>721</v>
      </c>
      <c r="C311" s="2224" t="s">
        <v>2607</v>
      </c>
      <c r="D311" s="2224" t="s">
        <v>2608</v>
      </c>
      <c r="E311" s="2224" t="s">
        <v>205</v>
      </c>
      <c r="F311" s="2305">
        <f>SUM(F312)</f>
        <v>2</v>
      </c>
      <c r="G311" s="124"/>
      <c r="H311" s="2226">
        <f>F311*G311</f>
        <v>0</v>
      </c>
      <c r="I311" s="2297" t="s">
        <v>112</v>
      </c>
      <c r="J311" s="3286"/>
      <c r="K311" s="2250"/>
      <c r="L311" s="2250"/>
      <c r="M311" s="2250"/>
      <c r="N311" s="2250"/>
      <c r="O311" s="2250"/>
      <c r="P311" s="2250"/>
      <c r="Q311" s="2250"/>
      <c r="R311" s="2250"/>
      <c r="S311" s="2250"/>
    </row>
    <row r="312" spans="1:29" s="2308" customFormat="1" ht="13.5" customHeight="1">
      <c r="A312" s="2312"/>
      <c r="B312" s="2296"/>
      <c r="C312" s="2296"/>
      <c r="D312" s="2277" t="s">
        <v>2609</v>
      </c>
      <c r="E312" s="2296"/>
      <c r="F312" s="2300">
        <f>2</f>
        <v>2</v>
      </c>
      <c r="G312" s="155"/>
      <c r="H312" s="2286"/>
      <c r="I312" s="2309"/>
      <c r="J312" s="2261"/>
      <c r="K312" s="2250"/>
      <c r="L312" s="2250"/>
      <c r="M312" s="2250"/>
      <c r="N312" s="2250"/>
      <c r="O312" s="2250"/>
      <c r="P312" s="2250"/>
      <c r="Q312" s="2250"/>
      <c r="R312" s="2250"/>
      <c r="S312" s="2250"/>
    </row>
    <row r="313" spans="1:29" s="2308" customFormat="1" ht="27" customHeight="1">
      <c r="A313" s="2222"/>
      <c r="B313" s="2224"/>
      <c r="C313" s="2224"/>
      <c r="D313" s="2277" t="s">
        <v>2610</v>
      </c>
      <c r="E313" s="2224"/>
      <c r="F313" s="2330"/>
      <c r="G313" s="124"/>
      <c r="H313" s="3379"/>
      <c r="I313" s="2309"/>
      <c r="J313" s="171"/>
      <c r="K313" s="3286"/>
      <c r="L313" s="3286"/>
      <c r="M313" s="3286"/>
      <c r="N313" s="3286"/>
      <c r="O313" s="3286"/>
      <c r="P313" s="2202"/>
      <c r="Q313" s="3345"/>
      <c r="R313" s="2202"/>
      <c r="S313" s="2202"/>
    </row>
    <row r="314" spans="1:29" s="593" customFormat="1" ht="13.5" customHeight="1">
      <c r="A314" s="2222">
        <v>74</v>
      </c>
      <c r="B314" s="2224">
        <v>721</v>
      </c>
      <c r="C314" s="2224" t="s">
        <v>2611</v>
      </c>
      <c r="D314" s="2224" t="s">
        <v>2612</v>
      </c>
      <c r="E314" s="2224" t="s">
        <v>205</v>
      </c>
      <c r="F314" s="2305">
        <f>SUM(F316:F316)</f>
        <v>5</v>
      </c>
      <c r="G314" s="124"/>
      <c r="H314" s="2226">
        <f>F314*G314</f>
        <v>0</v>
      </c>
      <c r="I314" s="2297" t="s">
        <v>112</v>
      </c>
      <c r="J314" s="3336"/>
      <c r="K314" s="2233"/>
      <c r="L314" s="2249"/>
      <c r="M314" s="3318"/>
      <c r="N314" s="3318"/>
      <c r="O314" s="3380"/>
      <c r="P314" s="3318"/>
      <c r="Q314" s="3318"/>
      <c r="R314" s="3375"/>
      <c r="S314" s="3318"/>
      <c r="T314" s="3318"/>
      <c r="U314" s="3318"/>
      <c r="V314" s="3318"/>
      <c r="W314" s="3318"/>
      <c r="X314" s="3318"/>
      <c r="Y314" s="3318"/>
      <c r="Z314" s="3318"/>
      <c r="AA314" s="3318"/>
      <c r="AB314" s="3318"/>
      <c r="AC314" s="3318"/>
    </row>
    <row r="315" spans="1:29" s="2308" customFormat="1" ht="13.5" customHeight="1">
      <c r="A315" s="2222"/>
      <c r="B315" s="2224"/>
      <c r="C315" s="2224"/>
      <c r="D315" s="2277" t="s">
        <v>2613</v>
      </c>
      <c r="E315" s="2296"/>
      <c r="F315" s="2330"/>
      <c r="G315" s="124"/>
      <c r="H315" s="2226"/>
      <c r="I315" s="2297"/>
      <c r="J315" s="3321"/>
      <c r="K315" s="2250"/>
      <c r="L315" s="2250"/>
      <c r="M315" s="2250"/>
      <c r="N315" s="2250"/>
      <c r="O315" s="2250"/>
      <c r="P315" s="2250"/>
      <c r="Q315" s="2250"/>
      <c r="R315" s="3376"/>
      <c r="S315" s="2250"/>
    </row>
    <row r="316" spans="1:29" s="2308" customFormat="1" ht="13.5" customHeight="1">
      <c r="A316" s="2222"/>
      <c r="B316" s="2224"/>
      <c r="C316" s="2224"/>
      <c r="D316" s="3330" t="s">
        <v>2492</v>
      </c>
      <c r="E316" s="2224"/>
      <c r="F316" s="2330">
        <v>5</v>
      </c>
      <c r="G316" s="124"/>
      <c r="H316" s="2226"/>
      <c r="I316" s="2297"/>
      <c r="J316" s="3339"/>
      <c r="K316" s="3377"/>
    </row>
    <row r="317" spans="1:29" s="2308" customFormat="1" ht="27" customHeight="1">
      <c r="A317" s="2222"/>
      <c r="B317" s="2224"/>
      <c r="C317" s="2224"/>
      <c r="D317" s="3330" t="s">
        <v>2614</v>
      </c>
      <c r="E317" s="2224"/>
      <c r="F317" s="2330"/>
      <c r="G317" s="124"/>
      <c r="H317" s="2226"/>
      <c r="I317" s="2332"/>
      <c r="J317" s="171"/>
      <c r="K317" s="3377"/>
    </row>
    <row r="318" spans="1:29" s="2308" customFormat="1" ht="13.5" customHeight="1">
      <c r="A318" s="3381" t="s">
        <v>2615</v>
      </c>
      <c r="B318" s="2224" t="s">
        <v>1860</v>
      </c>
      <c r="C318" s="2224" t="s">
        <v>2616</v>
      </c>
      <c r="D318" s="2224" t="s">
        <v>2617</v>
      </c>
      <c r="E318" s="2224" t="s">
        <v>205</v>
      </c>
      <c r="F318" s="2305">
        <f>SUM(F320)</f>
        <v>1</v>
      </c>
      <c r="G318" s="205"/>
      <c r="H318" s="2279">
        <f>F318*G318</f>
        <v>0</v>
      </c>
      <c r="I318" s="2297" t="s">
        <v>112</v>
      </c>
      <c r="J318" s="3382"/>
      <c r="S318" s="3375"/>
    </row>
    <row r="319" spans="1:29" s="2206" customFormat="1" ht="13.5" customHeight="1">
      <c r="A319" s="3383"/>
      <c r="B319" s="2244"/>
      <c r="C319" s="2244"/>
      <c r="D319" s="2277" t="s">
        <v>2618</v>
      </c>
      <c r="E319" s="2244"/>
      <c r="F319" s="2300"/>
      <c r="G319" s="127"/>
      <c r="H319" s="2226"/>
      <c r="I319" s="2219"/>
    </row>
    <row r="320" spans="1:29" s="2206" customFormat="1" ht="13.5" customHeight="1">
      <c r="A320" s="3383"/>
      <c r="B320" s="2244"/>
      <c r="C320" s="2244"/>
      <c r="D320" s="2277" t="s">
        <v>2619</v>
      </c>
      <c r="E320" s="2244"/>
      <c r="F320" s="2300">
        <v>1</v>
      </c>
      <c r="G320" s="127"/>
      <c r="H320" s="2226"/>
      <c r="I320" s="2219"/>
    </row>
    <row r="321" spans="1:30" s="2206" customFormat="1" ht="13.5" customHeight="1">
      <c r="A321" s="3383"/>
      <c r="B321" s="2244"/>
      <c r="C321" s="2244"/>
      <c r="D321" s="2277" t="s">
        <v>2620</v>
      </c>
      <c r="E321" s="2244"/>
      <c r="F321" s="2300"/>
      <c r="G321" s="127"/>
      <c r="H321" s="2226"/>
      <c r="I321" s="2219"/>
    </row>
    <row r="322" spans="1:30" s="2308" customFormat="1" ht="13.5" customHeight="1">
      <c r="A322" s="3381" t="s">
        <v>2621</v>
      </c>
      <c r="B322" s="2224" t="s">
        <v>1860</v>
      </c>
      <c r="C322" s="2224" t="s">
        <v>2622</v>
      </c>
      <c r="D322" s="2224" t="s">
        <v>2623</v>
      </c>
      <c r="E322" s="2224" t="s">
        <v>205</v>
      </c>
      <c r="F322" s="2305">
        <f>SUM(F324)</f>
        <v>1</v>
      </c>
      <c r="G322" s="205"/>
      <c r="H322" s="2279">
        <f>F322*G322</f>
        <v>0</v>
      </c>
      <c r="I322" s="2297" t="s">
        <v>112</v>
      </c>
      <c r="J322" s="3382"/>
      <c r="S322" s="3375"/>
    </row>
    <row r="323" spans="1:30" s="2206" customFormat="1" ht="13.5" customHeight="1">
      <c r="A323" s="3383"/>
      <c r="B323" s="2244"/>
      <c r="C323" s="2244"/>
      <c r="D323" s="2277" t="s">
        <v>2624</v>
      </c>
      <c r="E323" s="2244"/>
      <c r="F323" s="2300"/>
      <c r="G323" s="127"/>
      <c r="H323" s="2226"/>
      <c r="I323" s="2219"/>
    </row>
    <row r="324" spans="1:30" s="2206" customFormat="1" ht="13.5" customHeight="1">
      <c r="A324" s="3383"/>
      <c r="B324" s="2244"/>
      <c r="C324" s="2244"/>
      <c r="D324" s="2277" t="s">
        <v>2625</v>
      </c>
      <c r="E324" s="2244"/>
      <c r="F324" s="2300">
        <v>1</v>
      </c>
      <c r="G324" s="127"/>
      <c r="H324" s="2226"/>
      <c r="I324" s="2219"/>
    </row>
    <row r="325" spans="1:30" s="2206" customFormat="1" ht="13.5" customHeight="1">
      <c r="A325" s="3383"/>
      <c r="B325" s="2244"/>
      <c r="C325" s="2244"/>
      <c r="D325" s="2277" t="s">
        <v>2620</v>
      </c>
      <c r="E325" s="2244"/>
      <c r="F325" s="2300"/>
      <c r="G325" s="127"/>
      <c r="H325" s="2226"/>
      <c r="I325" s="2219"/>
    </row>
    <row r="326" spans="1:30" s="2308" customFormat="1" ht="13.5" customHeight="1">
      <c r="A326" s="3381" t="s">
        <v>2626</v>
      </c>
      <c r="B326" s="2224" t="s">
        <v>1860</v>
      </c>
      <c r="C326" s="2224" t="s">
        <v>2627</v>
      </c>
      <c r="D326" s="2224" t="s">
        <v>2628</v>
      </c>
      <c r="E326" s="2224" t="s">
        <v>205</v>
      </c>
      <c r="F326" s="2305">
        <f>SUM(F327)</f>
        <v>1</v>
      </c>
      <c r="G326" s="205"/>
      <c r="H326" s="2279">
        <f>F326*G326</f>
        <v>0</v>
      </c>
      <c r="I326" s="2297" t="s">
        <v>112</v>
      </c>
      <c r="J326" s="3382"/>
      <c r="S326" s="3375"/>
    </row>
    <row r="327" spans="1:30" s="2206" customFormat="1" ht="13.5" customHeight="1">
      <c r="A327" s="3383"/>
      <c r="B327" s="2244"/>
      <c r="C327" s="2244"/>
      <c r="D327" s="2277" t="s">
        <v>2629</v>
      </c>
      <c r="E327" s="2244"/>
      <c r="F327" s="2300">
        <v>1</v>
      </c>
      <c r="G327" s="127"/>
      <c r="H327" s="2226"/>
      <c r="I327" s="2219"/>
    </row>
    <row r="328" spans="1:30" s="2206" customFormat="1" ht="13.5" customHeight="1">
      <c r="A328" s="3383"/>
      <c r="B328" s="2244"/>
      <c r="C328" s="2244"/>
      <c r="D328" s="2277" t="s">
        <v>2620</v>
      </c>
      <c r="E328" s="2244"/>
      <c r="F328" s="2300"/>
      <c r="G328" s="127"/>
      <c r="H328" s="2226"/>
      <c r="I328" s="2219"/>
    </row>
    <row r="329" spans="1:30" s="3385" customFormat="1" ht="13.5" customHeight="1">
      <c r="A329" s="3236">
        <v>78</v>
      </c>
      <c r="B329" s="3237" t="s">
        <v>1860</v>
      </c>
      <c r="C329" s="3237" t="s">
        <v>2630</v>
      </c>
      <c r="D329" s="3237" t="s">
        <v>2631</v>
      </c>
      <c r="E329" s="3237" t="s">
        <v>205</v>
      </c>
      <c r="F329" s="3341">
        <f>ROUND(SUM(F331:F331),3)</f>
        <v>8</v>
      </c>
      <c r="G329" s="206"/>
      <c r="H329" s="2231">
        <f>ROUND(F329*G329,2)</f>
        <v>0</v>
      </c>
      <c r="I329" s="2297" t="s">
        <v>112</v>
      </c>
      <c r="J329" s="3336"/>
      <c r="K329" s="2233"/>
      <c r="L329" s="2249"/>
      <c r="M329" s="3318"/>
      <c r="N329" s="3318"/>
      <c r="O329" s="3318"/>
      <c r="P329" s="3375"/>
      <c r="Q329" s="593"/>
      <c r="S329" s="3318"/>
      <c r="T329" s="3318"/>
      <c r="U329" s="3318"/>
      <c r="V329" s="3318"/>
      <c r="W329" s="3318"/>
      <c r="X329" s="3318"/>
      <c r="Y329" s="3318"/>
      <c r="Z329" s="3318"/>
      <c r="AA329" s="3386"/>
      <c r="AB329" s="3386"/>
      <c r="AC329" s="3386"/>
      <c r="AD329" s="3386"/>
    </row>
    <row r="330" spans="1:30" s="3385" customFormat="1" ht="13.5" customHeight="1">
      <c r="A330" s="3236"/>
      <c r="B330" s="3237"/>
      <c r="C330" s="3237"/>
      <c r="D330" s="3387" t="s">
        <v>2632</v>
      </c>
      <c r="E330" s="3237"/>
      <c r="F330" s="3341"/>
      <c r="G330" s="206"/>
      <c r="H330" s="3384"/>
      <c r="I330" s="3233"/>
      <c r="J330" s="3321"/>
      <c r="K330" s="2250"/>
      <c r="L330" s="2250"/>
      <c r="M330" s="2250"/>
      <c r="N330" s="2250"/>
      <c r="O330" s="2250"/>
      <c r="P330" s="2250"/>
      <c r="Q330" s="3375"/>
      <c r="R330" s="3375"/>
      <c r="S330" s="3318"/>
      <c r="T330" s="3318"/>
      <c r="U330" s="3318"/>
      <c r="V330" s="3318"/>
      <c r="W330" s="3318"/>
      <c r="X330" s="3318"/>
      <c r="Y330" s="3318"/>
      <c r="Z330" s="3318"/>
      <c r="AA330" s="3386"/>
      <c r="AB330" s="3386"/>
      <c r="AC330" s="3386"/>
      <c r="AD330" s="3386"/>
    </row>
    <row r="331" spans="1:30" s="3390" customFormat="1" ht="13.5" customHeight="1">
      <c r="A331" s="3236"/>
      <c r="B331" s="3237"/>
      <c r="C331" s="3237"/>
      <c r="D331" s="3387" t="s">
        <v>2633</v>
      </c>
      <c r="E331" s="3388"/>
      <c r="F331" s="3389">
        <v>8</v>
      </c>
      <c r="G331" s="206"/>
      <c r="H331" s="3384"/>
      <c r="I331" s="3233"/>
      <c r="J331" s="3321"/>
      <c r="K331" s="2250"/>
      <c r="L331" s="2250"/>
      <c r="M331" s="2250"/>
      <c r="N331" s="2250"/>
      <c r="O331" s="2250"/>
      <c r="P331" s="2250"/>
      <c r="Q331" s="2250"/>
      <c r="R331" s="3376"/>
      <c r="S331" s="2250"/>
      <c r="T331" s="2308"/>
      <c r="U331" s="2308"/>
      <c r="V331" s="2308"/>
      <c r="W331" s="2308"/>
      <c r="X331" s="2308"/>
      <c r="Y331" s="2308"/>
      <c r="Z331" s="2308"/>
    </row>
    <row r="332" spans="1:30" s="3390" customFormat="1" ht="13.5" customHeight="1">
      <c r="A332" s="3236"/>
      <c r="B332" s="3237"/>
      <c r="C332" s="3237"/>
      <c r="D332" s="3391" t="s">
        <v>2634</v>
      </c>
      <c r="E332" s="3388"/>
      <c r="F332" s="3389"/>
      <c r="G332" s="206"/>
      <c r="H332" s="3384"/>
      <c r="I332" s="3233"/>
      <c r="J332" s="3321"/>
      <c r="K332" s="2250"/>
      <c r="L332" s="2250"/>
      <c r="M332" s="2250"/>
      <c r="N332" s="2250"/>
      <c r="O332" s="2250"/>
      <c r="P332" s="2250"/>
      <c r="Q332" s="2250"/>
      <c r="R332" s="3376"/>
      <c r="S332" s="2250"/>
      <c r="T332" s="2308"/>
      <c r="U332" s="2308"/>
      <c r="V332" s="2308"/>
      <c r="W332" s="2308"/>
      <c r="X332" s="2308"/>
      <c r="Y332" s="2308"/>
      <c r="Z332" s="2308"/>
    </row>
    <row r="333" spans="1:30" s="593" customFormat="1" ht="13.5" customHeight="1">
      <c r="A333" s="2222">
        <v>79</v>
      </c>
      <c r="B333" s="2224" t="s">
        <v>1860</v>
      </c>
      <c r="C333" s="2224" t="s">
        <v>2635</v>
      </c>
      <c r="D333" s="2224" t="s">
        <v>2150</v>
      </c>
      <c r="E333" s="2224" t="s">
        <v>205</v>
      </c>
      <c r="F333" s="2305">
        <f>SUM(F335:F335)</f>
        <v>1</v>
      </c>
      <c r="G333" s="124"/>
      <c r="H333" s="2226">
        <f>F333*G333</f>
        <v>0</v>
      </c>
      <c r="I333" s="2297" t="s">
        <v>112</v>
      </c>
      <c r="J333" s="3336"/>
      <c r="K333" s="2233"/>
      <c r="L333" s="3318"/>
      <c r="M333" s="3318"/>
      <c r="N333" s="3318"/>
      <c r="O333" s="3318"/>
      <c r="P333" s="3318"/>
      <c r="Q333" s="3318"/>
      <c r="R333" s="3375"/>
      <c r="S333" s="3318"/>
      <c r="T333" s="3318"/>
      <c r="U333" s="3318"/>
      <c r="V333" s="3318"/>
      <c r="W333" s="3318"/>
      <c r="X333" s="3318"/>
      <c r="Y333" s="3318"/>
      <c r="Z333" s="3318"/>
      <c r="AA333" s="3318"/>
      <c r="AB333" s="3318"/>
      <c r="AC333" s="3318"/>
    </row>
    <row r="334" spans="1:30" s="2308" customFormat="1" ht="13.5" customHeight="1">
      <c r="A334" s="2222"/>
      <c r="B334" s="2224"/>
      <c r="C334" s="2224"/>
      <c r="D334" s="2277" t="s">
        <v>2636</v>
      </c>
      <c r="E334" s="2224"/>
      <c r="F334" s="2330"/>
      <c r="G334" s="124"/>
      <c r="H334" s="2226"/>
      <c r="I334" s="2332"/>
      <c r="K334" s="3377"/>
    </row>
    <row r="335" spans="1:30" s="2308" customFormat="1" ht="13.5" customHeight="1">
      <c r="A335" s="2222"/>
      <c r="B335" s="2224"/>
      <c r="C335" s="2224"/>
      <c r="D335" s="3330" t="s">
        <v>2598</v>
      </c>
      <c r="E335" s="2224"/>
      <c r="F335" s="2330">
        <v>1</v>
      </c>
      <c r="G335" s="124"/>
      <c r="H335" s="2226"/>
      <c r="I335" s="2332"/>
      <c r="K335" s="3377"/>
    </row>
    <row r="336" spans="1:30" s="2308" customFormat="1" ht="27" customHeight="1">
      <c r="A336" s="2222"/>
      <c r="B336" s="2224"/>
      <c r="C336" s="2224"/>
      <c r="D336" s="2277" t="s">
        <v>2637</v>
      </c>
      <c r="E336" s="2224"/>
      <c r="F336" s="2330"/>
      <c r="G336" s="124"/>
      <c r="H336" s="2226"/>
      <c r="I336" s="2332"/>
      <c r="J336" s="3392"/>
      <c r="K336" s="3377"/>
    </row>
    <row r="337" spans="1:30" s="3385" customFormat="1" ht="13.5" customHeight="1">
      <c r="A337" s="3236">
        <v>80</v>
      </c>
      <c r="B337" s="3237" t="s">
        <v>1860</v>
      </c>
      <c r="C337" s="3237" t="s">
        <v>2638</v>
      </c>
      <c r="D337" s="3237" t="s">
        <v>2639</v>
      </c>
      <c r="E337" s="3237" t="s">
        <v>205</v>
      </c>
      <c r="F337" s="3341">
        <f>ROUND(SUM(F339:F339),3)</f>
        <v>1</v>
      </c>
      <c r="G337" s="206"/>
      <c r="H337" s="2231">
        <f>ROUND(F337*G337,2)</f>
        <v>0</v>
      </c>
      <c r="I337" s="2297" t="s">
        <v>112</v>
      </c>
      <c r="J337" s="3336"/>
      <c r="K337" s="2233"/>
      <c r="L337" s="2249"/>
      <c r="M337" s="3318"/>
      <c r="N337" s="3318"/>
      <c r="O337" s="3318"/>
      <c r="P337" s="3318"/>
      <c r="Q337" s="3375"/>
      <c r="R337" s="3393"/>
      <c r="S337" s="3393"/>
      <c r="T337" s="3386"/>
      <c r="U337" s="3386"/>
      <c r="V337" s="3386"/>
      <c r="W337" s="3386"/>
      <c r="X337" s="3386"/>
      <c r="Y337" s="3386"/>
      <c r="Z337" s="3386"/>
      <c r="AA337" s="3386"/>
      <c r="AB337" s="3386"/>
      <c r="AC337" s="3386"/>
      <c r="AD337" s="3386"/>
    </row>
    <row r="338" spans="1:30" s="3385" customFormat="1" ht="13.5" customHeight="1">
      <c r="A338" s="3236"/>
      <c r="B338" s="3237"/>
      <c r="C338" s="3237"/>
      <c r="D338" s="3387" t="s">
        <v>2177</v>
      </c>
      <c r="E338" s="3237"/>
      <c r="F338" s="3341"/>
      <c r="G338" s="206"/>
      <c r="H338" s="3384"/>
      <c r="I338" s="3233"/>
      <c r="J338" s="2261"/>
      <c r="K338" s="2233"/>
      <c r="L338" s="2249"/>
      <c r="M338" s="3318"/>
      <c r="N338" s="3318"/>
      <c r="O338" s="3318"/>
      <c r="P338" s="3318"/>
      <c r="Q338" s="3375"/>
      <c r="R338" s="3393"/>
      <c r="S338" s="3393"/>
      <c r="T338" s="3386"/>
      <c r="U338" s="3386"/>
      <c r="V338" s="3386"/>
      <c r="W338" s="3386"/>
      <c r="X338" s="3386"/>
      <c r="Y338" s="3386"/>
      <c r="Z338" s="3386"/>
      <c r="AA338" s="3386"/>
      <c r="AB338" s="3386"/>
      <c r="AC338" s="3386"/>
      <c r="AD338" s="3386"/>
    </row>
    <row r="339" spans="1:30" s="3390" customFormat="1" ht="13.5" customHeight="1">
      <c r="A339" s="3236"/>
      <c r="B339" s="3237"/>
      <c r="C339" s="3237"/>
      <c r="D339" s="3387" t="s">
        <v>2640</v>
      </c>
      <c r="E339" s="3388"/>
      <c r="F339" s="3389">
        <v>1</v>
      </c>
      <c r="G339" s="206"/>
      <c r="H339" s="3384"/>
      <c r="I339" s="3233"/>
      <c r="J339" s="3321"/>
      <c r="K339" s="2250"/>
      <c r="L339" s="2250"/>
      <c r="M339" s="2250"/>
      <c r="N339" s="2250"/>
      <c r="O339" s="2250"/>
      <c r="P339" s="2250"/>
      <c r="Q339" s="2250"/>
      <c r="R339" s="3394"/>
      <c r="S339" s="3395"/>
      <c r="T339" s="3394"/>
    </row>
    <row r="340" spans="1:30" s="3390" customFormat="1" ht="13.5" customHeight="1">
      <c r="A340" s="3236"/>
      <c r="B340" s="3237"/>
      <c r="C340" s="3237"/>
      <c r="D340" s="3391" t="s">
        <v>2174</v>
      </c>
      <c r="E340" s="3388"/>
      <c r="F340" s="3389"/>
      <c r="G340" s="206"/>
      <c r="H340" s="3384"/>
      <c r="I340" s="3233"/>
      <c r="J340" s="3321"/>
      <c r="K340" s="2250"/>
      <c r="L340" s="2250"/>
      <c r="M340" s="2250"/>
      <c r="N340" s="2250"/>
      <c r="O340" s="2250"/>
      <c r="P340" s="2250"/>
      <c r="Q340" s="2250"/>
      <c r="R340" s="3394"/>
      <c r="S340" s="3395"/>
      <c r="T340" s="3394"/>
    </row>
    <row r="341" spans="1:30" s="3385" customFormat="1" ht="13.5" customHeight="1">
      <c r="A341" s="3236">
        <v>81</v>
      </c>
      <c r="B341" s="3237" t="s">
        <v>1860</v>
      </c>
      <c r="C341" s="3237" t="s">
        <v>2641</v>
      </c>
      <c r="D341" s="3237" t="s">
        <v>2642</v>
      </c>
      <c r="E341" s="3237" t="s">
        <v>205</v>
      </c>
      <c r="F341" s="3341">
        <f>ROUND(SUM(F343:F343),3)</f>
        <v>1</v>
      </c>
      <c r="G341" s="206"/>
      <c r="H341" s="2231">
        <f>ROUND(F341*G341,2)</f>
        <v>0</v>
      </c>
      <c r="I341" s="2297" t="s">
        <v>112</v>
      </c>
      <c r="J341" s="3336"/>
      <c r="K341" s="2233"/>
      <c r="L341" s="2249"/>
      <c r="M341" s="3318"/>
      <c r="N341" s="3318"/>
      <c r="O341" s="3318"/>
      <c r="P341" s="3318"/>
      <c r="Q341" s="3375"/>
      <c r="R341" s="3393"/>
      <c r="S341" s="3393"/>
      <c r="T341" s="3386"/>
      <c r="U341" s="3386"/>
      <c r="V341" s="3386"/>
      <c r="W341" s="3386"/>
      <c r="X341" s="3386"/>
      <c r="Y341" s="3386"/>
      <c r="Z341" s="3386"/>
      <c r="AA341" s="3386"/>
      <c r="AB341" s="3386"/>
      <c r="AC341" s="3386"/>
      <c r="AD341" s="3386"/>
    </row>
    <row r="342" spans="1:30" s="3385" customFormat="1" ht="13.5" customHeight="1">
      <c r="A342" s="3236"/>
      <c r="B342" s="3237"/>
      <c r="C342" s="3237"/>
      <c r="D342" s="3387" t="s">
        <v>2643</v>
      </c>
      <c r="E342" s="3237"/>
      <c r="F342" s="3341"/>
      <c r="G342" s="206"/>
      <c r="H342" s="3384"/>
      <c r="I342" s="3233"/>
      <c r="J342" s="2261"/>
      <c r="K342" s="2233"/>
      <c r="L342" s="2249"/>
      <c r="M342" s="3318"/>
      <c r="N342" s="3318"/>
      <c r="O342" s="3318"/>
      <c r="P342" s="3318"/>
      <c r="Q342" s="3375"/>
      <c r="R342" s="3393"/>
      <c r="S342" s="3393"/>
      <c r="T342" s="3386"/>
      <c r="U342" s="3386"/>
      <c r="V342" s="3386"/>
      <c r="W342" s="3386"/>
      <c r="X342" s="3386"/>
      <c r="Y342" s="3386"/>
      <c r="Z342" s="3386"/>
      <c r="AA342" s="3386"/>
      <c r="AB342" s="3386"/>
      <c r="AC342" s="3386"/>
      <c r="AD342" s="3386"/>
    </row>
    <row r="343" spans="1:30" s="3390" customFormat="1" ht="13.5" customHeight="1">
      <c r="A343" s="3236"/>
      <c r="B343" s="3237"/>
      <c r="C343" s="3237"/>
      <c r="D343" s="3387" t="s">
        <v>2640</v>
      </c>
      <c r="E343" s="3388"/>
      <c r="F343" s="3389">
        <v>1</v>
      </c>
      <c r="G343" s="206"/>
      <c r="H343" s="3384"/>
      <c r="I343" s="3233"/>
      <c r="J343" s="3321"/>
      <c r="K343" s="2250"/>
      <c r="L343" s="2250"/>
      <c r="M343" s="2250"/>
      <c r="N343" s="2250"/>
      <c r="O343" s="2250"/>
      <c r="P343" s="2250"/>
      <c r="Q343" s="2250"/>
      <c r="R343" s="3394"/>
      <c r="S343" s="3395"/>
      <c r="T343" s="3394"/>
    </row>
    <row r="344" spans="1:30" s="3390" customFormat="1" ht="13.5" customHeight="1">
      <c r="A344" s="3236"/>
      <c r="B344" s="3237"/>
      <c r="C344" s="3237"/>
      <c r="D344" s="3391" t="s">
        <v>2174</v>
      </c>
      <c r="E344" s="3388"/>
      <c r="F344" s="3389"/>
      <c r="G344" s="206"/>
      <c r="H344" s="3384"/>
      <c r="I344" s="3233"/>
      <c r="J344" s="3321"/>
      <c r="K344" s="2250"/>
      <c r="L344" s="2250"/>
      <c r="M344" s="2250"/>
      <c r="N344" s="2250"/>
      <c r="O344" s="2250"/>
      <c r="P344" s="2250"/>
      <c r="Q344" s="2250"/>
      <c r="R344" s="3394"/>
      <c r="S344" s="3395"/>
      <c r="T344" s="3394"/>
    </row>
    <row r="345" spans="1:30" s="593" customFormat="1" ht="13.5" customHeight="1">
      <c r="A345" s="2222">
        <v>82</v>
      </c>
      <c r="B345" s="2224">
        <v>721</v>
      </c>
      <c r="C345" s="2224" t="s">
        <v>2644</v>
      </c>
      <c r="D345" s="2224" t="s">
        <v>2645</v>
      </c>
      <c r="E345" s="2224" t="s">
        <v>1315</v>
      </c>
      <c r="F345" s="2305">
        <f>SUM(F347:F347)</f>
        <v>1</v>
      </c>
      <c r="G345" s="5206" t="s">
        <v>3512</v>
      </c>
      <c r="H345" s="5207"/>
      <c r="I345" s="2297" t="s">
        <v>112</v>
      </c>
      <c r="J345" s="3339"/>
      <c r="K345" s="2233"/>
      <c r="L345" s="2249"/>
      <c r="M345" s="3318"/>
      <c r="N345" s="3318"/>
      <c r="O345" s="3318"/>
      <c r="P345" s="3318"/>
      <c r="Q345" s="3318"/>
      <c r="R345" s="3375"/>
      <c r="S345" s="3318"/>
      <c r="T345" s="3318"/>
      <c r="U345" s="3318"/>
      <c r="V345" s="3318"/>
      <c r="W345" s="3318"/>
      <c r="X345" s="3318"/>
      <c r="Y345" s="3318"/>
      <c r="Z345" s="3318"/>
      <c r="AA345" s="3318"/>
      <c r="AB345" s="3318"/>
      <c r="AC345" s="3318"/>
    </row>
    <row r="346" spans="1:30" s="2308" customFormat="1" ht="13.5" customHeight="1">
      <c r="A346" s="2222"/>
      <c r="B346" s="2224"/>
      <c r="C346" s="2224"/>
      <c r="D346" s="2277" t="s">
        <v>2646</v>
      </c>
      <c r="E346" s="2296"/>
      <c r="F346" s="2330"/>
      <c r="G346" s="124"/>
      <c r="H346" s="2226"/>
      <c r="I346" s="2297"/>
      <c r="J346" s="3321"/>
      <c r="K346" s="2250"/>
      <c r="L346" s="2250"/>
      <c r="M346" s="2250"/>
      <c r="N346" s="2250"/>
      <c r="O346" s="2250"/>
      <c r="P346" s="2250"/>
      <c r="Q346" s="2250"/>
      <c r="R346" s="3376"/>
      <c r="S346" s="2288"/>
    </row>
    <row r="347" spans="1:30" s="2308" customFormat="1" ht="13.5" customHeight="1">
      <c r="A347" s="2222"/>
      <c r="B347" s="2224"/>
      <c r="C347" s="2224"/>
      <c r="D347" s="3330" t="s">
        <v>2492</v>
      </c>
      <c r="E347" s="2224"/>
      <c r="F347" s="2330">
        <v>1</v>
      </c>
      <c r="G347" s="124"/>
      <c r="H347" s="2226"/>
      <c r="I347" s="2297"/>
      <c r="K347" s="3377"/>
    </row>
    <row r="348" spans="1:30" s="2308" customFormat="1" ht="13.5" customHeight="1">
      <c r="A348" s="2222"/>
      <c r="B348" s="2224"/>
      <c r="C348" s="2224"/>
      <c r="D348" s="2277" t="s">
        <v>2647</v>
      </c>
      <c r="E348" s="2296"/>
      <c r="F348" s="2330"/>
      <c r="G348" s="124"/>
      <c r="H348" s="2226"/>
      <c r="I348" s="2297"/>
      <c r="J348" s="3321"/>
      <c r="K348" s="2250"/>
      <c r="L348" s="2250"/>
      <c r="M348" s="2250"/>
      <c r="N348" s="2250"/>
      <c r="O348" s="2250"/>
      <c r="P348" s="2250"/>
      <c r="Q348" s="2250"/>
      <c r="R348" s="3376"/>
      <c r="S348" s="2288"/>
    </row>
    <row r="349" spans="1:30" s="2308" customFormat="1" ht="13.5" customHeight="1">
      <c r="A349" s="2222"/>
      <c r="B349" s="2224"/>
      <c r="C349" s="2224"/>
      <c r="D349" s="2277" t="s">
        <v>2648</v>
      </c>
      <c r="E349" s="2296"/>
      <c r="F349" s="2330"/>
      <c r="G349" s="124"/>
      <c r="H349" s="2226"/>
      <c r="I349" s="2297"/>
      <c r="J349" s="3321"/>
      <c r="K349" s="2250"/>
      <c r="L349" s="2250"/>
      <c r="M349" s="2250"/>
      <c r="N349" s="2250"/>
      <c r="O349" s="2250"/>
      <c r="P349" s="2250"/>
      <c r="Q349" s="2250"/>
      <c r="R349" s="3376"/>
      <c r="S349" s="2288"/>
    </row>
    <row r="350" spans="1:30" s="2308" customFormat="1" ht="13.5" customHeight="1">
      <c r="A350" s="2222"/>
      <c r="B350" s="2224"/>
      <c r="C350" s="2224"/>
      <c r="D350" s="2277" t="s">
        <v>2649</v>
      </c>
      <c r="E350" s="2296"/>
      <c r="F350" s="2330"/>
      <c r="G350" s="124"/>
      <c r="H350" s="2226"/>
      <c r="I350" s="2297"/>
      <c r="J350" s="3321"/>
      <c r="K350" s="2250"/>
      <c r="L350" s="2250"/>
      <c r="M350" s="2250"/>
      <c r="N350" s="2250"/>
      <c r="O350" s="2250"/>
      <c r="P350" s="2250"/>
      <c r="Q350" s="2250"/>
      <c r="R350" s="3376"/>
      <c r="S350" s="2288"/>
    </row>
    <row r="351" spans="1:30" s="2308" customFormat="1" ht="13.5" customHeight="1">
      <c r="A351" s="2222"/>
      <c r="B351" s="2224"/>
      <c r="C351" s="2224"/>
      <c r="D351" s="2277" t="s">
        <v>2650</v>
      </c>
      <c r="E351" s="2296"/>
      <c r="F351" s="2330"/>
      <c r="G351" s="124"/>
      <c r="H351" s="2226"/>
      <c r="I351" s="2297"/>
      <c r="J351" s="3321"/>
      <c r="K351" s="2250"/>
      <c r="L351" s="2250"/>
      <c r="M351" s="2250"/>
      <c r="N351" s="2250"/>
      <c r="O351" s="2250"/>
      <c r="P351" s="2250"/>
      <c r="Q351" s="2250"/>
      <c r="R351" s="3376"/>
      <c r="S351" s="2288"/>
    </row>
    <row r="352" spans="1:30" s="2308" customFormat="1" ht="27" customHeight="1">
      <c r="A352" s="2222"/>
      <c r="B352" s="2224"/>
      <c r="C352" s="2224"/>
      <c r="D352" s="2277" t="s">
        <v>2651</v>
      </c>
      <c r="E352" s="2296"/>
      <c r="F352" s="2330"/>
      <c r="G352" s="124"/>
      <c r="H352" s="2226"/>
      <c r="I352" s="2297"/>
      <c r="J352" s="3321"/>
      <c r="K352" s="2250"/>
      <c r="L352" s="2250"/>
      <c r="M352" s="2250"/>
      <c r="N352" s="2250"/>
      <c r="O352" s="2250"/>
      <c r="P352" s="2250"/>
      <c r="Q352" s="2250"/>
      <c r="R352" s="3376"/>
      <c r="S352" s="2288"/>
    </row>
    <row r="353" spans="1:41" s="2308" customFormat="1" ht="13.5" customHeight="1">
      <c r="A353" s="2222"/>
      <c r="B353" s="2224"/>
      <c r="C353" s="2224"/>
      <c r="D353" s="2277" t="s">
        <v>2652</v>
      </c>
      <c r="E353" s="2296"/>
      <c r="F353" s="2330"/>
      <c r="G353" s="124"/>
      <c r="H353" s="2226"/>
      <c r="I353" s="2297"/>
      <c r="J353" s="3321"/>
      <c r="K353" s="2250"/>
      <c r="L353" s="2250"/>
      <c r="M353" s="2250"/>
      <c r="N353" s="2250"/>
      <c r="O353" s="2250"/>
      <c r="P353" s="2250"/>
      <c r="Q353" s="2250"/>
      <c r="R353" s="3376"/>
      <c r="S353" s="2288"/>
    </row>
    <row r="354" spans="1:41" s="2308" customFormat="1" ht="13.5" customHeight="1">
      <c r="A354" s="2222"/>
      <c r="B354" s="2224"/>
      <c r="C354" s="2224"/>
      <c r="D354" s="2277" t="s">
        <v>2653</v>
      </c>
      <c r="E354" s="2296"/>
      <c r="F354" s="2330"/>
      <c r="G354" s="124"/>
      <c r="H354" s="2226"/>
      <c r="I354" s="2297"/>
      <c r="J354" s="3321"/>
      <c r="K354" s="2250"/>
      <c r="L354" s="2250"/>
      <c r="M354" s="2250"/>
      <c r="N354" s="2250"/>
      <c r="O354" s="2250"/>
      <c r="P354" s="2250"/>
      <c r="Q354" s="2250"/>
      <c r="R354" s="3376"/>
      <c r="S354" s="2288"/>
    </row>
    <row r="355" spans="1:41" s="2308" customFormat="1" ht="13.5" customHeight="1">
      <c r="A355" s="2222"/>
      <c r="B355" s="2224"/>
      <c r="C355" s="2224"/>
      <c r="D355" s="2277" t="s">
        <v>2654</v>
      </c>
      <c r="E355" s="2296"/>
      <c r="F355" s="2330"/>
      <c r="G355" s="124"/>
      <c r="H355" s="2226"/>
      <c r="I355" s="2297"/>
      <c r="J355" s="3321"/>
      <c r="K355" s="2250"/>
      <c r="L355" s="2250"/>
      <c r="M355" s="2250"/>
      <c r="N355" s="2250"/>
      <c r="O355" s="2250"/>
      <c r="P355" s="2250"/>
      <c r="Q355" s="2250"/>
      <c r="R355" s="3376"/>
      <c r="S355" s="2288"/>
    </row>
    <row r="356" spans="1:41" s="2308" customFormat="1" ht="13.5" customHeight="1">
      <c r="A356" s="2222"/>
      <c r="B356" s="2224"/>
      <c r="C356" s="2224"/>
      <c r="D356" s="2277" t="s">
        <v>2655</v>
      </c>
      <c r="E356" s="2296"/>
      <c r="F356" s="2330"/>
      <c r="G356" s="124"/>
      <c r="H356" s="2226"/>
      <c r="I356" s="2297"/>
      <c r="J356" s="3321"/>
      <c r="K356" s="2250"/>
      <c r="L356" s="2250"/>
      <c r="M356" s="2250"/>
      <c r="N356" s="2250"/>
      <c r="O356" s="2250"/>
      <c r="P356" s="2250"/>
      <c r="Q356" s="2250"/>
      <c r="R356" s="3376"/>
      <c r="S356" s="2288"/>
    </row>
    <row r="357" spans="1:41" s="2308" customFormat="1" ht="13.5" customHeight="1">
      <c r="A357" s="2222"/>
      <c r="B357" s="2224"/>
      <c r="C357" s="2224"/>
      <c r="D357" s="2277" t="s">
        <v>2656</v>
      </c>
      <c r="E357" s="2296"/>
      <c r="F357" s="2330"/>
      <c r="G357" s="124"/>
      <c r="H357" s="2226"/>
      <c r="I357" s="2297"/>
      <c r="J357" s="3321"/>
      <c r="K357" s="2250"/>
      <c r="L357" s="2250"/>
      <c r="M357" s="2250"/>
      <c r="N357" s="2250"/>
      <c r="O357" s="2250"/>
      <c r="P357" s="2250"/>
      <c r="Q357" s="2250"/>
      <c r="R357" s="3376"/>
      <c r="S357" s="2288"/>
    </row>
    <row r="358" spans="1:41" s="2308" customFormat="1" ht="13.5" customHeight="1">
      <c r="A358" s="2222"/>
      <c r="B358" s="2224"/>
      <c r="C358" s="2224"/>
      <c r="D358" s="2277" t="s">
        <v>2657</v>
      </c>
      <c r="E358" s="2296"/>
      <c r="F358" s="2330"/>
      <c r="G358" s="124"/>
      <c r="H358" s="2226"/>
      <c r="I358" s="2297"/>
      <c r="J358" s="3321"/>
      <c r="K358" s="2250"/>
      <c r="L358" s="2250"/>
      <c r="M358" s="2250"/>
      <c r="N358" s="2250"/>
      <c r="O358" s="2250"/>
      <c r="P358" s="2250"/>
      <c r="Q358" s="2250"/>
      <c r="R358" s="3376"/>
      <c r="S358" s="2288"/>
    </row>
    <row r="359" spans="1:41" s="2308" customFormat="1" ht="13.5" customHeight="1">
      <c r="A359" s="2222"/>
      <c r="B359" s="2224"/>
      <c r="C359" s="2224"/>
      <c r="D359" s="2277" t="s">
        <v>2658</v>
      </c>
      <c r="E359" s="2296"/>
      <c r="F359" s="2330"/>
      <c r="G359" s="124"/>
      <c r="H359" s="2226"/>
      <c r="I359" s="2297"/>
      <c r="J359" s="3321"/>
      <c r="K359" s="2250"/>
      <c r="L359" s="2250"/>
      <c r="M359" s="2250"/>
      <c r="N359" s="2250"/>
      <c r="O359" s="2250"/>
      <c r="P359" s="2250"/>
      <c r="Q359" s="2250"/>
      <c r="R359" s="3376"/>
      <c r="S359" s="2288"/>
    </row>
    <row r="360" spans="1:41" s="2308" customFormat="1" ht="13.5" customHeight="1">
      <c r="A360" s="2222"/>
      <c r="B360" s="2224"/>
      <c r="C360" s="2224"/>
      <c r="D360" s="2277" t="s">
        <v>2659</v>
      </c>
      <c r="E360" s="2224"/>
      <c r="F360" s="2330"/>
      <c r="G360" s="124"/>
      <c r="H360" s="2226"/>
      <c r="I360" s="2332"/>
      <c r="J360" s="171"/>
      <c r="K360" s="3377"/>
    </row>
    <row r="361" spans="1:41" s="3390" customFormat="1" ht="13.5" customHeight="1">
      <c r="A361" s="3396" t="s">
        <v>4164</v>
      </c>
      <c r="B361" s="3397">
        <v>721</v>
      </c>
      <c r="C361" s="3398" t="s">
        <v>2607</v>
      </c>
      <c r="D361" s="3398" t="s">
        <v>4165</v>
      </c>
      <c r="E361" s="3398" t="s">
        <v>205</v>
      </c>
      <c r="F361" s="3399">
        <f>ROUND(SUM(F363),3)</f>
        <v>1</v>
      </c>
      <c r="G361" s="271"/>
      <c r="H361" s="2445">
        <f>ROUND(F361*G361,2)</f>
        <v>0</v>
      </c>
      <c r="I361" s="3356" t="s">
        <v>112</v>
      </c>
      <c r="J361" s="3401"/>
      <c r="K361" s="3402"/>
      <c r="L361" s="3403"/>
      <c r="M361" s="3386"/>
      <c r="N361" s="3386"/>
      <c r="O361" s="3386"/>
      <c r="P361" s="3386"/>
      <c r="Q361" s="3386"/>
      <c r="R361" s="3386"/>
      <c r="S361" s="3404"/>
      <c r="T361" s="3386"/>
      <c r="U361" s="3386"/>
      <c r="V361" s="3386"/>
      <c r="W361" s="3386"/>
      <c r="X361" s="3386"/>
      <c r="Y361" s="3386"/>
      <c r="Z361" s="3386"/>
      <c r="AA361" s="3386"/>
      <c r="AB361" s="3386"/>
      <c r="AC361" s="3386"/>
      <c r="AD361" s="3386"/>
      <c r="AE361" s="3386"/>
      <c r="AF361" s="3386"/>
      <c r="AG361" s="3386"/>
      <c r="AH361" s="3386"/>
      <c r="AI361" s="3386"/>
      <c r="AJ361" s="3386"/>
      <c r="AK361" s="3386"/>
      <c r="AL361" s="3386"/>
      <c r="AM361" s="3386"/>
      <c r="AN361" s="3386"/>
      <c r="AO361" s="3386"/>
    </row>
    <row r="362" spans="1:41" s="3390" customFormat="1" ht="13.5" customHeight="1">
      <c r="A362" s="3396"/>
      <c r="B362" s="3398"/>
      <c r="C362" s="3398"/>
      <c r="D362" s="3398" t="s">
        <v>4166</v>
      </c>
      <c r="E362" s="3398"/>
      <c r="F362" s="3399"/>
      <c r="G362" s="271"/>
      <c r="H362" s="3400"/>
      <c r="I362" s="3405"/>
      <c r="J362" s="3406"/>
      <c r="K362" s="3402"/>
      <c r="L362" s="3407"/>
      <c r="T362" s="3386"/>
      <c r="U362" s="3408"/>
      <c r="V362" s="3409"/>
      <c r="W362" s="3386"/>
      <c r="X362" s="3386"/>
      <c r="Y362" s="3386"/>
      <c r="Z362" s="3386"/>
      <c r="AA362" s="3386"/>
      <c r="AB362" s="3386"/>
      <c r="AC362" s="3386"/>
      <c r="AD362" s="3386"/>
      <c r="AE362" s="3386"/>
      <c r="AF362" s="3386"/>
      <c r="AG362" s="3386"/>
      <c r="AH362" s="3386"/>
      <c r="AI362" s="3386"/>
      <c r="AJ362" s="3386"/>
      <c r="AK362" s="3386"/>
      <c r="AL362" s="3386"/>
      <c r="AM362" s="3386"/>
      <c r="AN362" s="3386"/>
      <c r="AO362" s="3386"/>
    </row>
    <row r="363" spans="1:41" s="3390" customFormat="1" ht="13.5" customHeight="1">
      <c r="A363" s="3396"/>
      <c r="B363" s="3398"/>
      <c r="C363" s="3398"/>
      <c r="D363" s="3398" t="s">
        <v>4167</v>
      </c>
      <c r="E363" s="3398"/>
      <c r="F363" s="3399">
        <v>1</v>
      </c>
      <c r="G363" s="271"/>
      <c r="H363" s="3400"/>
      <c r="I363" s="3405"/>
      <c r="J363" s="3406"/>
      <c r="K363" s="3410"/>
      <c r="L363" s="3407"/>
      <c r="N363" s="3411"/>
      <c r="T363" s="3386"/>
      <c r="U363" s="3408"/>
      <c r="V363" s="3409"/>
      <c r="W363" s="3386"/>
      <c r="X363" s="3386"/>
      <c r="Y363" s="3386"/>
      <c r="Z363" s="3386"/>
      <c r="AA363" s="3386"/>
      <c r="AB363" s="3386"/>
      <c r="AC363" s="3386"/>
      <c r="AD363" s="3386"/>
      <c r="AE363" s="3386"/>
      <c r="AF363" s="3386"/>
      <c r="AG363" s="3386"/>
      <c r="AH363" s="3386"/>
      <c r="AI363" s="3386"/>
      <c r="AJ363" s="3386"/>
      <c r="AK363" s="3386"/>
      <c r="AL363" s="3386"/>
      <c r="AM363" s="3386"/>
      <c r="AN363" s="3386"/>
      <c r="AO363" s="3386"/>
    </row>
    <row r="364" spans="1:41" s="3386" customFormat="1" ht="40.5" customHeight="1">
      <c r="A364" s="3412"/>
      <c r="B364" s="3398"/>
      <c r="C364" s="3398"/>
      <c r="D364" s="3413" t="s">
        <v>4168</v>
      </c>
      <c r="E364" s="3398"/>
      <c r="F364" s="3399"/>
      <c r="G364" s="272"/>
      <c r="H364" s="3414"/>
      <c r="I364" s="3415"/>
      <c r="J364" s="3416"/>
      <c r="K364" s="3417"/>
    </row>
    <row r="365" spans="1:41" s="3390" customFormat="1" ht="27" customHeight="1">
      <c r="A365" s="3396" t="s">
        <v>4169</v>
      </c>
      <c r="B365" s="3397">
        <v>721</v>
      </c>
      <c r="C365" s="3398" t="s">
        <v>3048</v>
      </c>
      <c r="D365" s="3398" t="s">
        <v>4170</v>
      </c>
      <c r="E365" s="3398" t="s">
        <v>205</v>
      </c>
      <c r="F365" s="3399">
        <f>ROUND(SUM(F367),3)</f>
        <v>1</v>
      </c>
      <c r="G365" s="271"/>
      <c r="H365" s="2445">
        <f>ROUND(F365*G365,2)</f>
        <v>0</v>
      </c>
      <c r="I365" s="3356" t="s">
        <v>112</v>
      </c>
      <c r="J365" s="3401"/>
      <c r="K365" s="3402"/>
      <c r="L365" s="3403"/>
      <c r="M365" s="3386"/>
      <c r="N365" s="3386"/>
      <c r="O365" s="3386"/>
      <c r="P365" s="3386"/>
      <c r="Q365" s="3386"/>
      <c r="R365" s="3386"/>
      <c r="S365" s="3404"/>
      <c r="T365" s="3386"/>
      <c r="U365" s="3386"/>
      <c r="V365" s="3386"/>
      <c r="W365" s="3386"/>
      <c r="X365" s="3386"/>
      <c r="Y365" s="3386"/>
      <c r="Z365" s="3386"/>
      <c r="AA365" s="3386"/>
      <c r="AB365" s="3386"/>
      <c r="AC365" s="3386"/>
      <c r="AD365" s="3386"/>
      <c r="AE365" s="3386"/>
      <c r="AF365" s="3386"/>
      <c r="AG365" s="3386"/>
      <c r="AH365" s="3386"/>
      <c r="AI365" s="3386"/>
      <c r="AJ365" s="3386"/>
      <c r="AK365" s="3386"/>
      <c r="AL365" s="3386"/>
      <c r="AM365" s="3386"/>
      <c r="AN365" s="3386"/>
      <c r="AO365" s="3386"/>
    </row>
    <row r="366" spans="1:41" s="3390" customFormat="1" ht="13.5" customHeight="1">
      <c r="A366" s="3396"/>
      <c r="B366" s="3398"/>
      <c r="C366" s="3398"/>
      <c r="D366" s="3398" t="s">
        <v>4171</v>
      </c>
      <c r="E366" s="3398"/>
      <c r="F366" s="3399"/>
      <c r="G366" s="271"/>
      <c r="H366" s="3400"/>
      <c r="I366" s="3405"/>
      <c r="J366" s="3406"/>
      <c r="K366" s="3402"/>
      <c r="L366" s="3407"/>
      <c r="T366" s="3386"/>
      <c r="U366" s="3408"/>
      <c r="V366" s="3409"/>
      <c r="W366" s="3386"/>
      <c r="X366" s="3386"/>
      <c r="Y366" s="3386"/>
      <c r="Z366" s="3386"/>
      <c r="AA366" s="3386"/>
      <c r="AB366" s="3386"/>
      <c r="AC366" s="3386"/>
      <c r="AD366" s="3386"/>
      <c r="AE366" s="3386"/>
      <c r="AF366" s="3386"/>
      <c r="AG366" s="3386"/>
      <c r="AH366" s="3386"/>
      <c r="AI366" s="3386"/>
      <c r="AJ366" s="3386"/>
      <c r="AK366" s="3386"/>
      <c r="AL366" s="3386"/>
      <c r="AM366" s="3386"/>
      <c r="AN366" s="3386"/>
      <c r="AO366" s="3386"/>
    </row>
    <row r="367" spans="1:41" s="3390" customFormat="1" ht="13.5" customHeight="1">
      <c r="A367" s="3396"/>
      <c r="B367" s="3398"/>
      <c r="C367" s="3398"/>
      <c r="D367" s="3398" t="s">
        <v>4172</v>
      </c>
      <c r="E367" s="3398"/>
      <c r="F367" s="3399">
        <v>1</v>
      </c>
      <c r="G367" s="271"/>
      <c r="H367" s="3400"/>
      <c r="I367" s="3405"/>
      <c r="J367" s="3406"/>
      <c r="K367" s="3410"/>
      <c r="L367" s="3407"/>
      <c r="P367" s="3411"/>
      <c r="T367" s="3386"/>
      <c r="U367" s="3408"/>
      <c r="V367" s="3409"/>
      <c r="W367" s="3386"/>
      <c r="X367" s="3386"/>
      <c r="Y367" s="3386"/>
      <c r="Z367" s="3386"/>
      <c r="AA367" s="3386"/>
      <c r="AB367" s="3386"/>
      <c r="AC367" s="3386"/>
      <c r="AD367" s="3386"/>
      <c r="AE367" s="3386"/>
      <c r="AF367" s="3386"/>
      <c r="AG367" s="3386"/>
      <c r="AH367" s="3386"/>
      <c r="AI367" s="3386"/>
      <c r="AJ367" s="3386"/>
      <c r="AK367" s="3386"/>
      <c r="AL367" s="3386"/>
      <c r="AM367" s="3386"/>
      <c r="AN367" s="3386"/>
      <c r="AO367" s="3386"/>
    </row>
    <row r="368" spans="1:41" s="3386" customFormat="1" ht="40.5" customHeight="1">
      <c r="A368" s="3412"/>
      <c r="B368" s="3398"/>
      <c r="C368" s="3398"/>
      <c r="D368" s="3413" t="s">
        <v>4168</v>
      </c>
      <c r="E368" s="3398"/>
      <c r="F368" s="3399"/>
      <c r="G368" s="272"/>
      <c r="H368" s="3414"/>
      <c r="I368" s="3415"/>
      <c r="J368" s="3416"/>
      <c r="K368" s="3417"/>
    </row>
    <row r="369" spans="1:41" s="3390" customFormat="1" ht="13.5" customHeight="1">
      <c r="A369" s="3396" t="s">
        <v>4173</v>
      </c>
      <c r="B369" s="3397">
        <v>721</v>
      </c>
      <c r="C369" s="3398" t="s">
        <v>3053</v>
      </c>
      <c r="D369" s="3398" t="s">
        <v>4174</v>
      </c>
      <c r="E369" s="3398" t="s">
        <v>205</v>
      </c>
      <c r="F369" s="3399">
        <f>ROUND(SUM(F371),3)</f>
        <v>1</v>
      </c>
      <c r="G369" s="271"/>
      <c r="H369" s="2445">
        <f>ROUND(F369*G369,2)</f>
        <v>0</v>
      </c>
      <c r="I369" s="3356" t="s">
        <v>112</v>
      </c>
      <c r="J369" s="3401"/>
      <c r="K369" s="3402"/>
      <c r="L369" s="3403"/>
      <c r="M369" s="3386"/>
      <c r="N369" s="3386"/>
      <c r="O369" s="3386"/>
      <c r="P369" s="3386"/>
      <c r="Q369" s="3386"/>
      <c r="R369" s="3386"/>
      <c r="S369" s="3404"/>
      <c r="T369" s="3386"/>
      <c r="U369" s="3386"/>
      <c r="V369" s="3386"/>
      <c r="W369" s="3386"/>
      <c r="X369" s="3386"/>
      <c r="Y369" s="3386"/>
      <c r="Z369" s="3386"/>
      <c r="AA369" s="3386"/>
      <c r="AB369" s="3386"/>
      <c r="AC369" s="3386"/>
      <c r="AD369" s="3386"/>
      <c r="AE369" s="3386"/>
      <c r="AF369" s="3386"/>
      <c r="AG369" s="3386"/>
      <c r="AH369" s="3386"/>
      <c r="AI369" s="3386"/>
      <c r="AJ369" s="3386"/>
      <c r="AK369" s="3386"/>
      <c r="AL369" s="3386"/>
      <c r="AM369" s="3386"/>
      <c r="AN369" s="3386"/>
      <c r="AO369" s="3386"/>
    </row>
    <row r="370" spans="1:41" s="3390" customFormat="1" ht="13.5" customHeight="1">
      <c r="A370" s="3396"/>
      <c r="B370" s="3398"/>
      <c r="C370" s="3398"/>
      <c r="D370" s="3398" t="s">
        <v>4175</v>
      </c>
      <c r="E370" s="3398"/>
      <c r="F370" s="3399"/>
      <c r="G370" s="271"/>
      <c r="H370" s="3400"/>
      <c r="I370" s="3405"/>
      <c r="J370" s="3406"/>
      <c r="K370" s="3402"/>
      <c r="L370" s="3407"/>
      <c r="T370" s="3386"/>
      <c r="U370" s="3408"/>
      <c r="V370" s="3409"/>
      <c r="W370" s="3386"/>
      <c r="X370" s="3386"/>
      <c r="Y370" s="3386"/>
      <c r="Z370" s="3386"/>
      <c r="AA370" s="3386"/>
      <c r="AB370" s="3386"/>
      <c r="AC370" s="3386"/>
      <c r="AD370" s="3386"/>
      <c r="AE370" s="3386"/>
      <c r="AF370" s="3386"/>
      <c r="AG370" s="3386"/>
      <c r="AH370" s="3386"/>
      <c r="AI370" s="3386"/>
      <c r="AJ370" s="3386"/>
      <c r="AK370" s="3386"/>
      <c r="AL370" s="3386"/>
      <c r="AM370" s="3386"/>
      <c r="AN370" s="3386"/>
      <c r="AO370" s="3386"/>
    </row>
    <row r="371" spans="1:41" s="3390" customFormat="1" ht="13.5" customHeight="1">
      <c r="A371" s="3396"/>
      <c r="B371" s="3398"/>
      <c r="C371" s="3398"/>
      <c r="D371" s="3398" t="s">
        <v>4175</v>
      </c>
      <c r="E371" s="3398"/>
      <c r="F371" s="3399">
        <v>1</v>
      </c>
      <c r="G371" s="271"/>
      <c r="H371" s="3400"/>
      <c r="I371" s="3405"/>
      <c r="J371" s="3406"/>
      <c r="K371" s="3410"/>
      <c r="L371" s="3407"/>
      <c r="S371" s="3411"/>
      <c r="T371" s="3386"/>
      <c r="U371" s="3408"/>
      <c r="V371" s="3409"/>
      <c r="W371" s="3386"/>
      <c r="X371" s="3386"/>
      <c r="Y371" s="3386"/>
      <c r="Z371" s="3386"/>
      <c r="AA371" s="3386"/>
      <c r="AB371" s="3386"/>
      <c r="AC371" s="3386"/>
      <c r="AD371" s="3386"/>
      <c r="AE371" s="3386"/>
      <c r="AF371" s="3386"/>
      <c r="AG371" s="3386"/>
      <c r="AH371" s="3386"/>
      <c r="AI371" s="3386"/>
      <c r="AJ371" s="3386"/>
      <c r="AK371" s="3386"/>
      <c r="AL371" s="3386"/>
      <c r="AM371" s="3386"/>
      <c r="AN371" s="3386"/>
      <c r="AO371" s="3386"/>
    </row>
    <row r="372" spans="1:41" s="3386" customFormat="1" ht="40.5" customHeight="1">
      <c r="A372" s="3412"/>
      <c r="B372" s="3398"/>
      <c r="C372" s="3398"/>
      <c r="D372" s="3413" t="s">
        <v>4168</v>
      </c>
      <c r="E372" s="3398"/>
      <c r="F372" s="3399"/>
      <c r="G372" s="272"/>
      <c r="H372" s="3414"/>
      <c r="I372" s="3415"/>
      <c r="J372" s="3416"/>
      <c r="K372" s="3417"/>
    </row>
    <row r="373" spans="1:41" s="3390" customFormat="1" ht="13.5" customHeight="1">
      <c r="A373" s="3396" t="s">
        <v>4176</v>
      </c>
      <c r="B373" s="3397">
        <v>721</v>
      </c>
      <c r="C373" s="3398" t="s">
        <v>3058</v>
      </c>
      <c r="D373" s="3398" t="s">
        <v>4177</v>
      </c>
      <c r="E373" s="3398" t="s">
        <v>205</v>
      </c>
      <c r="F373" s="3399">
        <f>ROUND(SUM(F375),3)</f>
        <v>1</v>
      </c>
      <c r="G373" s="271"/>
      <c r="H373" s="2445">
        <f>ROUND(F373*G373,2)</f>
        <v>0</v>
      </c>
      <c r="I373" s="3356" t="s">
        <v>112</v>
      </c>
      <c r="J373" s="3401"/>
      <c r="K373" s="3402"/>
      <c r="L373" s="3403"/>
      <c r="M373" s="3386"/>
      <c r="N373" s="3386"/>
      <c r="O373" s="3386"/>
      <c r="P373" s="3386"/>
      <c r="Q373" s="3386"/>
      <c r="R373" s="3386"/>
      <c r="S373" s="3404"/>
      <c r="T373" s="3386"/>
      <c r="U373" s="3386"/>
      <c r="V373" s="3386"/>
      <c r="W373" s="3386"/>
      <c r="X373" s="3386"/>
      <c r="Y373" s="3386"/>
      <c r="Z373" s="3386"/>
      <c r="AA373" s="3386"/>
      <c r="AB373" s="3386"/>
      <c r="AC373" s="3386"/>
      <c r="AD373" s="3386"/>
      <c r="AE373" s="3386"/>
      <c r="AF373" s="3386"/>
      <c r="AG373" s="3386"/>
      <c r="AH373" s="3386"/>
      <c r="AI373" s="3386"/>
      <c r="AJ373" s="3386"/>
      <c r="AK373" s="3386"/>
      <c r="AL373" s="3386"/>
      <c r="AM373" s="3386"/>
      <c r="AN373" s="3386"/>
      <c r="AO373" s="3386"/>
    </row>
    <row r="374" spans="1:41" s="3390" customFormat="1" ht="13.5" customHeight="1">
      <c r="A374" s="3396"/>
      <c r="B374" s="3398"/>
      <c r="C374" s="3398"/>
      <c r="D374" s="3398" t="s">
        <v>4178</v>
      </c>
      <c r="E374" s="3398"/>
      <c r="F374" s="3399"/>
      <c r="G374" s="271"/>
      <c r="H374" s="3400"/>
      <c r="I374" s="3405"/>
      <c r="J374" s="3406"/>
      <c r="K374" s="3402"/>
      <c r="L374" s="3407"/>
      <c r="T374" s="3386"/>
      <c r="U374" s="3408"/>
      <c r="V374" s="3409"/>
      <c r="W374" s="3386"/>
      <c r="X374" s="3386"/>
      <c r="Y374" s="3386"/>
      <c r="Z374" s="3386"/>
      <c r="AA374" s="3386"/>
      <c r="AB374" s="3386"/>
      <c r="AC374" s="3386"/>
      <c r="AD374" s="3386"/>
      <c r="AE374" s="3386"/>
      <c r="AF374" s="3386"/>
      <c r="AG374" s="3386"/>
      <c r="AH374" s="3386"/>
      <c r="AI374" s="3386"/>
      <c r="AJ374" s="3386"/>
      <c r="AK374" s="3386"/>
      <c r="AL374" s="3386"/>
      <c r="AM374" s="3386"/>
      <c r="AN374" s="3386"/>
      <c r="AO374" s="3386"/>
    </row>
    <row r="375" spans="1:41" s="3390" customFormat="1" ht="13.5" customHeight="1">
      <c r="A375" s="3396"/>
      <c r="B375" s="3398"/>
      <c r="C375" s="3398"/>
      <c r="D375" s="3398" t="s">
        <v>4179</v>
      </c>
      <c r="E375" s="3398"/>
      <c r="F375" s="3399">
        <v>1</v>
      </c>
      <c r="G375" s="271"/>
      <c r="H375" s="3400"/>
      <c r="I375" s="3405"/>
      <c r="J375" s="3406"/>
      <c r="K375" s="3402"/>
      <c r="L375" s="3407"/>
      <c r="T375" s="3386"/>
      <c r="U375" s="3408"/>
      <c r="V375" s="3409"/>
      <c r="W375" s="3386"/>
      <c r="X375" s="3386"/>
      <c r="Y375" s="3386"/>
      <c r="Z375" s="3386"/>
      <c r="AA375" s="3386"/>
      <c r="AB375" s="3386"/>
      <c r="AC375" s="3386"/>
      <c r="AD375" s="3386"/>
      <c r="AE375" s="3386"/>
      <c r="AF375" s="3386"/>
      <c r="AG375" s="3386"/>
      <c r="AH375" s="3386"/>
      <c r="AI375" s="3386"/>
      <c r="AJ375" s="3386"/>
      <c r="AK375" s="3386"/>
      <c r="AL375" s="3386"/>
      <c r="AM375" s="3386"/>
      <c r="AN375" s="3386"/>
      <c r="AO375" s="3386"/>
    </row>
    <row r="376" spans="1:41" s="3386" customFormat="1" ht="40.5" customHeight="1">
      <c r="A376" s="3412"/>
      <c r="B376" s="3398"/>
      <c r="C376" s="3398"/>
      <c r="D376" s="3413" t="s">
        <v>4168</v>
      </c>
      <c r="E376" s="3398"/>
      <c r="F376" s="3399"/>
      <c r="G376" s="272"/>
      <c r="H376" s="3414"/>
      <c r="I376" s="3415"/>
      <c r="J376" s="3416"/>
      <c r="K376" s="3417"/>
    </row>
    <row r="377" spans="1:41" s="3390" customFormat="1" ht="13.5" customHeight="1">
      <c r="A377" s="3396" t="s">
        <v>4180</v>
      </c>
      <c r="B377" s="3397">
        <v>721</v>
      </c>
      <c r="C377" s="3398" t="s">
        <v>3062</v>
      </c>
      <c r="D377" s="3398" t="s">
        <v>4181</v>
      </c>
      <c r="E377" s="3398" t="s">
        <v>205</v>
      </c>
      <c r="F377" s="3399">
        <f>ROUND(SUM(F379),3)</f>
        <v>1</v>
      </c>
      <c r="G377" s="271"/>
      <c r="H377" s="2445">
        <f>ROUND(F377*G377,2)</f>
        <v>0</v>
      </c>
      <c r="I377" s="3356" t="s">
        <v>112</v>
      </c>
      <c r="J377" s="3401"/>
      <c r="K377" s="3402"/>
      <c r="L377" s="3403"/>
      <c r="M377" s="3386"/>
      <c r="N377" s="3386"/>
      <c r="O377" s="3386"/>
      <c r="P377" s="3386"/>
      <c r="Q377" s="3386"/>
      <c r="R377" s="3386"/>
      <c r="S377" s="3404"/>
      <c r="T377" s="3386"/>
      <c r="U377" s="3386"/>
      <c r="V377" s="3386"/>
      <c r="W377" s="3386"/>
      <c r="X377" s="3386"/>
      <c r="Y377" s="3386"/>
      <c r="Z377" s="3386"/>
      <c r="AA377" s="3386"/>
      <c r="AB377" s="3386"/>
      <c r="AC377" s="3386"/>
      <c r="AD377" s="3386"/>
      <c r="AE377" s="3386"/>
      <c r="AF377" s="3386"/>
      <c r="AG377" s="3386"/>
      <c r="AH377" s="3386"/>
      <c r="AI377" s="3386"/>
      <c r="AJ377" s="3386"/>
      <c r="AK377" s="3386"/>
      <c r="AL377" s="3386"/>
      <c r="AM377" s="3386"/>
      <c r="AN377" s="3386"/>
      <c r="AO377" s="3386"/>
    </row>
    <row r="378" spans="1:41" s="3390" customFormat="1" ht="27" customHeight="1">
      <c r="A378" s="3396"/>
      <c r="B378" s="3398"/>
      <c r="C378" s="3398"/>
      <c r="D378" s="3398" t="s">
        <v>4182</v>
      </c>
      <c r="E378" s="3398"/>
      <c r="F378" s="3399"/>
      <c r="G378" s="271"/>
      <c r="H378" s="3400"/>
      <c r="I378" s="3405"/>
      <c r="J378" s="3406"/>
      <c r="K378" s="3402"/>
      <c r="L378" s="3407"/>
      <c r="T378" s="3386"/>
      <c r="U378" s="3408"/>
      <c r="V378" s="3409"/>
      <c r="W378" s="3386"/>
      <c r="X378" s="3386"/>
      <c r="Y378" s="3386"/>
      <c r="Z378" s="3386"/>
      <c r="AA378" s="3386"/>
      <c r="AB378" s="3386"/>
      <c r="AC378" s="3386"/>
      <c r="AD378" s="3386"/>
      <c r="AE378" s="3386"/>
      <c r="AF378" s="3386"/>
      <c r="AG378" s="3386"/>
      <c r="AH378" s="3386"/>
      <c r="AI378" s="3386"/>
      <c r="AJ378" s="3386"/>
      <c r="AK378" s="3386"/>
      <c r="AL378" s="3386"/>
      <c r="AM378" s="3386"/>
      <c r="AN378" s="3386"/>
      <c r="AO378" s="3386"/>
    </row>
    <row r="379" spans="1:41" s="3390" customFormat="1" ht="13.5" customHeight="1">
      <c r="A379" s="3396"/>
      <c r="B379" s="3398"/>
      <c r="C379" s="3398"/>
      <c r="D379" s="3398" t="s">
        <v>4183</v>
      </c>
      <c r="E379" s="3398"/>
      <c r="F379" s="3399">
        <v>1</v>
      </c>
      <c r="G379" s="271"/>
      <c r="H379" s="3400"/>
      <c r="I379" s="3405"/>
      <c r="J379" s="3406"/>
      <c r="K379" s="3410"/>
      <c r="L379" s="3418"/>
      <c r="T379" s="3386"/>
      <c r="U379" s="3408"/>
      <c r="V379" s="3409"/>
      <c r="W379" s="3386"/>
      <c r="X379" s="3386"/>
      <c r="Y379" s="3386"/>
      <c r="Z379" s="3386"/>
      <c r="AA379" s="3386"/>
      <c r="AB379" s="3386"/>
      <c r="AC379" s="3386"/>
      <c r="AD379" s="3386"/>
      <c r="AE379" s="3386"/>
      <c r="AF379" s="3386"/>
      <c r="AG379" s="3386"/>
      <c r="AH379" s="3386"/>
      <c r="AI379" s="3386"/>
      <c r="AJ379" s="3386"/>
      <c r="AK379" s="3386"/>
      <c r="AL379" s="3386"/>
      <c r="AM379" s="3386"/>
      <c r="AN379" s="3386"/>
      <c r="AO379" s="3386"/>
    </row>
    <row r="380" spans="1:41" s="3386" customFormat="1" ht="40.5" customHeight="1">
      <c r="A380" s="3412"/>
      <c r="B380" s="3398"/>
      <c r="C380" s="3398"/>
      <c r="D380" s="3413" t="s">
        <v>4168</v>
      </c>
      <c r="E380" s="3398"/>
      <c r="F380" s="3399"/>
      <c r="G380" s="272"/>
      <c r="H380" s="3414"/>
      <c r="I380" s="3415"/>
      <c r="J380" s="3416"/>
      <c r="K380" s="3417"/>
    </row>
    <row r="381" spans="1:41" s="3390" customFormat="1" ht="13.5" customHeight="1">
      <c r="A381" s="3396" t="s">
        <v>4184</v>
      </c>
      <c r="B381" s="3397">
        <v>721</v>
      </c>
      <c r="C381" s="3398" t="s">
        <v>4185</v>
      </c>
      <c r="D381" s="3398" t="s">
        <v>4186</v>
      </c>
      <c r="E381" s="3398" t="s">
        <v>205</v>
      </c>
      <c r="F381" s="3399">
        <f>ROUND(SUM(F383),3)</f>
        <v>1</v>
      </c>
      <c r="G381" s="271"/>
      <c r="H381" s="2445">
        <f>ROUND(F381*G381,2)</f>
        <v>0</v>
      </c>
      <c r="I381" s="3356" t="s">
        <v>112</v>
      </c>
      <c r="J381" s="3401"/>
      <c r="K381" s="3402"/>
      <c r="L381" s="3403"/>
      <c r="M381" s="3386"/>
      <c r="N381" s="3386"/>
      <c r="O381" s="3386"/>
      <c r="P381" s="3386"/>
      <c r="Q381" s="3386"/>
      <c r="R381" s="3386"/>
      <c r="S381" s="3404"/>
      <c r="T381" s="3386"/>
      <c r="U381" s="3386"/>
      <c r="V381" s="3386"/>
      <c r="W381" s="3386"/>
      <c r="X381" s="3386"/>
      <c r="Y381" s="3386"/>
      <c r="Z381" s="3386"/>
      <c r="AA381" s="3386"/>
      <c r="AB381" s="3386"/>
      <c r="AC381" s="3386"/>
      <c r="AD381" s="3386"/>
      <c r="AE381" s="3386"/>
      <c r="AF381" s="3386"/>
      <c r="AG381" s="3386"/>
      <c r="AH381" s="3386"/>
      <c r="AI381" s="3386"/>
      <c r="AJ381" s="3386"/>
      <c r="AK381" s="3386"/>
      <c r="AL381" s="3386"/>
      <c r="AM381" s="3386"/>
      <c r="AN381" s="3386"/>
      <c r="AO381" s="3386"/>
    </row>
    <row r="382" spans="1:41" s="3390" customFormat="1" ht="13.5" customHeight="1">
      <c r="A382" s="3396"/>
      <c r="B382" s="3398"/>
      <c r="C382" s="3398"/>
      <c r="D382" s="3398" t="s">
        <v>4187</v>
      </c>
      <c r="E382" s="3398"/>
      <c r="F382" s="3399"/>
      <c r="G382" s="271"/>
      <c r="H382" s="3400"/>
      <c r="I382" s="3405"/>
      <c r="J382" s="3406"/>
      <c r="K382" s="3402"/>
      <c r="L382" s="3407"/>
      <c r="T382" s="3386"/>
      <c r="U382" s="3408"/>
      <c r="V382" s="3409"/>
      <c r="W382" s="3386"/>
      <c r="X382" s="3386"/>
      <c r="Y382" s="3386"/>
      <c r="Z382" s="3386"/>
      <c r="AA382" s="3386"/>
      <c r="AB382" s="3386"/>
      <c r="AC382" s="3386"/>
      <c r="AD382" s="3386"/>
      <c r="AE382" s="3386"/>
      <c r="AF382" s="3386"/>
      <c r="AG382" s="3386"/>
      <c r="AH382" s="3386"/>
      <c r="AI382" s="3386"/>
      <c r="AJ382" s="3386"/>
      <c r="AK382" s="3386"/>
      <c r="AL382" s="3386"/>
      <c r="AM382" s="3386"/>
      <c r="AN382" s="3386"/>
      <c r="AO382" s="3386"/>
    </row>
    <row r="383" spans="1:41" s="3390" customFormat="1" ht="13.5" customHeight="1">
      <c r="A383" s="3396"/>
      <c r="B383" s="3398"/>
      <c r="C383" s="3398"/>
      <c r="D383" s="3398" t="s">
        <v>4188</v>
      </c>
      <c r="E383" s="3398"/>
      <c r="F383" s="3399">
        <v>1</v>
      </c>
      <c r="G383" s="271"/>
      <c r="H383" s="3400"/>
      <c r="I383" s="3405"/>
      <c r="J383" s="3406"/>
      <c r="K383" s="3410"/>
      <c r="L383" s="3407"/>
      <c r="T383" s="3386"/>
      <c r="U383" s="3408"/>
      <c r="V383" s="3409"/>
      <c r="W383" s="3386"/>
      <c r="X383" s="3386"/>
      <c r="Y383" s="3386"/>
      <c r="Z383" s="3386"/>
      <c r="AA383" s="3386"/>
      <c r="AB383" s="3386"/>
      <c r="AC383" s="3386"/>
      <c r="AD383" s="3386"/>
      <c r="AE383" s="3386"/>
      <c r="AF383" s="3386"/>
      <c r="AG383" s="3386"/>
      <c r="AH383" s="3386"/>
      <c r="AI383" s="3386"/>
      <c r="AJ383" s="3386"/>
      <c r="AK383" s="3386"/>
      <c r="AL383" s="3386"/>
      <c r="AM383" s="3386"/>
      <c r="AN383" s="3386"/>
      <c r="AO383" s="3386"/>
    </row>
    <row r="384" spans="1:41" s="3386" customFormat="1" ht="40.5" customHeight="1">
      <c r="A384" s="3412"/>
      <c r="B384" s="3398"/>
      <c r="C384" s="3398"/>
      <c r="D384" s="3413" t="s">
        <v>4168</v>
      </c>
      <c r="E384" s="3398"/>
      <c r="F384" s="3399"/>
      <c r="G384" s="272"/>
      <c r="H384" s="3414"/>
      <c r="I384" s="3415"/>
      <c r="J384" s="3416"/>
      <c r="K384" s="3417"/>
    </row>
    <row r="385" spans="1:41" s="3390" customFormat="1" ht="13.5" customHeight="1">
      <c r="A385" s="3396" t="s">
        <v>4189</v>
      </c>
      <c r="B385" s="3397">
        <v>721</v>
      </c>
      <c r="C385" s="3398" t="s">
        <v>4190</v>
      </c>
      <c r="D385" s="3398" t="s">
        <v>4191</v>
      </c>
      <c r="E385" s="3398" t="s">
        <v>205</v>
      </c>
      <c r="F385" s="3399">
        <f>ROUND(SUM(F387),3)</f>
        <v>1</v>
      </c>
      <c r="G385" s="271"/>
      <c r="H385" s="2445">
        <f>ROUND(F385*G385,2)</f>
        <v>0</v>
      </c>
      <c r="I385" s="3356" t="s">
        <v>112</v>
      </c>
      <c r="J385" s="3401"/>
      <c r="K385" s="3402"/>
      <c r="L385" s="3403"/>
      <c r="M385" s="3386"/>
      <c r="N385" s="3386"/>
      <c r="O385" s="3386"/>
      <c r="P385" s="3386"/>
      <c r="Q385" s="3386"/>
      <c r="R385" s="3386"/>
      <c r="S385" s="3404"/>
      <c r="T385" s="3386"/>
      <c r="U385" s="3386"/>
      <c r="V385" s="3386"/>
      <c r="W385" s="3386"/>
      <c r="X385" s="3386"/>
      <c r="Y385" s="3386"/>
      <c r="Z385" s="3386"/>
      <c r="AA385" s="3386"/>
      <c r="AB385" s="3386"/>
      <c r="AC385" s="3386"/>
      <c r="AD385" s="3386"/>
      <c r="AE385" s="3386"/>
      <c r="AF385" s="3386"/>
      <c r="AG385" s="3386"/>
      <c r="AH385" s="3386"/>
      <c r="AI385" s="3386"/>
      <c r="AJ385" s="3386"/>
      <c r="AK385" s="3386"/>
      <c r="AL385" s="3386"/>
      <c r="AM385" s="3386"/>
      <c r="AN385" s="3386"/>
      <c r="AO385" s="3386"/>
    </row>
    <row r="386" spans="1:41" s="3390" customFormat="1" ht="13.5" customHeight="1">
      <c r="A386" s="3396"/>
      <c r="B386" s="3398"/>
      <c r="C386" s="3398"/>
      <c r="D386" s="3398" t="s">
        <v>4192</v>
      </c>
      <c r="E386" s="3398"/>
      <c r="F386" s="3399"/>
      <c r="G386" s="271"/>
      <c r="H386" s="3400"/>
      <c r="I386" s="3405"/>
      <c r="J386" s="3406"/>
      <c r="K386" s="3402"/>
      <c r="L386" s="3407"/>
      <c r="T386" s="3386"/>
      <c r="U386" s="3408"/>
      <c r="V386" s="3409"/>
      <c r="W386" s="3386"/>
      <c r="X386" s="3386"/>
      <c r="Y386" s="3386"/>
      <c r="Z386" s="3386"/>
      <c r="AA386" s="3386"/>
      <c r="AB386" s="3386"/>
      <c r="AC386" s="3386"/>
      <c r="AD386" s="3386"/>
      <c r="AE386" s="3386"/>
      <c r="AF386" s="3386"/>
      <c r="AG386" s="3386"/>
      <c r="AH386" s="3386"/>
      <c r="AI386" s="3386"/>
      <c r="AJ386" s="3386"/>
      <c r="AK386" s="3386"/>
      <c r="AL386" s="3386"/>
      <c r="AM386" s="3386"/>
      <c r="AN386" s="3386"/>
      <c r="AO386" s="3386"/>
    </row>
    <row r="387" spans="1:41" s="3390" customFormat="1" ht="13.5" customHeight="1">
      <c r="A387" s="3396"/>
      <c r="B387" s="3398"/>
      <c r="C387" s="3398"/>
      <c r="D387" s="3398" t="s">
        <v>4193</v>
      </c>
      <c r="E387" s="3398"/>
      <c r="F387" s="3399">
        <v>1</v>
      </c>
      <c r="G387" s="271"/>
      <c r="H387" s="3400"/>
      <c r="I387" s="3405"/>
      <c r="J387" s="3406"/>
      <c r="K387" s="3402"/>
      <c r="L387" s="3407"/>
      <c r="T387" s="3386"/>
      <c r="U387" s="3408"/>
      <c r="V387" s="3409"/>
      <c r="W387" s="3386"/>
      <c r="X387" s="3386"/>
      <c r="Y387" s="3386"/>
      <c r="Z387" s="3386"/>
      <c r="AA387" s="3386"/>
      <c r="AB387" s="3386"/>
      <c r="AC387" s="3386"/>
      <c r="AD387" s="3386"/>
      <c r="AE387" s="3386"/>
      <c r="AF387" s="3386"/>
      <c r="AG387" s="3386"/>
      <c r="AH387" s="3386"/>
      <c r="AI387" s="3386"/>
      <c r="AJ387" s="3386"/>
      <c r="AK387" s="3386"/>
      <c r="AL387" s="3386"/>
      <c r="AM387" s="3386"/>
      <c r="AN387" s="3386"/>
      <c r="AO387" s="3386"/>
    </row>
    <row r="388" spans="1:41" s="3386" customFormat="1" ht="40.5" customHeight="1">
      <c r="A388" s="3412"/>
      <c r="B388" s="3398"/>
      <c r="C388" s="3398"/>
      <c r="D388" s="3413" t="s">
        <v>4168</v>
      </c>
      <c r="E388" s="3398"/>
      <c r="F388" s="3399"/>
      <c r="G388" s="272"/>
      <c r="H388" s="3414"/>
      <c r="I388" s="3415"/>
      <c r="J388" s="3416"/>
      <c r="K388" s="3417"/>
    </row>
    <row r="389" spans="1:41" s="3390" customFormat="1" ht="13.5" customHeight="1">
      <c r="A389" s="3396" t="s">
        <v>4194</v>
      </c>
      <c r="B389" s="3397">
        <v>721</v>
      </c>
      <c r="C389" s="3398" t="s">
        <v>4195</v>
      </c>
      <c r="D389" s="3398" t="s">
        <v>4196</v>
      </c>
      <c r="E389" s="3398" t="s">
        <v>205</v>
      </c>
      <c r="F389" s="3399">
        <f>ROUND(SUM(F391),3)</f>
        <v>1</v>
      </c>
      <c r="G389" s="271"/>
      <c r="H389" s="2445">
        <f>ROUND(F389*G389,2)</f>
        <v>0</v>
      </c>
      <c r="I389" s="3356" t="s">
        <v>112</v>
      </c>
      <c r="J389" s="3401"/>
      <c r="K389" s="3402"/>
      <c r="L389" s="3403"/>
      <c r="M389" s="3386"/>
      <c r="N389" s="3386"/>
      <c r="O389" s="3386"/>
      <c r="P389" s="3386"/>
      <c r="Q389" s="3386"/>
      <c r="R389" s="3386"/>
      <c r="S389" s="3404"/>
      <c r="T389" s="3386"/>
      <c r="U389" s="3386"/>
      <c r="V389" s="3386"/>
      <c r="W389" s="3386"/>
      <c r="X389" s="3386"/>
      <c r="Y389" s="3386"/>
      <c r="Z389" s="3386"/>
      <c r="AA389" s="3386"/>
      <c r="AB389" s="3386"/>
      <c r="AC389" s="3386"/>
      <c r="AD389" s="3386"/>
      <c r="AE389" s="3386"/>
      <c r="AF389" s="3386"/>
      <c r="AG389" s="3386"/>
      <c r="AH389" s="3386"/>
      <c r="AI389" s="3386"/>
      <c r="AJ389" s="3386"/>
      <c r="AK389" s="3386"/>
      <c r="AL389" s="3386"/>
      <c r="AM389" s="3386"/>
      <c r="AN389" s="3386"/>
      <c r="AO389" s="3386"/>
    </row>
    <row r="390" spans="1:41" s="3390" customFormat="1" ht="13.5" customHeight="1">
      <c r="A390" s="3396"/>
      <c r="B390" s="3398"/>
      <c r="C390" s="3398"/>
      <c r="D390" s="3398" t="s">
        <v>4197</v>
      </c>
      <c r="E390" s="3398"/>
      <c r="F390" s="3399"/>
      <c r="G390" s="271"/>
      <c r="H390" s="3400"/>
      <c r="I390" s="3405"/>
      <c r="J390" s="3406"/>
      <c r="K390" s="3402"/>
      <c r="L390" s="3407"/>
      <c r="T390" s="3386"/>
      <c r="U390" s="3408"/>
      <c r="V390" s="3409"/>
      <c r="W390" s="3386"/>
      <c r="X390" s="3386"/>
      <c r="Y390" s="3386"/>
      <c r="Z390" s="3386"/>
      <c r="AA390" s="3386"/>
      <c r="AB390" s="3386"/>
      <c r="AC390" s="3386"/>
      <c r="AD390" s="3386"/>
      <c r="AE390" s="3386"/>
      <c r="AF390" s="3386"/>
      <c r="AG390" s="3386"/>
      <c r="AH390" s="3386"/>
      <c r="AI390" s="3386"/>
      <c r="AJ390" s="3386"/>
      <c r="AK390" s="3386"/>
      <c r="AL390" s="3386"/>
      <c r="AM390" s="3386"/>
      <c r="AN390" s="3386"/>
      <c r="AO390" s="3386"/>
    </row>
    <row r="391" spans="1:41" s="3390" customFormat="1" ht="13.5" customHeight="1">
      <c r="A391" s="3396"/>
      <c r="B391" s="3398"/>
      <c r="C391" s="3398"/>
      <c r="D391" s="3398" t="s">
        <v>4198</v>
      </c>
      <c r="E391" s="3398"/>
      <c r="F391" s="3399">
        <v>1</v>
      </c>
      <c r="G391" s="271"/>
      <c r="H391" s="3400"/>
      <c r="I391" s="3405"/>
      <c r="J391" s="3406"/>
      <c r="K391" s="3410"/>
      <c r="L391" s="3419"/>
      <c r="T391" s="3386"/>
      <c r="U391" s="3408"/>
      <c r="V391" s="3409"/>
      <c r="W391" s="3386"/>
      <c r="X391" s="3386"/>
      <c r="Y391" s="3386"/>
      <c r="Z391" s="3386"/>
      <c r="AA391" s="3386"/>
      <c r="AB391" s="3386"/>
      <c r="AC391" s="3386"/>
      <c r="AD391" s="3386"/>
      <c r="AE391" s="3386"/>
      <c r="AF391" s="3386"/>
      <c r="AG391" s="3386"/>
      <c r="AH391" s="3386"/>
      <c r="AI391" s="3386"/>
      <c r="AJ391" s="3386"/>
      <c r="AK391" s="3386"/>
      <c r="AL391" s="3386"/>
      <c r="AM391" s="3386"/>
      <c r="AN391" s="3386"/>
      <c r="AO391" s="3386"/>
    </row>
    <row r="392" spans="1:41" s="3386" customFormat="1" ht="40.5" customHeight="1">
      <c r="A392" s="3412"/>
      <c r="B392" s="3398"/>
      <c r="C392" s="3398"/>
      <c r="D392" s="3413" t="s">
        <v>4168</v>
      </c>
      <c r="E392" s="3398"/>
      <c r="F392" s="3399"/>
      <c r="G392" s="272"/>
      <c r="H392" s="3414"/>
      <c r="I392" s="3415"/>
      <c r="J392" s="3416"/>
      <c r="K392" s="3417"/>
    </row>
    <row r="393" spans="1:41" s="3390" customFormat="1" ht="13.5" customHeight="1">
      <c r="A393" s="3396" t="s">
        <v>4199</v>
      </c>
      <c r="B393" s="3397">
        <v>721</v>
      </c>
      <c r="C393" s="3398" t="s">
        <v>4200</v>
      </c>
      <c r="D393" s="3398" t="s">
        <v>4201</v>
      </c>
      <c r="E393" s="3398" t="s">
        <v>205</v>
      </c>
      <c r="F393" s="3399">
        <f>ROUND(SUM(F395),3)</f>
        <v>1</v>
      </c>
      <c r="G393" s="271"/>
      <c r="H393" s="2445">
        <f>ROUND(F393*G393,2)</f>
        <v>0</v>
      </c>
      <c r="I393" s="3356" t="s">
        <v>112</v>
      </c>
      <c r="J393" s="3401"/>
      <c r="K393" s="3402"/>
      <c r="L393" s="3403"/>
      <c r="M393" s="3386"/>
      <c r="N393" s="3386"/>
      <c r="O393" s="3386"/>
      <c r="P393" s="3386"/>
      <c r="Q393" s="3386"/>
      <c r="R393" s="3386"/>
      <c r="S393" s="3404"/>
      <c r="T393" s="3386"/>
      <c r="U393" s="3386"/>
      <c r="V393" s="3386"/>
      <c r="W393" s="3386"/>
      <c r="X393" s="3386"/>
      <c r="Y393" s="3386"/>
      <c r="Z393" s="3386"/>
      <c r="AA393" s="3386"/>
      <c r="AB393" s="3386"/>
      <c r="AC393" s="3386"/>
      <c r="AD393" s="3386"/>
      <c r="AE393" s="3386"/>
      <c r="AF393" s="3386"/>
      <c r="AG393" s="3386"/>
      <c r="AH393" s="3386"/>
      <c r="AI393" s="3386"/>
      <c r="AJ393" s="3386"/>
      <c r="AK393" s="3386"/>
      <c r="AL393" s="3386"/>
      <c r="AM393" s="3386"/>
      <c r="AN393" s="3386"/>
      <c r="AO393" s="3386"/>
    </row>
    <row r="394" spans="1:41" s="3390" customFormat="1" ht="13.5" customHeight="1">
      <c r="A394" s="3396"/>
      <c r="B394" s="3398"/>
      <c r="C394" s="3398"/>
      <c r="D394" s="3398" t="s">
        <v>4202</v>
      </c>
      <c r="E394" s="3398"/>
      <c r="F394" s="3399"/>
      <c r="G394" s="271"/>
      <c r="H394" s="3400"/>
      <c r="I394" s="3405"/>
      <c r="J394" s="3406"/>
      <c r="K394" s="3402"/>
      <c r="L394" s="3407"/>
      <c r="T394" s="3386"/>
      <c r="U394" s="3408"/>
      <c r="V394" s="3409"/>
      <c r="W394" s="3386"/>
      <c r="X394" s="3386"/>
      <c r="Y394" s="3386"/>
      <c r="Z394" s="3386"/>
      <c r="AA394" s="3386"/>
      <c r="AB394" s="3386"/>
      <c r="AC394" s="3386"/>
      <c r="AD394" s="3386"/>
      <c r="AE394" s="3386"/>
      <c r="AF394" s="3386"/>
      <c r="AG394" s="3386"/>
      <c r="AH394" s="3386"/>
      <c r="AI394" s="3386"/>
      <c r="AJ394" s="3386"/>
      <c r="AK394" s="3386"/>
      <c r="AL394" s="3386"/>
      <c r="AM394" s="3386"/>
      <c r="AN394" s="3386"/>
      <c r="AO394" s="3386"/>
    </row>
    <row r="395" spans="1:41" s="3390" customFormat="1" ht="13.5" customHeight="1">
      <c r="A395" s="3396"/>
      <c r="B395" s="3398"/>
      <c r="C395" s="3398"/>
      <c r="D395" s="3398" t="s">
        <v>4198</v>
      </c>
      <c r="E395" s="3398"/>
      <c r="F395" s="3399">
        <v>1</v>
      </c>
      <c r="G395" s="271"/>
      <c r="H395" s="3400"/>
      <c r="I395" s="3405"/>
      <c r="J395" s="3406"/>
      <c r="K395" s="3402"/>
      <c r="L395" s="3407"/>
      <c r="T395" s="3386"/>
      <c r="U395" s="3408"/>
      <c r="V395" s="3409"/>
      <c r="W395" s="3386"/>
      <c r="X395" s="3386"/>
      <c r="Y395" s="3386"/>
      <c r="Z395" s="3386"/>
      <c r="AA395" s="3386"/>
      <c r="AB395" s="3386"/>
      <c r="AC395" s="3386"/>
      <c r="AD395" s="3386"/>
      <c r="AE395" s="3386"/>
      <c r="AF395" s="3386"/>
      <c r="AG395" s="3386"/>
      <c r="AH395" s="3386"/>
      <c r="AI395" s="3386"/>
      <c r="AJ395" s="3386"/>
      <c r="AK395" s="3386"/>
      <c r="AL395" s="3386"/>
      <c r="AM395" s="3386"/>
      <c r="AN395" s="3386"/>
      <c r="AO395" s="3386"/>
    </row>
    <row r="396" spans="1:41" s="3386" customFormat="1" ht="40.5" customHeight="1">
      <c r="A396" s="3412"/>
      <c r="B396" s="3398"/>
      <c r="C396" s="3398"/>
      <c r="D396" s="3413" t="s">
        <v>4168</v>
      </c>
      <c r="E396" s="3398"/>
      <c r="F396" s="3399"/>
      <c r="G396" s="272"/>
      <c r="H396" s="3414"/>
      <c r="I396" s="3415"/>
      <c r="J396" s="3416"/>
      <c r="K396" s="3417"/>
    </row>
    <row r="397" spans="1:41" s="3390" customFormat="1" ht="22.5">
      <c r="A397" s="3396" t="s">
        <v>4203</v>
      </c>
      <c r="B397" s="3397">
        <v>721</v>
      </c>
      <c r="C397" s="3398" t="s">
        <v>4204</v>
      </c>
      <c r="D397" s="3398" t="s">
        <v>4205</v>
      </c>
      <c r="E397" s="3398" t="s">
        <v>205</v>
      </c>
      <c r="F397" s="3399">
        <f>ROUND(SUM(F399),3)</f>
        <v>1</v>
      </c>
      <c r="G397" s="271"/>
      <c r="H397" s="2445">
        <f>ROUND(F397*G397,2)</f>
        <v>0</v>
      </c>
      <c r="I397" s="3356" t="s">
        <v>112</v>
      </c>
      <c r="J397" s="3401"/>
      <c r="K397" s="3402"/>
      <c r="L397" s="3403"/>
      <c r="M397" s="3386"/>
      <c r="N397" s="3386"/>
      <c r="O397" s="3386"/>
      <c r="P397" s="3386"/>
      <c r="Q397" s="3386"/>
      <c r="R397" s="3386"/>
      <c r="S397" s="3404"/>
      <c r="T397" s="3386"/>
      <c r="U397" s="3386"/>
      <c r="V397" s="3386"/>
      <c r="W397" s="3386"/>
      <c r="X397" s="3386"/>
      <c r="Y397" s="3386"/>
      <c r="Z397" s="3386"/>
      <c r="AA397" s="3386"/>
      <c r="AB397" s="3386"/>
      <c r="AC397" s="3386"/>
      <c r="AD397" s="3386"/>
      <c r="AE397" s="3386"/>
      <c r="AF397" s="3386"/>
      <c r="AG397" s="3386"/>
      <c r="AH397" s="3386"/>
      <c r="AI397" s="3386"/>
      <c r="AJ397" s="3386"/>
      <c r="AK397" s="3386"/>
      <c r="AL397" s="3386"/>
      <c r="AM397" s="3386"/>
      <c r="AN397" s="3386"/>
      <c r="AO397" s="3386"/>
    </row>
    <row r="398" spans="1:41" s="3390" customFormat="1" ht="13.5" customHeight="1">
      <c r="A398" s="3396"/>
      <c r="B398" s="3398"/>
      <c r="C398" s="3398"/>
      <c r="D398" s="3398" t="s">
        <v>4206</v>
      </c>
      <c r="E398" s="3398"/>
      <c r="F398" s="3399"/>
      <c r="G398" s="271"/>
      <c r="H398" s="3400"/>
      <c r="I398" s="3405"/>
      <c r="J398" s="3406"/>
      <c r="K398" s="3402"/>
      <c r="L398" s="3407"/>
      <c r="T398" s="3386"/>
      <c r="U398" s="3408"/>
      <c r="V398" s="3409"/>
      <c r="W398" s="3386"/>
      <c r="X398" s="3386"/>
      <c r="Y398" s="3386"/>
      <c r="Z398" s="3386"/>
      <c r="AA398" s="3386"/>
      <c r="AB398" s="3386"/>
      <c r="AC398" s="3386"/>
      <c r="AD398" s="3386"/>
      <c r="AE398" s="3386"/>
      <c r="AF398" s="3386"/>
      <c r="AG398" s="3386"/>
      <c r="AH398" s="3386"/>
      <c r="AI398" s="3386"/>
      <c r="AJ398" s="3386"/>
      <c r="AK398" s="3386"/>
      <c r="AL398" s="3386"/>
      <c r="AM398" s="3386"/>
      <c r="AN398" s="3386"/>
      <c r="AO398" s="3386"/>
    </row>
    <row r="399" spans="1:41" s="3390" customFormat="1" ht="13.5" customHeight="1">
      <c r="A399" s="3396"/>
      <c r="B399" s="3398"/>
      <c r="C399" s="3398"/>
      <c r="D399" s="3398" t="s">
        <v>4207</v>
      </c>
      <c r="E399" s="3398"/>
      <c r="F399" s="3399">
        <v>1</v>
      </c>
      <c r="G399" s="271"/>
      <c r="H399" s="3400"/>
      <c r="I399" s="3405"/>
      <c r="J399" s="3406"/>
      <c r="K399" s="3410"/>
      <c r="L399" s="3407"/>
      <c r="T399" s="3386"/>
      <c r="U399" s="3408"/>
      <c r="V399" s="3409"/>
      <c r="W399" s="3386"/>
      <c r="X399" s="3386"/>
      <c r="Y399" s="3386"/>
      <c r="Z399" s="3386"/>
      <c r="AA399" s="3386"/>
      <c r="AB399" s="3386"/>
      <c r="AC399" s="3386"/>
      <c r="AD399" s="3386"/>
      <c r="AE399" s="3386"/>
      <c r="AF399" s="3386"/>
      <c r="AG399" s="3386"/>
      <c r="AH399" s="3386"/>
      <c r="AI399" s="3386"/>
      <c r="AJ399" s="3386"/>
      <c r="AK399" s="3386"/>
      <c r="AL399" s="3386"/>
      <c r="AM399" s="3386"/>
      <c r="AN399" s="3386"/>
      <c r="AO399" s="3386"/>
    </row>
    <row r="400" spans="1:41" s="3386" customFormat="1" ht="40.5" customHeight="1">
      <c r="A400" s="3412"/>
      <c r="B400" s="3398"/>
      <c r="C400" s="3398"/>
      <c r="D400" s="3413" t="s">
        <v>4168</v>
      </c>
      <c r="E400" s="3398"/>
      <c r="F400" s="3399"/>
      <c r="G400" s="272"/>
      <c r="H400" s="3414"/>
      <c r="I400" s="3415"/>
      <c r="J400" s="3416"/>
      <c r="K400" s="3417"/>
    </row>
    <row r="401" spans="1:41" s="3390" customFormat="1" ht="27" customHeight="1">
      <c r="A401" s="3396" t="s">
        <v>4208</v>
      </c>
      <c r="B401" s="3397">
        <v>721</v>
      </c>
      <c r="C401" s="3398" t="s">
        <v>4209</v>
      </c>
      <c r="D401" s="3398" t="s">
        <v>4210</v>
      </c>
      <c r="E401" s="3398" t="s">
        <v>205</v>
      </c>
      <c r="F401" s="3399">
        <f>ROUND(SUM(F403),3)</f>
        <v>1</v>
      </c>
      <c r="G401" s="271"/>
      <c r="H401" s="2445">
        <f>ROUND(F401*G401,2)</f>
        <v>0</v>
      </c>
      <c r="I401" s="3356" t="s">
        <v>112</v>
      </c>
      <c r="J401" s="3401"/>
      <c r="K401" s="3402"/>
      <c r="L401" s="3403"/>
      <c r="M401" s="3386"/>
      <c r="N401" s="3386"/>
      <c r="O401" s="3386"/>
      <c r="P401" s="3386"/>
      <c r="Q401" s="3386"/>
      <c r="R401" s="3386"/>
      <c r="S401" s="3404"/>
      <c r="T401" s="3386"/>
      <c r="U401" s="3386"/>
      <c r="V401" s="3386"/>
      <c r="W401" s="3386"/>
      <c r="X401" s="3386"/>
      <c r="Y401" s="3386"/>
      <c r="Z401" s="3386"/>
      <c r="AA401" s="3386"/>
      <c r="AB401" s="3386"/>
      <c r="AC401" s="3386"/>
      <c r="AD401" s="3386"/>
      <c r="AE401" s="3386"/>
      <c r="AF401" s="3386"/>
      <c r="AG401" s="3386"/>
      <c r="AH401" s="3386"/>
      <c r="AI401" s="3386"/>
      <c r="AJ401" s="3386"/>
      <c r="AK401" s="3386"/>
      <c r="AL401" s="3386"/>
      <c r="AM401" s="3386"/>
      <c r="AN401" s="3386"/>
      <c r="AO401" s="3386"/>
    </row>
    <row r="402" spans="1:41" s="3390" customFormat="1" ht="13.5" customHeight="1">
      <c r="A402" s="3396"/>
      <c r="B402" s="3398"/>
      <c r="C402" s="3398"/>
      <c r="D402" s="3398" t="s">
        <v>4211</v>
      </c>
      <c r="E402" s="3398"/>
      <c r="F402" s="3399"/>
      <c r="G402" s="271"/>
      <c r="H402" s="3400"/>
      <c r="I402" s="3405"/>
      <c r="J402" s="3406"/>
      <c r="K402" s="3402"/>
      <c r="L402" s="3407"/>
      <c r="T402" s="3386"/>
      <c r="U402" s="3408"/>
      <c r="V402" s="3409"/>
      <c r="W402" s="3386"/>
      <c r="X402" s="3386"/>
      <c r="Y402" s="3386"/>
      <c r="Z402" s="3386"/>
      <c r="AA402" s="3386"/>
      <c r="AB402" s="3386"/>
      <c r="AC402" s="3386"/>
      <c r="AD402" s="3386"/>
      <c r="AE402" s="3386"/>
      <c r="AF402" s="3386"/>
      <c r="AG402" s="3386"/>
      <c r="AH402" s="3386"/>
      <c r="AI402" s="3386"/>
      <c r="AJ402" s="3386"/>
      <c r="AK402" s="3386"/>
      <c r="AL402" s="3386"/>
      <c r="AM402" s="3386"/>
      <c r="AN402" s="3386"/>
      <c r="AO402" s="3386"/>
    </row>
    <row r="403" spans="1:41" s="3390" customFormat="1" ht="13.5" customHeight="1">
      <c r="A403" s="3396"/>
      <c r="B403" s="3398"/>
      <c r="C403" s="3398"/>
      <c r="D403" s="3398" t="s">
        <v>4179</v>
      </c>
      <c r="E403" s="3398"/>
      <c r="F403" s="3399">
        <v>1</v>
      </c>
      <c r="G403" s="271"/>
      <c r="H403" s="3400"/>
      <c r="I403" s="3405"/>
      <c r="J403" s="3406"/>
      <c r="K403" s="3402"/>
      <c r="L403" s="3407"/>
      <c r="T403" s="3386"/>
      <c r="U403" s="3408"/>
      <c r="V403" s="3409"/>
      <c r="W403" s="3386"/>
      <c r="X403" s="3386"/>
      <c r="Y403" s="3386"/>
      <c r="Z403" s="3386"/>
      <c r="AA403" s="3386"/>
      <c r="AB403" s="3386"/>
      <c r="AC403" s="3386"/>
      <c r="AD403" s="3386"/>
      <c r="AE403" s="3386"/>
      <c r="AF403" s="3386"/>
      <c r="AG403" s="3386"/>
      <c r="AH403" s="3386"/>
      <c r="AI403" s="3386"/>
      <c r="AJ403" s="3386"/>
      <c r="AK403" s="3386"/>
      <c r="AL403" s="3386"/>
      <c r="AM403" s="3386"/>
      <c r="AN403" s="3386"/>
      <c r="AO403" s="3386"/>
    </row>
    <row r="404" spans="1:41" s="3386" customFormat="1" ht="40.5" customHeight="1">
      <c r="A404" s="3412"/>
      <c r="B404" s="3398"/>
      <c r="C404" s="3398"/>
      <c r="D404" s="3413" t="s">
        <v>4168</v>
      </c>
      <c r="E404" s="3398"/>
      <c r="F404" s="3399"/>
      <c r="G404" s="272"/>
      <c r="H404" s="3414"/>
      <c r="I404" s="3415"/>
      <c r="J404" s="3416"/>
      <c r="K404" s="3417"/>
    </row>
    <row r="405" spans="1:41" s="3390" customFormat="1" ht="13.5" customHeight="1">
      <c r="A405" s="3396" t="s">
        <v>4212</v>
      </c>
      <c r="B405" s="3397">
        <v>721</v>
      </c>
      <c r="C405" s="3398" t="s">
        <v>4213</v>
      </c>
      <c r="D405" s="3398" t="s">
        <v>4214</v>
      </c>
      <c r="E405" s="3398" t="s">
        <v>205</v>
      </c>
      <c r="F405" s="3399">
        <f>ROUND(SUM(F407),3)</f>
        <v>1</v>
      </c>
      <c r="G405" s="271"/>
      <c r="H405" s="2445">
        <f>ROUND(F405*G405,2)</f>
        <v>0</v>
      </c>
      <c r="I405" s="3356" t="s">
        <v>112</v>
      </c>
      <c r="J405" s="3401"/>
      <c r="K405" s="3402"/>
      <c r="L405" s="3403"/>
      <c r="M405" s="3386"/>
      <c r="N405" s="3386"/>
      <c r="O405" s="3386"/>
      <c r="P405" s="3386"/>
      <c r="Q405" s="3386"/>
      <c r="R405" s="3386"/>
      <c r="S405" s="3404"/>
      <c r="T405" s="3386"/>
      <c r="U405" s="3386"/>
      <c r="V405" s="3386"/>
      <c r="W405" s="3386"/>
      <c r="X405" s="3386"/>
      <c r="Y405" s="3386"/>
      <c r="Z405" s="3386"/>
      <c r="AA405" s="3386"/>
      <c r="AB405" s="3386"/>
      <c r="AC405" s="3386"/>
      <c r="AD405" s="3386"/>
      <c r="AE405" s="3386"/>
      <c r="AF405" s="3386"/>
      <c r="AG405" s="3386"/>
      <c r="AH405" s="3386"/>
      <c r="AI405" s="3386"/>
      <c r="AJ405" s="3386"/>
      <c r="AK405" s="3386"/>
      <c r="AL405" s="3386"/>
      <c r="AM405" s="3386"/>
      <c r="AN405" s="3386"/>
      <c r="AO405" s="3386"/>
    </row>
    <row r="406" spans="1:41" s="3390" customFormat="1" ht="13.5" customHeight="1">
      <c r="A406" s="3396"/>
      <c r="B406" s="3398"/>
      <c r="C406" s="3398"/>
      <c r="D406" s="3398" t="s">
        <v>4215</v>
      </c>
      <c r="E406" s="3398"/>
      <c r="F406" s="3399"/>
      <c r="G406" s="271"/>
      <c r="H406" s="3400"/>
      <c r="I406" s="3405"/>
      <c r="J406" s="3406"/>
      <c r="K406" s="3402"/>
      <c r="L406" s="3407"/>
      <c r="T406" s="3386"/>
      <c r="U406" s="3408"/>
      <c r="V406" s="3409"/>
      <c r="W406" s="3386"/>
      <c r="X406" s="3386"/>
      <c r="Y406" s="3386"/>
      <c r="Z406" s="3386"/>
      <c r="AA406" s="3386"/>
      <c r="AB406" s="3386"/>
      <c r="AC406" s="3386"/>
      <c r="AD406" s="3386"/>
      <c r="AE406" s="3386"/>
      <c r="AF406" s="3386"/>
      <c r="AG406" s="3386"/>
      <c r="AH406" s="3386"/>
      <c r="AI406" s="3386"/>
      <c r="AJ406" s="3386"/>
      <c r="AK406" s="3386"/>
      <c r="AL406" s="3386"/>
      <c r="AM406" s="3386"/>
      <c r="AN406" s="3386"/>
      <c r="AO406" s="3386"/>
    </row>
    <row r="407" spans="1:41" s="3390" customFormat="1" ht="13.5" customHeight="1">
      <c r="A407" s="3396"/>
      <c r="B407" s="3398"/>
      <c r="C407" s="3398"/>
      <c r="D407" s="3398" t="s">
        <v>4215</v>
      </c>
      <c r="E407" s="3398"/>
      <c r="F407" s="3399">
        <v>1</v>
      </c>
      <c r="G407" s="271"/>
      <c r="H407" s="3400"/>
      <c r="I407" s="3405"/>
      <c r="J407" s="3406"/>
      <c r="K407" s="3402"/>
      <c r="L407" s="3407"/>
      <c r="T407" s="3386"/>
      <c r="U407" s="3408"/>
      <c r="V407" s="3409"/>
      <c r="W407" s="3386"/>
      <c r="X407" s="3386"/>
      <c r="Y407" s="3386"/>
      <c r="Z407" s="3386"/>
      <c r="AA407" s="3386"/>
      <c r="AB407" s="3386"/>
      <c r="AC407" s="3386"/>
      <c r="AD407" s="3386"/>
      <c r="AE407" s="3386"/>
      <c r="AF407" s="3386"/>
      <c r="AG407" s="3386"/>
      <c r="AH407" s="3386"/>
      <c r="AI407" s="3386"/>
      <c r="AJ407" s="3386"/>
      <c r="AK407" s="3386"/>
      <c r="AL407" s="3386"/>
      <c r="AM407" s="3386"/>
      <c r="AN407" s="3386"/>
      <c r="AO407" s="3386"/>
    </row>
    <row r="408" spans="1:41" s="3386" customFormat="1" ht="40.5" customHeight="1">
      <c r="A408" s="3412"/>
      <c r="B408" s="3398"/>
      <c r="C408" s="3398"/>
      <c r="D408" s="3413" t="s">
        <v>4168</v>
      </c>
      <c r="E408" s="3398"/>
      <c r="F408" s="3399"/>
      <c r="G408" s="272"/>
      <c r="H408" s="3414"/>
      <c r="I408" s="3415"/>
      <c r="J408" s="3416"/>
      <c r="K408" s="3417"/>
    </row>
    <row r="409" spans="1:41" s="3390" customFormat="1" ht="13.5" customHeight="1">
      <c r="A409" s="3396" t="s">
        <v>4216</v>
      </c>
      <c r="B409" s="3397">
        <v>721</v>
      </c>
      <c r="C409" s="3398" t="s">
        <v>4217</v>
      </c>
      <c r="D409" s="3398" t="s">
        <v>4218</v>
      </c>
      <c r="E409" s="3398" t="s">
        <v>205</v>
      </c>
      <c r="F409" s="3399">
        <f>ROUND(SUM(F411),3)</f>
        <v>1</v>
      </c>
      <c r="G409" s="271"/>
      <c r="H409" s="2445">
        <f>ROUND(F409*G409,2)</f>
        <v>0</v>
      </c>
      <c r="I409" s="3356" t="s">
        <v>112</v>
      </c>
      <c r="J409" s="3401"/>
      <c r="K409" s="3402"/>
      <c r="L409" s="3403"/>
      <c r="M409" s="3386"/>
      <c r="N409" s="3386"/>
      <c r="O409" s="3386"/>
      <c r="P409" s="3386"/>
      <c r="Q409" s="3386"/>
      <c r="R409" s="3386"/>
      <c r="S409" s="3404"/>
      <c r="T409" s="3386"/>
      <c r="U409" s="3386"/>
      <c r="V409" s="3386"/>
      <c r="W409" s="3386"/>
      <c r="X409" s="3386"/>
      <c r="Y409" s="3386"/>
      <c r="Z409" s="3386"/>
      <c r="AA409" s="3386"/>
      <c r="AB409" s="3386"/>
      <c r="AC409" s="3386"/>
      <c r="AD409" s="3386"/>
      <c r="AE409" s="3386"/>
      <c r="AF409" s="3386"/>
      <c r="AG409" s="3386"/>
      <c r="AH409" s="3386"/>
      <c r="AI409" s="3386"/>
      <c r="AJ409" s="3386"/>
      <c r="AK409" s="3386"/>
      <c r="AL409" s="3386"/>
      <c r="AM409" s="3386"/>
      <c r="AN409" s="3386"/>
      <c r="AO409" s="3386"/>
    </row>
    <row r="410" spans="1:41" s="3390" customFormat="1" ht="13.5" customHeight="1">
      <c r="A410" s="3396"/>
      <c r="B410" s="3398"/>
      <c r="C410" s="3398"/>
      <c r="D410" s="3398" t="s">
        <v>4219</v>
      </c>
      <c r="E410" s="3398"/>
      <c r="F410" s="3399"/>
      <c r="G410" s="271"/>
      <c r="H410" s="3400"/>
      <c r="I410" s="3405"/>
      <c r="J410" s="3406"/>
      <c r="K410" s="3402"/>
      <c r="L410" s="3407"/>
      <c r="T410" s="3386"/>
      <c r="U410" s="3408"/>
      <c r="V410" s="3409"/>
      <c r="W410" s="3386"/>
      <c r="X410" s="3386"/>
      <c r="Y410" s="3386"/>
      <c r="Z410" s="3386"/>
      <c r="AA410" s="3386"/>
      <c r="AB410" s="3386"/>
      <c r="AC410" s="3386"/>
      <c r="AD410" s="3386"/>
      <c r="AE410" s="3386"/>
      <c r="AF410" s="3386"/>
      <c r="AG410" s="3386"/>
      <c r="AH410" s="3386"/>
      <c r="AI410" s="3386"/>
      <c r="AJ410" s="3386"/>
      <c r="AK410" s="3386"/>
      <c r="AL410" s="3386"/>
      <c r="AM410" s="3386"/>
      <c r="AN410" s="3386"/>
      <c r="AO410" s="3386"/>
    </row>
    <row r="411" spans="1:41" s="3390" customFormat="1" ht="13.5" customHeight="1">
      <c r="A411" s="3396"/>
      <c r="B411" s="3398"/>
      <c r="C411" s="3398"/>
      <c r="D411" s="3398" t="s">
        <v>4219</v>
      </c>
      <c r="E411" s="3398"/>
      <c r="F411" s="3399">
        <v>1</v>
      </c>
      <c r="G411" s="271"/>
      <c r="H411" s="3400"/>
      <c r="I411" s="3405"/>
      <c r="J411" s="3406"/>
      <c r="K411" s="3402"/>
      <c r="L411" s="3407"/>
      <c r="T411" s="3386"/>
      <c r="U411" s="3408"/>
      <c r="V411" s="3409"/>
      <c r="W411" s="3386"/>
      <c r="X411" s="3386"/>
      <c r="Y411" s="3386"/>
      <c r="Z411" s="3386"/>
      <c r="AA411" s="3386"/>
      <c r="AB411" s="3386"/>
      <c r="AC411" s="3386"/>
      <c r="AD411" s="3386"/>
      <c r="AE411" s="3386"/>
      <c r="AF411" s="3386"/>
      <c r="AG411" s="3386"/>
      <c r="AH411" s="3386"/>
      <c r="AI411" s="3386"/>
      <c r="AJ411" s="3386"/>
      <c r="AK411" s="3386"/>
      <c r="AL411" s="3386"/>
      <c r="AM411" s="3386"/>
      <c r="AN411" s="3386"/>
      <c r="AO411" s="3386"/>
    </row>
    <row r="412" spans="1:41" s="3386" customFormat="1" ht="40.5" customHeight="1">
      <c r="A412" s="3412"/>
      <c r="B412" s="3398"/>
      <c r="C412" s="3398"/>
      <c r="D412" s="3413" t="s">
        <v>4168</v>
      </c>
      <c r="E412" s="3398"/>
      <c r="F412" s="3399"/>
      <c r="G412" s="272"/>
      <c r="H412" s="3414"/>
      <c r="I412" s="3415"/>
      <c r="J412" s="3416"/>
      <c r="K412" s="3417"/>
    </row>
    <row r="413" spans="1:41" s="3390" customFormat="1" ht="27" customHeight="1">
      <c r="A413" s="3396" t="s">
        <v>4220</v>
      </c>
      <c r="B413" s="3397">
        <v>721</v>
      </c>
      <c r="C413" s="3398" t="s">
        <v>4221</v>
      </c>
      <c r="D413" s="3398" t="s">
        <v>4235</v>
      </c>
      <c r="E413" s="3398" t="s">
        <v>205</v>
      </c>
      <c r="F413" s="3399">
        <f>ROUND(SUM(F415),3)</f>
        <v>1</v>
      </c>
      <c r="G413" s="271"/>
      <c r="H413" s="2445">
        <f>ROUND(F413*G413,2)</f>
        <v>0</v>
      </c>
      <c r="I413" s="3356" t="s">
        <v>112</v>
      </c>
      <c r="J413" s="3401"/>
      <c r="K413" s="3402"/>
      <c r="L413" s="3403"/>
      <c r="M413" s="3386"/>
      <c r="N413" s="3386"/>
      <c r="O413" s="3386"/>
      <c r="P413" s="3386"/>
      <c r="Q413" s="3386"/>
      <c r="R413" s="3386"/>
      <c r="S413" s="3404"/>
      <c r="T413" s="3386"/>
      <c r="U413" s="3386"/>
      <c r="V413" s="3386"/>
      <c r="W413" s="3386"/>
      <c r="X413" s="3386"/>
      <c r="Y413" s="3386"/>
      <c r="Z413" s="3386"/>
      <c r="AA413" s="3386"/>
      <c r="AB413" s="3386"/>
      <c r="AC413" s="3386"/>
      <c r="AD413" s="3386"/>
      <c r="AE413" s="3386"/>
      <c r="AF413" s="3386"/>
      <c r="AG413" s="3386"/>
      <c r="AH413" s="3386"/>
      <c r="AI413" s="3386"/>
      <c r="AJ413" s="3386"/>
      <c r="AK413" s="3386"/>
      <c r="AL413" s="3386"/>
      <c r="AM413" s="3386"/>
      <c r="AN413" s="3386"/>
      <c r="AO413" s="3386"/>
    </row>
    <row r="414" spans="1:41" s="3390" customFormat="1" ht="13.5" customHeight="1">
      <c r="A414" s="3396"/>
      <c r="B414" s="3398"/>
      <c r="C414" s="3398"/>
      <c r="D414" s="3398" t="s">
        <v>4222</v>
      </c>
      <c r="E414" s="3398"/>
      <c r="F414" s="3399"/>
      <c r="G414" s="271"/>
      <c r="H414" s="3400"/>
      <c r="I414" s="3405"/>
      <c r="J414" s="3406"/>
      <c r="K414" s="3402"/>
      <c r="L414" s="3407"/>
      <c r="T414" s="3386"/>
      <c r="U414" s="3408"/>
      <c r="V414" s="3409"/>
      <c r="W414" s="3386"/>
      <c r="X414" s="3386"/>
      <c r="Y414" s="3386"/>
      <c r="Z414" s="3386"/>
      <c r="AA414" s="3386"/>
      <c r="AB414" s="3386"/>
      <c r="AC414" s="3386"/>
      <c r="AD414" s="3386"/>
      <c r="AE414" s="3386"/>
      <c r="AF414" s="3386"/>
      <c r="AG414" s="3386"/>
      <c r="AH414" s="3386"/>
      <c r="AI414" s="3386"/>
      <c r="AJ414" s="3386"/>
      <c r="AK414" s="3386"/>
      <c r="AL414" s="3386"/>
      <c r="AM414" s="3386"/>
      <c r="AN414" s="3386"/>
      <c r="AO414" s="3386"/>
    </row>
    <row r="415" spans="1:41" s="3390" customFormat="1" ht="13.5" customHeight="1">
      <c r="A415" s="3396"/>
      <c r="B415" s="3398"/>
      <c r="C415" s="3398"/>
      <c r="D415" s="3398" t="s">
        <v>4223</v>
      </c>
      <c r="E415" s="3398"/>
      <c r="F415" s="3399">
        <v>1</v>
      </c>
      <c r="G415" s="271"/>
      <c r="H415" s="3400"/>
      <c r="I415" s="3405"/>
      <c r="J415" s="3406"/>
      <c r="K415" s="3402"/>
      <c r="L415" s="3407"/>
      <c r="T415" s="3386"/>
      <c r="U415" s="3408"/>
      <c r="V415" s="3409"/>
      <c r="W415" s="3386"/>
      <c r="X415" s="3386"/>
      <c r="Y415" s="3386"/>
      <c r="Z415" s="3386"/>
      <c r="AA415" s="3386"/>
      <c r="AB415" s="3386"/>
      <c r="AC415" s="3386"/>
      <c r="AD415" s="3386"/>
      <c r="AE415" s="3386"/>
      <c r="AF415" s="3386"/>
      <c r="AG415" s="3386"/>
      <c r="AH415" s="3386"/>
      <c r="AI415" s="3386"/>
      <c r="AJ415" s="3386"/>
      <c r="AK415" s="3386"/>
      <c r="AL415" s="3386"/>
      <c r="AM415" s="3386"/>
      <c r="AN415" s="3386"/>
      <c r="AO415" s="3386"/>
    </row>
    <row r="416" spans="1:41" s="3386" customFormat="1" ht="40.5" customHeight="1">
      <c r="A416" s="3412"/>
      <c r="B416" s="3398"/>
      <c r="C416" s="3398"/>
      <c r="D416" s="3413" t="s">
        <v>4168</v>
      </c>
      <c r="E416" s="3398"/>
      <c r="F416" s="3399"/>
      <c r="G416" s="272"/>
      <c r="H416" s="3414"/>
      <c r="I416" s="3415"/>
      <c r="J416" s="3416"/>
      <c r="K416" s="3417"/>
    </row>
    <row r="417" spans="1:97" s="3390" customFormat="1" ht="13.5" customHeight="1">
      <c r="A417" s="3396" t="s">
        <v>4224</v>
      </c>
      <c r="B417" s="3397">
        <v>721</v>
      </c>
      <c r="C417" s="3398" t="s">
        <v>4225</v>
      </c>
      <c r="D417" s="3398" t="s">
        <v>4226</v>
      </c>
      <c r="E417" s="3398" t="s">
        <v>69</v>
      </c>
      <c r="F417" s="3399">
        <f>ROUND(SUM(F419),3)</f>
        <v>16</v>
      </c>
      <c r="G417" s="271"/>
      <c r="H417" s="2445">
        <f>ROUND(F417*G417,2)</f>
        <v>0</v>
      </c>
      <c r="I417" s="3356" t="s">
        <v>112</v>
      </c>
      <c r="J417" s="3401"/>
      <c r="K417" s="3402"/>
      <c r="L417" s="3403"/>
      <c r="M417" s="3386"/>
      <c r="N417" s="3386"/>
      <c r="O417" s="3386"/>
      <c r="P417" s="3386"/>
      <c r="Q417" s="3386"/>
      <c r="R417" s="3386"/>
      <c r="S417" s="3404"/>
      <c r="T417" s="3386"/>
      <c r="U417" s="3386"/>
      <c r="V417" s="3386"/>
      <c r="W417" s="3386"/>
      <c r="X417" s="3386"/>
      <c r="Y417" s="3386"/>
      <c r="Z417" s="3386"/>
      <c r="AA417" s="3386"/>
      <c r="AB417" s="3386"/>
      <c r="AC417" s="3386"/>
      <c r="AD417" s="3386"/>
      <c r="AE417" s="3386"/>
      <c r="AF417" s="3386"/>
      <c r="AG417" s="3386"/>
      <c r="AH417" s="3386"/>
      <c r="AI417" s="3386"/>
      <c r="AJ417" s="3386"/>
      <c r="AK417" s="3386"/>
      <c r="AL417" s="3386"/>
      <c r="AM417" s="3386"/>
      <c r="AN417" s="3386"/>
      <c r="AO417" s="3386"/>
    </row>
    <row r="418" spans="1:97" s="3390" customFormat="1" ht="13.5" customHeight="1">
      <c r="A418" s="3396"/>
      <c r="B418" s="3398"/>
      <c r="C418" s="3398"/>
      <c r="D418" s="3398" t="s">
        <v>4227</v>
      </c>
      <c r="E418" s="3398"/>
      <c r="F418" s="3399"/>
      <c r="G418" s="271"/>
      <c r="H418" s="3400"/>
      <c r="I418" s="3405"/>
      <c r="J418" s="3406"/>
      <c r="K418" s="3402"/>
      <c r="L418" s="3407"/>
      <c r="T418" s="3386"/>
      <c r="U418" s="3408"/>
      <c r="V418" s="3409"/>
      <c r="W418" s="3386"/>
      <c r="X418" s="3386"/>
      <c r="Y418" s="3386"/>
      <c r="Z418" s="3386"/>
      <c r="AA418" s="3386"/>
      <c r="AB418" s="3386"/>
      <c r="AC418" s="3386"/>
      <c r="AD418" s="3386"/>
      <c r="AE418" s="3386"/>
      <c r="AF418" s="3386"/>
      <c r="AG418" s="3386"/>
      <c r="AH418" s="3386"/>
      <c r="AI418" s="3386"/>
      <c r="AJ418" s="3386"/>
      <c r="AK418" s="3386"/>
      <c r="AL418" s="3386"/>
      <c r="AM418" s="3386"/>
      <c r="AN418" s="3386"/>
      <c r="AO418" s="3386"/>
    </row>
    <row r="419" spans="1:97" s="3390" customFormat="1" ht="13.5" customHeight="1">
      <c r="A419" s="3396"/>
      <c r="B419" s="3398"/>
      <c r="C419" s="3398"/>
      <c r="D419" s="3398" t="s">
        <v>4228</v>
      </c>
      <c r="E419" s="3398"/>
      <c r="F419" s="3399">
        <v>16</v>
      </c>
      <c r="G419" s="271"/>
      <c r="H419" s="3400"/>
      <c r="I419" s="3405"/>
      <c r="J419" s="3420"/>
      <c r="K419" s="3402"/>
      <c r="L419" s="3407"/>
      <c r="T419" s="3386"/>
      <c r="U419" s="3408"/>
      <c r="V419" s="3409"/>
      <c r="W419" s="3386"/>
      <c r="X419" s="3386"/>
      <c r="Y419" s="3386"/>
      <c r="Z419" s="3386"/>
      <c r="AA419" s="3386"/>
      <c r="AB419" s="3386"/>
      <c r="AC419" s="3386"/>
      <c r="AD419" s="3386"/>
      <c r="AE419" s="3386"/>
      <c r="AF419" s="3386"/>
      <c r="AG419" s="3386"/>
      <c r="AH419" s="3386"/>
      <c r="AI419" s="3386"/>
      <c r="AJ419" s="3386"/>
      <c r="AK419" s="3386"/>
      <c r="AL419" s="3386"/>
      <c r="AM419" s="3386"/>
      <c r="AN419" s="3386"/>
      <c r="AO419" s="3386"/>
    </row>
    <row r="420" spans="1:97" s="3390" customFormat="1" ht="13.5" customHeight="1">
      <c r="A420" s="3396" t="s">
        <v>4229</v>
      </c>
      <c r="B420" s="3397">
        <v>721</v>
      </c>
      <c r="C420" s="3398" t="s">
        <v>4230</v>
      </c>
      <c r="D420" s="3398" t="s">
        <v>4231</v>
      </c>
      <c r="E420" s="3398" t="s">
        <v>49</v>
      </c>
      <c r="F420" s="3399">
        <f>ROUND(SUM(F422),3)</f>
        <v>1</v>
      </c>
      <c r="G420" s="271"/>
      <c r="H420" s="2445">
        <f>ROUND(F420*G420,2)</f>
        <v>0</v>
      </c>
      <c r="I420" s="3356" t="s">
        <v>112</v>
      </c>
      <c r="J420" s="3401"/>
      <c r="K420" s="3402"/>
      <c r="L420" s="3403"/>
      <c r="M420" s="3386"/>
      <c r="N420" s="3386"/>
      <c r="O420" s="3386"/>
      <c r="P420" s="3386"/>
      <c r="Q420" s="3386"/>
      <c r="R420" s="3386"/>
      <c r="S420" s="3404"/>
      <c r="T420" s="3386"/>
      <c r="U420" s="3386"/>
      <c r="V420" s="3386"/>
      <c r="W420" s="3386"/>
      <c r="X420" s="3386"/>
      <c r="Y420" s="3386"/>
      <c r="Z420" s="3386"/>
      <c r="AA420" s="3386"/>
      <c r="AB420" s="3386"/>
      <c r="AC420" s="3386"/>
      <c r="AD420" s="3386"/>
      <c r="AE420" s="3386"/>
      <c r="AF420" s="3386"/>
      <c r="AG420" s="3386"/>
      <c r="AH420" s="3386"/>
      <c r="AI420" s="3386"/>
      <c r="AJ420" s="3386"/>
      <c r="AK420" s="3386"/>
      <c r="AL420" s="3386"/>
      <c r="AM420" s="3386"/>
      <c r="AN420" s="3386"/>
      <c r="AO420" s="3386"/>
    </row>
    <row r="421" spans="1:97" s="3390" customFormat="1" ht="13.5" customHeight="1">
      <c r="A421" s="3421"/>
      <c r="B421" s="3398"/>
      <c r="C421" s="3398"/>
      <c r="D421" s="3398" t="s">
        <v>4232</v>
      </c>
      <c r="E421" s="3398"/>
      <c r="F421" s="3399"/>
      <c r="G421" s="271"/>
      <c r="H421" s="3400"/>
      <c r="I421" s="3405"/>
      <c r="J421" s="3406"/>
      <c r="K421" s="3402"/>
      <c r="L421" s="3407"/>
      <c r="T421" s="3386"/>
      <c r="U421" s="3408"/>
      <c r="V421" s="3409"/>
      <c r="W421" s="3386"/>
      <c r="X421" s="3386"/>
      <c r="Y421" s="3386"/>
      <c r="Z421" s="3386"/>
      <c r="AA421" s="3386"/>
      <c r="AB421" s="3386"/>
      <c r="AC421" s="3386"/>
      <c r="AD421" s="3386"/>
      <c r="AE421" s="3386"/>
      <c r="AF421" s="3386"/>
      <c r="AG421" s="3386"/>
      <c r="AH421" s="3386"/>
      <c r="AI421" s="3386"/>
      <c r="AJ421" s="3386"/>
      <c r="AK421" s="3386"/>
      <c r="AL421" s="3386"/>
      <c r="AM421" s="3386"/>
      <c r="AN421" s="3386"/>
      <c r="AO421" s="3386"/>
    </row>
    <row r="422" spans="1:97" s="3390" customFormat="1" ht="13.5" customHeight="1">
      <c r="A422" s="3421"/>
      <c r="B422" s="3398"/>
      <c r="C422" s="3398"/>
      <c r="D422" s="3398" t="s">
        <v>4232</v>
      </c>
      <c r="E422" s="3398"/>
      <c r="F422" s="3399">
        <v>1</v>
      </c>
      <c r="G422" s="271"/>
      <c r="H422" s="3400"/>
      <c r="I422" s="3405"/>
      <c r="J422" s="3420"/>
      <c r="K422" s="3402"/>
      <c r="L422" s="3407"/>
      <c r="T422" s="3386"/>
      <c r="U422" s="3408"/>
      <c r="V422" s="3409"/>
      <c r="W422" s="3386"/>
      <c r="X422" s="3386"/>
      <c r="Y422" s="3386"/>
      <c r="Z422" s="3386"/>
      <c r="AA422" s="3386"/>
      <c r="AB422" s="3386"/>
      <c r="AC422" s="3386"/>
      <c r="AD422" s="3386"/>
      <c r="AE422" s="3386"/>
      <c r="AF422" s="3386"/>
      <c r="AG422" s="3386"/>
      <c r="AH422" s="3386"/>
      <c r="AI422" s="3386"/>
      <c r="AJ422" s="3386"/>
      <c r="AK422" s="3386"/>
      <c r="AL422" s="3386"/>
      <c r="AM422" s="3386"/>
      <c r="AN422" s="3386"/>
      <c r="AO422" s="3386"/>
    </row>
    <row r="423" spans="1:97" s="2206" customFormat="1" ht="27" customHeight="1">
      <c r="A423" s="2222">
        <v>83</v>
      </c>
      <c r="B423" s="2224">
        <v>721</v>
      </c>
      <c r="C423" s="2224" t="s">
        <v>2660</v>
      </c>
      <c r="D423" s="2224" t="s">
        <v>2661</v>
      </c>
      <c r="E423" s="2224" t="s">
        <v>49</v>
      </c>
      <c r="F423" s="2305">
        <f>SUM(F425:F425)</f>
        <v>1</v>
      </c>
      <c r="G423" s="124"/>
      <c r="H423" s="2226">
        <f>F423*G423</f>
        <v>0</v>
      </c>
      <c r="I423" s="2297" t="s">
        <v>112</v>
      </c>
    </row>
    <row r="424" spans="1:97" s="2206" customFormat="1" ht="13.5" customHeight="1">
      <c r="A424" s="2222"/>
      <c r="B424" s="2224"/>
      <c r="C424" s="2224"/>
      <c r="D424" s="2277" t="s">
        <v>2662</v>
      </c>
      <c r="E424" s="2224"/>
      <c r="F424" s="2305"/>
      <c r="G424" s="124"/>
      <c r="H424" s="2226"/>
      <c r="I424" s="2297"/>
      <c r="J424" s="3336"/>
      <c r="K424" s="2233"/>
      <c r="L424" s="2233"/>
      <c r="M424" s="2233"/>
      <c r="N424" s="2233"/>
      <c r="O424" s="2233"/>
      <c r="P424" s="2233"/>
      <c r="Q424" s="3318"/>
      <c r="R424" s="3318"/>
      <c r="S424" s="3318"/>
      <c r="T424" s="3318"/>
      <c r="U424" s="3337"/>
    </row>
    <row r="425" spans="1:97" s="2206" customFormat="1" ht="13.5" customHeight="1">
      <c r="A425" s="2222"/>
      <c r="B425" s="2224"/>
      <c r="C425" s="2224"/>
      <c r="D425" s="2277" t="s">
        <v>2663</v>
      </c>
      <c r="E425" s="2224"/>
      <c r="F425" s="2300">
        <v>1</v>
      </c>
      <c r="G425" s="124"/>
      <c r="H425" s="2226"/>
      <c r="I425" s="2297"/>
      <c r="J425" s="3422"/>
    </row>
    <row r="426" spans="1:97" s="2206" customFormat="1" ht="67.5" customHeight="1">
      <c r="A426" s="2312"/>
      <c r="B426" s="2296"/>
      <c r="C426" s="2296"/>
      <c r="D426" s="2313" t="s">
        <v>2133</v>
      </c>
      <c r="E426" s="2296"/>
      <c r="F426" s="2221"/>
      <c r="G426" s="155"/>
      <c r="H426" s="2286"/>
      <c r="I426" s="2309"/>
      <c r="J426" s="2308"/>
    </row>
    <row r="427" spans="1:97" s="2308" customFormat="1" ht="13.5" customHeight="1">
      <c r="A427" s="2221"/>
      <c r="B427" s="2222"/>
      <c r="C427" s="2216"/>
      <c r="D427" s="2277" t="s">
        <v>2134</v>
      </c>
      <c r="E427" s="2224"/>
      <c r="F427" s="3423"/>
      <c r="G427" s="155"/>
      <c r="H427" s="2218"/>
      <c r="I427" s="2309"/>
      <c r="J427" s="2250"/>
      <c r="K427" s="2250"/>
      <c r="L427" s="2250"/>
      <c r="M427" s="2250"/>
      <c r="N427" s="2250"/>
      <c r="O427" s="2250"/>
      <c r="P427" s="2250"/>
      <c r="Q427" s="2250"/>
      <c r="R427" s="2250"/>
      <c r="S427" s="2250"/>
      <c r="T427" s="2250"/>
      <c r="U427" s="2250"/>
      <c r="V427" s="2250"/>
      <c r="W427" s="2250"/>
      <c r="X427" s="2250"/>
      <c r="Y427" s="2250"/>
      <c r="Z427" s="2250"/>
      <c r="AA427" s="2250"/>
      <c r="AB427" s="2250"/>
      <c r="AC427" s="2250"/>
      <c r="AD427" s="2250"/>
      <c r="AE427" s="2250"/>
      <c r="AF427" s="2250"/>
      <c r="AG427" s="2250"/>
      <c r="AH427" s="2250"/>
      <c r="AI427" s="2250"/>
      <c r="AJ427" s="2250"/>
      <c r="AK427" s="2250"/>
      <c r="AL427" s="2250"/>
      <c r="AM427" s="2250"/>
      <c r="AN427" s="2250"/>
      <c r="AO427" s="2250"/>
      <c r="AP427" s="2250"/>
      <c r="AQ427" s="2250"/>
      <c r="AR427" s="2250"/>
      <c r="AS427" s="2250"/>
      <c r="AT427" s="2250"/>
      <c r="AU427" s="2250"/>
      <c r="AV427" s="2250"/>
      <c r="AW427" s="2250"/>
      <c r="AX427" s="2250"/>
      <c r="AY427" s="2250"/>
      <c r="AZ427" s="2250"/>
      <c r="BA427" s="2250"/>
      <c r="BB427" s="2250"/>
      <c r="BC427" s="2250"/>
      <c r="BD427" s="2250"/>
      <c r="BE427" s="2250"/>
      <c r="BF427" s="2250"/>
      <c r="BG427" s="2250"/>
      <c r="BH427" s="2250"/>
      <c r="BI427" s="2250"/>
      <c r="BJ427" s="2250"/>
      <c r="BK427" s="2250"/>
      <c r="BL427" s="2250"/>
      <c r="BM427" s="2250"/>
      <c r="BN427" s="2250"/>
      <c r="BO427" s="2250"/>
      <c r="BP427" s="2250"/>
      <c r="BQ427" s="2250"/>
      <c r="BR427" s="2250"/>
      <c r="BS427" s="2250"/>
      <c r="BT427" s="2250"/>
      <c r="BU427" s="2250"/>
      <c r="BV427" s="2250"/>
      <c r="BW427" s="2250"/>
      <c r="BX427" s="2250"/>
      <c r="BY427" s="2250"/>
      <c r="BZ427" s="2250"/>
      <c r="CA427" s="2250"/>
      <c r="CB427" s="2250"/>
      <c r="CC427" s="2250"/>
      <c r="CD427" s="2250"/>
      <c r="CE427" s="2250"/>
      <c r="CF427" s="2250"/>
      <c r="CG427" s="2250"/>
      <c r="CH427" s="2250"/>
      <c r="CI427" s="2250"/>
      <c r="CJ427" s="2250"/>
      <c r="CK427" s="2250"/>
      <c r="CL427" s="2250"/>
      <c r="CM427" s="2250"/>
      <c r="CN427" s="2250"/>
      <c r="CO427" s="2250"/>
      <c r="CP427" s="2250"/>
      <c r="CQ427" s="2250"/>
      <c r="CR427" s="2250"/>
      <c r="CS427" s="2250"/>
    </row>
    <row r="428" spans="1:97" s="2206" customFormat="1" ht="67.5" customHeight="1">
      <c r="A428" s="2105"/>
      <c r="B428" s="2276"/>
      <c r="C428" s="2244"/>
      <c r="D428" s="2314" t="s">
        <v>310</v>
      </c>
      <c r="E428" s="2277"/>
      <c r="F428" s="3314"/>
      <c r="G428" s="126"/>
      <c r="H428" s="2279"/>
      <c r="I428" s="2219"/>
      <c r="J428" s="2315"/>
      <c r="K428" s="2316"/>
      <c r="L428" s="2317"/>
      <c r="M428" s="2317"/>
    </row>
    <row r="429" spans="1:97" s="2206" customFormat="1" ht="13.5" customHeight="1">
      <c r="A429" s="3355">
        <v>84</v>
      </c>
      <c r="B429" s="2224">
        <v>721</v>
      </c>
      <c r="C429" s="2224" t="s">
        <v>1925</v>
      </c>
      <c r="D429" s="2224" t="s">
        <v>2664</v>
      </c>
      <c r="E429" s="2224" t="s">
        <v>49</v>
      </c>
      <c r="F429" s="2305">
        <f>SUM(F430)</f>
        <v>1</v>
      </c>
      <c r="G429" s="5206" t="s">
        <v>3512</v>
      </c>
      <c r="H429" s="5207"/>
      <c r="I429" s="2297" t="s">
        <v>112</v>
      </c>
    </row>
    <row r="430" spans="1:97" s="2206" customFormat="1" ht="27" customHeight="1">
      <c r="A430" s="2222"/>
      <c r="B430" s="2224"/>
      <c r="C430" s="2224"/>
      <c r="D430" s="2277" t="s">
        <v>2665</v>
      </c>
      <c r="E430" s="2340"/>
      <c r="F430" s="2300">
        <v>1</v>
      </c>
      <c r="G430" s="124"/>
      <c r="H430" s="2226"/>
      <c r="I430" s="2297"/>
      <c r="J430" s="2320"/>
      <c r="K430" s="2341"/>
    </row>
    <row r="431" spans="1:97" s="2206" customFormat="1" ht="67.5" customHeight="1">
      <c r="A431" s="2105"/>
      <c r="B431" s="2276"/>
      <c r="C431" s="2244"/>
      <c r="D431" s="2314" t="s">
        <v>2666</v>
      </c>
      <c r="E431" s="2277"/>
      <c r="F431" s="3314"/>
      <c r="G431" s="126"/>
      <c r="H431" s="2279"/>
      <c r="I431" s="2219"/>
      <c r="J431" s="2315"/>
      <c r="K431" s="2316"/>
      <c r="L431" s="2317"/>
      <c r="M431" s="2317"/>
    </row>
    <row r="432" spans="1:97" s="593" customFormat="1" ht="13.5" customHeight="1">
      <c r="A432" s="3355">
        <v>85</v>
      </c>
      <c r="B432" s="2224">
        <v>721</v>
      </c>
      <c r="C432" s="2224" t="s">
        <v>2667</v>
      </c>
      <c r="D432" s="2224" t="s">
        <v>2668</v>
      </c>
      <c r="E432" s="2224" t="s">
        <v>49</v>
      </c>
      <c r="F432" s="2305">
        <f>SUM(F433)</f>
        <v>1</v>
      </c>
      <c r="G432" s="124"/>
      <c r="H432" s="2226">
        <f>F432*G432</f>
        <v>0</v>
      </c>
      <c r="I432" s="2297" t="s">
        <v>112</v>
      </c>
      <c r="J432" s="3339"/>
      <c r="K432" s="2233"/>
      <c r="L432" s="2249"/>
      <c r="M432" s="3318"/>
      <c r="N432" s="3318"/>
      <c r="O432" s="3318"/>
      <c r="P432" s="3318"/>
      <c r="Q432" s="3318"/>
      <c r="R432" s="3375"/>
      <c r="S432" s="3318"/>
      <c r="T432" s="3318"/>
      <c r="U432" s="3318"/>
      <c r="V432" s="3318"/>
      <c r="W432" s="3318"/>
      <c r="X432" s="3318"/>
      <c r="Y432" s="3318"/>
      <c r="Z432" s="3318"/>
      <c r="AA432" s="3318"/>
      <c r="AB432" s="3318"/>
      <c r="AC432" s="3318"/>
    </row>
    <row r="433" spans="1:34" s="2206" customFormat="1" ht="27" customHeight="1">
      <c r="A433" s="2222"/>
      <c r="B433" s="2224"/>
      <c r="C433" s="2224"/>
      <c r="D433" s="2277" t="s">
        <v>2669</v>
      </c>
      <c r="E433" s="2224"/>
      <c r="F433" s="2300">
        <v>1</v>
      </c>
      <c r="G433" s="124"/>
      <c r="H433" s="2226"/>
      <c r="I433" s="2297"/>
    </row>
    <row r="434" spans="1:34" s="7" customFormat="1" ht="108" customHeight="1">
      <c r="A434" s="3424"/>
      <c r="B434" s="3425"/>
      <c r="C434" s="3425"/>
      <c r="D434" s="3426" t="s">
        <v>4233</v>
      </c>
      <c r="E434" s="3425"/>
      <c r="F434" s="3427"/>
      <c r="G434" s="3217"/>
      <c r="H434" s="3428"/>
      <c r="I434" s="3429"/>
      <c r="J434" s="3430"/>
      <c r="K434" s="540"/>
    </row>
    <row r="435" spans="1:34" s="2206" customFormat="1" ht="13.5" customHeight="1">
      <c r="A435" s="2222">
        <v>86</v>
      </c>
      <c r="B435" s="2224">
        <v>721</v>
      </c>
      <c r="C435" s="2224" t="s">
        <v>2519</v>
      </c>
      <c r="D435" s="2224" t="s">
        <v>1836</v>
      </c>
      <c r="E435" s="2224" t="s">
        <v>49</v>
      </c>
      <c r="F435" s="2305">
        <f>SUM(F437)</f>
        <v>1</v>
      </c>
      <c r="G435" s="124"/>
      <c r="H435" s="2226">
        <f>F435*G435</f>
        <v>0</v>
      </c>
      <c r="I435" s="2297" t="s">
        <v>112</v>
      </c>
    </row>
    <row r="436" spans="1:34" s="2250" customFormat="1" ht="27" customHeight="1">
      <c r="A436" s="2319"/>
      <c r="B436" s="2244"/>
      <c r="C436" s="2244"/>
      <c r="D436" s="2277" t="s">
        <v>2670</v>
      </c>
      <c r="E436" s="2244"/>
      <c r="F436" s="2300"/>
      <c r="G436" s="127"/>
      <c r="H436" s="2226"/>
      <c r="I436" s="2219"/>
    </row>
    <row r="437" spans="1:34" s="2250" customFormat="1" ht="13.5" customHeight="1">
      <c r="A437" s="2319"/>
      <c r="B437" s="2244"/>
      <c r="C437" s="2244"/>
      <c r="D437" s="2277" t="s">
        <v>1838</v>
      </c>
      <c r="E437" s="2244"/>
      <c r="F437" s="2300">
        <v>1</v>
      </c>
      <c r="G437" s="127"/>
      <c r="H437" s="2226"/>
      <c r="I437" s="2219"/>
    </row>
    <row r="438" spans="1:34" s="2250" customFormat="1" ht="13.5" customHeight="1">
      <c r="A438" s="2319"/>
      <c r="B438" s="2244"/>
      <c r="C438" s="2244"/>
      <c r="D438" s="2277" t="s">
        <v>2521</v>
      </c>
      <c r="E438" s="2244"/>
      <c r="F438" s="2300"/>
      <c r="G438" s="127"/>
      <c r="H438" s="2226"/>
      <c r="I438" s="2219"/>
    </row>
    <row r="439" spans="1:34" s="2206" customFormat="1" ht="13.5" customHeight="1">
      <c r="A439" s="2222">
        <v>87</v>
      </c>
      <c r="B439" s="2224">
        <v>721</v>
      </c>
      <c r="C439" s="2224" t="s">
        <v>2522</v>
      </c>
      <c r="D439" s="2224" t="s">
        <v>1881</v>
      </c>
      <c r="E439" s="2224" t="s">
        <v>49</v>
      </c>
      <c r="F439" s="2305">
        <f>SUM(F440)</f>
        <v>1</v>
      </c>
      <c r="G439" s="124"/>
      <c r="H439" s="2226">
        <f>F439*G439</f>
        <v>0</v>
      </c>
      <c r="I439" s="2297" t="s">
        <v>112</v>
      </c>
    </row>
    <row r="440" spans="1:34" s="2321" customFormat="1" ht="27" customHeight="1">
      <c r="A440" s="2222"/>
      <c r="B440" s="2223"/>
      <c r="C440" s="2224"/>
      <c r="D440" s="2277" t="s">
        <v>1882</v>
      </c>
      <c r="E440" s="2224"/>
      <c r="F440" s="2300">
        <v>1</v>
      </c>
      <c r="G440" s="124"/>
      <c r="H440" s="2226"/>
      <c r="I440" s="2297"/>
      <c r="J440" s="2320"/>
      <c r="M440" s="2295"/>
    </row>
    <row r="441" spans="1:34" s="2321" customFormat="1" ht="27" customHeight="1">
      <c r="A441" s="2222"/>
      <c r="B441" s="2223"/>
      <c r="C441" s="2224"/>
      <c r="D441" s="2277" t="s">
        <v>1883</v>
      </c>
      <c r="E441" s="2224"/>
      <c r="F441" s="2300"/>
      <c r="G441" s="124"/>
      <c r="H441" s="2226"/>
      <c r="I441" s="2297"/>
      <c r="J441" s="2320"/>
      <c r="M441" s="2295"/>
    </row>
    <row r="442" spans="1:34" s="2206" customFormat="1" ht="13.5" customHeight="1">
      <c r="A442" s="3308">
        <v>88</v>
      </c>
      <c r="B442" s="2224" t="s">
        <v>1860</v>
      </c>
      <c r="C442" s="2224">
        <v>998722202</v>
      </c>
      <c r="D442" s="2224" t="s">
        <v>2671</v>
      </c>
      <c r="E442" s="2224" t="s">
        <v>10</v>
      </c>
      <c r="F442" s="2305">
        <v>0.59</v>
      </c>
      <c r="G442" s="126"/>
      <c r="H442" s="2226">
        <f>F442*G442</f>
        <v>0</v>
      </c>
      <c r="I442" s="2297" t="s">
        <v>137</v>
      </c>
      <c r="J442" s="3357"/>
      <c r="K442" s="3358"/>
    </row>
    <row r="443" spans="1:34" s="2250" customFormat="1" ht="13.5" customHeight="1">
      <c r="A443" s="3308">
        <v>89</v>
      </c>
      <c r="B443" s="2224" t="s">
        <v>362</v>
      </c>
      <c r="C443" s="2224" t="s">
        <v>1885</v>
      </c>
      <c r="D443" s="2224" t="s">
        <v>1886</v>
      </c>
      <c r="E443" s="2224" t="s">
        <v>69</v>
      </c>
      <c r="F443" s="2305">
        <f>F444</f>
        <v>15</v>
      </c>
      <c r="G443" s="124"/>
      <c r="H443" s="2226">
        <f>F443*G443</f>
        <v>0</v>
      </c>
      <c r="I443" s="2297" t="s">
        <v>137</v>
      </c>
    </row>
    <row r="444" spans="1:34" s="2250" customFormat="1" ht="13.5" customHeight="1">
      <c r="A444" s="2319"/>
      <c r="B444" s="2244"/>
      <c r="C444" s="2244"/>
      <c r="D444" s="2277" t="s">
        <v>2672</v>
      </c>
      <c r="E444" s="2244"/>
      <c r="F444" s="2300">
        <v>15</v>
      </c>
      <c r="G444" s="127"/>
      <c r="H444" s="2226"/>
      <c r="I444" s="2219"/>
    </row>
    <row r="445" spans="1:34" s="2250" customFormat="1" ht="27" customHeight="1">
      <c r="A445" s="2319"/>
      <c r="B445" s="2244"/>
      <c r="C445" s="2244"/>
      <c r="D445" s="3359" t="s">
        <v>1992</v>
      </c>
      <c r="E445" s="2244"/>
      <c r="F445" s="2300"/>
      <c r="G445" s="127"/>
      <c r="H445" s="2226"/>
      <c r="I445" s="2219"/>
    </row>
    <row r="446" spans="1:34" s="1913" customFormat="1" ht="13.5" customHeight="1">
      <c r="A446" s="3431"/>
      <c r="B446" s="3432"/>
      <c r="C446" s="3433">
        <v>725</v>
      </c>
      <c r="D446" s="3433" t="s">
        <v>2673</v>
      </c>
      <c r="E446" s="3434"/>
      <c r="F446" s="3435"/>
      <c r="G446" s="3218"/>
      <c r="H446" s="3436">
        <f>SUM(H447:H568)</f>
        <v>0</v>
      </c>
      <c r="I446" s="3437"/>
      <c r="J446" s="2250"/>
      <c r="K446" s="2250"/>
      <c r="L446" s="2250"/>
      <c r="M446" s="2250"/>
      <c r="N446" s="2250"/>
      <c r="O446" s="2250"/>
    </row>
    <row r="447" spans="1:34" s="1913" customFormat="1" ht="13.5" customHeight="1">
      <c r="A447" s="3340">
        <v>90</v>
      </c>
      <c r="B447" s="3438" t="s">
        <v>1860</v>
      </c>
      <c r="C447" s="2590" t="s">
        <v>2674</v>
      </c>
      <c r="D447" s="3434" t="s">
        <v>2675</v>
      </c>
      <c r="E447" s="3434" t="s">
        <v>205</v>
      </c>
      <c r="F447" s="2593">
        <f>SUM(F449:F449)</f>
        <v>1</v>
      </c>
      <c r="G447" s="208"/>
      <c r="H447" s="3439">
        <f>F447*G447</f>
        <v>0</v>
      </c>
      <c r="I447" s="3440" t="s">
        <v>112</v>
      </c>
      <c r="J447" s="3441"/>
      <c r="K447" s="3441"/>
      <c r="O447" s="3442"/>
      <c r="P447" s="3441"/>
      <c r="Q447" s="3349"/>
      <c r="X447" s="3441"/>
      <c r="Y447" s="3441"/>
      <c r="Z447" s="2206"/>
      <c r="AA447" s="2206"/>
      <c r="AB447" s="2206"/>
      <c r="AC447" s="2206"/>
      <c r="AD447" s="2206"/>
      <c r="AE447" s="2206"/>
      <c r="AF447" s="2206"/>
      <c r="AG447" s="2206"/>
      <c r="AH447" s="3443"/>
    </row>
    <row r="448" spans="1:34" s="1913" customFormat="1" ht="13.5" customHeight="1">
      <c r="A448" s="3323"/>
      <c r="B448" s="3324"/>
      <c r="C448" s="2230"/>
      <c r="D448" s="2230" t="s">
        <v>2676</v>
      </c>
      <c r="E448" s="2230"/>
      <c r="F448" s="3444"/>
      <c r="G448" s="207"/>
      <c r="H448" s="3326"/>
      <c r="I448" s="3445"/>
      <c r="J448" s="3441"/>
      <c r="K448" s="3441"/>
      <c r="L448" s="2206"/>
      <c r="M448" s="2206"/>
      <c r="N448" s="2206"/>
      <c r="O448" s="2206"/>
      <c r="P448" s="2206"/>
      <c r="Q448" s="2206"/>
      <c r="R448" s="2206"/>
      <c r="S448" s="2206"/>
      <c r="T448" s="2206"/>
      <c r="U448" s="2206"/>
      <c r="V448" s="2233"/>
      <c r="W448" s="2206"/>
      <c r="X448" s="3441"/>
      <c r="Y448" s="3441"/>
      <c r="Z448" s="2206"/>
      <c r="AA448" s="2206"/>
      <c r="AB448" s="2206"/>
      <c r="AC448" s="2206"/>
      <c r="AD448" s="2206"/>
      <c r="AE448" s="2206"/>
      <c r="AF448" s="2206"/>
      <c r="AG448" s="2206"/>
      <c r="AH448" s="2206"/>
    </row>
    <row r="449" spans="1:256" s="3333" customFormat="1" ht="13.5" customHeight="1">
      <c r="A449" s="3329"/>
      <c r="B449" s="3330"/>
      <c r="C449" s="3330"/>
      <c r="D449" s="3330" t="s">
        <v>2492</v>
      </c>
      <c r="E449" s="3330"/>
      <c r="F449" s="3331">
        <v>1</v>
      </c>
      <c r="G449" s="203"/>
      <c r="H449" s="3332"/>
      <c r="I449" s="3334"/>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6"/>
      <c r="AG449" s="2206"/>
      <c r="AH449" s="2206"/>
      <c r="AI449" s="2206"/>
      <c r="AJ449" s="2206"/>
      <c r="AK449" s="2206"/>
      <c r="AL449" s="2206"/>
      <c r="AM449" s="2206"/>
      <c r="AN449" s="2206"/>
      <c r="AO449" s="2206"/>
      <c r="AP449" s="2206"/>
      <c r="AQ449" s="2206"/>
      <c r="AR449" s="1825"/>
      <c r="AS449" s="1825"/>
      <c r="AT449" s="1825"/>
      <c r="AU449" s="1825"/>
      <c r="AV449" s="1825"/>
      <c r="AW449" s="1825"/>
      <c r="AX449" s="1825"/>
      <c r="AY449" s="1825"/>
      <c r="AZ449" s="1825"/>
      <c r="BA449" s="1825"/>
      <c r="BB449" s="1825"/>
      <c r="BC449" s="1825"/>
      <c r="BD449" s="1825"/>
      <c r="BE449" s="1825"/>
      <c r="BF449" s="1825"/>
      <c r="BG449" s="1825"/>
      <c r="BH449" s="1825"/>
      <c r="BI449" s="1825"/>
      <c r="BJ449" s="1825"/>
      <c r="BK449" s="1825"/>
      <c r="BL449" s="1825"/>
      <c r="BM449" s="1825"/>
      <c r="BN449" s="1825"/>
      <c r="BO449" s="1825"/>
      <c r="BP449" s="1825"/>
      <c r="BQ449" s="1825"/>
      <c r="BR449" s="1825"/>
      <c r="BS449" s="1825"/>
      <c r="BT449" s="1825"/>
      <c r="BU449" s="1825"/>
      <c r="BV449" s="1825"/>
      <c r="BW449" s="1825"/>
      <c r="BX449" s="1825"/>
      <c r="BY449" s="1825"/>
      <c r="BZ449" s="1825"/>
      <c r="CA449" s="1825"/>
      <c r="CB449" s="1825"/>
      <c r="CC449" s="1825"/>
      <c r="CD449" s="1825"/>
      <c r="CE449" s="1825"/>
      <c r="CF449" s="1825"/>
      <c r="CG449" s="1825"/>
      <c r="CH449" s="1825"/>
      <c r="CI449" s="1825"/>
      <c r="CJ449" s="1825"/>
      <c r="CK449" s="1825"/>
      <c r="CL449" s="1825"/>
      <c r="CM449" s="1825"/>
      <c r="CN449" s="1825"/>
      <c r="CO449" s="1825"/>
      <c r="CP449" s="1825"/>
      <c r="CQ449" s="1825"/>
      <c r="CR449" s="1825"/>
      <c r="CS449" s="1825"/>
      <c r="CT449" s="1825"/>
      <c r="CU449" s="1825"/>
      <c r="CV449" s="1825"/>
      <c r="CW449" s="1825"/>
      <c r="CX449" s="1825"/>
      <c r="CY449" s="1825"/>
      <c r="CZ449" s="1825"/>
      <c r="DA449" s="1825"/>
      <c r="DB449" s="1825"/>
      <c r="DC449" s="1825"/>
      <c r="DD449" s="1825"/>
      <c r="DE449" s="1825"/>
      <c r="DF449" s="1825"/>
      <c r="DG449" s="1825"/>
      <c r="DH449" s="1825"/>
      <c r="DI449" s="1825"/>
      <c r="DJ449" s="1825"/>
      <c r="DK449" s="1825"/>
      <c r="DL449" s="1825"/>
      <c r="DM449" s="1825"/>
      <c r="DN449" s="1825"/>
      <c r="DO449" s="1825"/>
      <c r="DP449" s="1825"/>
      <c r="DQ449" s="1825"/>
      <c r="DR449" s="1825"/>
      <c r="DS449" s="1825"/>
      <c r="DT449" s="1825"/>
      <c r="DU449" s="1825"/>
      <c r="DV449" s="1825"/>
      <c r="DW449" s="1825"/>
      <c r="DX449" s="1825"/>
      <c r="DY449" s="1825"/>
      <c r="DZ449" s="1825"/>
      <c r="EA449" s="1825"/>
      <c r="EB449" s="1825"/>
      <c r="EC449" s="1825"/>
      <c r="ED449" s="1825"/>
      <c r="EE449" s="1825"/>
      <c r="EF449" s="1825"/>
      <c r="EG449" s="1825"/>
      <c r="EH449" s="1825"/>
      <c r="EI449" s="1825"/>
      <c r="EJ449" s="1825"/>
      <c r="EK449" s="1825"/>
      <c r="EL449" s="1825"/>
      <c r="EM449" s="1825"/>
      <c r="EN449" s="1825"/>
      <c r="EO449" s="1825"/>
      <c r="EP449" s="1825"/>
      <c r="EQ449" s="1825"/>
      <c r="ER449" s="1825"/>
      <c r="ES449" s="1825"/>
      <c r="ET449" s="1825"/>
      <c r="EU449" s="1825"/>
      <c r="EV449" s="1825"/>
      <c r="EW449" s="1825"/>
      <c r="EX449" s="1825"/>
      <c r="EY449" s="1825"/>
      <c r="EZ449" s="1825"/>
      <c r="FA449" s="1825"/>
      <c r="FB449" s="1825"/>
      <c r="FC449" s="1825"/>
      <c r="FD449" s="1825"/>
      <c r="FE449" s="1825"/>
      <c r="FF449" s="1825"/>
      <c r="FG449" s="1825"/>
      <c r="FH449" s="1825"/>
      <c r="FI449" s="1825"/>
      <c r="FJ449" s="1825"/>
      <c r="FK449" s="1825"/>
      <c r="FL449" s="1825"/>
      <c r="FM449" s="1825"/>
      <c r="FN449" s="1825"/>
      <c r="FO449" s="1825"/>
      <c r="FP449" s="1825"/>
      <c r="FQ449" s="1825"/>
      <c r="FR449" s="1825"/>
      <c r="FS449" s="1825"/>
      <c r="FT449" s="1825"/>
      <c r="FU449" s="1825"/>
      <c r="FV449" s="1825"/>
      <c r="FW449" s="1825"/>
      <c r="FX449" s="1825"/>
      <c r="FY449" s="1825"/>
      <c r="FZ449" s="1825"/>
      <c r="GA449" s="1825"/>
      <c r="GB449" s="1825"/>
      <c r="GC449" s="1825"/>
      <c r="GD449" s="1825"/>
      <c r="GE449" s="1825"/>
      <c r="GF449" s="1825"/>
      <c r="GG449" s="1825"/>
      <c r="GH449" s="1825"/>
      <c r="GI449" s="1825"/>
      <c r="GJ449" s="1825"/>
      <c r="GK449" s="1825"/>
      <c r="GL449" s="1825"/>
      <c r="GM449" s="1825"/>
      <c r="GN449" s="1825"/>
      <c r="GO449" s="1825"/>
      <c r="GP449" s="1825"/>
      <c r="GQ449" s="1825"/>
      <c r="GR449" s="1825"/>
      <c r="GS449" s="1825"/>
      <c r="GT449" s="1825"/>
      <c r="GU449" s="1825"/>
      <c r="GV449" s="1825"/>
      <c r="GW449" s="1825"/>
      <c r="GX449" s="1825"/>
      <c r="GY449" s="1825"/>
      <c r="GZ449" s="1825"/>
      <c r="HA449" s="1825"/>
      <c r="HB449" s="1825"/>
      <c r="HC449" s="1825"/>
      <c r="HD449" s="1825"/>
      <c r="HE449" s="1825"/>
      <c r="HF449" s="1825"/>
      <c r="HG449" s="1825"/>
      <c r="HH449" s="1825"/>
      <c r="HI449" s="1825"/>
      <c r="HJ449" s="1825"/>
      <c r="HK449" s="1825"/>
      <c r="HL449" s="1825"/>
      <c r="HM449" s="1825"/>
      <c r="HN449" s="1825"/>
      <c r="HO449" s="1825"/>
      <c r="HP449" s="1825"/>
      <c r="HQ449" s="1825"/>
      <c r="HR449" s="1825"/>
      <c r="HS449" s="1825"/>
      <c r="HT449" s="1825"/>
      <c r="HU449" s="1825"/>
      <c r="HV449" s="1825"/>
      <c r="HW449" s="1825"/>
      <c r="HX449" s="1825"/>
      <c r="HY449" s="1825"/>
      <c r="HZ449" s="1825"/>
      <c r="IA449" s="1825"/>
      <c r="IB449" s="1825"/>
      <c r="IC449" s="1825"/>
      <c r="ID449" s="1825"/>
      <c r="IE449" s="1825"/>
      <c r="IF449" s="1825"/>
      <c r="IG449" s="1825"/>
      <c r="IH449" s="1825"/>
      <c r="II449" s="1825"/>
      <c r="IJ449" s="1825"/>
      <c r="IK449" s="1825"/>
      <c r="IL449" s="1825"/>
      <c r="IM449" s="1825"/>
      <c r="IN449" s="1825"/>
      <c r="IO449" s="1825"/>
      <c r="IP449" s="1825"/>
      <c r="IQ449" s="1825"/>
      <c r="IR449" s="1825"/>
      <c r="IS449" s="1825"/>
      <c r="IT449" s="1825"/>
      <c r="IU449" s="1825"/>
      <c r="IV449" s="1825"/>
    </row>
    <row r="450" spans="1:256" s="3333" customFormat="1" ht="40.5" customHeight="1">
      <c r="A450" s="3329"/>
      <c r="B450" s="3330"/>
      <c r="C450" s="3330"/>
      <c r="D450" s="2230" t="s">
        <v>2677</v>
      </c>
      <c r="E450" s="3330"/>
      <c r="F450" s="3331"/>
      <c r="G450" s="203"/>
      <c r="H450" s="3332"/>
      <c r="I450" s="3446"/>
      <c r="AP450" s="2206"/>
      <c r="AQ450" s="2206"/>
      <c r="AR450" s="1825"/>
      <c r="AS450" s="1825"/>
      <c r="AT450" s="1825"/>
      <c r="AU450" s="1825"/>
      <c r="AV450" s="1825"/>
      <c r="AW450" s="1825"/>
      <c r="AX450" s="1825"/>
      <c r="AY450" s="1825"/>
      <c r="AZ450" s="1825"/>
      <c r="BA450" s="1825"/>
      <c r="BB450" s="1825"/>
      <c r="BC450" s="1825"/>
      <c r="BD450" s="1825"/>
      <c r="BE450" s="1825"/>
      <c r="BF450" s="1825"/>
      <c r="BG450" s="1825"/>
      <c r="BH450" s="1825"/>
      <c r="BI450" s="1825"/>
      <c r="BJ450" s="1825"/>
      <c r="BK450" s="1825"/>
      <c r="BL450" s="1825"/>
      <c r="BM450" s="1825"/>
      <c r="BN450" s="1825"/>
      <c r="BO450" s="1825"/>
      <c r="BP450" s="1825"/>
      <c r="BQ450" s="1825"/>
      <c r="BR450" s="1825"/>
      <c r="BS450" s="1825"/>
      <c r="BT450" s="1825"/>
      <c r="BU450" s="1825"/>
      <c r="BV450" s="1825"/>
      <c r="BW450" s="1825"/>
      <c r="BX450" s="1825"/>
      <c r="BY450" s="1825"/>
      <c r="BZ450" s="1825"/>
      <c r="CA450" s="1825"/>
      <c r="CB450" s="1825"/>
      <c r="CC450" s="1825"/>
      <c r="CD450" s="1825"/>
      <c r="CE450" s="1825"/>
      <c r="CF450" s="1825"/>
      <c r="CG450" s="1825"/>
      <c r="CH450" s="1825"/>
      <c r="CI450" s="1825"/>
      <c r="CJ450" s="1825"/>
      <c r="CK450" s="1825"/>
      <c r="CL450" s="1825"/>
      <c r="CM450" s="1825"/>
      <c r="CN450" s="1825"/>
      <c r="CO450" s="1825"/>
      <c r="CP450" s="1825"/>
      <c r="CQ450" s="1825"/>
      <c r="CR450" s="1825"/>
      <c r="CS450" s="1825"/>
      <c r="CT450" s="1825"/>
      <c r="CU450" s="1825"/>
      <c r="CV450" s="1825"/>
      <c r="CW450" s="1825"/>
      <c r="CX450" s="1825"/>
      <c r="CY450" s="1825"/>
      <c r="CZ450" s="1825"/>
      <c r="DA450" s="1825"/>
      <c r="DB450" s="1825"/>
      <c r="DC450" s="1825"/>
      <c r="DD450" s="1825"/>
      <c r="DE450" s="1825"/>
      <c r="DF450" s="1825"/>
      <c r="DG450" s="1825"/>
      <c r="DH450" s="1825"/>
      <c r="DI450" s="1825"/>
      <c r="DJ450" s="1825"/>
      <c r="DK450" s="1825"/>
      <c r="DL450" s="1825"/>
      <c r="DM450" s="1825"/>
      <c r="DN450" s="1825"/>
      <c r="DO450" s="1825"/>
      <c r="DP450" s="1825"/>
      <c r="DQ450" s="1825"/>
      <c r="DR450" s="1825"/>
      <c r="DS450" s="1825"/>
      <c r="DT450" s="1825"/>
      <c r="DU450" s="1825"/>
      <c r="DV450" s="1825"/>
      <c r="DW450" s="1825"/>
      <c r="DX450" s="1825"/>
      <c r="DY450" s="1825"/>
      <c r="DZ450" s="1825"/>
      <c r="EA450" s="1825"/>
      <c r="EB450" s="1825"/>
      <c r="EC450" s="1825"/>
      <c r="ED450" s="1825"/>
      <c r="EE450" s="1825"/>
      <c r="EF450" s="1825"/>
      <c r="EG450" s="1825"/>
      <c r="EH450" s="1825"/>
      <c r="EI450" s="1825"/>
      <c r="EJ450" s="1825"/>
      <c r="EK450" s="1825"/>
      <c r="EL450" s="1825"/>
      <c r="EM450" s="1825"/>
      <c r="EN450" s="1825"/>
      <c r="EO450" s="1825"/>
      <c r="EP450" s="1825"/>
      <c r="EQ450" s="1825"/>
      <c r="ER450" s="1825"/>
      <c r="ES450" s="1825"/>
      <c r="ET450" s="1825"/>
      <c r="EU450" s="1825"/>
      <c r="EV450" s="1825"/>
      <c r="EW450" s="1825"/>
      <c r="EX450" s="1825"/>
      <c r="EY450" s="1825"/>
      <c r="EZ450" s="1825"/>
      <c r="FA450" s="1825"/>
      <c r="FB450" s="1825"/>
      <c r="FC450" s="1825"/>
      <c r="FD450" s="1825"/>
      <c r="FE450" s="1825"/>
      <c r="FF450" s="1825"/>
      <c r="FG450" s="1825"/>
      <c r="FH450" s="1825"/>
      <c r="FI450" s="1825"/>
      <c r="FJ450" s="1825"/>
      <c r="FK450" s="1825"/>
      <c r="FL450" s="1825"/>
      <c r="FM450" s="1825"/>
      <c r="FN450" s="1825"/>
      <c r="FO450" s="1825"/>
      <c r="FP450" s="1825"/>
      <c r="FQ450" s="1825"/>
      <c r="FR450" s="1825"/>
      <c r="FS450" s="1825"/>
      <c r="FT450" s="1825"/>
      <c r="FU450" s="1825"/>
      <c r="FV450" s="1825"/>
      <c r="FW450" s="1825"/>
      <c r="FX450" s="1825"/>
      <c r="FY450" s="1825"/>
      <c r="FZ450" s="1825"/>
      <c r="GA450" s="1825"/>
      <c r="GB450" s="1825"/>
      <c r="GC450" s="1825"/>
      <c r="GD450" s="1825"/>
      <c r="GE450" s="1825"/>
      <c r="GF450" s="1825"/>
      <c r="GG450" s="1825"/>
      <c r="GH450" s="1825"/>
      <c r="GI450" s="1825"/>
      <c r="GJ450" s="1825"/>
      <c r="GK450" s="1825"/>
      <c r="GL450" s="1825"/>
      <c r="GM450" s="1825"/>
      <c r="GN450" s="1825"/>
      <c r="GO450" s="1825"/>
      <c r="GP450" s="1825"/>
      <c r="GQ450" s="1825"/>
      <c r="GR450" s="1825"/>
      <c r="GS450" s="1825"/>
      <c r="GT450" s="1825"/>
      <c r="GU450" s="1825"/>
      <c r="GV450" s="1825"/>
      <c r="GW450" s="1825"/>
      <c r="GX450" s="1825"/>
      <c r="GY450" s="1825"/>
      <c r="GZ450" s="1825"/>
      <c r="HA450" s="1825"/>
      <c r="HB450" s="1825"/>
      <c r="HC450" s="1825"/>
      <c r="HD450" s="1825"/>
      <c r="HE450" s="1825"/>
      <c r="HF450" s="1825"/>
      <c r="HG450" s="1825"/>
      <c r="HH450" s="1825"/>
      <c r="HI450" s="1825"/>
      <c r="HJ450" s="1825"/>
      <c r="HK450" s="1825"/>
      <c r="HL450" s="1825"/>
      <c r="HM450" s="1825"/>
      <c r="HN450" s="1825"/>
      <c r="HO450" s="1825"/>
      <c r="HP450" s="1825"/>
      <c r="HQ450" s="1825"/>
      <c r="HR450" s="1825"/>
      <c r="HS450" s="1825"/>
      <c r="HT450" s="1825"/>
      <c r="HU450" s="1825"/>
      <c r="HV450" s="1825"/>
      <c r="HW450" s="1825"/>
      <c r="HX450" s="1825"/>
      <c r="HY450" s="1825"/>
      <c r="HZ450" s="1825"/>
      <c r="IA450" s="1825"/>
      <c r="IB450" s="1825"/>
      <c r="IC450" s="1825"/>
      <c r="ID450" s="1825"/>
      <c r="IE450" s="1825"/>
      <c r="IF450" s="1825"/>
      <c r="IG450" s="1825"/>
      <c r="IH450" s="1825"/>
      <c r="II450" s="1825"/>
      <c r="IJ450" s="1825"/>
      <c r="IK450" s="1825"/>
      <c r="IL450" s="1825"/>
      <c r="IM450" s="1825"/>
      <c r="IN450" s="1825"/>
      <c r="IO450" s="1825"/>
      <c r="IP450" s="1825"/>
      <c r="IQ450" s="1825"/>
      <c r="IR450" s="1825"/>
      <c r="IS450" s="1825"/>
      <c r="IT450" s="1825"/>
      <c r="IU450" s="1825"/>
      <c r="IV450" s="1825"/>
    </row>
    <row r="451" spans="1:256" s="1913" customFormat="1" ht="13.5" customHeight="1">
      <c r="A451" s="3340">
        <v>91</v>
      </c>
      <c r="B451" s="3438" t="s">
        <v>1860</v>
      </c>
      <c r="C451" s="2590" t="s">
        <v>2678</v>
      </c>
      <c r="D451" s="3434" t="s">
        <v>2679</v>
      </c>
      <c r="E451" s="3434" t="s">
        <v>205</v>
      </c>
      <c r="F451" s="2593">
        <f>SUM(F453:F453)</f>
        <v>5</v>
      </c>
      <c r="G451" s="208"/>
      <c r="H451" s="3439">
        <f>F451*G451</f>
        <v>0</v>
      </c>
      <c r="I451" s="3440" t="s">
        <v>112</v>
      </c>
      <c r="J451" s="3441"/>
      <c r="K451" s="3441"/>
      <c r="O451" s="3442"/>
      <c r="P451" s="3441"/>
      <c r="Q451" s="3349"/>
      <c r="X451" s="3441"/>
      <c r="Y451" s="3441"/>
      <c r="Z451" s="2206"/>
      <c r="AA451" s="2206"/>
      <c r="AB451" s="2206"/>
      <c r="AC451" s="2206"/>
      <c r="AD451" s="2206"/>
      <c r="AE451" s="2206"/>
      <c r="AF451" s="2206"/>
      <c r="AG451" s="2206"/>
      <c r="AH451" s="3443"/>
    </row>
    <row r="452" spans="1:256" s="1913" customFormat="1" ht="13.5" customHeight="1">
      <c r="A452" s="3323"/>
      <c r="B452" s="3324"/>
      <c r="C452" s="2230"/>
      <c r="D452" s="2230" t="s">
        <v>2676</v>
      </c>
      <c r="E452" s="2230"/>
      <c r="F452" s="3444"/>
      <c r="G452" s="207"/>
      <c r="H452" s="3326"/>
      <c r="I452" s="3445"/>
      <c r="J452" s="3441"/>
      <c r="K452" s="3441"/>
      <c r="L452" s="2206"/>
      <c r="M452" s="2206"/>
      <c r="N452" s="2206"/>
      <c r="O452" s="2206"/>
      <c r="P452" s="2206"/>
      <c r="Q452" s="2206"/>
      <c r="R452" s="2206"/>
      <c r="S452" s="2206"/>
      <c r="T452" s="2206"/>
      <c r="U452" s="2206"/>
      <c r="V452" s="2233"/>
      <c r="W452" s="2206"/>
      <c r="X452" s="3441"/>
      <c r="Y452" s="3441"/>
      <c r="Z452" s="2206"/>
      <c r="AA452" s="2206"/>
      <c r="AB452" s="2206"/>
      <c r="AC452" s="2206"/>
      <c r="AD452" s="2206"/>
      <c r="AE452" s="2206"/>
      <c r="AF452" s="2206"/>
      <c r="AG452" s="2206"/>
      <c r="AH452" s="2206"/>
    </row>
    <row r="453" spans="1:256" s="3333" customFormat="1" ht="13.5" customHeight="1">
      <c r="A453" s="3329"/>
      <c r="B453" s="3330"/>
      <c r="C453" s="3330"/>
      <c r="D453" s="3330" t="s">
        <v>2492</v>
      </c>
      <c r="E453" s="3330"/>
      <c r="F453" s="3331">
        <v>5</v>
      </c>
      <c r="G453" s="203"/>
      <c r="H453" s="3332"/>
      <c r="I453" s="3334"/>
      <c r="K453" s="2206"/>
      <c r="L453" s="2206"/>
      <c r="M453" s="2206"/>
      <c r="N453" s="2206"/>
      <c r="O453" s="2206"/>
      <c r="P453" s="2206"/>
      <c r="Q453" s="2206"/>
      <c r="R453" s="2206"/>
      <c r="S453" s="2206"/>
      <c r="T453" s="2206"/>
      <c r="U453" s="2206"/>
      <c r="V453" s="2206"/>
      <c r="W453" s="2206"/>
      <c r="X453" s="2206"/>
      <c r="Y453" s="2206"/>
      <c r="Z453" s="2206"/>
      <c r="AA453" s="2206"/>
      <c r="AB453" s="2206"/>
      <c r="AC453" s="2206"/>
      <c r="AD453" s="2206"/>
      <c r="AE453" s="2206"/>
      <c r="AF453" s="2206"/>
      <c r="AG453" s="2206"/>
      <c r="AH453" s="2206"/>
      <c r="AI453" s="2206"/>
      <c r="AJ453" s="2206"/>
      <c r="AK453" s="2206"/>
      <c r="AL453" s="2206"/>
      <c r="AM453" s="2206"/>
      <c r="AN453" s="2206"/>
      <c r="AO453" s="2206"/>
      <c r="AP453" s="2206"/>
      <c r="AQ453" s="2206"/>
      <c r="AR453" s="1825"/>
      <c r="AS453" s="1825"/>
      <c r="AT453" s="1825"/>
      <c r="AU453" s="1825"/>
      <c r="AV453" s="1825"/>
      <c r="AW453" s="1825"/>
      <c r="AX453" s="1825"/>
      <c r="AY453" s="1825"/>
      <c r="AZ453" s="1825"/>
      <c r="BA453" s="1825"/>
      <c r="BB453" s="1825"/>
      <c r="BC453" s="1825"/>
      <c r="BD453" s="1825"/>
      <c r="BE453" s="1825"/>
      <c r="BF453" s="1825"/>
      <c r="BG453" s="1825"/>
      <c r="BH453" s="1825"/>
      <c r="BI453" s="1825"/>
      <c r="BJ453" s="1825"/>
      <c r="BK453" s="1825"/>
      <c r="BL453" s="1825"/>
      <c r="BM453" s="1825"/>
      <c r="BN453" s="1825"/>
      <c r="BO453" s="1825"/>
      <c r="BP453" s="1825"/>
      <c r="BQ453" s="1825"/>
      <c r="BR453" s="1825"/>
      <c r="BS453" s="1825"/>
      <c r="BT453" s="1825"/>
      <c r="BU453" s="1825"/>
      <c r="BV453" s="1825"/>
      <c r="BW453" s="1825"/>
      <c r="BX453" s="1825"/>
      <c r="BY453" s="1825"/>
      <c r="BZ453" s="1825"/>
      <c r="CA453" s="1825"/>
      <c r="CB453" s="1825"/>
      <c r="CC453" s="1825"/>
      <c r="CD453" s="1825"/>
      <c r="CE453" s="1825"/>
      <c r="CF453" s="1825"/>
      <c r="CG453" s="1825"/>
      <c r="CH453" s="1825"/>
      <c r="CI453" s="1825"/>
      <c r="CJ453" s="1825"/>
      <c r="CK453" s="1825"/>
      <c r="CL453" s="1825"/>
      <c r="CM453" s="1825"/>
      <c r="CN453" s="1825"/>
      <c r="CO453" s="1825"/>
      <c r="CP453" s="1825"/>
      <c r="CQ453" s="1825"/>
      <c r="CR453" s="1825"/>
      <c r="CS453" s="1825"/>
      <c r="CT453" s="1825"/>
      <c r="CU453" s="1825"/>
      <c r="CV453" s="1825"/>
      <c r="CW453" s="1825"/>
      <c r="CX453" s="1825"/>
      <c r="CY453" s="1825"/>
      <c r="CZ453" s="1825"/>
      <c r="DA453" s="1825"/>
      <c r="DB453" s="1825"/>
      <c r="DC453" s="1825"/>
      <c r="DD453" s="1825"/>
      <c r="DE453" s="1825"/>
      <c r="DF453" s="1825"/>
      <c r="DG453" s="1825"/>
      <c r="DH453" s="1825"/>
      <c r="DI453" s="1825"/>
      <c r="DJ453" s="1825"/>
      <c r="DK453" s="1825"/>
      <c r="DL453" s="1825"/>
      <c r="DM453" s="1825"/>
      <c r="DN453" s="1825"/>
      <c r="DO453" s="1825"/>
      <c r="DP453" s="1825"/>
      <c r="DQ453" s="1825"/>
      <c r="DR453" s="1825"/>
      <c r="DS453" s="1825"/>
      <c r="DT453" s="1825"/>
      <c r="DU453" s="1825"/>
      <c r="DV453" s="1825"/>
      <c r="DW453" s="1825"/>
      <c r="DX453" s="1825"/>
      <c r="DY453" s="1825"/>
      <c r="DZ453" s="1825"/>
      <c r="EA453" s="1825"/>
      <c r="EB453" s="1825"/>
      <c r="EC453" s="1825"/>
      <c r="ED453" s="1825"/>
      <c r="EE453" s="1825"/>
      <c r="EF453" s="1825"/>
      <c r="EG453" s="1825"/>
      <c r="EH453" s="1825"/>
      <c r="EI453" s="1825"/>
      <c r="EJ453" s="1825"/>
      <c r="EK453" s="1825"/>
      <c r="EL453" s="1825"/>
      <c r="EM453" s="1825"/>
      <c r="EN453" s="1825"/>
      <c r="EO453" s="1825"/>
      <c r="EP453" s="1825"/>
      <c r="EQ453" s="1825"/>
      <c r="ER453" s="1825"/>
      <c r="ES453" s="1825"/>
      <c r="ET453" s="1825"/>
      <c r="EU453" s="1825"/>
      <c r="EV453" s="1825"/>
      <c r="EW453" s="1825"/>
      <c r="EX453" s="1825"/>
      <c r="EY453" s="1825"/>
      <c r="EZ453" s="1825"/>
      <c r="FA453" s="1825"/>
      <c r="FB453" s="1825"/>
      <c r="FC453" s="1825"/>
      <c r="FD453" s="1825"/>
      <c r="FE453" s="1825"/>
      <c r="FF453" s="1825"/>
      <c r="FG453" s="1825"/>
      <c r="FH453" s="1825"/>
      <c r="FI453" s="1825"/>
      <c r="FJ453" s="1825"/>
      <c r="FK453" s="1825"/>
      <c r="FL453" s="1825"/>
      <c r="FM453" s="1825"/>
      <c r="FN453" s="1825"/>
      <c r="FO453" s="1825"/>
      <c r="FP453" s="1825"/>
      <c r="FQ453" s="1825"/>
      <c r="FR453" s="1825"/>
      <c r="FS453" s="1825"/>
      <c r="FT453" s="1825"/>
      <c r="FU453" s="1825"/>
      <c r="FV453" s="1825"/>
      <c r="FW453" s="1825"/>
      <c r="FX453" s="1825"/>
      <c r="FY453" s="1825"/>
      <c r="FZ453" s="1825"/>
      <c r="GA453" s="1825"/>
      <c r="GB453" s="1825"/>
      <c r="GC453" s="1825"/>
      <c r="GD453" s="1825"/>
      <c r="GE453" s="1825"/>
      <c r="GF453" s="1825"/>
      <c r="GG453" s="1825"/>
      <c r="GH453" s="1825"/>
      <c r="GI453" s="1825"/>
      <c r="GJ453" s="1825"/>
      <c r="GK453" s="1825"/>
      <c r="GL453" s="1825"/>
      <c r="GM453" s="1825"/>
      <c r="GN453" s="1825"/>
      <c r="GO453" s="1825"/>
      <c r="GP453" s="1825"/>
      <c r="GQ453" s="1825"/>
      <c r="GR453" s="1825"/>
      <c r="GS453" s="1825"/>
      <c r="GT453" s="1825"/>
      <c r="GU453" s="1825"/>
      <c r="GV453" s="1825"/>
      <c r="GW453" s="1825"/>
      <c r="GX453" s="1825"/>
      <c r="GY453" s="1825"/>
      <c r="GZ453" s="1825"/>
      <c r="HA453" s="1825"/>
      <c r="HB453" s="1825"/>
      <c r="HC453" s="1825"/>
      <c r="HD453" s="1825"/>
      <c r="HE453" s="1825"/>
      <c r="HF453" s="1825"/>
      <c r="HG453" s="1825"/>
      <c r="HH453" s="1825"/>
      <c r="HI453" s="1825"/>
      <c r="HJ453" s="1825"/>
      <c r="HK453" s="1825"/>
      <c r="HL453" s="1825"/>
      <c r="HM453" s="1825"/>
      <c r="HN453" s="1825"/>
      <c r="HO453" s="1825"/>
      <c r="HP453" s="1825"/>
      <c r="HQ453" s="1825"/>
      <c r="HR453" s="1825"/>
      <c r="HS453" s="1825"/>
      <c r="HT453" s="1825"/>
      <c r="HU453" s="1825"/>
      <c r="HV453" s="1825"/>
      <c r="HW453" s="1825"/>
      <c r="HX453" s="1825"/>
      <c r="HY453" s="1825"/>
      <c r="HZ453" s="1825"/>
      <c r="IA453" s="1825"/>
      <c r="IB453" s="1825"/>
      <c r="IC453" s="1825"/>
      <c r="ID453" s="1825"/>
      <c r="IE453" s="1825"/>
      <c r="IF453" s="1825"/>
      <c r="IG453" s="1825"/>
      <c r="IH453" s="1825"/>
      <c r="II453" s="1825"/>
      <c r="IJ453" s="1825"/>
      <c r="IK453" s="1825"/>
      <c r="IL453" s="1825"/>
      <c r="IM453" s="1825"/>
      <c r="IN453" s="1825"/>
      <c r="IO453" s="1825"/>
      <c r="IP453" s="1825"/>
      <c r="IQ453" s="1825"/>
      <c r="IR453" s="1825"/>
      <c r="IS453" s="1825"/>
      <c r="IT453" s="1825"/>
      <c r="IU453" s="1825"/>
      <c r="IV453" s="1825"/>
    </row>
    <row r="454" spans="1:256" s="3333" customFormat="1" ht="40.5" customHeight="1">
      <c r="A454" s="3329"/>
      <c r="B454" s="3330"/>
      <c r="C454" s="3330"/>
      <c r="D454" s="2230" t="s">
        <v>2677</v>
      </c>
      <c r="E454" s="3330"/>
      <c r="F454" s="3331"/>
      <c r="G454" s="203"/>
      <c r="H454" s="3332"/>
      <c r="I454" s="3446"/>
      <c r="AP454" s="2206"/>
      <c r="AQ454" s="2206"/>
      <c r="AR454" s="1825"/>
      <c r="AS454" s="1825"/>
      <c r="AT454" s="1825"/>
      <c r="AU454" s="1825"/>
      <c r="AV454" s="1825"/>
      <c r="AW454" s="1825"/>
      <c r="AX454" s="1825"/>
      <c r="AY454" s="1825"/>
      <c r="AZ454" s="1825"/>
      <c r="BA454" s="1825"/>
      <c r="BB454" s="1825"/>
      <c r="BC454" s="1825"/>
      <c r="BD454" s="1825"/>
      <c r="BE454" s="1825"/>
      <c r="BF454" s="1825"/>
      <c r="BG454" s="1825"/>
      <c r="BH454" s="1825"/>
      <c r="BI454" s="1825"/>
      <c r="BJ454" s="1825"/>
      <c r="BK454" s="1825"/>
      <c r="BL454" s="1825"/>
      <c r="BM454" s="1825"/>
      <c r="BN454" s="1825"/>
      <c r="BO454" s="1825"/>
      <c r="BP454" s="1825"/>
      <c r="BQ454" s="1825"/>
      <c r="BR454" s="1825"/>
      <c r="BS454" s="1825"/>
      <c r="BT454" s="1825"/>
      <c r="BU454" s="1825"/>
      <c r="BV454" s="1825"/>
      <c r="BW454" s="1825"/>
      <c r="BX454" s="1825"/>
      <c r="BY454" s="1825"/>
      <c r="BZ454" s="1825"/>
      <c r="CA454" s="1825"/>
      <c r="CB454" s="1825"/>
      <c r="CC454" s="1825"/>
      <c r="CD454" s="1825"/>
      <c r="CE454" s="1825"/>
      <c r="CF454" s="1825"/>
      <c r="CG454" s="1825"/>
      <c r="CH454" s="1825"/>
      <c r="CI454" s="1825"/>
      <c r="CJ454" s="1825"/>
      <c r="CK454" s="1825"/>
      <c r="CL454" s="1825"/>
      <c r="CM454" s="1825"/>
      <c r="CN454" s="1825"/>
      <c r="CO454" s="1825"/>
      <c r="CP454" s="1825"/>
      <c r="CQ454" s="1825"/>
      <c r="CR454" s="1825"/>
      <c r="CS454" s="1825"/>
      <c r="CT454" s="1825"/>
      <c r="CU454" s="1825"/>
      <c r="CV454" s="1825"/>
      <c r="CW454" s="1825"/>
      <c r="CX454" s="1825"/>
      <c r="CY454" s="1825"/>
      <c r="CZ454" s="1825"/>
      <c r="DA454" s="1825"/>
      <c r="DB454" s="1825"/>
      <c r="DC454" s="1825"/>
      <c r="DD454" s="1825"/>
      <c r="DE454" s="1825"/>
      <c r="DF454" s="1825"/>
      <c r="DG454" s="1825"/>
      <c r="DH454" s="1825"/>
      <c r="DI454" s="1825"/>
      <c r="DJ454" s="1825"/>
      <c r="DK454" s="1825"/>
      <c r="DL454" s="1825"/>
      <c r="DM454" s="1825"/>
      <c r="DN454" s="1825"/>
      <c r="DO454" s="1825"/>
      <c r="DP454" s="1825"/>
      <c r="DQ454" s="1825"/>
      <c r="DR454" s="1825"/>
      <c r="DS454" s="1825"/>
      <c r="DT454" s="1825"/>
      <c r="DU454" s="1825"/>
      <c r="DV454" s="1825"/>
      <c r="DW454" s="1825"/>
      <c r="DX454" s="1825"/>
      <c r="DY454" s="1825"/>
      <c r="DZ454" s="1825"/>
      <c r="EA454" s="1825"/>
      <c r="EB454" s="1825"/>
      <c r="EC454" s="1825"/>
      <c r="ED454" s="1825"/>
      <c r="EE454" s="1825"/>
      <c r="EF454" s="1825"/>
      <c r="EG454" s="1825"/>
      <c r="EH454" s="1825"/>
      <c r="EI454" s="1825"/>
      <c r="EJ454" s="1825"/>
      <c r="EK454" s="1825"/>
      <c r="EL454" s="1825"/>
      <c r="EM454" s="1825"/>
      <c r="EN454" s="1825"/>
      <c r="EO454" s="1825"/>
      <c r="EP454" s="1825"/>
      <c r="EQ454" s="1825"/>
      <c r="ER454" s="1825"/>
      <c r="ES454" s="1825"/>
      <c r="ET454" s="1825"/>
      <c r="EU454" s="1825"/>
      <c r="EV454" s="1825"/>
      <c r="EW454" s="1825"/>
      <c r="EX454" s="1825"/>
      <c r="EY454" s="1825"/>
      <c r="EZ454" s="1825"/>
      <c r="FA454" s="1825"/>
      <c r="FB454" s="1825"/>
      <c r="FC454" s="1825"/>
      <c r="FD454" s="1825"/>
      <c r="FE454" s="1825"/>
      <c r="FF454" s="1825"/>
      <c r="FG454" s="1825"/>
      <c r="FH454" s="1825"/>
      <c r="FI454" s="1825"/>
      <c r="FJ454" s="1825"/>
      <c r="FK454" s="1825"/>
      <c r="FL454" s="1825"/>
      <c r="FM454" s="1825"/>
      <c r="FN454" s="1825"/>
      <c r="FO454" s="1825"/>
      <c r="FP454" s="1825"/>
      <c r="FQ454" s="1825"/>
      <c r="FR454" s="1825"/>
      <c r="FS454" s="1825"/>
      <c r="FT454" s="1825"/>
      <c r="FU454" s="1825"/>
      <c r="FV454" s="1825"/>
      <c r="FW454" s="1825"/>
      <c r="FX454" s="1825"/>
      <c r="FY454" s="1825"/>
      <c r="FZ454" s="1825"/>
      <c r="GA454" s="1825"/>
      <c r="GB454" s="1825"/>
      <c r="GC454" s="1825"/>
      <c r="GD454" s="1825"/>
      <c r="GE454" s="1825"/>
      <c r="GF454" s="1825"/>
      <c r="GG454" s="1825"/>
      <c r="GH454" s="1825"/>
      <c r="GI454" s="1825"/>
      <c r="GJ454" s="1825"/>
      <c r="GK454" s="1825"/>
      <c r="GL454" s="1825"/>
      <c r="GM454" s="1825"/>
      <c r="GN454" s="1825"/>
      <c r="GO454" s="1825"/>
      <c r="GP454" s="1825"/>
      <c r="GQ454" s="1825"/>
      <c r="GR454" s="1825"/>
      <c r="GS454" s="1825"/>
      <c r="GT454" s="1825"/>
      <c r="GU454" s="1825"/>
      <c r="GV454" s="1825"/>
      <c r="GW454" s="1825"/>
      <c r="GX454" s="1825"/>
      <c r="GY454" s="1825"/>
      <c r="GZ454" s="1825"/>
      <c r="HA454" s="1825"/>
      <c r="HB454" s="1825"/>
      <c r="HC454" s="1825"/>
      <c r="HD454" s="1825"/>
      <c r="HE454" s="1825"/>
      <c r="HF454" s="1825"/>
      <c r="HG454" s="1825"/>
      <c r="HH454" s="1825"/>
      <c r="HI454" s="1825"/>
      <c r="HJ454" s="1825"/>
      <c r="HK454" s="1825"/>
      <c r="HL454" s="1825"/>
      <c r="HM454" s="1825"/>
      <c r="HN454" s="1825"/>
      <c r="HO454" s="1825"/>
      <c r="HP454" s="1825"/>
      <c r="HQ454" s="1825"/>
      <c r="HR454" s="1825"/>
      <c r="HS454" s="1825"/>
      <c r="HT454" s="1825"/>
      <c r="HU454" s="1825"/>
      <c r="HV454" s="1825"/>
      <c r="HW454" s="1825"/>
      <c r="HX454" s="1825"/>
      <c r="HY454" s="1825"/>
      <c r="HZ454" s="1825"/>
      <c r="IA454" s="1825"/>
      <c r="IB454" s="1825"/>
      <c r="IC454" s="1825"/>
      <c r="ID454" s="1825"/>
      <c r="IE454" s="1825"/>
      <c r="IF454" s="1825"/>
      <c r="IG454" s="1825"/>
      <c r="IH454" s="1825"/>
      <c r="II454" s="1825"/>
      <c r="IJ454" s="1825"/>
      <c r="IK454" s="1825"/>
      <c r="IL454" s="1825"/>
      <c r="IM454" s="1825"/>
      <c r="IN454" s="1825"/>
      <c r="IO454" s="1825"/>
      <c r="IP454" s="1825"/>
      <c r="IQ454" s="1825"/>
      <c r="IR454" s="1825"/>
      <c r="IS454" s="1825"/>
      <c r="IT454" s="1825"/>
      <c r="IU454" s="1825"/>
      <c r="IV454" s="1825"/>
    </row>
    <row r="455" spans="1:256" s="1913" customFormat="1" ht="13.5" customHeight="1">
      <c r="A455" s="3340">
        <v>92</v>
      </c>
      <c r="B455" s="3438" t="s">
        <v>1860</v>
      </c>
      <c r="C455" s="2590" t="s">
        <v>2680</v>
      </c>
      <c r="D455" s="3434" t="s">
        <v>2681</v>
      </c>
      <c r="E455" s="3434" t="s">
        <v>205</v>
      </c>
      <c r="F455" s="2593">
        <f>SUM(F457:F457)</f>
        <v>1</v>
      </c>
      <c r="G455" s="208"/>
      <c r="H455" s="3439">
        <f>F455*G455</f>
        <v>0</v>
      </c>
      <c r="I455" s="3440" t="s">
        <v>112</v>
      </c>
      <c r="J455" s="3441"/>
      <c r="K455" s="3441"/>
      <c r="O455" s="3442"/>
      <c r="P455" s="3441"/>
      <c r="Q455" s="3349"/>
      <c r="X455" s="3441"/>
      <c r="Y455" s="3441"/>
      <c r="Z455" s="2206"/>
      <c r="AA455" s="2206"/>
      <c r="AB455" s="2206"/>
      <c r="AC455" s="2206"/>
      <c r="AD455" s="2206"/>
      <c r="AE455" s="2206"/>
      <c r="AF455" s="2206"/>
      <c r="AG455" s="2206"/>
      <c r="AH455" s="3443"/>
    </row>
    <row r="456" spans="1:256" s="1913" customFormat="1" ht="13.5" customHeight="1">
      <c r="A456" s="3323"/>
      <c r="B456" s="3324"/>
      <c r="C456" s="2230"/>
      <c r="D456" s="2230" t="s">
        <v>2676</v>
      </c>
      <c r="E456" s="2230"/>
      <c r="F456" s="3444"/>
      <c r="G456" s="207"/>
      <c r="H456" s="3326"/>
      <c r="I456" s="3445"/>
      <c r="J456" s="3441"/>
      <c r="K456" s="3441"/>
      <c r="L456" s="2206"/>
      <c r="M456" s="2206"/>
      <c r="N456" s="2206"/>
      <c r="O456" s="2206"/>
      <c r="P456" s="2206"/>
      <c r="Q456" s="2206"/>
      <c r="R456" s="2206"/>
      <c r="S456" s="2206"/>
      <c r="T456" s="2206"/>
      <c r="U456" s="2206"/>
      <c r="V456" s="2233"/>
      <c r="W456" s="2206"/>
      <c r="X456" s="3441"/>
      <c r="Y456" s="3441"/>
      <c r="Z456" s="2206"/>
      <c r="AA456" s="2206"/>
      <c r="AB456" s="2206"/>
      <c r="AC456" s="2206"/>
      <c r="AD456" s="2206"/>
      <c r="AE456" s="2206"/>
      <c r="AF456" s="2206"/>
      <c r="AG456" s="2206"/>
      <c r="AH456" s="2206"/>
    </row>
    <row r="457" spans="1:256" s="3333" customFormat="1" ht="13.5" customHeight="1">
      <c r="A457" s="3329"/>
      <c r="B457" s="3330"/>
      <c r="C457" s="3330"/>
      <c r="D457" s="3330" t="s">
        <v>2492</v>
      </c>
      <c r="E457" s="3330"/>
      <c r="F457" s="3331">
        <v>1</v>
      </c>
      <c r="G457" s="203"/>
      <c r="H457" s="3332"/>
      <c r="I457" s="3334"/>
      <c r="K457" s="2206"/>
      <c r="L457" s="2206"/>
      <c r="M457" s="2206"/>
      <c r="N457" s="2206"/>
      <c r="O457" s="2206"/>
      <c r="P457" s="2206"/>
      <c r="Q457" s="2206"/>
      <c r="R457" s="2206"/>
      <c r="S457" s="2206"/>
      <c r="T457" s="2206"/>
      <c r="U457" s="2206"/>
      <c r="V457" s="2206"/>
      <c r="W457" s="2206"/>
      <c r="X457" s="2206"/>
      <c r="Y457" s="2206"/>
      <c r="Z457" s="2206"/>
      <c r="AA457" s="2206"/>
      <c r="AB457" s="2206"/>
      <c r="AC457" s="2206"/>
      <c r="AD457" s="2206"/>
      <c r="AE457" s="2206"/>
      <c r="AF457" s="2206"/>
      <c r="AG457" s="2206"/>
      <c r="AH457" s="2206"/>
      <c r="AI457" s="2206"/>
      <c r="AJ457" s="2206"/>
      <c r="AK457" s="2206"/>
      <c r="AL457" s="2206"/>
      <c r="AM457" s="2206"/>
      <c r="AN457" s="2206"/>
      <c r="AO457" s="2206"/>
      <c r="AP457" s="2206"/>
      <c r="AQ457" s="2206"/>
      <c r="AR457" s="1825"/>
      <c r="AS457" s="1825"/>
      <c r="AT457" s="1825"/>
      <c r="AU457" s="1825"/>
      <c r="AV457" s="1825"/>
      <c r="AW457" s="1825"/>
      <c r="AX457" s="1825"/>
      <c r="AY457" s="1825"/>
      <c r="AZ457" s="1825"/>
      <c r="BA457" s="1825"/>
      <c r="BB457" s="1825"/>
      <c r="BC457" s="1825"/>
      <c r="BD457" s="1825"/>
      <c r="BE457" s="1825"/>
      <c r="BF457" s="1825"/>
      <c r="BG457" s="1825"/>
      <c r="BH457" s="1825"/>
      <c r="BI457" s="1825"/>
      <c r="BJ457" s="1825"/>
      <c r="BK457" s="1825"/>
      <c r="BL457" s="1825"/>
      <c r="BM457" s="1825"/>
      <c r="BN457" s="1825"/>
      <c r="BO457" s="1825"/>
      <c r="BP457" s="1825"/>
      <c r="BQ457" s="1825"/>
      <c r="BR457" s="1825"/>
      <c r="BS457" s="1825"/>
      <c r="BT457" s="1825"/>
      <c r="BU457" s="1825"/>
      <c r="BV457" s="1825"/>
      <c r="BW457" s="1825"/>
      <c r="BX457" s="1825"/>
      <c r="BY457" s="1825"/>
      <c r="BZ457" s="1825"/>
      <c r="CA457" s="1825"/>
      <c r="CB457" s="1825"/>
      <c r="CC457" s="1825"/>
      <c r="CD457" s="1825"/>
      <c r="CE457" s="1825"/>
      <c r="CF457" s="1825"/>
      <c r="CG457" s="1825"/>
      <c r="CH457" s="1825"/>
      <c r="CI457" s="1825"/>
      <c r="CJ457" s="1825"/>
      <c r="CK457" s="1825"/>
      <c r="CL457" s="1825"/>
      <c r="CM457" s="1825"/>
      <c r="CN457" s="1825"/>
      <c r="CO457" s="1825"/>
      <c r="CP457" s="1825"/>
      <c r="CQ457" s="1825"/>
      <c r="CR457" s="1825"/>
      <c r="CS457" s="1825"/>
      <c r="CT457" s="1825"/>
      <c r="CU457" s="1825"/>
      <c r="CV457" s="1825"/>
      <c r="CW457" s="1825"/>
      <c r="CX457" s="1825"/>
      <c r="CY457" s="1825"/>
      <c r="CZ457" s="1825"/>
      <c r="DA457" s="1825"/>
      <c r="DB457" s="1825"/>
      <c r="DC457" s="1825"/>
      <c r="DD457" s="1825"/>
      <c r="DE457" s="1825"/>
      <c r="DF457" s="1825"/>
      <c r="DG457" s="1825"/>
      <c r="DH457" s="1825"/>
      <c r="DI457" s="1825"/>
      <c r="DJ457" s="1825"/>
      <c r="DK457" s="1825"/>
      <c r="DL457" s="1825"/>
      <c r="DM457" s="1825"/>
      <c r="DN457" s="1825"/>
      <c r="DO457" s="1825"/>
      <c r="DP457" s="1825"/>
      <c r="DQ457" s="1825"/>
      <c r="DR457" s="1825"/>
      <c r="DS457" s="1825"/>
      <c r="DT457" s="1825"/>
      <c r="DU457" s="1825"/>
      <c r="DV457" s="1825"/>
      <c r="DW457" s="1825"/>
      <c r="DX457" s="1825"/>
      <c r="DY457" s="1825"/>
      <c r="DZ457" s="1825"/>
      <c r="EA457" s="1825"/>
      <c r="EB457" s="1825"/>
      <c r="EC457" s="1825"/>
      <c r="ED457" s="1825"/>
      <c r="EE457" s="1825"/>
      <c r="EF457" s="1825"/>
      <c r="EG457" s="1825"/>
      <c r="EH457" s="1825"/>
      <c r="EI457" s="1825"/>
      <c r="EJ457" s="1825"/>
      <c r="EK457" s="1825"/>
      <c r="EL457" s="1825"/>
      <c r="EM457" s="1825"/>
      <c r="EN457" s="1825"/>
      <c r="EO457" s="1825"/>
      <c r="EP457" s="1825"/>
      <c r="EQ457" s="1825"/>
      <c r="ER457" s="1825"/>
      <c r="ES457" s="1825"/>
      <c r="ET457" s="1825"/>
      <c r="EU457" s="1825"/>
      <c r="EV457" s="1825"/>
      <c r="EW457" s="1825"/>
      <c r="EX457" s="1825"/>
      <c r="EY457" s="1825"/>
      <c r="EZ457" s="1825"/>
      <c r="FA457" s="1825"/>
      <c r="FB457" s="1825"/>
      <c r="FC457" s="1825"/>
      <c r="FD457" s="1825"/>
      <c r="FE457" s="1825"/>
      <c r="FF457" s="1825"/>
      <c r="FG457" s="1825"/>
      <c r="FH457" s="1825"/>
      <c r="FI457" s="1825"/>
      <c r="FJ457" s="1825"/>
      <c r="FK457" s="1825"/>
      <c r="FL457" s="1825"/>
      <c r="FM457" s="1825"/>
      <c r="FN457" s="1825"/>
      <c r="FO457" s="1825"/>
      <c r="FP457" s="1825"/>
      <c r="FQ457" s="1825"/>
      <c r="FR457" s="1825"/>
      <c r="FS457" s="1825"/>
      <c r="FT457" s="1825"/>
      <c r="FU457" s="1825"/>
      <c r="FV457" s="1825"/>
      <c r="FW457" s="1825"/>
      <c r="FX457" s="1825"/>
      <c r="FY457" s="1825"/>
      <c r="FZ457" s="1825"/>
      <c r="GA457" s="1825"/>
      <c r="GB457" s="1825"/>
      <c r="GC457" s="1825"/>
      <c r="GD457" s="1825"/>
      <c r="GE457" s="1825"/>
      <c r="GF457" s="1825"/>
      <c r="GG457" s="1825"/>
      <c r="GH457" s="1825"/>
      <c r="GI457" s="1825"/>
      <c r="GJ457" s="1825"/>
      <c r="GK457" s="1825"/>
      <c r="GL457" s="1825"/>
      <c r="GM457" s="1825"/>
      <c r="GN457" s="1825"/>
      <c r="GO457" s="1825"/>
      <c r="GP457" s="1825"/>
      <c r="GQ457" s="1825"/>
      <c r="GR457" s="1825"/>
      <c r="GS457" s="1825"/>
      <c r="GT457" s="1825"/>
      <c r="GU457" s="1825"/>
      <c r="GV457" s="1825"/>
      <c r="GW457" s="1825"/>
      <c r="GX457" s="1825"/>
      <c r="GY457" s="1825"/>
      <c r="GZ457" s="1825"/>
      <c r="HA457" s="1825"/>
      <c r="HB457" s="1825"/>
      <c r="HC457" s="1825"/>
      <c r="HD457" s="1825"/>
      <c r="HE457" s="1825"/>
      <c r="HF457" s="1825"/>
      <c r="HG457" s="1825"/>
      <c r="HH457" s="1825"/>
      <c r="HI457" s="1825"/>
      <c r="HJ457" s="1825"/>
      <c r="HK457" s="1825"/>
      <c r="HL457" s="1825"/>
      <c r="HM457" s="1825"/>
      <c r="HN457" s="1825"/>
      <c r="HO457" s="1825"/>
      <c r="HP457" s="1825"/>
      <c r="HQ457" s="1825"/>
      <c r="HR457" s="1825"/>
      <c r="HS457" s="1825"/>
      <c r="HT457" s="1825"/>
      <c r="HU457" s="1825"/>
      <c r="HV457" s="1825"/>
      <c r="HW457" s="1825"/>
      <c r="HX457" s="1825"/>
      <c r="HY457" s="1825"/>
      <c r="HZ457" s="1825"/>
      <c r="IA457" s="1825"/>
      <c r="IB457" s="1825"/>
      <c r="IC457" s="1825"/>
      <c r="ID457" s="1825"/>
      <c r="IE457" s="1825"/>
      <c r="IF457" s="1825"/>
      <c r="IG457" s="1825"/>
      <c r="IH457" s="1825"/>
      <c r="II457" s="1825"/>
      <c r="IJ457" s="1825"/>
      <c r="IK457" s="1825"/>
      <c r="IL457" s="1825"/>
      <c r="IM457" s="1825"/>
      <c r="IN457" s="1825"/>
      <c r="IO457" s="1825"/>
      <c r="IP457" s="1825"/>
      <c r="IQ457" s="1825"/>
      <c r="IR457" s="1825"/>
      <c r="IS457" s="1825"/>
      <c r="IT457" s="1825"/>
      <c r="IU457" s="1825"/>
      <c r="IV457" s="1825"/>
    </row>
    <row r="458" spans="1:256" s="3333" customFormat="1" ht="40.5" customHeight="1">
      <c r="A458" s="3329"/>
      <c r="B458" s="3330"/>
      <c r="C458" s="3330"/>
      <c r="D458" s="2230" t="s">
        <v>2677</v>
      </c>
      <c r="E458" s="3330"/>
      <c r="F458" s="3331"/>
      <c r="G458" s="203"/>
      <c r="H458" s="3332"/>
      <c r="I458" s="3446"/>
      <c r="AP458" s="2206"/>
      <c r="AQ458" s="2206"/>
      <c r="AR458" s="1825"/>
      <c r="AS458" s="1825"/>
      <c r="AT458" s="1825"/>
      <c r="AU458" s="1825"/>
      <c r="AV458" s="1825"/>
      <c r="AW458" s="1825"/>
      <c r="AX458" s="1825"/>
      <c r="AY458" s="1825"/>
      <c r="AZ458" s="1825"/>
      <c r="BA458" s="1825"/>
      <c r="BB458" s="1825"/>
      <c r="BC458" s="1825"/>
      <c r="BD458" s="1825"/>
      <c r="BE458" s="1825"/>
      <c r="BF458" s="1825"/>
      <c r="BG458" s="1825"/>
      <c r="BH458" s="1825"/>
      <c r="BI458" s="1825"/>
      <c r="BJ458" s="1825"/>
      <c r="BK458" s="1825"/>
      <c r="BL458" s="1825"/>
      <c r="BM458" s="1825"/>
      <c r="BN458" s="1825"/>
      <c r="BO458" s="1825"/>
      <c r="BP458" s="1825"/>
      <c r="BQ458" s="1825"/>
      <c r="BR458" s="1825"/>
      <c r="BS458" s="1825"/>
      <c r="BT458" s="1825"/>
      <c r="BU458" s="1825"/>
      <c r="BV458" s="1825"/>
      <c r="BW458" s="1825"/>
      <c r="BX458" s="1825"/>
      <c r="BY458" s="1825"/>
      <c r="BZ458" s="1825"/>
      <c r="CA458" s="1825"/>
      <c r="CB458" s="1825"/>
      <c r="CC458" s="1825"/>
      <c r="CD458" s="1825"/>
      <c r="CE458" s="1825"/>
      <c r="CF458" s="1825"/>
      <c r="CG458" s="1825"/>
      <c r="CH458" s="1825"/>
      <c r="CI458" s="1825"/>
      <c r="CJ458" s="1825"/>
      <c r="CK458" s="1825"/>
      <c r="CL458" s="1825"/>
      <c r="CM458" s="1825"/>
      <c r="CN458" s="1825"/>
      <c r="CO458" s="1825"/>
      <c r="CP458" s="1825"/>
      <c r="CQ458" s="1825"/>
      <c r="CR458" s="1825"/>
      <c r="CS458" s="1825"/>
      <c r="CT458" s="1825"/>
      <c r="CU458" s="1825"/>
      <c r="CV458" s="1825"/>
      <c r="CW458" s="1825"/>
      <c r="CX458" s="1825"/>
      <c r="CY458" s="1825"/>
      <c r="CZ458" s="1825"/>
      <c r="DA458" s="1825"/>
      <c r="DB458" s="1825"/>
      <c r="DC458" s="1825"/>
      <c r="DD458" s="1825"/>
      <c r="DE458" s="1825"/>
      <c r="DF458" s="1825"/>
      <c r="DG458" s="1825"/>
      <c r="DH458" s="1825"/>
      <c r="DI458" s="1825"/>
      <c r="DJ458" s="1825"/>
      <c r="DK458" s="1825"/>
      <c r="DL458" s="1825"/>
      <c r="DM458" s="1825"/>
      <c r="DN458" s="1825"/>
      <c r="DO458" s="1825"/>
      <c r="DP458" s="1825"/>
      <c r="DQ458" s="1825"/>
      <c r="DR458" s="1825"/>
      <c r="DS458" s="1825"/>
      <c r="DT458" s="1825"/>
      <c r="DU458" s="1825"/>
      <c r="DV458" s="1825"/>
      <c r="DW458" s="1825"/>
      <c r="DX458" s="1825"/>
      <c r="DY458" s="1825"/>
      <c r="DZ458" s="1825"/>
      <c r="EA458" s="1825"/>
      <c r="EB458" s="1825"/>
      <c r="EC458" s="1825"/>
      <c r="ED458" s="1825"/>
      <c r="EE458" s="1825"/>
      <c r="EF458" s="1825"/>
      <c r="EG458" s="1825"/>
      <c r="EH458" s="1825"/>
      <c r="EI458" s="1825"/>
      <c r="EJ458" s="1825"/>
      <c r="EK458" s="1825"/>
      <c r="EL458" s="1825"/>
      <c r="EM458" s="1825"/>
      <c r="EN458" s="1825"/>
      <c r="EO458" s="1825"/>
      <c r="EP458" s="1825"/>
      <c r="EQ458" s="1825"/>
      <c r="ER458" s="1825"/>
      <c r="ES458" s="1825"/>
      <c r="ET458" s="1825"/>
      <c r="EU458" s="1825"/>
      <c r="EV458" s="1825"/>
      <c r="EW458" s="1825"/>
      <c r="EX458" s="1825"/>
      <c r="EY458" s="1825"/>
      <c r="EZ458" s="1825"/>
      <c r="FA458" s="1825"/>
      <c r="FB458" s="1825"/>
      <c r="FC458" s="1825"/>
      <c r="FD458" s="1825"/>
      <c r="FE458" s="1825"/>
      <c r="FF458" s="1825"/>
      <c r="FG458" s="1825"/>
      <c r="FH458" s="1825"/>
      <c r="FI458" s="1825"/>
      <c r="FJ458" s="1825"/>
      <c r="FK458" s="1825"/>
      <c r="FL458" s="1825"/>
      <c r="FM458" s="1825"/>
      <c r="FN458" s="1825"/>
      <c r="FO458" s="1825"/>
      <c r="FP458" s="1825"/>
      <c r="FQ458" s="1825"/>
      <c r="FR458" s="1825"/>
      <c r="FS458" s="1825"/>
      <c r="FT458" s="1825"/>
      <c r="FU458" s="1825"/>
      <c r="FV458" s="1825"/>
      <c r="FW458" s="1825"/>
      <c r="FX458" s="1825"/>
      <c r="FY458" s="1825"/>
      <c r="FZ458" s="1825"/>
      <c r="GA458" s="1825"/>
      <c r="GB458" s="1825"/>
      <c r="GC458" s="1825"/>
      <c r="GD458" s="1825"/>
      <c r="GE458" s="1825"/>
      <c r="GF458" s="1825"/>
      <c r="GG458" s="1825"/>
      <c r="GH458" s="1825"/>
      <c r="GI458" s="1825"/>
      <c r="GJ458" s="1825"/>
      <c r="GK458" s="1825"/>
      <c r="GL458" s="1825"/>
      <c r="GM458" s="1825"/>
      <c r="GN458" s="1825"/>
      <c r="GO458" s="1825"/>
      <c r="GP458" s="1825"/>
      <c r="GQ458" s="1825"/>
      <c r="GR458" s="1825"/>
      <c r="GS458" s="1825"/>
      <c r="GT458" s="1825"/>
      <c r="GU458" s="1825"/>
      <c r="GV458" s="1825"/>
      <c r="GW458" s="1825"/>
      <c r="GX458" s="1825"/>
      <c r="GY458" s="1825"/>
      <c r="GZ458" s="1825"/>
      <c r="HA458" s="1825"/>
      <c r="HB458" s="1825"/>
      <c r="HC458" s="1825"/>
      <c r="HD458" s="1825"/>
      <c r="HE458" s="1825"/>
      <c r="HF458" s="1825"/>
      <c r="HG458" s="1825"/>
      <c r="HH458" s="1825"/>
      <c r="HI458" s="1825"/>
      <c r="HJ458" s="1825"/>
      <c r="HK458" s="1825"/>
      <c r="HL458" s="1825"/>
      <c r="HM458" s="1825"/>
      <c r="HN458" s="1825"/>
      <c r="HO458" s="1825"/>
      <c r="HP458" s="1825"/>
      <c r="HQ458" s="1825"/>
      <c r="HR458" s="1825"/>
      <c r="HS458" s="1825"/>
      <c r="HT458" s="1825"/>
      <c r="HU458" s="1825"/>
      <c r="HV458" s="1825"/>
      <c r="HW458" s="1825"/>
      <c r="HX458" s="1825"/>
      <c r="HY458" s="1825"/>
      <c r="HZ458" s="1825"/>
      <c r="IA458" s="1825"/>
      <c r="IB458" s="1825"/>
      <c r="IC458" s="1825"/>
      <c r="ID458" s="1825"/>
      <c r="IE458" s="1825"/>
      <c r="IF458" s="1825"/>
      <c r="IG458" s="1825"/>
      <c r="IH458" s="1825"/>
      <c r="II458" s="1825"/>
      <c r="IJ458" s="1825"/>
      <c r="IK458" s="1825"/>
      <c r="IL458" s="1825"/>
      <c r="IM458" s="1825"/>
      <c r="IN458" s="1825"/>
      <c r="IO458" s="1825"/>
      <c r="IP458" s="1825"/>
      <c r="IQ458" s="1825"/>
      <c r="IR458" s="1825"/>
      <c r="IS458" s="1825"/>
      <c r="IT458" s="1825"/>
      <c r="IU458" s="1825"/>
      <c r="IV458" s="1825"/>
    </row>
    <row r="459" spans="1:256" s="1913" customFormat="1" ht="13.5" customHeight="1">
      <c r="A459" s="3340">
        <v>93</v>
      </c>
      <c r="B459" s="3438" t="s">
        <v>1860</v>
      </c>
      <c r="C459" s="2590" t="s">
        <v>2682</v>
      </c>
      <c r="D459" s="3434" t="s">
        <v>2683</v>
      </c>
      <c r="E459" s="3434" t="s">
        <v>205</v>
      </c>
      <c r="F459" s="2593">
        <f>SUM(F461:F461)</f>
        <v>1</v>
      </c>
      <c r="G459" s="208"/>
      <c r="H459" s="3439">
        <f>F459*G459</f>
        <v>0</v>
      </c>
      <c r="I459" s="3440" t="s">
        <v>112</v>
      </c>
      <c r="J459" s="3441"/>
      <c r="K459" s="3441"/>
      <c r="O459" s="3442"/>
      <c r="P459" s="3441"/>
      <c r="Q459" s="3349"/>
      <c r="X459" s="3441"/>
      <c r="Y459" s="3441"/>
      <c r="Z459" s="2206"/>
      <c r="AA459" s="2206"/>
      <c r="AB459" s="2206"/>
      <c r="AC459" s="2206"/>
      <c r="AD459" s="2206"/>
      <c r="AE459" s="2206"/>
      <c r="AF459" s="2206"/>
      <c r="AG459" s="2206"/>
      <c r="AH459" s="3443"/>
    </row>
    <row r="460" spans="1:256" s="1913" customFormat="1" ht="13.5" customHeight="1">
      <c r="A460" s="3323"/>
      <c r="B460" s="3324"/>
      <c r="C460" s="2230"/>
      <c r="D460" s="2230" t="s">
        <v>2676</v>
      </c>
      <c r="E460" s="2230"/>
      <c r="F460" s="3444"/>
      <c r="G460" s="207"/>
      <c r="H460" s="3326"/>
      <c r="I460" s="3445"/>
      <c r="J460" s="3441"/>
      <c r="K460" s="3441"/>
      <c r="L460" s="2206"/>
      <c r="M460" s="2206"/>
      <c r="N460" s="2206"/>
      <c r="O460" s="2206"/>
      <c r="P460" s="2206"/>
      <c r="Q460" s="2206"/>
      <c r="R460" s="2206"/>
      <c r="S460" s="2206"/>
      <c r="T460" s="2206"/>
      <c r="U460" s="2206"/>
      <c r="V460" s="2233"/>
      <c r="W460" s="2206"/>
      <c r="X460" s="3441"/>
      <c r="Y460" s="3441"/>
      <c r="Z460" s="2206"/>
      <c r="AA460" s="2206"/>
      <c r="AB460" s="2206"/>
      <c r="AC460" s="2206"/>
      <c r="AD460" s="2206"/>
      <c r="AE460" s="2206"/>
      <c r="AF460" s="2206"/>
      <c r="AG460" s="2206"/>
      <c r="AH460" s="2206"/>
    </row>
    <row r="461" spans="1:256" s="3333" customFormat="1" ht="13.5" customHeight="1">
      <c r="A461" s="3329"/>
      <c r="B461" s="3330"/>
      <c r="C461" s="3330"/>
      <c r="D461" s="3330" t="s">
        <v>2492</v>
      </c>
      <c r="E461" s="3330"/>
      <c r="F461" s="3331">
        <v>1</v>
      </c>
      <c r="G461" s="203"/>
      <c r="H461" s="3332"/>
      <c r="I461" s="3334"/>
      <c r="K461" s="2206"/>
      <c r="L461" s="2206"/>
      <c r="M461" s="2206"/>
      <c r="N461" s="2206"/>
      <c r="O461" s="2206"/>
      <c r="P461" s="2206"/>
      <c r="Q461" s="2206"/>
      <c r="R461" s="2206"/>
      <c r="S461" s="2206"/>
      <c r="T461" s="2206"/>
      <c r="U461" s="2206"/>
      <c r="V461" s="2206"/>
      <c r="W461" s="2206"/>
      <c r="X461" s="2206"/>
      <c r="Y461" s="2206"/>
      <c r="Z461" s="2206"/>
      <c r="AA461" s="2206"/>
      <c r="AB461" s="2206"/>
      <c r="AC461" s="2206"/>
      <c r="AD461" s="2206"/>
      <c r="AE461" s="2206"/>
      <c r="AF461" s="2206"/>
      <c r="AG461" s="2206"/>
      <c r="AH461" s="2206"/>
      <c r="AI461" s="2206"/>
      <c r="AJ461" s="2206"/>
      <c r="AK461" s="2206"/>
      <c r="AL461" s="2206"/>
      <c r="AM461" s="2206"/>
      <c r="AN461" s="2206"/>
      <c r="AO461" s="2206"/>
      <c r="AP461" s="2206"/>
      <c r="AQ461" s="2206"/>
      <c r="AR461" s="1825"/>
      <c r="AS461" s="1825"/>
      <c r="AT461" s="1825"/>
      <c r="AU461" s="1825"/>
      <c r="AV461" s="1825"/>
      <c r="AW461" s="1825"/>
      <c r="AX461" s="1825"/>
      <c r="AY461" s="1825"/>
      <c r="AZ461" s="1825"/>
      <c r="BA461" s="1825"/>
      <c r="BB461" s="1825"/>
      <c r="BC461" s="1825"/>
      <c r="BD461" s="1825"/>
      <c r="BE461" s="1825"/>
      <c r="BF461" s="1825"/>
      <c r="BG461" s="1825"/>
      <c r="BH461" s="1825"/>
      <c r="BI461" s="1825"/>
      <c r="BJ461" s="1825"/>
      <c r="BK461" s="1825"/>
      <c r="BL461" s="1825"/>
      <c r="BM461" s="1825"/>
      <c r="BN461" s="1825"/>
      <c r="BO461" s="1825"/>
      <c r="BP461" s="1825"/>
      <c r="BQ461" s="1825"/>
      <c r="BR461" s="1825"/>
      <c r="BS461" s="1825"/>
      <c r="BT461" s="1825"/>
      <c r="BU461" s="1825"/>
      <c r="BV461" s="1825"/>
      <c r="BW461" s="1825"/>
      <c r="BX461" s="1825"/>
      <c r="BY461" s="1825"/>
      <c r="BZ461" s="1825"/>
      <c r="CA461" s="1825"/>
      <c r="CB461" s="1825"/>
      <c r="CC461" s="1825"/>
      <c r="CD461" s="1825"/>
      <c r="CE461" s="1825"/>
      <c r="CF461" s="1825"/>
      <c r="CG461" s="1825"/>
      <c r="CH461" s="1825"/>
      <c r="CI461" s="1825"/>
      <c r="CJ461" s="1825"/>
      <c r="CK461" s="1825"/>
      <c r="CL461" s="1825"/>
      <c r="CM461" s="1825"/>
      <c r="CN461" s="1825"/>
      <c r="CO461" s="1825"/>
      <c r="CP461" s="1825"/>
      <c r="CQ461" s="1825"/>
      <c r="CR461" s="1825"/>
      <c r="CS461" s="1825"/>
      <c r="CT461" s="1825"/>
      <c r="CU461" s="1825"/>
      <c r="CV461" s="1825"/>
      <c r="CW461" s="1825"/>
      <c r="CX461" s="1825"/>
      <c r="CY461" s="1825"/>
      <c r="CZ461" s="1825"/>
      <c r="DA461" s="1825"/>
      <c r="DB461" s="1825"/>
      <c r="DC461" s="1825"/>
      <c r="DD461" s="1825"/>
      <c r="DE461" s="1825"/>
      <c r="DF461" s="1825"/>
      <c r="DG461" s="1825"/>
      <c r="DH461" s="1825"/>
      <c r="DI461" s="1825"/>
      <c r="DJ461" s="1825"/>
      <c r="DK461" s="1825"/>
      <c r="DL461" s="1825"/>
      <c r="DM461" s="1825"/>
      <c r="DN461" s="1825"/>
      <c r="DO461" s="1825"/>
      <c r="DP461" s="1825"/>
      <c r="DQ461" s="1825"/>
      <c r="DR461" s="1825"/>
      <c r="DS461" s="1825"/>
      <c r="DT461" s="1825"/>
      <c r="DU461" s="1825"/>
      <c r="DV461" s="1825"/>
      <c r="DW461" s="1825"/>
      <c r="DX461" s="1825"/>
      <c r="DY461" s="1825"/>
      <c r="DZ461" s="1825"/>
      <c r="EA461" s="1825"/>
      <c r="EB461" s="1825"/>
      <c r="EC461" s="1825"/>
      <c r="ED461" s="1825"/>
      <c r="EE461" s="1825"/>
      <c r="EF461" s="1825"/>
      <c r="EG461" s="1825"/>
      <c r="EH461" s="1825"/>
      <c r="EI461" s="1825"/>
      <c r="EJ461" s="1825"/>
      <c r="EK461" s="1825"/>
      <c r="EL461" s="1825"/>
      <c r="EM461" s="1825"/>
      <c r="EN461" s="1825"/>
      <c r="EO461" s="1825"/>
      <c r="EP461" s="1825"/>
      <c r="EQ461" s="1825"/>
      <c r="ER461" s="1825"/>
      <c r="ES461" s="1825"/>
      <c r="ET461" s="1825"/>
      <c r="EU461" s="1825"/>
      <c r="EV461" s="1825"/>
      <c r="EW461" s="1825"/>
      <c r="EX461" s="1825"/>
      <c r="EY461" s="1825"/>
      <c r="EZ461" s="1825"/>
      <c r="FA461" s="1825"/>
      <c r="FB461" s="1825"/>
      <c r="FC461" s="1825"/>
      <c r="FD461" s="1825"/>
      <c r="FE461" s="1825"/>
      <c r="FF461" s="1825"/>
      <c r="FG461" s="1825"/>
      <c r="FH461" s="1825"/>
      <c r="FI461" s="1825"/>
      <c r="FJ461" s="1825"/>
      <c r="FK461" s="1825"/>
      <c r="FL461" s="1825"/>
      <c r="FM461" s="1825"/>
      <c r="FN461" s="1825"/>
      <c r="FO461" s="1825"/>
      <c r="FP461" s="1825"/>
      <c r="FQ461" s="1825"/>
      <c r="FR461" s="1825"/>
      <c r="FS461" s="1825"/>
      <c r="FT461" s="1825"/>
      <c r="FU461" s="1825"/>
      <c r="FV461" s="1825"/>
      <c r="FW461" s="1825"/>
      <c r="FX461" s="1825"/>
      <c r="FY461" s="1825"/>
      <c r="FZ461" s="1825"/>
      <c r="GA461" s="1825"/>
      <c r="GB461" s="1825"/>
      <c r="GC461" s="1825"/>
      <c r="GD461" s="1825"/>
      <c r="GE461" s="1825"/>
      <c r="GF461" s="1825"/>
      <c r="GG461" s="1825"/>
      <c r="GH461" s="1825"/>
      <c r="GI461" s="1825"/>
      <c r="GJ461" s="1825"/>
      <c r="GK461" s="1825"/>
      <c r="GL461" s="1825"/>
      <c r="GM461" s="1825"/>
      <c r="GN461" s="1825"/>
      <c r="GO461" s="1825"/>
      <c r="GP461" s="1825"/>
      <c r="GQ461" s="1825"/>
      <c r="GR461" s="1825"/>
      <c r="GS461" s="1825"/>
      <c r="GT461" s="1825"/>
      <c r="GU461" s="1825"/>
      <c r="GV461" s="1825"/>
      <c r="GW461" s="1825"/>
      <c r="GX461" s="1825"/>
      <c r="GY461" s="1825"/>
      <c r="GZ461" s="1825"/>
      <c r="HA461" s="1825"/>
      <c r="HB461" s="1825"/>
      <c r="HC461" s="1825"/>
      <c r="HD461" s="1825"/>
      <c r="HE461" s="1825"/>
      <c r="HF461" s="1825"/>
      <c r="HG461" s="1825"/>
      <c r="HH461" s="1825"/>
      <c r="HI461" s="1825"/>
      <c r="HJ461" s="1825"/>
      <c r="HK461" s="1825"/>
      <c r="HL461" s="1825"/>
      <c r="HM461" s="1825"/>
      <c r="HN461" s="1825"/>
      <c r="HO461" s="1825"/>
      <c r="HP461" s="1825"/>
      <c r="HQ461" s="1825"/>
      <c r="HR461" s="1825"/>
      <c r="HS461" s="1825"/>
      <c r="HT461" s="1825"/>
      <c r="HU461" s="1825"/>
      <c r="HV461" s="1825"/>
      <c r="HW461" s="1825"/>
      <c r="HX461" s="1825"/>
      <c r="HY461" s="1825"/>
      <c r="HZ461" s="1825"/>
      <c r="IA461" s="1825"/>
      <c r="IB461" s="1825"/>
      <c r="IC461" s="1825"/>
      <c r="ID461" s="1825"/>
      <c r="IE461" s="1825"/>
      <c r="IF461" s="1825"/>
      <c r="IG461" s="1825"/>
      <c r="IH461" s="1825"/>
      <c r="II461" s="1825"/>
      <c r="IJ461" s="1825"/>
      <c r="IK461" s="1825"/>
      <c r="IL461" s="1825"/>
      <c r="IM461" s="1825"/>
      <c r="IN461" s="1825"/>
      <c r="IO461" s="1825"/>
      <c r="IP461" s="1825"/>
      <c r="IQ461" s="1825"/>
      <c r="IR461" s="1825"/>
      <c r="IS461" s="1825"/>
      <c r="IT461" s="1825"/>
      <c r="IU461" s="1825"/>
      <c r="IV461" s="1825"/>
    </row>
    <row r="462" spans="1:256" s="3333" customFormat="1" ht="40.5" customHeight="1">
      <c r="A462" s="3329"/>
      <c r="B462" s="3330"/>
      <c r="C462" s="3330"/>
      <c r="D462" s="2230" t="s">
        <v>2677</v>
      </c>
      <c r="E462" s="3330"/>
      <c r="F462" s="3331"/>
      <c r="G462" s="203"/>
      <c r="H462" s="3332"/>
      <c r="I462" s="3446"/>
      <c r="AP462" s="2206"/>
      <c r="AQ462" s="2206"/>
      <c r="AR462" s="1825"/>
      <c r="AS462" s="1825"/>
      <c r="AT462" s="1825"/>
      <c r="AU462" s="1825"/>
      <c r="AV462" s="1825"/>
      <c r="AW462" s="1825"/>
      <c r="AX462" s="1825"/>
      <c r="AY462" s="1825"/>
      <c r="AZ462" s="1825"/>
      <c r="BA462" s="1825"/>
      <c r="BB462" s="1825"/>
      <c r="BC462" s="1825"/>
      <c r="BD462" s="1825"/>
      <c r="BE462" s="1825"/>
      <c r="BF462" s="1825"/>
      <c r="BG462" s="1825"/>
      <c r="BH462" s="1825"/>
      <c r="BI462" s="1825"/>
      <c r="BJ462" s="1825"/>
      <c r="BK462" s="1825"/>
      <c r="BL462" s="1825"/>
      <c r="BM462" s="1825"/>
      <c r="BN462" s="1825"/>
      <c r="BO462" s="1825"/>
      <c r="BP462" s="1825"/>
      <c r="BQ462" s="1825"/>
      <c r="BR462" s="1825"/>
      <c r="BS462" s="1825"/>
      <c r="BT462" s="1825"/>
      <c r="BU462" s="1825"/>
      <c r="BV462" s="1825"/>
      <c r="BW462" s="1825"/>
      <c r="BX462" s="1825"/>
      <c r="BY462" s="1825"/>
      <c r="BZ462" s="1825"/>
      <c r="CA462" s="1825"/>
      <c r="CB462" s="1825"/>
      <c r="CC462" s="1825"/>
      <c r="CD462" s="1825"/>
      <c r="CE462" s="1825"/>
      <c r="CF462" s="1825"/>
      <c r="CG462" s="1825"/>
      <c r="CH462" s="1825"/>
      <c r="CI462" s="1825"/>
      <c r="CJ462" s="1825"/>
      <c r="CK462" s="1825"/>
      <c r="CL462" s="1825"/>
      <c r="CM462" s="1825"/>
      <c r="CN462" s="1825"/>
      <c r="CO462" s="1825"/>
      <c r="CP462" s="1825"/>
      <c r="CQ462" s="1825"/>
      <c r="CR462" s="1825"/>
      <c r="CS462" s="1825"/>
      <c r="CT462" s="1825"/>
      <c r="CU462" s="1825"/>
      <c r="CV462" s="1825"/>
      <c r="CW462" s="1825"/>
      <c r="CX462" s="1825"/>
      <c r="CY462" s="1825"/>
      <c r="CZ462" s="1825"/>
      <c r="DA462" s="1825"/>
      <c r="DB462" s="1825"/>
      <c r="DC462" s="1825"/>
      <c r="DD462" s="1825"/>
      <c r="DE462" s="1825"/>
      <c r="DF462" s="1825"/>
      <c r="DG462" s="1825"/>
      <c r="DH462" s="1825"/>
      <c r="DI462" s="1825"/>
      <c r="DJ462" s="1825"/>
      <c r="DK462" s="1825"/>
      <c r="DL462" s="1825"/>
      <c r="DM462" s="1825"/>
      <c r="DN462" s="1825"/>
      <c r="DO462" s="1825"/>
      <c r="DP462" s="1825"/>
      <c r="DQ462" s="1825"/>
      <c r="DR462" s="1825"/>
      <c r="DS462" s="1825"/>
      <c r="DT462" s="1825"/>
      <c r="DU462" s="1825"/>
      <c r="DV462" s="1825"/>
      <c r="DW462" s="1825"/>
      <c r="DX462" s="1825"/>
      <c r="DY462" s="1825"/>
      <c r="DZ462" s="1825"/>
      <c r="EA462" s="1825"/>
      <c r="EB462" s="1825"/>
      <c r="EC462" s="1825"/>
      <c r="ED462" s="1825"/>
      <c r="EE462" s="1825"/>
      <c r="EF462" s="1825"/>
      <c r="EG462" s="1825"/>
      <c r="EH462" s="1825"/>
      <c r="EI462" s="1825"/>
      <c r="EJ462" s="1825"/>
      <c r="EK462" s="1825"/>
      <c r="EL462" s="1825"/>
      <c r="EM462" s="1825"/>
      <c r="EN462" s="1825"/>
      <c r="EO462" s="1825"/>
      <c r="EP462" s="1825"/>
      <c r="EQ462" s="1825"/>
      <c r="ER462" s="1825"/>
      <c r="ES462" s="1825"/>
      <c r="ET462" s="1825"/>
      <c r="EU462" s="1825"/>
      <c r="EV462" s="1825"/>
      <c r="EW462" s="1825"/>
      <c r="EX462" s="1825"/>
      <c r="EY462" s="1825"/>
      <c r="EZ462" s="1825"/>
      <c r="FA462" s="1825"/>
      <c r="FB462" s="1825"/>
      <c r="FC462" s="1825"/>
      <c r="FD462" s="1825"/>
      <c r="FE462" s="1825"/>
      <c r="FF462" s="1825"/>
      <c r="FG462" s="1825"/>
      <c r="FH462" s="1825"/>
      <c r="FI462" s="1825"/>
      <c r="FJ462" s="1825"/>
      <c r="FK462" s="1825"/>
      <c r="FL462" s="1825"/>
      <c r="FM462" s="1825"/>
      <c r="FN462" s="1825"/>
      <c r="FO462" s="1825"/>
      <c r="FP462" s="1825"/>
      <c r="FQ462" s="1825"/>
      <c r="FR462" s="1825"/>
      <c r="FS462" s="1825"/>
      <c r="FT462" s="1825"/>
      <c r="FU462" s="1825"/>
      <c r="FV462" s="1825"/>
      <c r="FW462" s="1825"/>
      <c r="FX462" s="1825"/>
      <c r="FY462" s="1825"/>
      <c r="FZ462" s="1825"/>
      <c r="GA462" s="1825"/>
      <c r="GB462" s="1825"/>
      <c r="GC462" s="1825"/>
      <c r="GD462" s="1825"/>
      <c r="GE462" s="1825"/>
      <c r="GF462" s="1825"/>
      <c r="GG462" s="1825"/>
      <c r="GH462" s="1825"/>
      <c r="GI462" s="1825"/>
      <c r="GJ462" s="1825"/>
      <c r="GK462" s="1825"/>
      <c r="GL462" s="1825"/>
      <c r="GM462" s="1825"/>
      <c r="GN462" s="1825"/>
      <c r="GO462" s="1825"/>
      <c r="GP462" s="1825"/>
      <c r="GQ462" s="1825"/>
      <c r="GR462" s="1825"/>
      <c r="GS462" s="1825"/>
      <c r="GT462" s="1825"/>
      <c r="GU462" s="1825"/>
      <c r="GV462" s="1825"/>
      <c r="GW462" s="1825"/>
      <c r="GX462" s="1825"/>
      <c r="GY462" s="1825"/>
      <c r="GZ462" s="1825"/>
      <c r="HA462" s="1825"/>
      <c r="HB462" s="1825"/>
      <c r="HC462" s="1825"/>
      <c r="HD462" s="1825"/>
      <c r="HE462" s="1825"/>
      <c r="HF462" s="1825"/>
      <c r="HG462" s="1825"/>
      <c r="HH462" s="1825"/>
      <c r="HI462" s="1825"/>
      <c r="HJ462" s="1825"/>
      <c r="HK462" s="1825"/>
      <c r="HL462" s="1825"/>
      <c r="HM462" s="1825"/>
      <c r="HN462" s="1825"/>
      <c r="HO462" s="1825"/>
      <c r="HP462" s="1825"/>
      <c r="HQ462" s="1825"/>
      <c r="HR462" s="1825"/>
      <c r="HS462" s="1825"/>
      <c r="HT462" s="1825"/>
      <c r="HU462" s="1825"/>
      <c r="HV462" s="1825"/>
      <c r="HW462" s="1825"/>
      <c r="HX462" s="1825"/>
      <c r="HY462" s="1825"/>
      <c r="HZ462" s="1825"/>
      <c r="IA462" s="1825"/>
      <c r="IB462" s="1825"/>
      <c r="IC462" s="1825"/>
      <c r="ID462" s="1825"/>
      <c r="IE462" s="1825"/>
      <c r="IF462" s="1825"/>
      <c r="IG462" s="1825"/>
      <c r="IH462" s="1825"/>
      <c r="II462" s="1825"/>
      <c r="IJ462" s="1825"/>
      <c r="IK462" s="1825"/>
      <c r="IL462" s="1825"/>
      <c r="IM462" s="1825"/>
      <c r="IN462" s="1825"/>
      <c r="IO462" s="1825"/>
      <c r="IP462" s="1825"/>
      <c r="IQ462" s="1825"/>
      <c r="IR462" s="1825"/>
      <c r="IS462" s="1825"/>
      <c r="IT462" s="1825"/>
      <c r="IU462" s="1825"/>
      <c r="IV462" s="1825"/>
    </row>
    <row r="463" spans="1:256" s="1913" customFormat="1" ht="13.5" customHeight="1">
      <c r="A463" s="3340">
        <v>94</v>
      </c>
      <c r="B463" s="3438" t="s">
        <v>1860</v>
      </c>
      <c r="C463" s="2590" t="s">
        <v>2684</v>
      </c>
      <c r="D463" s="3434" t="s">
        <v>2685</v>
      </c>
      <c r="E463" s="3434" t="s">
        <v>205</v>
      </c>
      <c r="F463" s="2593">
        <f>SUM(F465:F465)</f>
        <v>9</v>
      </c>
      <c r="G463" s="208"/>
      <c r="H463" s="3439">
        <f>F463*G463</f>
        <v>0</v>
      </c>
      <c r="I463" s="3440" t="s">
        <v>112</v>
      </c>
      <c r="J463" s="3441"/>
      <c r="K463" s="3441"/>
      <c r="O463" s="3442"/>
      <c r="P463" s="3441"/>
      <c r="Q463" s="3349"/>
      <c r="X463" s="3441"/>
      <c r="Y463" s="3441"/>
      <c r="Z463" s="2206"/>
      <c r="AA463" s="2206"/>
      <c r="AB463" s="2206"/>
      <c r="AC463" s="2206"/>
      <c r="AD463" s="2206"/>
      <c r="AE463" s="2206"/>
      <c r="AF463" s="2206"/>
      <c r="AG463" s="2206"/>
      <c r="AH463" s="3443"/>
    </row>
    <row r="464" spans="1:256" s="1913" customFormat="1" ht="13.5" customHeight="1">
      <c r="A464" s="3323"/>
      <c r="B464" s="3324"/>
      <c r="C464" s="2230"/>
      <c r="D464" s="2230" t="s">
        <v>2676</v>
      </c>
      <c r="E464" s="2230"/>
      <c r="F464" s="3444"/>
      <c r="G464" s="207"/>
      <c r="H464" s="3326"/>
      <c r="I464" s="3445"/>
      <c r="J464" s="3441"/>
      <c r="K464" s="3441"/>
      <c r="L464" s="2206"/>
      <c r="M464" s="2206"/>
      <c r="N464" s="2206"/>
      <c r="O464" s="2206"/>
      <c r="P464" s="2206"/>
      <c r="Q464" s="2206"/>
      <c r="R464" s="2206"/>
      <c r="S464" s="2206"/>
      <c r="T464" s="2206"/>
      <c r="U464" s="2206"/>
      <c r="V464" s="2233"/>
      <c r="W464" s="2206"/>
      <c r="X464" s="3441"/>
      <c r="Y464" s="3441"/>
      <c r="Z464" s="2206"/>
      <c r="AA464" s="2206"/>
      <c r="AB464" s="2206"/>
      <c r="AC464" s="2206"/>
      <c r="AD464" s="2206"/>
      <c r="AE464" s="2206"/>
      <c r="AF464" s="2206"/>
      <c r="AG464" s="2206"/>
      <c r="AH464" s="2206"/>
    </row>
    <row r="465" spans="1:256" s="3333" customFormat="1" ht="13.5" customHeight="1">
      <c r="A465" s="3329"/>
      <c r="B465" s="3330"/>
      <c r="C465" s="3330"/>
      <c r="D465" s="3330" t="s">
        <v>2492</v>
      </c>
      <c r="E465" s="3330"/>
      <c r="F465" s="3331">
        <v>9</v>
      </c>
      <c r="G465" s="203"/>
      <c r="H465" s="3332"/>
      <c r="I465" s="3334"/>
      <c r="K465" s="2206"/>
      <c r="L465" s="2206"/>
      <c r="M465" s="2206"/>
      <c r="N465" s="2206"/>
      <c r="O465" s="2206"/>
      <c r="P465" s="2206"/>
      <c r="Q465" s="2206"/>
      <c r="R465" s="2206"/>
      <c r="S465" s="2206"/>
      <c r="T465" s="2206"/>
      <c r="U465" s="2206"/>
      <c r="V465" s="2206"/>
      <c r="W465" s="2206"/>
      <c r="X465" s="2206"/>
      <c r="Y465" s="2206"/>
      <c r="Z465" s="2206"/>
      <c r="AA465" s="2206"/>
      <c r="AB465" s="2206"/>
      <c r="AC465" s="2206"/>
      <c r="AD465" s="2206"/>
      <c r="AE465" s="2206"/>
      <c r="AF465" s="2206"/>
      <c r="AG465" s="2206"/>
      <c r="AH465" s="2206"/>
      <c r="AI465" s="2206"/>
      <c r="AJ465" s="2206"/>
      <c r="AK465" s="2206"/>
      <c r="AL465" s="2206"/>
      <c r="AM465" s="2206"/>
      <c r="AN465" s="2206"/>
      <c r="AO465" s="2206"/>
      <c r="AP465" s="2206"/>
      <c r="AQ465" s="2206"/>
      <c r="AR465" s="1825"/>
      <c r="AS465" s="1825"/>
      <c r="AT465" s="1825"/>
      <c r="AU465" s="1825"/>
      <c r="AV465" s="1825"/>
      <c r="AW465" s="1825"/>
      <c r="AX465" s="1825"/>
      <c r="AY465" s="1825"/>
      <c r="AZ465" s="1825"/>
      <c r="BA465" s="1825"/>
      <c r="BB465" s="1825"/>
      <c r="BC465" s="1825"/>
      <c r="BD465" s="1825"/>
      <c r="BE465" s="1825"/>
      <c r="BF465" s="1825"/>
      <c r="BG465" s="1825"/>
      <c r="BH465" s="1825"/>
      <c r="BI465" s="1825"/>
      <c r="BJ465" s="1825"/>
      <c r="BK465" s="1825"/>
      <c r="BL465" s="1825"/>
      <c r="BM465" s="1825"/>
      <c r="BN465" s="1825"/>
      <c r="BO465" s="1825"/>
      <c r="BP465" s="1825"/>
      <c r="BQ465" s="1825"/>
      <c r="BR465" s="1825"/>
      <c r="BS465" s="1825"/>
      <c r="BT465" s="1825"/>
      <c r="BU465" s="1825"/>
      <c r="BV465" s="1825"/>
      <c r="BW465" s="1825"/>
      <c r="BX465" s="1825"/>
      <c r="BY465" s="1825"/>
      <c r="BZ465" s="1825"/>
      <c r="CA465" s="1825"/>
      <c r="CB465" s="1825"/>
      <c r="CC465" s="1825"/>
      <c r="CD465" s="1825"/>
      <c r="CE465" s="1825"/>
      <c r="CF465" s="1825"/>
      <c r="CG465" s="1825"/>
      <c r="CH465" s="1825"/>
      <c r="CI465" s="1825"/>
      <c r="CJ465" s="1825"/>
      <c r="CK465" s="1825"/>
      <c r="CL465" s="1825"/>
      <c r="CM465" s="1825"/>
      <c r="CN465" s="1825"/>
      <c r="CO465" s="1825"/>
      <c r="CP465" s="1825"/>
      <c r="CQ465" s="1825"/>
      <c r="CR465" s="1825"/>
      <c r="CS465" s="1825"/>
      <c r="CT465" s="1825"/>
      <c r="CU465" s="1825"/>
      <c r="CV465" s="1825"/>
      <c r="CW465" s="1825"/>
      <c r="CX465" s="1825"/>
      <c r="CY465" s="1825"/>
      <c r="CZ465" s="1825"/>
      <c r="DA465" s="1825"/>
      <c r="DB465" s="1825"/>
      <c r="DC465" s="1825"/>
      <c r="DD465" s="1825"/>
      <c r="DE465" s="1825"/>
      <c r="DF465" s="1825"/>
      <c r="DG465" s="1825"/>
      <c r="DH465" s="1825"/>
      <c r="DI465" s="1825"/>
      <c r="DJ465" s="1825"/>
      <c r="DK465" s="1825"/>
      <c r="DL465" s="1825"/>
      <c r="DM465" s="1825"/>
      <c r="DN465" s="1825"/>
      <c r="DO465" s="1825"/>
      <c r="DP465" s="1825"/>
      <c r="DQ465" s="1825"/>
      <c r="DR465" s="1825"/>
      <c r="DS465" s="1825"/>
      <c r="DT465" s="1825"/>
      <c r="DU465" s="1825"/>
      <c r="DV465" s="1825"/>
      <c r="DW465" s="1825"/>
      <c r="DX465" s="1825"/>
      <c r="DY465" s="1825"/>
      <c r="DZ465" s="1825"/>
      <c r="EA465" s="1825"/>
      <c r="EB465" s="1825"/>
      <c r="EC465" s="1825"/>
      <c r="ED465" s="1825"/>
      <c r="EE465" s="1825"/>
      <c r="EF465" s="1825"/>
      <c r="EG465" s="1825"/>
      <c r="EH465" s="1825"/>
      <c r="EI465" s="1825"/>
      <c r="EJ465" s="1825"/>
      <c r="EK465" s="1825"/>
      <c r="EL465" s="1825"/>
      <c r="EM465" s="1825"/>
      <c r="EN465" s="1825"/>
      <c r="EO465" s="1825"/>
      <c r="EP465" s="1825"/>
      <c r="EQ465" s="1825"/>
      <c r="ER465" s="1825"/>
      <c r="ES465" s="1825"/>
      <c r="ET465" s="1825"/>
      <c r="EU465" s="1825"/>
      <c r="EV465" s="1825"/>
      <c r="EW465" s="1825"/>
      <c r="EX465" s="1825"/>
      <c r="EY465" s="1825"/>
      <c r="EZ465" s="1825"/>
      <c r="FA465" s="1825"/>
      <c r="FB465" s="1825"/>
      <c r="FC465" s="1825"/>
      <c r="FD465" s="1825"/>
      <c r="FE465" s="1825"/>
      <c r="FF465" s="1825"/>
      <c r="FG465" s="1825"/>
      <c r="FH465" s="1825"/>
      <c r="FI465" s="1825"/>
      <c r="FJ465" s="1825"/>
      <c r="FK465" s="1825"/>
      <c r="FL465" s="1825"/>
      <c r="FM465" s="1825"/>
      <c r="FN465" s="1825"/>
      <c r="FO465" s="1825"/>
      <c r="FP465" s="1825"/>
      <c r="FQ465" s="1825"/>
      <c r="FR465" s="1825"/>
      <c r="FS465" s="1825"/>
      <c r="FT465" s="1825"/>
      <c r="FU465" s="1825"/>
      <c r="FV465" s="1825"/>
      <c r="FW465" s="1825"/>
      <c r="FX465" s="1825"/>
      <c r="FY465" s="1825"/>
      <c r="FZ465" s="1825"/>
      <c r="GA465" s="1825"/>
      <c r="GB465" s="1825"/>
      <c r="GC465" s="1825"/>
      <c r="GD465" s="1825"/>
      <c r="GE465" s="1825"/>
      <c r="GF465" s="1825"/>
      <c r="GG465" s="1825"/>
      <c r="GH465" s="1825"/>
      <c r="GI465" s="1825"/>
      <c r="GJ465" s="1825"/>
      <c r="GK465" s="1825"/>
      <c r="GL465" s="1825"/>
      <c r="GM465" s="1825"/>
      <c r="GN465" s="1825"/>
      <c r="GO465" s="1825"/>
      <c r="GP465" s="1825"/>
      <c r="GQ465" s="1825"/>
      <c r="GR465" s="1825"/>
      <c r="GS465" s="1825"/>
      <c r="GT465" s="1825"/>
      <c r="GU465" s="1825"/>
      <c r="GV465" s="1825"/>
      <c r="GW465" s="1825"/>
      <c r="GX465" s="1825"/>
      <c r="GY465" s="1825"/>
      <c r="GZ465" s="1825"/>
      <c r="HA465" s="1825"/>
      <c r="HB465" s="1825"/>
      <c r="HC465" s="1825"/>
      <c r="HD465" s="1825"/>
      <c r="HE465" s="1825"/>
      <c r="HF465" s="1825"/>
      <c r="HG465" s="1825"/>
      <c r="HH465" s="1825"/>
      <c r="HI465" s="1825"/>
      <c r="HJ465" s="1825"/>
      <c r="HK465" s="1825"/>
      <c r="HL465" s="1825"/>
      <c r="HM465" s="1825"/>
      <c r="HN465" s="1825"/>
      <c r="HO465" s="1825"/>
      <c r="HP465" s="1825"/>
      <c r="HQ465" s="1825"/>
      <c r="HR465" s="1825"/>
      <c r="HS465" s="1825"/>
      <c r="HT465" s="1825"/>
      <c r="HU465" s="1825"/>
      <c r="HV465" s="1825"/>
      <c r="HW465" s="1825"/>
      <c r="HX465" s="1825"/>
      <c r="HY465" s="1825"/>
      <c r="HZ465" s="1825"/>
      <c r="IA465" s="1825"/>
      <c r="IB465" s="1825"/>
      <c r="IC465" s="1825"/>
      <c r="ID465" s="1825"/>
      <c r="IE465" s="1825"/>
      <c r="IF465" s="1825"/>
      <c r="IG465" s="1825"/>
      <c r="IH465" s="1825"/>
      <c r="II465" s="1825"/>
      <c r="IJ465" s="1825"/>
      <c r="IK465" s="1825"/>
      <c r="IL465" s="1825"/>
      <c r="IM465" s="1825"/>
      <c r="IN465" s="1825"/>
      <c r="IO465" s="1825"/>
      <c r="IP465" s="1825"/>
      <c r="IQ465" s="1825"/>
      <c r="IR465" s="1825"/>
      <c r="IS465" s="1825"/>
      <c r="IT465" s="1825"/>
      <c r="IU465" s="1825"/>
      <c r="IV465" s="1825"/>
    </row>
    <row r="466" spans="1:256" s="3333" customFormat="1" ht="40.5" customHeight="1">
      <c r="A466" s="3329"/>
      <c r="B466" s="3330"/>
      <c r="C466" s="3330"/>
      <c r="D466" s="2230" t="s">
        <v>2677</v>
      </c>
      <c r="E466" s="3330"/>
      <c r="F466" s="3331"/>
      <c r="G466" s="203"/>
      <c r="H466" s="3332"/>
      <c r="I466" s="3446"/>
      <c r="AP466" s="2206"/>
      <c r="AQ466" s="2206"/>
      <c r="AR466" s="1825"/>
      <c r="AS466" s="1825"/>
      <c r="AT466" s="1825"/>
      <c r="AU466" s="1825"/>
      <c r="AV466" s="1825"/>
      <c r="AW466" s="1825"/>
      <c r="AX466" s="1825"/>
      <c r="AY466" s="1825"/>
      <c r="AZ466" s="1825"/>
      <c r="BA466" s="1825"/>
      <c r="BB466" s="1825"/>
      <c r="BC466" s="1825"/>
      <c r="BD466" s="1825"/>
      <c r="BE466" s="1825"/>
      <c r="BF466" s="1825"/>
      <c r="BG466" s="1825"/>
      <c r="BH466" s="1825"/>
      <c r="BI466" s="1825"/>
      <c r="BJ466" s="1825"/>
      <c r="BK466" s="1825"/>
      <c r="BL466" s="1825"/>
      <c r="BM466" s="1825"/>
      <c r="BN466" s="1825"/>
      <c r="BO466" s="1825"/>
      <c r="BP466" s="1825"/>
      <c r="BQ466" s="1825"/>
      <c r="BR466" s="1825"/>
      <c r="BS466" s="1825"/>
      <c r="BT466" s="1825"/>
      <c r="BU466" s="1825"/>
      <c r="BV466" s="1825"/>
      <c r="BW466" s="1825"/>
      <c r="BX466" s="1825"/>
      <c r="BY466" s="1825"/>
      <c r="BZ466" s="1825"/>
      <c r="CA466" s="1825"/>
      <c r="CB466" s="1825"/>
      <c r="CC466" s="1825"/>
      <c r="CD466" s="1825"/>
      <c r="CE466" s="1825"/>
      <c r="CF466" s="1825"/>
      <c r="CG466" s="1825"/>
      <c r="CH466" s="1825"/>
      <c r="CI466" s="1825"/>
      <c r="CJ466" s="1825"/>
      <c r="CK466" s="1825"/>
      <c r="CL466" s="1825"/>
      <c r="CM466" s="1825"/>
      <c r="CN466" s="1825"/>
      <c r="CO466" s="1825"/>
      <c r="CP466" s="1825"/>
      <c r="CQ466" s="1825"/>
      <c r="CR466" s="1825"/>
      <c r="CS466" s="1825"/>
      <c r="CT466" s="1825"/>
      <c r="CU466" s="1825"/>
      <c r="CV466" s="1825"/>
      <c r="CW466" s="1825"/>
      <c r="CX466" s="1825"/>
      <c r="CY466" s="1825"/>
      <c r="CZ466" s="1825"/>
      <c r="DA466" s="1825"/>
      <c r="DB466" s="1825"/>
      <c r="DC466" s="1825"/>
      <c r="DD466" s="1825"/>
      <c r="DE466" s="1825"/>
      <c r="DF466" s="1825"/>
      <c r="DG466" s="1825"/>
      <c r="DH466" s="1825"/>
      <c r="DI466" s="1825"/>
      <c r="DJ466" s="1825"/>
      <c r="DK466" s="1825"/>
      <c r="DL466" s="1825"/>
      <c r="DM466" s="1825"/>
      <c r="DN466" s="1825"/>
      <c r="DO466" s="1825"/>
      <c r="DP466" s="1825"/>
      <c r="DQ466" s="1825"/>
      <c r="DR466" s="1825"/>
      <c r="DS466" s="1825"/>
      <c r="DT466" s="1825"/>
      <c r="DU466" s="1825"/>
      <c r="DV466" s="1825"/>
      <c r="DW466" s="1825"/>
      <c r="DX466" s="1825"/>
      <c r="DY466" s="1825"/>
      <c r="DZ466" s="1825"/>
      <c r="EA466" s="1825"/>
      <c r="EB466" s="1825"/>
      <c r="EC466" s="1825"/>
      <c r="ED466" s="1825"/>
      <c r="EE466" s="1825"/>
      <c r="EF466" s="1825"/>
      <c r="EG466" s="1825"/>
      <c r="EH466" s="1825"/>
      <c r="EI466" s="1825"/>
      <c r="EJ466" s="1825"/>
      <c r="EK466" s="1825"/>
      <c r="EL466" s="1825"/>
      <c r="EM466" s="1825"/>
      <c r="EN466" s="1825"/>
      <c r="EO466" s="1825"/>
      <c r="EP466" s="1825"/>
      <c r="EQ466" s="1825"/>
      <c r="ER466" s="1825"/>
      <c r="ES466" s="1825"/>
      <c r="ET466" s="1825"/>
      <c r="EU466" s="1825"/>
      <c r="EV466" s="1825"/>
      <c r="EW466" s="1825"/>
      <c r="EX466" s="1825"/>
      <c r="EY466" s="1825"/>
      <c r="EZ466" s="1825"/>
      <c r="FA466" s="1825"/>
      <c r="FB466" s="1825"/>
      <c r="FC466" s="1825"/>
      <c r="FD466" s="1825"/>
      <c r="FE466" s="1825"/>
      <c r="FF466" s="1825"/>
      <c r="FG466" s="1825"/>
      <c r="FH466" s="1825"/>
      <c r="FI466" s="1825"/>
      <c r="FJ466" s="1825"/>
      <c r="FK466" s="1825"/>
      <c r="FL466" s="1825"/>
      <c r="FM466" s="1825"/>
      <c r="FN466" s="1825"/>
      <c r="FO466" s="1825"/>
      <c r="FP466" s="1825"/>
      <c r="FQ466" s="1825"/>
      <c r="FR466" s="1825"/>
      <c r="FS466" s="1825"/>
      <c r="FT466" s="1825"/>
      <c r="FU466" s="1825"/>
      <c r="FV466" s="1825"/>
      <c r="FW466" s="1825"/>
      <c r="FX466" s="1825"/>
      <c r="FY466" s="1825"/>
      <c r="FZ466" s="1825"/>
      <c r="GA466" s="1825"/>
      <c r="GB466" s="1825"/>
      <c r="GC466" s="1825"/>
      <c r="GD466" s="1825"/>
      <c r="GE466" s="1825"/>
      <c r="GF466" s="1825"/>
      <c r="GG466" s="1825"/>
      <c r="GH466" s="1825"/>
      <c r="GI466" s="1825"/>
      <c r="GJ466" s="1825"/>
      <c r="GK466" s="1825"/>
      <c r="GL466" s="1825"/>
      <c r="GM466" s="1825"/>
      <c r="GN466" s="1825"/>
      <c r="GO466" s="1825"/>
      <c r="GP466" s="1825"/>
      <c r="GQ466" s="1825"/>
      <c r="GR466" s="1825"/>
      <c r="GS466" s="1825"/>
      <c r="GT466" s="1825"/>
      <c r="GU466" s="1825"/>
      <c r="GV466" s="1825"/>
      <c r="GW466" s="1825"/>
      <c r="GX466" s="1825"/>
      <c r="GY466" s="1825"/>
      <c r="GZ466" s="1825"/>
      <c r="HA466" s="1825"/>
      <c r="HB466" s="1825"/>
      <c r="HC466" s="1825"/>
      <c r="HD466" s="1825"/>
      <c r="HE466" s="1825"/>
      <c r="HF466" s="1825"/>
      <c r="HG466" s="1825"/>
      <c r="HH466" s="1825"/>
      <c r="HI466" s="1825"/>
      <c r="HJ466" s="1825"/>
      <c r="HK466" s="1825"/>
      <c r="HL466" s="1825"/>
      <c r="HM466" s="1825"/>
      <c r="HN466" s="1825"/>
      <c r="HO466" s="1825"/>
      <c r="HP466" s="1825"/>
      <c r="HQ466" s="1825"/>
      <c r="HR466" s="1825"/>
      <c r="HS466" s="1825"/>
      <c r="HT466" s="1825"/>
      <c r="HU466" s="1825"/>
      <c r="HV466" s="1825"/>
      <c r="HW466" s="1825"/>
      <c r="HX466" s="1825"/>
      <c r="HY466" s="1825"/>
      <c r="HZ466" s="1825"/>
      <c r="IA466" s="1825"/>
      <c r="IB466" s="1825"/>
      <c r="IC466" s="1825"/>
      <c r="ID466" s="1825"/>
      <c r="IE466" s="1825"/>
      <c r="IF466" s="1825"/>
      <c r="IG466" s="1825"/>
      <c r="IH466" s="1825"/>
      <c r="II466" s="1825"/>
      <c r="IJ466" s="1825"/>
      <c r="IK466" s="1825"/>
      <c r="IL466" s="1825"/>
      <c r="IM466" s="1825"/>
      <c r="IN466" s="1825"/>
      <c r="IO466" s="1825"/>
      <c r="IP466" s="1825"/>
      <c r="IQ466" s="1825"/>
      <c r="IR466" s="1825"/>
      <c r="IS466" s="1825"/>
      <c r="IT466" s="1825"/>
      <c r="IU466" s="1825"/>
      <c r="IV466" s="1825"/>
    </row>
    <row r="467" spans="1:256" s="1913" customFormat="1" ht="13.5" customHeight="1">
      <c r="A467" s="3340">
        <v>95</v>
      </c>
      <c r="B467" s="3438" t="s">
        <v>1860</v>
      </c>
      <c r="C467" s="2590" t="s">
        <v>2686</v>
      </c>
      <c r="D467" s="3434" t="s">
        <v>2687</v>
      </c>
      <c r="E467" s="3434" t="s">
        <v>205</v>
      </c>
      <c r="F467" s="2593">
        <f>SUM(F469:F469)</f>
        <v>19</v>
      </c>
      <c r="G467" s="208"/>
      <c r="H467" s="3439">
        <f>F467*G467</f>
        <v>0</v>
      </c>
      <c r="I467" s="3440" t="s">
        <v>112</v>
      </c>
      <c r="J467" s="3441"/>
      <c r="K467" s="3441"/>
      <c r="O467" s="3442"/>
      <c r="P467" s="3441"/>
      <c r="Q467" s="3349"/>
      <c r="X467" s="3441"/>
      <c r="Y467" s="3441"/>
      <c r="Z467" s="2206"/>
      <c r="AA467" s="2206"/>
      <c r="AB467" s="2206"/>
      <c r="AC467" s="2206"/>
      <c r="AD467" s="2206"/>
      <c r="AE467" s="2206"/>
      <c r="AF467" s="2206"/>
      <c r="AG467" s="2206"/>
      <c r="AH467" s="3443"/>
    </row>
    <row r="468" spans="1:256" s="1913" customFormat="1" ht="13.5" customHeight="1">
      <c r="A468" s="3323"/>
      <c r="B468" s="3324"/>
      <c r="C468" s="2230"/>
      <c r="D468" s="2230" t="s">
        <v>2676</v>
      </c>
      <c r="E468" s="2230"/>
      <c r="F468" s="3444"/>
      <c r="G468" s="207"/>
      <c r="H468" s="3326"/>
      <c r="I468" s="3445"/>
      <c r="J468" s="3441"/>
      <c r="K468" s="3441"/>
      <c r="L468" s="2206"/>
      <c r="M468" s="2206"/>
      <c r="N468" s="2206"/>
      <c r="O468" s="2206"/>
      <c r="P468" s="2206"/>
      <c r="Q468" s="2206"/>
      <c r="R468" s="2206"/>
      <c r="S468" s="2206"/>
      <c r="T468" s="2206"/>
      <c r="U468" s="2206"/>
      <c r="V468" s="2233"/>
      <c r="W468" s="2206"/>
      <c r="X468" s="3441"/>
      <c r="Y468" s="3441"/>
      <c r="Z468" s="2206"/>
      <c r="AA468" s="2206"/>
      <c r="AB468" s="2206"/>
      <c r="AC468" s="2206"/>
      <c r="AD468" s="2206"/>
      <c r="AE468" s="2206"/>
      <c r="AF468" s="2206"/>
      <c r="AG468" s="2206"/>
      <c r="AH468" s="2206"/>
    </row>
    <row r="469" spans="1:256" s="3333" customFormat="1" ht="13.5" customHeight="1">
      <c r="A469" s="3329"/>
      <c r="B469" s="3330"/>
      <c r="C469" s="3330"/>
      <c r="D469" s="3330" t="s">
        <v>2492</v>
      </c>
      <c r="E469" s="3330"/>
      <c r="F469" s="3331">
        <v>19</v>
      </c>
      <c r="G469" s="203"/>
      <c r="H469" s="3332"/>
      <c r="I469" s="3334"/>
      <c r="K469" s="2206"/>
      <c r="L469" s="2206"/>
      <c r="M469" s="2206"/>
      <c r="N469" s="2206"/>
      <c r="O469" s="2206"/>
      <c r="P469" s="2206"/>
      <c r="Q469" s="2206"/>
      <c r="R469" s="2206"/>
      <c r="S469" s="2206"/>
      <c r="T469" s="2206"/>
      <c r="U469" s="2206"/>
      <c r="V469" s="2206"/>
      <c r="W469" s="2206"/>
      <c r="X469" s="2206"/>
      <c r="Y469" s="2206"/>
      <c r="Z469" s="2206"/>
      <c r="AA469" s="2206"/>
      <c r="AB469" s="2206"/>
      <c r="AC469" s="2206"/>
      <c r="AD469" s="2206"/>
      <c r="AE469" s="2206"/>
      <c r="AF469" s="2206"/>
      <c r="AG469" s="2206"/>
      <c r="AH469" s="2206"/>
      <c r="AI469" s="2206"/>
      <c r="AJ469" s="2206"/>
      <c r="AK469" s="2206"/>
      <c r="AL469" s="2206"/>
      <c r="AM469" s="2206"/>
      <c r="AN469" s="2206"/>
      <c r="AO469" s="2206"/>
      <c r="AP469" s="2206"/>
      <c r="AQ469" s="2206"/>
      <c r="AR469" s="1825"/>
      <c r="AS469" s="1825"/>
      <c r="AT469" s="1825"/>
      <c r="AU469" s="1825"/>
      <c r="AV469" s="1825"/>
      <c r="AW469" s="1825"/>
      <c r="AX469" s="1825"/>
      <c r="AY469" s="1825"/>
      <c r="AZ469" s="1825"/>
      <c r="BA469" s="1825"/>
      <c r="BB469" s="1825"/>
      <c r="BC469" s="1825"/>
      <c r="BD469" s="1825"/>
      <c r="BE469" s="1825"/>
      <c r="BF469" s="1825"/>
      <c r="BG469" s="1825"/>
      <c r="BH469" s="1825"/>
      <c r="BI469" s="1825"/>
      <c r="BJ469" s="1825"/>
      <c r="BK469" s="1825"/>
      <c r="BL469" s="1825"/>
      <c r="BM469" s="1825"/>
      <c r="BN469" s="1825"/>
      <c r="BO469" s="1825"/>
      <c r="BP469" s="1825"/>
      <c r="BQ469" s="1825"/>
      <c r="BR469" s="1825"/>
      <c r="BS469" s="1825"/>
      <c r="BT469" s="1825"/>
      <c r="BU469" s="1825"/>
      <c r="BV469" s="1825"/>
      <c r="BW469" s="1825"/>
      <c r="BX469" s="1825"/>
      <c r="BY469" s="1825"/>
      <c r="BZ469" s="1825"/>
      <c r="CA469" s="1825"/>
      <c r="CB469" s="1825"/>
      <c r="CC469" s="1825"/>
      <c r="CD469" s="1825"/>
      <c r="CE469" s="1825"/>
      <c r="CF469" s="1825"/>
      <c r="CG469" s="1825"/>
      <c r="CH469" s="1825"/>
      <c r="CI469" s="1825"/>
      <c r="CJ469" s="1825"/>
      <c r="CK469" s="1825"/>
      <c r="CL469" s="1825"/>
      <c r="CM469" s="1825"/>
      <c r="CN469" s="1825"/>
      <c r="CO469" s="1825"/>
      <c r="CP469" s="1825"/>
      <c r="CQ469" s="1825"/>
      <c r="CR469" s="1825"/>
      <c r="CS469" s="1825"/>
      <c r="CT469" s="1825"/>
      <c r="CU469" s="1825"/>
      <c r="CV469" s="1825"/>
      <c r="CW469" s="1825"/>
      <c r="CX469" s="1825"/>
      <c r="CY469" s="1825"/>
      <c r="CZ469" s="1825"/>
      <c r="DA469" s="1825"/>
      <c r="DB469" s="1825"/>
      <c r="DC469" s="1825"/>
      <c r="DD469" s="1825"/>
      <c r="DE469" s="1825"/>
      <c r="DF469" s="1825"/>
      <c r="DG469" s="1825"/>
      <c r="DH469" s="1825"/>
      <c r="DI469" s="1825"/>
      <c r="DJ469" s="1825"/>
      <c r="DK469" s="1825"/>
      <c r="DL469" s="1825"/>
      <c r="DM469" s="1825"/>
      <c r="DN469" s="1825"/>
      <c r="DO469" s="1825"/>
      <c r="DP469" s="1825"/>
      <c r="DQ469" s="1825"/>
      <c r="DR469" s="1825"/>
      <c r="DS469" s="1825"/>
      <c r="DT469" s="1825"/>
      <c r="DU469" s="1825"/>
      <c r="DV469" s="1825"/>
      <c r="DW469" s="1825"/>
      <c r="DX469" s="1825"/>
      <c r="DY469" s="1825"/>
      <c r="DZ469" s="1825"/>
      <c r="EA469" s="1825"/>
      <c r="EB469" s="1825"/>
      <c r="EC469" s="1825"/>
      <c r="ED469" s="1825"/>
      <c r="EE469" s="1825"/>
      <c r="EF469" s="1825"/>
      <c r="EG469" s="1825"/>
      <c r="EH469" s="1825"/>
      <c r="EI469" s="1825"/>
      <c r="EJ469" s="1825"/>
      <c r="EK469" s="1825"/>
      <c r="EL469" s="1825"/>
      <c r="EM469" s="1825"/>
      <c r="EN469" s="1825"/>
      <c r="EO469" s="1825"/>
      <c r="EP469" s="1825"/>
      <c r="EQ469" s="1825"/>
      <c r="ER469" s="1825"/>
      <c r="ES469" s="1825"/>
      <c r="ET469" s="1825"/>
      <c r="EU469" s="1825"/>
      <c r="EV469" s="1825"/>
      <c r="EW469" s="1825"/>
      <c r="EX469" s="1825"/>
      <c r="EY469" s="1825"/>
      <c r="EZ469" s="1825"/>
      <c r="FA469" s="1825"/>
      <c r="FB469" s="1825"/>
      <c r="FC469" s="1825"/>
      <c r="FD469" s="1825"/>
      <c r="FE469" s="1825"/>
      <c r="FF469" s="1825"/>
      <c r="FG469" s="1825"/>
      <c r="FH469" s="1825"/>
      <c r="FI469" s="1825"/>
      <c r="FJ469" s="1825"/>
      <c r="FK469" s="1825"/>
      <c r="FL469" s="1825"/>
      <c r="FM469" s="1825"/>
      <c r="FN469" s="1825"/>
      <c r="FO469" s="1825"/>
      <c r="FP469" s="1825"/>
      <c r="FQ469" s="1825"/>
      <c r="FR469" s="1825"/>
      <c r="FS469" s="1825"/>
      <c r="FT469" s="1825"/>
      <c r="FU469" s="1825"/>
      <c r="FV469" s="1825"/>
      <c r="FW469" s="1825"/>
      <c r="FX469" s="1825"/>
      <c r="FY469" s="1825"/>
      <c r="FZ469" s="1825"/>
      <c r="GA469" s="1825"/>
      <c r="GB469" s="1825"/>
      <c r="GC469" s="1825"/>
      <c r="GD469" s="1825"/>
      <c r="GE469" s="1825"/>
      <c r="GF469" s="1825"/>
      <c r="GG469" s="1825"/>
      <c r="GH469" s="1825"/>
      <c r="GI469" s="1825"/>
      <c r="GJ469" s="1825"/>
      <c r="GK469" s="1825"/>
      <c r="GL469" s="1825"/>
      <c r="GM469" s="1825"/>
      <c r="GN469" s="1825"/>
      <c r="GO469" s="1825"/>
      <c r="GP469" s="1825"/>
      <c r="GQ469" s="1825"/>
      <c r="GR469" s="1825"/>
      <c r="GS469" s="1825"/>
      <c r="GT469" s="1825"/>
      <c r="GU469" s="1825"/>
      <c r="GV469" s="1825"/>
      <c r="GW469" s="1825"/>
      <c r="GX469" s="1825"/>
      <c r="GY469" s="1825"/>
      <c r="GZ469" s="1825"/>
      <c r="HA469" s="1825"/>
      <c r="HB469" s="1825"/>
      <c r="HC469" s="1825"/>
      <c r="HD469" s="1825"/>
      <c r="HE469" s="1825"/>
      <c r="HF469" s="1825"/>
      <c r="HG469" s="1825"/>
      <c r="HH469" s="1825"/>
      <c r="HI469" s="1825"/>
      <c r="HJ469" s="1825"/>
      <c r="HK469" s="1825"/>
      <c r="HL469" s="1825"/>
      <c r="HM469" s="1825"/>
      <c r="HN469" s="1825"/>
      <c r="HO469" s="1825"/>
      <c r="HP469" s="1825"/>
      <c r="HQ469" s="1825"/>
      <c r="HR469" s="1825"/>
      <c r="HS469" s="1825"/>
      <c r="HT469" s="1825"/>
      <c r="HU469" s="1825"/>
      <c r="HV469" s="1825"/>
      <c r="HW469" s="1825"/>
      <c r="HX469" s="1825"/>
      <c r="HY469" s="1825"/>
      <c r="HZ469" s="1825"/>
      <c r="IA469" s="1825"/>
      <c r="IB469" s="1825"/>
      <c r="IC469" s="1825"/>
      <c r="ID469" s="1825"/>
      <c r="IE469" s="1825"/>
      <c r="IF469" s="1825"/>
      <c r="IG469" s="1825"/>
      <c r="IH469" s="1825"/>
      <c r="II469" s="1825"/>
      <c r="IJ469" s="1825"/>
      <c r="IK469" s="1825"/>
      <c r="IL469" s="1825"/>
      <c r="IM469" s="1825"/>
      <c r="IN469" s="1825"/>
      <c r="IO469" s="1825"/>
      <c r="IP469" s="1825"/>
      <c r="IQ469" s="1825"/>
      <c r="IR469" s="1825"/>
      <c r="IS469" s="1825"/>
      <c r="IT469" s="1825"/>
      <c r="IU469" s="1825"/>
      <c r="IV469" s="1825"/>
    </row>
    <row r="470" spans="1:256" s="3333" customFormat="1" ht="40.5" customHeight="1">
      <c r="A470" s="3329"/>
      <c r="B470" s="3330"/>
      <c r="C470" s="3330"/>
      <c r="D470" s="2230" t="s">
        <v>2677</v>
      </c>
      <c r="E470" s="3330"/>
      <c r="F470" s="3331"/>
      <c r="G470" s="203"/>
      <c r="H470" s="3332"/>
      <c r="I470" s="3446"/>
      <c r="AP470" s="2206"/>
      <c r="AQ470" s="2206"/>
      <c r="AR470" s="1825"/>
      <c r="AS470" s="1825"/>
      <c r="AT470" s="1825"/>
      <c r="AU470" s="1825"/>
      <c r="AV470" s="1825"/>
      <c r="AW470" s="1825"/>
      <c r="AX470" s="1825"/>
      <c r="AY470" s="1825"/>
      <c r="AZ470" s="1825"/>
      <c r="BA470" s="1825"/>
      <c r="BB470" s="1825"/>
      <c r="BC470" s="1825"/>
      <c r="BD470" s="1825"/>
      <c r="BE470" s="1825"/>
      <c r="BF470" s="1825"/>
      <c r="BG470" s="1825"/>
      <c r="BH470" s="1825"/>
      <c r="BI470" s="1825"/>
      <c r="BJ470" s="1825"/>
      <c r="BK470" s="1825"/>
      <c r="BL470" s="1825"/>
      <c r="BM470" s="1825"/>
      <c r="BN470" s="1825"/>
      <c r="BO470" s="1825"/>
      <c r="BP470" s="1825"/>
      <c r="BQ470" s="1825"/>
      <c r="BR470" s="1825"/>
      <c r="BS470" s="1825"/>
      <c r="BT470" s="1825"/>
      <c r="BU470" s="1825"/>
      <c r="BV470" s="1825"/>
      <c r="BW470" s="1825"/>
      <c r="BX470" s="1825"/>
      <c r="BY470" s="1825"/>
      <c r="BZ470" s="1825"/>
      <c r="CA470" s="1825"/>
      <c r="CB470" s="1825"/>
      <c r="CC470" s="1825"/>
      <c r="CD470" s="1825"/>
      <c r="CE470" s="1825"/>
      <c r="CF470" s="1825"/>
      <c r="CG470" s="1825"/>
      <c r="CH470" s="1825"/>
      <c r="CI470" s="1825"/>
      <c r="CJ470" s="1825"/>
      <c r="CK470" s="1825"/>
      <c r="CL470" s="1825"/>
      <c r="CM470" s="1825"/>
      <c r="CN470" s="1825"/>
      <c r="CO470" s="1825"/>
      <c r="CP470" s="1825"/>
      <c r="CQ470" s="1825"/>
      <c r="CR470" s="1825"/>
      <c r="CS470" s="1825"/>
      <c r="CT470" s="1825"/>
      <c r="CU470" s="1825"/>
      <c r="CV470" s="1825"/>
      <c r="CW470" s="1825"/>
      <c r="CX470" s="1825"/>
      <c r="CY470" s="1825"/>
      <c r="CZ470" s="1825"/>
      <c r="DA470" s="1825"/>
      <c r="DB470" s="1825"/>
      <c r="DC470" s="1825"/>
      <c r="DD470" s="1825"/>
      <c r="DE470" s="1825"/>
      <c r="DF470" s="1825"/>
      <c r="DG470" s="1825"/>
      <c r="DH470" s="1825"/>
      <c r="DI470" s="1825"/>
      <c r="DJ470" s="1825"/>
      <c r="DK470" s="1825"/>
      <c r="DL470" s="1825"/>
      <c r="DM470" s="1825"/>
      <c r="DN470" s="1825"/>
      <c r="DO470" s="1825"/>
      <c r="DP470" s="1825"/>
      <c r="DQ470" s="1825"/>
      <c r="DR470" s="1825"/>
      <c r="DS470" s="1825"/>
      <c r="DT470" s="1825"/>
      <c r="DU470" s="1825"/>
      <c r="DV470" s="1825"/>
      <c r="DW470" s="1825"/>
      <c r="DX470" s="1825"/>
      <c r="DY470" s="1825"/>
      <c r="DZ470" s="1825"/>
      <c r="EA470" s="1825"/>
      <c r="EB470" s="1825"/>
      <c r="EC470" s="1825"/>
      <c r="ED470" s="1825"/>
      <c r="EE470" s="1825"/>
      <c r="EF470" s="1825"/>
      <c r="EG470" s="1825"/>
      <c r="EH470" s="1825"/>
      <c r="EI470" s="1825"/>
      <c r="EJ470" s="1825"/>
      <c r="EK470" s="1825"/>
      <c r="EL470" s="1825"/>
      <c r="EM470" s="1825"/>
      <c r="EN470" s="1825"/>
      <c r="EO470" s="1825"/>
      <c r="EP470" s="1825"/>
      <c r="EQ470" s="1825"/>
      <c r="ER470" s="1825"/>
      <c r="ES470" s="1825"/>
      <c r="ET470" s="1825"/>
      <c r="EU470" s="1825"/>
      <c r="EV470" s="1825"/>
      <c r="EW470" s="1825"/>
      <c r="EX470" s="1825"/>
      <c r="EY470" s="1825"/>
      <c r="EZ470" s="1825"/>
      <c r="FA470" s="1825"/>
      <c r="FB470" s="1825"/>
      <c r="FC470" s="1825"/>
      <c r="FD470" s="1825"/>
      <c r="FE470" s="1825"/>
      <c r="FF470" s="1825"/>
      <c r="FG470" s="1825"/>
      <c r="FH470" s="1825"/>
      <c r="FI470" s="1825"/>
      <c r="FJ470" s="1825"/>
      <c r="FK470" s="1825"/>
      <c r="FL470" s="1825"/>
      <c r="FM470" s="1825"/>
      <c r="FN470" s="1825"/>
      <c r="FO470" s="1825"/>
      <c r="FP470" s="1825"/>
      <c r="FQ470" s="1825"/>
      <c r="FR470" s="1825"/>
      <c r="FS470" s="1825"/>
      <c r="FT470" s="1825"/>
      <c r="FU470" s="1825"/>
      <c r="FV470" s="1825"/>
      <c r="FW470" s="1825"/>
      <c r="FX470" s="1825"/>
      <c r="FY470" s="1825"/>
      <c r="FZ470" s="1825"/>
      <c r="GA470" s="1825"/>
      <c r="GB470" s="1825"/>
      <c r="GC470" s="1825"/>
      <c r="GD470" s="1825"/>
      <c r="GE470" s="1825"/>
      <c r="GF470" s="1825"/>
      <c r="GG470" s="1825"/>
      <c r="GH470" s="1825"/>
      <c r="GI470" s="1825"/>
      <c r="GJ470" s="1825"/>
      <c r="GK470" s="1825"/>
      <c r="GL470" s="1825"/>
      <c r="GM470" s="1825"/>
      <c r="GN470" s="1825"/>
      <c r="GO470" s="1825"/>
      <c r="GP470" s="1825"/>
      <c r="GQ470" s="1825"/>
      <c r="GR470" s="1825"/>
      <c r="GS470" s="1825"/>
      <c r="GT470" s="1825"/>
      <c r="GU470" s="1825"/>
      <c r="GV470" s="1825"/>
      <c r="GW470" s="1825"/>
      <c r="GX470" s="1825"/>
      <c r="GY470" s="1825"/>
      <c r="GZ470" s="1825"/>
      <c r="HA470" s="1825"/>
      <c r="HB470" s="1825"/>
      <c r="HC470" s="1825"/>
      <c r="HD470" s="1825"/>
      <c r="HE470" s="1825"/>
      <c r="HF470" s="1825"/>
      <c r="HG470" s="1825"/>
      <c r="HH470" s="1825"/>
      <c r="HI470" s="1825"/>
      <c r="HJ470" s="1825"/>
      <c r="HK470" s="1825"/>
      <c r="HL470" s="1825"/>
      <c r="HM470" s="1825"/>
      <c r="HN470" s="1825"/>
      <c r="HO470" s="1825"/>
      <c r="HP470" s="1825"/>
      <c r="HQ470" s="1825"/>
      <c r="HR470" s="1825"/>
      <c r="HS470" s="1825"/>
      <c r="HT470" s="1825"/>
      <c r="HU470" s="1825"/>
      <c r="HV470" s="1825"/>
      <c r="HW470" s="1825"/>
      <c r="HX470" s="1825"/>
      <c r="HY470" s="1825"/>
      <c r="HZ470" s="1825"/>
      <c r="IA470" s="1825"/>
      <c r="IB470" s="1825"/>
      <c r="IC470" s="1825"/>
      <c r="ID470" s="1825"/>
      <c r="IE470" s="1825"/>
      <c r="IF470" s="1825"/>
      <c r="IG470" s="1825"/>
      <c r="IH470" s="1825"/>
      <c r="II470" s="1825"/>
      <c r="IJ470" s="1825"/>
      <c r="IK470" s="1825"/>
      <c r="IL470" s="1825"/>
      <c r="IM470" s="1825"/>
      <c r="IN470" s="1825"/>
      <c r="IO470" s="1825"/>
      <c r="IP470" s="1825"/>
      <c r="IQ470" s="1825"/>
      <c r="IR470" s="1825"/>
      <c r="IS470" s="1825"/>
      <c r="IT470" s="1825"/>
      <c r="IU470" s="1825"/>
      <c r="IV470" s="1825"/>
    </row>
    <row r="471" spans="1:256" s="1913" customFormat="1" ht="13.5" customHeight="1">
      <c r="A471" s="3340">
        <v>96</v>
      </c>
      <c r="B471" s="3438" t="s">
        <v>1860</v>
      </c>
      <c r="C471" s="2590" t="s">
        <v>2688</v>
      </c>
      <c r="D471" s="3434" t="s">
        <v>2689</v>
      </c>
      <c r="E471" s="3434" t="s">
        <v>205</v>
      </c>
      <c r="F471" s="2593">
        <f>SUM(F473:F473)</f>
        <v>1</v>
      </c>
      <c r="G471" s="208"/>
      <c r="H471" s="3439">
        <f>F471*G471</f>
        <v>0</v>
      </c>
      <c r="I471" s="3440" t="s">
        <v>112</v>
      </c>
      <c r="J471" s="3441"/>
      <c r="K471" s="3441"/>
      <c r="O471" s="3442"/>
      <c r="P471" s="3441"/>
      <c r="Q471" s="3349"/>
      <c r="X471" s="3441"/>
      <c r="Y471" s="3441"/>
      <c r="Z471" s="2206"/>
      <c r="AA471" s="2206"/>
      <c r="AB471" s="2206"/>
      <c r="AC471" s="2206"/>
      <c r="AD471" s="2206"/>
      <c r="AE471" s="2206"/>
      <c r="AF471" s="2206"/>
      <c r="AG471" s="2206"/>
      <c r="AH471" s="3443"/>
    </row>
    <row r="472" spans="1:256" s="1913" customFormat="1" ht="13.5" customHeight="1">
      <c r="A472" s="3323"/>
      <c r="B472" s="3324"/>
      <c r="C472" s="2230"/>
      <c r="D472" s="2230" t="s">
        <v>2676</v>
      </c>
      <c r="E472" s="2230"/>
      <c r="F472" s="3444"/>
      <c r="G472" s="207"/>
      <c r="H472" s="3326"/>
      <c r="I472" s="3445"/>
      <c r="J472" s="3441"/>
      <c r="K472" s="3441"/>
      <c r="L472" s="2206"/>
      <c r="M472" s="2206"/>
      <c r="N472" s="2206"/>
      <c r="O472" s="2206"/>
      <c r="P472" s="2206"/>
      <c r="Q472" s="2206"/>
      <c r="R472" s="2206"/>
      <c r="S472" s="2206"/>
      <c r="T472" s="2206"/>
      <c r="U472" s="2206"/>
      <c r="V472" s="2233"/>
      <c r="W472" s="2206"/>
      <c r="X472" s="3441"/>
      <c r="Y472" s="3441"/>
      <c r="Z472" s="2206"/>
      <c r="AA472" s="2206"/>
      <c r="AB472" s="2206"/>
      <c r="AC472" s="2206"/>
      <c r="AD472" s="2206"/>
      <c r="AE472" s="2206"/>
      <c r="AF472" s="2206"/>
      <c r="AG472" s="2206"/>
      <c r="AH472" s="2206"/>
    </row>
    <row r="473" spans="1:256" s="3333" customFormat="1" ht="13.5" customHeight="1">
      <c r="A473" s="3329"/>
      <c r="B473" s="3330"/>
      <c r="C473" s="3330"/>
      <c r="D473" s="3330" t="s">
        <v>2492</v>
      </c>
      <c r="E473" s="3330"/>
      <c r="F473" s="3331">
        <v>1</v>
      </c>
      <c r="G473" s="203"/>
      <c r="H473" s="3332"/>
      <c r="I473" s="3334"/>
      <c r="K473" s="2206"/>
      <c r="L473" s="2206"/>
      <c r="M473" s="2206"/>
      <c r="N473" s="2206"/>
      <c r="O473" s="2206"/>
      <c r="P473" s="2206"/>
      <c r="Q473" s="2206"/>
      <c r="R473" s="2206"/>
      <c r="S473" s="2206"/>
      <c r="T473" s="2206"/>
      <c r="U473" s="2206"/>
      <c r="V473" s="2206"/>
      <c r="W473" s="2206"/>
      <c r="X473" s="2206"/>
      <c r="Y473" s="2206"/>
      <c r="Z473" s="2206"/>
      <c r="AA473" s="2206"/>
      <c r="AB473" s="2206"/>
      <c r="AC473" s="2206"/>
      <c r="AD473" s="2206"/>
      <c r="AE473" s="2206"/>
      <c r="AF473" s="2206"/>
      <c r="AG473" s="2206"/>
      <c r="AH473" s="2206"/>
      <c r="AI473" s="2206"/>
      <c r="AJ473" s="2206"/>
      <c r="AK473" s="2206"/>
      <c r="AL473" s="2206"/>
      <c r="AM473" s="2206"/>
      <c r="AN473" s="2206"/>
      <c r="AO473" s="2206"/>
      <c r="AP473" s="2206"/>
      <c r="AQ473" s="2206"/>
      <c r="AR473" s="1825"/>
      <c r="AS473" s="1825"/>
      <c r="AT473" s="1825"/>
      <c r="AU473" s="1825"/>
      <c r="AV473" s="1825"/>
      <c r="AW473" s="1825"/>
      <c r="AX473" s="1825"/>
      <c r="AY473" s="1825"/>
      <c r="AZ473" s="1825"/>
      <c r="BA473" s="1825"/>
      <c r="BB473" s="1825"/>
      <c r="BC473" s="1825"/>
      <c r="BD473" s="1825"/>
      <c r="BE473" s="1825"/>
      <c r="BF473" s="1825"/>
      <c r="BG473" s="1825"/>
      <c r="BH473" s="1825"/>
      <c r="BI473" s="1825"/>
      <c r="BJ473" s="1825"/>
      <c r="BK473" s="1825"/>
      <c r="BL473" s="1825"/>
      <c r="BM473" s="1825"/>
      <c r="BN473" s="1825"/>
      <c r="BO473" s="1825"/>
      <c r="BP473" s="1825"/>
      <c r="BQ473" s="1825"/>
      <c r="BR473" s="1825"/>
      <c r="BS473" s="1825"/>
      <c r="BT473" s="1825"/>
      <c r="BU473" s="1825"/>
      <c r="BV473" s="1825"/>
      <c r="BW473" s="1825"/>
      <c r="BX473" s="1825"/>
      <c r="BY473" s="1825"/>
      <c r="BZ473" s="1825"/>
      <c r="CA473" s="1825"/>
      <c r="CB473" s="1825"/>
      <c r="CC473" s="1825"/>
      <c r="CD473" s="1825"/>
      <c r="CE473" s="1825"/>
      <c r="CF473" s="1825"/>
      <c r="CG473" s="1825"/>
      <c r="CH473" s="1825"/>
      <c r="CI473" s="1825"/>
      <c r="CJ473" s="1825"/>
      <c r="CK473" s="1825"/>
      <c r="CL473" s="1825"/>
      <c r="CM473" s="1825"/>
      <c r="CN473" s="1825"/>
      <c r="CO473" s="1825"/>
      <c r="CP473" s="1825"/>
      <c r="CQ473" s="1825"/>
      <c r="CR473" s="1825"/>
      <c r="CS473" s="1825"/>
      <c r="CT473" s="1825"/>
      <c r="CU473" s="1825"/>
      <c r="CV473" s="1825"/>
      <c r="CW473" s="1825"/>
      <c r="CX473" s="1825"/>
      <c r="CY473" s="1825"/>
      <c r="CZ473" s="1825"/>
      <c r="DA473" s="1825"/>
      <c r="DB473" s="1825"/>
      <c r="DC473" s="1825"/>
      <c r="DD473" s="1825"/>
      <c r="DE473" s="1825"/>
      <c r="DF473" s="1825"/>
      <c r="DG473" s="1825"/>
      <c r="DH473" s="1825"/>
      <c r="DI473" s="1825"/>
      <c r="DJ473" s="1825"/>
      <c r="DK473" s="1825"/>
      <c r="DL473" s="1825"/>
      <c r="DM473" s="1825"/>
      <c r="DN473" s="1825"/>
      <c r="DO473" s="1825"/>
      <c r="DP473" s="1825"/>
      <c r="DQ473" s="1825"/>
      <c r="DR473" s="1825"/>
      <c r="DS473" s="1825"/>
      <c r="DT473" s="1825"/>
      <c r="DU473" s="1825"/>
      <c r="DV473" s="1825"/>
      <c r="DW473" s="1825"/>
      <c r="DX473" s="1825"/>
      <c r="DY473" s="1825"/>
      <c r="DZ473" s="1825"/>
      <c r="EA473" s="1825"/>
      <c r="EB473" s="1825"/>
      <c r="EC473" s="1825"/>
      <c r="ED473" s="1825"/>
      <c r="EE473" s="1825"/>
      <c r="EF473" s="1825"/>
      <c r="EG473" s="1825"/>
      <c r="EH473" s="1825"/>
      <c r="EI473" s="1825"/>
      <c r="EJ473" s="1825"/>
      <c r="EK473" s="1825"/>
      <c r="EL473" s="1825"/>
      <c r="EM473" s="1825"/>
      <c r="EN473" s="1825"/>
      <c r="EO473" s="1825"/>
      <c r="EP473" s="1825"/>
      <c r="EQ473" s="1825"/>
      <c r="ER473" s="1825"/>
      <c r="ES473" s="1825"/>
      <c r="ET473" s="1825"/>
      <c r="EU473" s="1825"/>
      <c r="EV473" s="1825"/>
      <c r="EW473" s="1825"/>
      <c r="EX473" s="1825"/>
      <c r="EY473" s="1825"/>
      <c r="EZ473" s="1825"/>
      <c r="FA473" s="1825"/>
      <c r="FB473" s="1825"/>
      <c r="FC473" s="1825"/>
      <c r="FD473" s="1825"/>
      <c r="FE473" s="1825"/>
      <c r="FF473" s="1825"/>
      <c r="FG473" s="1825"/>
      <c r="FH473" s="1825"/>
      <c r="FI473" s="1825"/>
      <c r="FJ473" s="1825"/>
      <c r="FK473" s="1825"/>
      <c r="FL473" s="1825"/>
      <c r="FM473" s="1825"/>
      <c r="FN473" s="1825"/>
      <c r="FO473" s="1825"/>
      <c r="FP473" s="1825"/>
      <c r="FQ473" s="1825"/>
      <c r="FR473" s="1825"/>
      <c r="FS473" s="1825"/>
      <c r="FT473" s="1825"/>
      <c r="FU473" s="1825"/>
      <c r="FV473" s="1825"/>
      <c r="FW473" s="1825"/>
      <c r="FX473" s="1825"/>
      <c r="FY473" s="1825"/>
      <c r="FZ473" s="1825"/>
      <c r="GA473" s="1825"/>
      <c r="GB473" s="1825"/>
      <c r="GC473" s="1825"/>
      <c r="GD473" s="1825"/>
      <c r="GE473" s="1825"/>
      <c r="GF473" s="1825"/>
      <c r="GG473" s="1825"/>
      <c r="GH473" s="1825"/>
      <c r="GI473" s="1825"/>
      <c r="GJ473" s="1825"/>
      <c r="GK473" s="1825"/>
      <c r="GL473" s="1825"/>
      <c r="GM473" s="1825"/>
      <c r="GN473" s="1825"/>
      <c r="GO473" s="1825"/>
      <c r="GP473" s="1825"/>
      <c r="GQ473" s="1825"/>
      <c r="GR473" s="1825"/>
      <c r="GS473" s="1825"/>
      <c r="GT473" s="1825"/>
      <c r="GU473" s="1825"/>
      <c r="GV473" s="1825"/>
      <c r="GW473" s="1825"/>
      <c r="GX473" s="1825"/>
      <c r="GY473" s="1825"/>
      <c r="GZ473" s="1825"/>
      <c r="HA473" s="1825"/>
      <c r="HB473" s="1825"/>
      <c r="HC473" s="1825"/>
      <c r="HD473" s="1825"/>
      <c r="HE473" s="1825"/>
      <c r="HF473" s="1825"/>
      <c r="HG473" s="1825"/>
      <c r="HH473" s="1825"/>
      <c r="HI473" s="1825"/>
      <c r="HJ473" s="1825"/>
      <c r="HK473" s="1825"/>
      <c r="HL473" s="1825"/>
      <c r="HM473" s="1825"/>
      <c r="HN473" s="1825"/>
      <c r="HO473" s="1825"/>
      <c r="HP473" s="1825"/>
      <c r="HQ473" s="1825"/>
      <c r="HR473" s="1825"/>
      <c r="HS473" s="1825"/>
      <c r="HT473" s="1825"/>
      <c r="HU473" s="1825"/>
      <c r="HV473" s="1825"/>
      <c r="HW473" s="1825"/>
      <c r="HX473" s="1825"/>
      <c r="HY473" s="1825"/>
      <c r="HZ473" s="1825"/>
      <c r="IA473" s="1825"/>
      <c r="IB473" s="1825"/>
      <c r="IC473" s="1825"/>
      <c r="ID473" s="1825"/>
      <c r="IE473" s="1825"/>
      <c r="IF473" s="1825"/>
      <c r="IG473" s="1825"/>
      <c r="IH473" s="1825"/>
      <c r="II473" s="1825"/>
      <c r="IJ473" s="1825"/>
      <c r="IK473" s="1825"/>
      <c r="IL473" s="1825"/>
      <c r="IM473" s="1825"/>
      <c r="IN473" s="1825"/>
      <c r="IO473" s="1825"/>
      <c r="IP473" s="1825"/>
      <c r="IQ473" s="1825"/>
      <c r="IR473" s="1825"/>
      <c r="IS473" s="1825"/>
      <c r="IT473" s="1825"/>
      <c r="IU473" s="1825"/>
      <c r="IV473" s="1825"/>
    </row>
    <row r="474" spans="1:256" s="3333" customFormat="1" ht="40.5" customHeight="1">
      <c r="A474" s="3329"/>
      <c r="B474" s="3330"/>
      <c r="C474" s="3330"/>
      <c r="D474" s="2230" t="s">
        <v>2677</v>
      </c>
      <c r="E474" s="3330"/>
      <c r="F474" s="3331"/>
      <c r="G474" s="203"/>
      <c r="H474" s="3332"/>
      <c r="I474" s="3446"/>
      <c r="AP474" s="2206"/>
      <c r="AQ474" s="2206"/>
      <c r="AR474" s="1825"/>
      <c r="AS474" s="1825"/>
      <c r="AT474" s="1825"/>
      <c r="AU474" s="1825"/>
      <c r="AV474" s="1825"/>
      <c r="AW474" s="1825"/>
      <c r="AX474" s="1825"/>
      <c r="AY474" s="1825"/>
      <c r="AZ474" s="1825"/>
      <c r="BA474" s="1825"/>
      <c r="BB474" s="1825"/>
      <c r="BC474" s="1825"/>
      <c r="BD474" s="1825"/>
      <c r="BE474" s="1825"/>
      <c r="BF474" s="1825"/>
      <c r="BG474" s="1825"/>
      <c r="BH474" s="1825"/>
      <c r="BI474" s="1825"/>
      <c r="BJ474" s="1825"/>
      <c r="BK474" s="1825"/>
      <c r="BL474" s="1825"/>
      <c r="BM474" s="1825"/>
      <c r="BN474" s="1825"/>
      <c r="BO474" s="1825"/>
      <c r="BP474" s="1825"/>
      <c r="BQ474" s="1825"/>
      <c r="BR474" s="1825"/>
      <c r="BS474" s="1825"/>
      <c r="BT474" s="1825"/>
      <c r="BU474" s="1825"/>
      <c r="BV474" s="1825"/>
      <c r="BW474" s="1825"/>
      <c r="BX474" s="1825"/>
      <c r="BY474" s="1825"/>
      <c r="BZ474" s="1825"/>
      <c r="CA474" s="1825"/>
      <c r="CB474" s="1825"/>
      <c r="CC474" s="1825"/>
      <c r="CD474" s="1825"/>
      <c r="CE474" s="1825"/>
      <c r="CF474" s="1825"/>
      <c r="CG474" s="1825"/>
      <c r="CH474" s="1825"/>
      <c r="CI474" s="1825"/>
      <c r="CJ474" s="1825"/>
      <c r="CK474" s="1825"/>
      <c r="CL474" s="1825"/>
      <c r="CM474" s="1825"/>
      <c r="CN474" s="1825"/>
      <c r="CO474" s="1825"/>
      <c r="CP474" s="1825"/>
      <c r="CQ474" s="1825"/>
      <c r="CR474" s="1825"/>
      <c r="CS474" s="1825"/>
      <c r="CT474" s="1825"/>
      <c r="CU474" s="1825"/>
      <c r="CV474" s="1825"/>
      <c r="CW474" s="1825"/>
      <c r="CX474" s="1825"/>
      <c r="CY474" s="1825"/>
      <c r="CZ474" s="1825"/>
      <c r="DA474" s="1825"/>
      <c r="DB474" s="1825"/>
      <c r="DC474" s="1825"/>
      <c r="DD474" s="1825"/>
      <c r="DE474" s="1825"/>
      <c r="DF474" s="1825"/>
      <c r="DG474" s="1825"/>
      <c r="DH474" s="1825"/>
      <c r="DI474" s="1825"/>
      <c r="DJ474" s="1825"/>
      <c r="DK474" s="1825"/>
      <c r="DL474" s="1825"/>
      <c r="DM474" s="1825"/>
      <c r="DN474" s="1825"/>
      <c r="DO474" s="1825"/>
      <c r="DP474" s="1825"/>
      <c r="DQ474" s="1825"/>
      <c r="DR474" s="1825"/>
      <c r="DS474" s="1825"/>
      <c r="DT474" s="1825"/>
      <c r="DU474" s="1825"/>
      <c r="DV474" s="1825"/>
      <c r="DW474" s="1825"/>
      <c r="DX474" s="1825"/>
      <c r="DY474" s="1825"/>
      <c r="DZ474" s="1825"/>
      <c r="EA474" s="1825"/>
      <c r="EB474" s="1825"/>
      <c r="EC474" s="1825"/>
      <c r="ED474" s="1825"/>
      <c r="EE474" s="1825"/>
      <c r="EF474" s="1825"/>
      <c r="EG474" s="1825"/>
      <c r="EH474" s="1825"/>
      <c r="EI474" s="1825"/>
      <c r="EJ474" s="1825"/>
      <c r="EK474" s="1825"/>
      <c r="EL474" s="1825"/>
      <c r="EM474" s="1825"/>
      <c r="EN474" s="1825"/>
      <c r="EO474" s="1825"/>
      <c r="EP474" s="1825"/>
      <c r="EQ474" s="1825"/>
      <c r="ER474" s="1825"/>
      <c r="ES474" s="1825"/>
      <c r="ET474" s="1825"/>
      <c r="EU474" s="1825"/>
      <c r="EV474" s="1825"/>
      <c r="EW474" s="1825"/>
      <c r="EX474" s="1825"/>
      <c r="EY474" s="1825"/>
      <c r="EZ474" s="1825"/>
      <c r="FA474" s="1825"/>
      <c r="FB474" s="1825"/>
      <c r="FC474" s="1825"/>
      <c r="FD474" s="1825"/>
      <c r="FE474" s="1825"/>
      <c r="FF474" s="1825"/>
      <c r="FG474" s="1825"/>
      <c r="FH474" s="1825"/>
      <c r="FI474" s="1825"/>
      <c r="FJ474" s="1825"/>
      <c r="FK474" s="1825"/>
      <c r="FL474" s="1825"/>
      <c r="FM474" s="1825"/>
      <c r="FN474" s="1825"/>
      <c r="FO474" s="1825"/>
      <c r="FP474" s="1825"/>
      <c r="FQ474" s="1825"/>
      <c r="FR474" s="1825"/>
      <c r="FS474" s="1825"/>
      <c r="FT474" s="1825"/>
      <c r="FU474" s="1825"/>
      <c r="FV474" s="1825"/>
      <c r="FW474" s="1825"/>
      <c r="FX474" s="1825"/>
      <c r="FY474" s="1825"/>
      <c r="FZ474" s="1825"/>
      <c r="GA474" s="1825"/>
      <c r="GB474" s="1825"/>
      <c r="GC474" s="1825"/>
      <c r="GD474" s="1825"/>
      <c r="GE474" s="1825"/>
      <c r="GF474" s="1825"/>
      <c r="GG474" s="1825"/>
      <c r="GH474" s="1825"/>
      <c r="GI474" s="1825"/>
      <c r="GJ474" s="1825"/>
      <c r="GK474" s="1825"/>
      <c r="GL474" s="1825"/>
      <c r="GM474" s="1825"/>
      <c r="GN474" s="1825"/>
      <c r="GO474" s="1825"/>
      <c r="GP474" s="1825"/>
      <c r="GQ474" s="1825"/>
      <c r="GR474" s="1825"/>
      <c r="GS474" s="1825"/>
      <c r="GT474" s="1825"/>
      <c r="GU474" s="1825"/>
      <c r="GV474" s="1825"/>
      <c r="GW474" s="1825"/>
      <c r="GX474" s="1825"/>
      <c r="GY474" s="1825"/>
      <c r="GZ474" s="1825"/>
      <c r="HA474" s="1825"/>
      <c r="HB474" s="1825"/>
      <c r="HC474" s="1825"/>
      <c r="HD474" s="1825"/>
      <c r="HE474" s="1825"/>
      <c r="HF474" s="1825"/>
      <c r="HG474" s="1825"/>
      <c r="HH474" s="1825"/>
      <c r="HI474" s="1825"/>
      <c r="HJ474" s="1825"/>
      <c r="HK474" s="1825"/>
      <c r="HL474" s="1825"/>
      <c r="HM474" s="1825"/>
      <c r="HN474" s="1825"/>
      <c r="HO474" s="1825"/>
      <c r="HP474" s="1825"/>
      <c r="HQ474" s="1825"/>
      <c r="HR474" s="1825"/>
      <c r="HS474" s="1825"/>
      <c r="HT474" s="1825"/>
      <c r="HU474" s="1825"/>
      <c r="HV474" s="1825"/>
      <c r="HW474" s="1825"/>
      <c r="HX474" s="1825"/>
      <c r="HY474" s="1825"/>
      <c r="HZ474" s="1825"/>
      <c r="IA474" s="1825"/>
      <c r="IB474" s="1825"/>
      <c r="IC474" s="1825"/>
      <c r="ID474" s="1825"/>
      <c r="IE474" s="1825"/>
      <c r="IF474" s="1825"/>
      <c r="IG474" s="1825"/>
      <c r="IH474" s="1825"/>
      <c r="II474" s="1825"/>
      <c r="IJ474" s="1825"/>
      <c r="IK474" s="1825"/>
      <c r="IL474" s="1825"/>
      <c r="IM474" s="1825"/>
      <c r="IN474" s="1825"/>
      <c r="IO474" s="1825"/>
      <c r="IP474" s="1825"/>
      <c r="IQ474" s="1825"/>
      <c r="IR474" s="1825"/>
      <c r="IS474" s="1825"/>
      <c r="IT474" s="1825"/>
      <c r="IU474" s="1825"/>
      <c r="IV474" s="1825"/>
    </row>
    <row r="475" spans="1:256" s="1913" customFormat="1" ht="13.5" customHeight="1">
      <c r="A475" s="3340">
        <v>97</v>
      </c>
      <c r="B475" s="3438" t="s">
        <v>1860</v>
      </c>
      <c r="C475" s="2590" t="s">
        <v>2690</v>
      </c>
      <c r="D475" s="3434" t="s">
        <v>2691</v>
      </c>
      <c r="E475" s="3434" t="s">
        <v>205</v>
      </c>
      <c r="F475" s="2593">
        <f>SUM(F477:F477)</f>
        <v>1</v>
      </c>
      <c r="G475" s="208"/>
      <c r="H475" s="3439">
        <f>F475*G475</f>
        <v>0</v>
      </c>
      <c r="I475" s="3440" t="s">
        <v>112</v>
      </c>
      <c r="J475" s="3441"/>
      <c r="K475" s="3441"/>
      <c r="O475" s="3442"/>
      <c r="P475" s="3441"/>
      <c r="Q475" s="3349"/>
      <c r="X475" s="3441"/>
      <c r="Y475" s="3441"/>
      <c r="Z475" s="2206"/>
      <c r="AA475" s="2206"/>
      <c r="AB475" s="2206"/>
      <c r="AC475" s="2206"/>
      <c r="AD475" s="2206"/>
      <c r="AE475" s="2206"/>
      <c r="AF475" s="2206"/>
      <c r="AG475" s="2206"/>
      <c r="AH475" s="3443"/>
    </row>
    <row r="476" spans="1:256" s="1913" customFormat="1" ht="13.5" customHeight="1">
      <c r="A476" s="3323"/>
      <c r="B476" s="3324"/>
      <c r="C476" s="2230"/>
      <c r="D476" s="2230" t="s">
        <v>2676</v>
      </c>
      <c r="E476" s="2230"/>
      <c r="F476" s="3444"/>
      <c r="G476" s="207"/>
      <c r="H476" s="3326"/>
      <c r="I476" s="3445"/>
      <c r="J476" s="3441"/>
      <c r="K476" s="3441"/>
      <c r="L476" s="2206"/>
      <c r="M476" s="2206"/>
      <c r="N476" s="2206"/>
      <c r="O476" s="2206"/>
      <c r="P476" s="2206"/>
      <c r="Q476" s="2206"/>
      <c r="R476" s="2206"/>
      <c r="S476" s="2206"/>
      <c r="T476" s="2206"/>
      <c r="U476" s="2206"/>
      <c r="V476" s="2233"/>
      <c r="W476" s="2206"/>
      <c r="X476" s="3441"/>
      <c r="Y476" s="3441"/>
      <c r="Z476" s="2206"/>
      <c r="AA476" s="2206"/>
      <c r="AB476" s="2206"/>
      <c r="AC476" s="2206"/>
      <c r="AD476" s="2206"/>
      <c r="AE476" s="2206"/>
      <c r="AF476" s="2206"/>
      <c r="AG476" s="2206"/>
      <c r="AH476" s="2206"/>
    </row>
    <row r="477" spans="1:256" s="3333" customFormat="1" ht="13.5" customHeight="1">
      <c r="A477" s="3329"/>
      <c r="B477" s="3330"/>
      <c r="C477" s="3330"/>
      <c r="D477" s="3330" t="s">
        <v>2492</v>
      </c>
      <c r="E477" s="3330"/>
      <c r="F477" s="3331">
        <v>1</v>
      </c>
      <c r="G477" s="203"/>
      <c r="H477" s="3332"/>
      <c r="I477" s="3334"/>
      <c r="K477" s="2206"/>
      <c r="L477" s="2206"/>
      <c r="M477" s="2206"/>
      <c r="N477" s="2206"/>
      <c r="O477" s="2206"/>
      <c r="P477" s="2206"/>
      <c r="Q477" s="2206"/>
      <c r="R477" s="2206"/>
      <c r="S477" s="2206"/>
      <c r="T477" s="2206"/>
      <c r="U477" s="2206"/>
      <c r="V477" s="2206"/>
      <c r="W477" s="2206"/>
      <c r="X477" s="2206"/>
      <c r="Y477" s="2206"/>
      <c r="Z477" s="2206"/>
      <c r="AA477" s="2206"/>
      <c r="AB477" s="2206"/>
      <c r="AC477" s="2206"/>
      <c r="AD477" s="2206"/>
      <c r="AE477" s="2206"/>
      <c r="AF477" s="2206"/>
      <c r="AG477" s="2206"/>
      <c r="AH477" s="2206"/>
      <c r="AI477" s="2206"/>
      <c r="AJ477" s="2206"/>
      <c r="AK477" s="2206"/>
      <c r="AL477" s="2206"/>
      <c r="AM477" s="2206"/>
      <c r="AN477" s="2206"/>
      <c r="AO477" s="2206"/>
      <c r="AP477" s="2206"/>
      <c r="AQ477" s="2206"/>
      <c r="AR477" s="1825"/>
      <c r="AS477" s="1825"/>
      <c r="AT477" s="1825"/>
      <c r="AU477" s="1825"/>
      <c r="AV477" s="1825"/>
      <c r="AW477" s="1825"/>
      <c r="AX477" s="1825"/>
      <c r="AY477" s="1825"/>
      <c r="AZ477" s="1825"/>
      <c r="BA477" s="1825"/>
      <c r="BB477" s="1825"/>
      <c r="BC477" s="1825"/>
      <c r="BD477" s="1825"/>
      <c r="BE477" s="1825"/>
      <c r="BF477" s="1825"/>
      <c r="BG477" s="1825"/>
      <c r="BH477" s="1825"/>
      <c r="BI477" s="1825"/>
      <c r="BJ477" s="1825"/>
      <c r="BK477" s="1825"/>
      <c r="BL477" s="1825"/>
      <c r="BM477" s="1825"/>
      <c r="BN477" s="1825"/>
      <c r="BO477" s="1825"/>
      <c r="BP477" s="1825"/>
      <c r="BQ477" s="1825"/>
      <c r="BR477" s="1825"/>
      <c r="BS477" s="1825"/>
      <c r="BT477" s="1825"/>
      <c r="BU477" s="1825"/>
      <c r="BV477" s="1825"/>
      <c r="BW477" s="1825"/>
      <c r="BX477" s="1825"/>
      <c r="BY477" s="1825"/>
      <c r="BZ477" s="1825"/>
      <c r="CA477" s="1825"/>
      <c r="CB477" s="1825"/>
      <c r="CC477" s="1825"/>
      <c r="CD477" s="1825"/>
      <c r="CE477" s="1825"/>
      <c r="CF477" s="1825"/>
      <c r="CG477" s="1825"/>
      <c r="CH477" s="1825"/>
      <c r="CI477" s="1825"/>
      <c r="CJ477" s="1825"/>
      <c r="CK477" s="1825"/>
      <c r="CL477" s="1825"/>
      <c r="CM477" s="1825"/>
      <c r="CN477" s="1825"/>
      <c r="CO477" s="1825"/>
      <c r="CP477" s="1825"/>
      <c r="CQ477" s="1825"/>
      <c r="CR477" s="1825"/>
      <c r="CS477" s="1825"/>
      <c r="CT477" s="1825"/>
      <c r="CU477" s="1825"/>
      <c r="CV477" s="1825"/>
      <c r="CW477" s="1825"/>
      <c r="CX477" s="1825"/>
      <c r="CY477" s="1825"/>
      <c r="CZ477" s="1825"/>
      <c r="DA477" s="1825"/>
      <c r="DB477" s="1825"/>
      <c r="DC477" s="1825"/>
      <c r="DD477" s="1825"/>
      <c r="DE477" s="1825"/>
      <c r="DF477" s="1825"/>
      <c r="DG477" s="1825"/>
      <c r="DH477" s="1825"/>
      <c r="DI477" s="1825"/>
      <c r="DJ477" s="1825"/>
      <c r="DK477" s="1825"/>
      <c r="DL477" s="1825"/>
      <c r="DM477" s="1825"/>
      <c r="DN477" s="1825"/>
      <c r="DO477" s="1825"/>
      <c r="DP477" s="1825"/>
      <c r="DQ477" s="1825"/>
      <c r="DR477" s="1825"/>
      <c r="DS477" s="1825"/>
      <c r="DT477" s="1825"/>
      <c r="DU477" s="1825"/>
      <c r="DV477" s="1825"/>
      <c r="DW477" s="1825"/>
      <c r="DX477" s="1825"/>
      <c r="DY477" s="1825"/>
      <c r="DZ477" s="1825"/>
      <c r="EA477" s="1825"/>
      <c r="EB477" s="1825"/>
      <c r="EC477" s="1825"/>
      <c r="ED477" s="1825"/>
      <c r="EE477" s="1825"/>
      <c r="EF477" s="1825"/>
      <c r="EG477" s="1825"/>
      <c r="EH477" s="1825"/>
      <c r="EI477" s="1825"/>
      <c r="EJ477" s="1825"/>
      <c r="EK477" s="1825"/>
      <c r="EL477" s="1825"/>
      <c r="EM477" s="1825"/>
      <c r="EN477" s="1825"/>
      <c r="EO477" s="1825"/>
      <c r="EP477" s="1825"/>
      <c r="EQ477" s="1825"/>
      <c r="ER477" s="1825"/>
      <c r="ES477" s="1825"/>
      <c r="ET477" s="1825"/>
      <c r="EU477" s="1825"/>
      <c r="EV477" s="1825"/>
      <c r="EW477" s="1825"/>
      <c r="EX477" s="1825"/>
      <c r="EY477" s="1825"/>
      <c r="EZ477" s="1825"/>
      <c r="FA477" s="1825"/>
      <c r="FB477" s="1825"/>
      <c r="FC477" s="1825"/>
      <c r="FD477" s="1825"/>
      <c r="FE477" s="1825"/>
      <c r="FF477" s="1825"/>
      <c r="FG477" s="1825"/>
      <c r="FH477" s="1825"/>
      <c r="FI477" s="1825"/>
      <c r="FJ477" s="1825"/>
      <c r="FK477" s="1825"/>
      <c r="FL477" s="1825"/>
      <c r="FM477" s="1825"/>
      <c r="FN477" s="1825"/>
      <c r="FO477" s="1825"/>
      <c r="FP477" s="1825"/>
      <c r="FQ477" s="1825"/>
      <c r="FR477" s="1825"/>
      <c r="FS477" s="1825"/>
      <c r="FT477" s="1825"/>
      <c r="FU477" s="1825"/>
      <c r="FV477" s="1825"/>
      <c r="FW477" s="1825"/>
      <c r="FX477" s="1825"/>
      <c r="FY477" s="1825"/>
      <c r="FZ477" s="1825"/>
      <c r="GA477" s="1825"/>
      <c r="GB477" s="1825"/>
      <c r="GC477" s="1825"/>
      <c r="GD477" s="1825"/>
      <c r="GE477" s="1825"/>
      <c r="GF477" s="1825"/>
      <c r="GG477" s="1825"/>
      <c r="GH477" s="1825"/>
      <c r="GI477" s="1825"/>
      <c r="GJ477" s="1825"/>
      <c r="GK477" s="1825"/>
      <c r="GL477" s="1825"/>
      <c r="GM477" s="1825"/>
      <c r="GN477" s="1825"/>
      <c r="GO477" s="1825"/>
      <c r="GP477" s="1825"/>
      <c r="GQ477" s="1825"/>
      <c r="GR477" s="1825"/>
      <c r="GS477" s="1825"/>
      <c r="GT477" s="1825"/>
      <c r="GU477" s="1825"/>
      <c r="GV477" s="1825"/>
      <c r="GW477" s="1825"/>
      <c r="GX477" s="1825"/>
      <c r="GY477" s="1825"/>
      <c r="GZ477" s="1825"/>
      <c r="HA477" s="1825"/>
      <c r="HB477" s="1825"/>
      <c r="HC477" s="1825"/>
      <c r="HD477" s="1825"/>
      <c r="HE477" s="1825"/>
      <c r="HF477" s="1825"/>
      <c r="HG477" s="1825"/>
      <c r="HH477" s="1825"/>
      <c r="HI477" s="1825"/>
      <c r="HJ477" s="1825"/>
      <c r="HK477" s="1825"/>
      <c r="HL477" s="1825"/>
      <c r="HM477" s="1825"/>
      <c r="HN477" s="1825"/>
      <c r="HO477" s="1825"/>
      <c r="HP477" s="1825"/>
      <c r="HQ477" s="1825"/>
      <c r="HR477" s="1825"/>
      <c r="HS477" s="1825"/>
      <c r="HT477" s="1825"/>
      <c r="HU477" s="1825"/>
      <c r="HV477" s="1825"/>
      <c r="HW477" s="1825"/>
      <c r="HX477" s="1825"/>
      <c r="HY477" s="1825"/>
      <c r="HZ477" s="1825"/>
      <c r="IA477" s="1825"/>
      <c r="IB477" s="1825"/>
      <c r="IC477" s="1825"/>
      <c r="ID477" s="1825"/>
      <c r="IE477" s="1825"/>
      <c r="IF477" s="1825"/>
      <c r="IG477" s="1825"/>
      <c r="IH477" s="1825"/>
      <c r="II477" s="1825"/>
      <c r="IJ477" s="1825"/>
      <c r="IK477" s="1825"/>
      <c r="IL477" s="1825"/>
      <c r="IM477" s="1825"/>
      <c r="IN477" s="1825"/>
      <c r="IO477" s="1825"/>
      <c r="IP477" s="1825"/>
      <c r="IQ477" s="1825"/>
      <c r="IR477" s="1825"/>
      <c r="IS477" s="1825"/>
      <c r="IT477" s="1825"/>
      <c r="IU477" s="1825"/>
      <c r="IV477" s="1825"/>
    </row>
    <row r="478" spans="1:256" s="3333" customFormat="1" ht="40.5" customHeight="1">
      <c r="A478" s="3329"/>
      <c r="B478" s="3330"/>
      <c r="C478" s="3330"/>
      <c r="D478" s="2230" t="s">
        <v>2677</v>
      </c>
      <c r="E478" s="3330"/>
      <c r="F478" s="3331"/>
      <c r="G478" s="203"/>
      <c r="H478" s="3332"/>
      <c r="I478" s="3446"/>
      <c r="AP478" s="2206"/>
      <c r="AQ478" s="2206"/>
      <c r="AR478" s="1825"/>
      <c r="AS478" s="1825"/>
      <c r="AT478" s="1825"/>
      <c r="AU478" s="1825"/>
      <c r="AV478" s="1825"/>
      <c r="AW478" s="1825"/>
      <c r="AX478" s="1825"/>
      <c r="AY478" s="1825"/>
      <c r="AZ478" s="1825"/>
      <c r="BA478" s="1825"/>
      <c r="BB478" s="1825"/>
      <c r="BC478" s="1825"/>
      <c r="BD478" s="1825"/>
      <c r="BE478" s="1825"/>
      <c r="BF478" s="1825"/>
      <c r="BG478" s="1825"/>
      <c r="BH478" s="1825"/>
      <c r="BI478" s="1825"/>
      <c r="BJ478" s="1825"/>
      <c r="BK478" s="1825"/>
      <c r="BL478" s="1825"/>
      <c r="BM478" s="1825"/>
      <c r="BN478" s="1825"/>
      <c r="BO478" s="1825"/>
      <c r="BP478" s="1825"/>
      <c r="BQ478" s="1825"/>
      <c r="BR478" s="1825"/>
      <c r="BS478" s="1825"/>
      <c r="BT478" s="1825"/>
      <c r="BU478" s="1825"/>
      <c r="BV478" s="1825"/>
      <c r="BW478" s="1825"/>
      <c r="BX478" s="1825"/>
      <c r="BY478" s="1825"/>
      <c r="BZ478" s="1825"/>
      <c r="CA478" s="1825"/>
      <c r="CB478" s="1825"/>
      <c r="CC478" s="1825"/>
      <c r="CD478" s="1825"/>
      <c r="CE478" s="1825"/>
      <c r="CF478" s="1825"/>
      <c r="CG478" s="1825"/>
      <c r="CH478" s="1825"/>
      <c r="CI478" s="1825"/>
      <c r="CJ478" s="1825"/>
      <c r="CK478" s="1825"/>
      <c r="CL478" s="1825"/>
      <c r="CM478" s="1825"/>
      <c r="CN478" s="1825"/>
      <c r="CO478" s="1825"/>
      <c r="CP478" s="1825"/>
      <c r="CQ478" s="1825"/>
      <c r="CR478" s="1825"/>
      <c r="CS478" s="1825"/>
      <c r="CT478" s="1825"/>
      <c r="CU478" s="1825"/>
      <c r="CV478" s="1825"/>
      <c r="CW478" s="1825"/>
      <c r="CX478" s="1825"/>
      <c r="CY478" s="1825"/>
      <c r="CZ478" s="1825"/>
      <c r="DA478" s="1825"/>
      <c r="DB478" s="1825"/>
      <c r="DC478" s="1825"/>
      <c r="DD478" s="1825"/>
      <c r="DE478" s="1825"/>
      <c r="DF478" s="1825"/>
      <c r="DG478" s="1825"/>
      <c r="DH478" s="1825"/>
      <c r="DI478" s="1825"/>
      <c r="DJ478" s="1825"/>
      <c r="DK478" s="1825"/>
      <c r="DL478" s="1825"/>
      <c r="DM478" s="1825"/>
      <c r="DN478" s="1825"/>
      <c r="DO478" s="1825"/>
      <c r="DP478" s="1825"/>
      <c r="DQ478" s="1825"/>
      <c r="DR478" s="1825"/>
      <c r="DS478" s="1825"/>
      <c r="DT478" s="1825"/>
      <c r="DU478" s="1825"/>
      <c r="DV478" s="1825"/>
      <c r="DW478" s="1825"/>
      <c r="DX478" s="1825"/>
      <c r="DY478" s="1825"/>
      <c r="DZ478" s="1825"/>
      <c r="EA478" s="1825"/>
      <c r="EB478" s="1825"/>
      <c r="EC478" s="1825"/>
      <c r="ED478" s="1825"/>
      <c r="EE478" s="1825"/>
      <c r="EF478" s="1825"/>
      <c r="EG478" s="1825"/>
      <c r="EH478" s="1825"/>
      <c r="EI478" s="1825"/>
      <c r="EJ478" s="1825"/>
      <c r="EK478" s="1825"/>
      <c r="EL478" s="1825"/>
      <c r="EM478" s="1825"/>
      <c r="EN478" s="1825"/>
      <c r="EO478" s="1825"/>
      <c r="EP478" s="1825"/>
      <c r="EQ478" s="1825"/>
      <c r="ER478" s="1825"/>
      <c r="ES478" s="1825"/>
      <c r="ET478" s="1825"/>
      <c r="EU478" s="1825"/>
      <c r="EV478" s="1825"/>
      <c r="EW478" s="1825"/>
      <c r="EX478" s="1825"/>
      <c r="EY478" s="1825"/>
      <c r="EZ478" s="1825"/>
      <c r="FA478" s="1825"/>
      <c r="FB478" s="1825"/>
      <c r="FC478" s="1825"/>
      <c r="FD478" s="1825"/>
      <c r="FE478" s="1825"/>
      <c r="FF478" s="1825"/>
      <c r="FG478" s="1825"/>
      <c r="FH478" s="1825"/>
      <c r="FI478" s="1825"/>
      <c r="FJ478" s="1825"/>
      <c r="FK478" s="1825"/>
      <c r="FL478" s="1825"/>
      <c r="FM478" s="1825"/>
      <c r="FN478" s="1825"/>
      <c r="FO478" s="1825"/>
      <c r="FP478" s="1825"/>
      <c r="FQ478" s="1825"/>
      <c r="FR478" s="1825"/>
      <c r="FS478" s="1825"/>
      <c r="FT478" s="1825"/>
      <c r="FU478" s="1825"/>
      <c r="FV478" s="1825"/>
      <c r="FW478" s="1825"/>
      <c r="FX478" s="1825"/>
      <c r="FY478" s="1825"/>
      <c r="FZ478" s="1825"/>
      <c r="GA478" s="1825"/>
      <c r="GB478" s="1825"/>
      <c r="GC478" s="1825"/>
      <c r="GD478" s="1825"/>
      <c r="GE478" s="1825"/>
      <c r="GF478" s="1825"/>
      <c r="GG478" s="1825"/>
      <c r="GH478" s="1825"/>
      <c r="GI478" s="1825"/>
      <c r="GJ478" s="1825"/>
      <c r="GK478" s="1825"/>
      <c r="GL478" s="1825"/>
      <c r="GM478" s="1825"/>
      <c r="GN478" s="1825"/>
      <c r="GO478" s="1825"/>
      <c r="GP478" s="1825"/>
      <c r="GQ478" s="1825"/>
      <c r="GR478" s="1825"/>
      <c r="GS478" s="1825"/>
      <c r="GT478" s="1825"/>
      <c r="GU478" s="1825"/>
      <c r="GV478" s="1825"/>
      <c r="GW478" s="1825"/>
      <c r="GX478" s="1825"/>
      <c r="GY478" s="1825"/>
      <c r="GZ478" s="1825"/>
      <c r="HA478" s="1825"/>
      <c r="HB478" s="1825"/>
      <c r="HC478" s="1825"/>
      <c r="HD478" s="1825"/>
      <c r="HE478" s="1825"/>
      <c r="HF478" s="1825"/>
      <c r="HG478" s="1825"/>
      <c r="HH478" s="1825"/>
      <c r="HI478" s="1825"/>
      <c r="HJ478" s="1825"/>
      <c r="HK478" s="1825"/>
      <c r="HL478" s="1825"/>
      <c r="HM478" s="1825"/>
      <c r="HN478" s="1825"/>
      <c r="HO478" s="1825"/>
      <c r="HP478" s="1825"/>
      <c r="HQ478" s="1825"/>
      <c r="HR478" s="1825"/>
      <c r="HS478" s="1825"/>
      <c r="HT478" s="1825"/>
      <c r="HU478" s="1825"/>
      <c r="HV478" s="1825"/>
      <c r="HW478" s="1825"/>
      <c r="HX478" s="1825"/>
      <c r="HY478" s="1825"/>
      <c r="HZ478" s="1825"/>
      <c r="IA478" s="1825"/>
      <c r="IB478" s="1825"/>
      <c r="IC478" s="1825"/>
      <c r="ID478" s="1825"/>
      <c r="IE478" s="1825"/>
      <c r="IF478" s="1825"/>
      <c r="IG478" s="1825"/>
      <c r="IH478" s="1825"/>
      <c r="II478" s="1825"/>
      <c r="IJ478" s="1825"/>
      <c r="IK478" s="1825"/>
      <c r="IL478" s="1825"/>
      <c r="IM478" s="1825"/>
      <c r="IN478" s="1825"/>
      <c r="IO478" s="1825"/>
      <c r="IP478" s="1825"/>
      <c r="IQ478" s="1825"/>
      <c r="IR478" s="1825"/>
      <c r="IS478" s="1825"/>
      <c r="IT478" s="1825"/>
      <c r="IU478" s="1825"/>
      <c r="IV478" s="1825"/>
    </row>
    <row r="479" spans="1:256" s="1913" customFormat="1" ht="13.5" customHeight="1">
      <c r="A479" s="3340">
        <v>98</v>
      </c>
      <c r="B479" s="3438" t="s">
        <v>1860</v>
      </c>
      <c r="C479" s="2590" t="s">
        <v>2692</v>
      </c>
      <c r="D479" s="3434" t="s">
        <v>2693</v>
      </c>
      <c r="E479" s="3434" t="s">
        <v>205</v>
      </c>
      <c r="F479" s="2593">
        <f>SUM(F481:F481)</f>
        <v>9</v>
      </c>
      <c r="G479" s="208"/>
      <c r="H479" s="3439">
        <f>F479*G479</f>
        <v>0</v>
      </c>
      <c r="I479" s="3440" t="s">
        <v>112</v>
      </c>
      <c r="J479" s="3441"/>
      <c r="K479" s="3441"/>
      <c r="O479" s="3442"/>
      <c r="P479" s="3441"/>
      <c r="Q479" s="3349"/>
      <c r="X479" s="3441"/>
      <c r="Y479" s="3441"/>
      <c r="Z479" s="2206"/>
      <c r="AA479" s="2206"/>
      <c r="AB479" s="2206"/>
      <c r="AC479" s="2206"/>
      <c r="AD479" s="2206"/>
      <c r="AE479" s="2206"/>
      <c r="AF479" s="2206"/>
      <c r="AG479" s="2206"/>
      <c r="AH479" s="3443"/>
    </row>
    <row r="480" spans="1:256" s="1913" customFormat="1" ht="13.5" customHeight="1">
      <c r="A480" s="3323"/>
      <c r="B480" s="3324"/>
      <c r="C480" s="2230"/>
      <c r="D480" s="2230" t="s">
        <v>2676</v>
      </c>
      <c r="E480" s="2230"/>
      <c r="F480" s="3444"/>
      <c r="G480" s="207"/>
      <c r="H480" s="3326"/>
      <c r="I480" s="3445"/>
      <c r="J480" s="3441"/>
      <c r="K480" s="3441"/>
      <c r="L480" s="2206"/>
      <c r="M480" s="2206"/>
      <c r="N480" s="2206"/>
      <c r="O480" s="2206"/>
      <c r="P480" s="2206"/>
      <c r="Q480" s="2206"/>
      <c r="R480" s="2206"/>
      <c r="S480" s="2206"/>
      <c r="T480" s="2206"/>
      <c r="U480" s="2206"/>
      <c r="V480" s="2233"/>
      <c r="W480" s="2206"/>
      <c r="X480" s="3441"/>
      <c r="Y480" s="3441"/>
      <c r="Z480" s="2206"/>
      <c r="AA480" s="2206"/>
      <c r="AB480" s="2206"/>
      <c r="AC480" s="2206"/>
      <c r="AD480" s="2206"/>
      <c r="AE480" s="2206"/>
      <c r="AF480" s="2206"/>
      <c r="AG480" s="2206"/>
      <c r="AH480" s="2206"/>
    </row>
    <row r="481" spans="1:256" s="3333" customFormat="1" ht="13.5" customHeight="1">
      <c r="A481" s="3329"/>
      <c r="B481" s="3330"/>
      <c r="C481" s="3330"/>
      <c r="D481" s="3330" t="s">
        <v>2492</v>
      </c>
      <c r="E481" s="3330"/>
      <c r="F481" s="3331">
        <v>9</v>
      </c>
      <c r="G481" s="203"/>
      <c r="H481" s="3332"/>
      <c r="I481" s="3334"/>
      <c r="K481" s="2206"/>
      <c r="L481" s="2206"/>
      <c r="M481" s="2206"/>
      <c r="N481" s="2206"/>
      <c r="O481" s="2206"/>
      <c r="P481" s="2206"/>
      <c r="Q481" s="2206"/>
      <c r="R481" s="2206"/>
      <c r="S481" s="2206"/>
      <c r="T481" s="2206"/>
      <c r="U481" s="2206"/>
      <c r="V481" s="2206"/>
      <c r="W481" s="2206"/>
      <c r="X481" s="2206"/>
      <c r="Y481" s="2206"/>
      <c r="Z481" s="2206"/>
      <c r="AA481" s="2206"/>
      <c r="AB481" s="2206"/>
      <c r="AC481" s="2206"/>
      <c r="AD481" s="2206"/>
      <c r="AE481" s="2206"/>
      <c r="AF481" s="2206"/>
      <c r="AG481" s="2206"/>
      <c r="AH481" s="2206"/>
      <c r="AI481" s="2206"/>
      <c r="AJ481" s="2206"/>
      <c r="AK481" s="2206"/>
      <c r="AL481" s="2206"/>
      <c r="AM481" s="2206"/>
      <c r="AN481" s="2206"/>
      <c r="AO481" s="2206"/>
      <c r="AP481" s="2206"/>
      <c r="AQ481" s="2206"/>
      <c r="AR481" s="1825"/>
      <c r="AS481" s="1825"/>
      <c r="AT481" s="1825"/>
      <c r="AU481" s="1825"/>
      <c r="AV481" s="1825"/>
      <c r="AW481" s="1825"/>
      <c r="AX481" s="1825"/>
      <c r="AY481" s="1825"/>
      <c r="AZ481" s="1825"/>
      <c r="BA481" s="1825"/>
      <c r="BB481" s="1825"/>
      <c r="BC481" s="1825"/>
      <c r="BD481" s="1825"/>
      <c r="BE481" s="1825"/>
      <c r="BF481" s="1825"/>
      <c r="BG481" s="1825"/>
      <c r="BH481" s="1825"/>
      <c r="BI481" s="1825"/>
      <c r="BJ481" s="1825"/>
      <c r="BK481" s="1825"/>
      <c r="BL481" s="1825"/>
      <c r="BM481" s="1825"/>
      <c r="BN481" s="1825"/>
      <c r="BO481" s="1825"/>
      <c r="BP481" s="1825"/>
      <c r="BQ481" s="1825"/>
      <c r="BR481" s="1825"/>
      <c r="BS481" s="1825"/>
      <c r="BT481" s="1825"/>
      <c r="BU481" s="1825"/>
      <c r="BV481" s="1825"/>
      <c r="BW481" s="1825"/>
      <c r="BX481" s="1825"/>
      <c r="BY481" s="1825"/>
      <c r="BZ481" s="1825"/>
      <c r="CA481" s="1825"/>
      <c r="CB481" s="1825"/>
      <c r="CC481" s="1825"/>
      <c r="CD481" s="1825"/>
      <c r="CE481" s="1825"/>
      <c r="CF481" s="1825"/>
      <c r="CG481" s="1825"/>
      <c r="CH481" s="1825"/>
      <c r="CI481" s="1825"/>
      <c r="CJ481" s="1825"/>
      <c r="CK481" s="1825"/>
      <c r="CL481" s="1825"/>
      <c r="CM481" s="1825"/>
      <c r="CN481" s="1825"/>
      <c r="CO481" s="1825"/>
      <c r="CP481" s="1825"/>
      <c r="CQ481" s="1825"/>
      <c r="CR481" s="1825"/>
      <c r="CS481" s="1825"/>
      <c r="CT481" s="1825"/>
      <c r="CU481" s="1825"/>
      <c r="CV481" s="1825"/>
      <c r="CW481" s="1825"/>
      <c r="CX481" s="1825"/>
      <c r="CY481" s="1825"/>
      <c r="CZ481" s="1825"/>
      <c r="DA481" s="1825"/>
      <c r="DB481" s="1825"/>
      <c r="DC481" s="1825"/>
      <c r="DD481" s="1825"/>
      <c r="DE481" s="1825"/>
      <c r="DF481" s="1825"/>
      <c r="DG481" s="1825"/>
      <c r="DH481" s="1825"/>
      <c r="DI481" s="1825"/>
      <c r="DJ481" s="1825"/>
      <c r="DK481" s="1825"/>
      <c r="DL481" s="1825"/>
      <c r="DM481" s="1825"/>
      <c r="DN481" s="1825"/>
      <c r="DO481" s="1825"/>
      <c r="DP481" s="1825"/>
      <c r="DQ481" s="1825"/>
      <c r="DR481" s="1825"/>
      <c r="DS481" s="1825"/>
      <c r="DT481" s="1825"/>
      <c r="DU481" s="1825"/>
      <c r="DV481" s="1825"/>
      <c r="DW481" s="1825"/>
      <c r="DX481" s="1825"/>
      <c r="DY481" s="1825"/>
      <c r="DZ481" s="1825"/>
      <c r="EA481" s="1825"/>
      <c r="EB481" s="1825"/>
      <c r="EC481" s="1825"/>
      <c r="ED481" s="1825"/>
      <c r="EE481" s="1825"/>
      <c r="EF481" s="1825"/>
      <c r="EG481" s="1825"/>
      <c r="EH481" s="1825"/>
      <c r="EI481" s="1825"/>
      <c r="EJ481" s="1825"/>
      <c r="EK481" s="1825"/>
      <c r="EL481" s="1825"/>
      <c r="EM481" s="1825"/>
      <c r="EN481" s="1825"/>
      <c r="EO481" s="1825"/>
      <c r="EP481" s="1825"/>
      <c r="EQ481" s="1825"/>
      <c r="ER481" s="1825"/>
      <c r="ES481" s="1825"/>
      <c r="ET481" s="1825"/>
      <c r="EU481" s="1825"/>
      <c r="EV481" s="1825"/>
      <c r="EW481" s="1825"/>
      <c r="EX481" s="1825"/>
      <c r="EY481" s="1825"/>
      <c r="EZ481" s="1825"/>
      <c r="FA481" s="1825"/>
      <c r="FB481" s="1825"/>
      <c r="FC481" s="1825"/>
      <c r="FD481" s="1825"/>
      <c r="FE481" s="1825"/>
      <c r="FF481" s="1825"/>
      <c r="FG481" s="1825"/>
      <c r="FH481" s="1825"/>
      <c r="FI481" s="1825"/>
      <c r="FJ481" s="1825"/>
      <c r="FK481" s="1825"/>
      <c r="FL481" s="1825"/>
      <c r="FM481" s="1825"/>
      <c r="FN481" s="1825"/>
      <c r="FO481" s="1825"/>
      <c r="FP481" s="1825"/>
      <c r="FQ481" s="1825"/>
      <c r="FR481" s="1825"/>
      <c r="FS481" s="1825"/>
      <c r="FT481" s="1825"/>
      <c r="FU481" s="1825"/>
      <c r="FV481" s="1825"/>
      <c r="FW481" s="1825"/>
      <c r="FX481" s="1825"/>
      <c r="FY481" s="1825"/>
      <c r="FZ481" s="1825"/>
      <c r="GA481" s="1825"/>
      <c r="GB481" s="1825"/>
      <c r="GC481" s="1825"/>
      <c r="GD481" s="1825"/>
      <c r="GE481" s="1825"/>
      <c r="GF481" s="1825"/>
      <c r="GG481" s="1825"/>
      <c r="GH481" s="1825"/>
      <c r="GI481" s="1825"/>
      <c r="GJ481" s="1825"/>
      <c r="GK481" s="1825"/>
      <c r="GL481" s="1825"/>
      <c r="GM481" s="1825"/>
      <c r="GN481" s="1825"/>
      <c r="GO481" s="1825"/>
      <c r="GP481" s="1825"/>
      <c r="GQ481" s="1825"/>
      <c r="GR481" s="1825"/>
      <c r="GS481" s="1825"/>
      <c r="GT481" s="1825"/>
      <c r="GU481" s="1825"/>
      <c r="GV481" s="1825"/>
      <c r="GW481" s="1825"/>
      <c r="GX481" s="1825"/>
      <c r="GY481" s="1825"/>
      <c r="GZ481" s="1825"/>
      <c r="HA481" s="1825"/>
      <c r="HB481" s="1825"/>
      <c r="HC481" s="1825"/>
      <c r="HD481" s="1825"/>
      <c r="HE481" s="1825"/>
      <c r="HF481" s="1825"/>
      <c r="HG481" s="1825"/>
      <c r="HH481" s="1825"/>
      <c r="HI481" s="1825"/>
      <c r="HJ481" s="1825"/>
      <c r="HK481" s="1825"/>
      <c r="HL481" s="1825"/>
      <c r="HM481" s="1825"/>
      <c r="HN481" s="1825"/>
      <c r="HO481" s="1825"/>
      <c r="HP481" s="1825"/>
      <c r="HQ481" s="1825"/>
      <c r="HR481" s="1825"/>
      <c r="HS481" s="1825"/>
      <c r="HT481" s="1825"/>
      <c r="HU481" s="1825"/>
      <c r="HV481" s="1825"/>
      <c r="HW481" s="1825"/>
      <c r="HX481" s="1825"/>
      <c r="HY481" s="1825"/>
      <c r="HZ481" s="1825"/>
      <c r="IA481" s="1825"/>
      <c r="IB481" s="1825"/>
      <c r="IC481" s="1825"/>
      <c r="ID481" s="1825"/>
      <c r="IE481" s="1825"/>
      <c r="IF481" s="1825"/>
      <c r="IG481" s="1825"/>
      <c r="IH481" s="1825"/>
      <c r="II481" s="1825"/>
      <c r="IJ481" s="1825"/>
      <c r="IK481" s="1825"/>
      <c r="IL481" s="1825"/>
      <c r="IM481" s="1825"/>
      <c r="IN481" s="1825"/>
      <c r="IO481" s="1825"/>
      <c r="IP481" s="1825"/>
      <c r="IQ481" s="1825"/>
      <c r="IR481" s="1825"/>
      <c r="IS481" s="1825"/>
      <c r="IT481" s="1825"/>
      <c r="IU481" s="1825"/>
      <c r="IV481" s="1825"/>
    </row>
    <row r="482" spans="1:256" s="3333" customFormat="1" ht="40.5" customHeight="1">
      <c r="A482" s="3329"/>
      <c r="B482" s="3330"/>
      <c r="C482" s="3330"/>
      <c r="D482" s="2230" t="s">
        <v>2677</v>
      </c>
      <c r="E482" s="3330"/>
      <c r="F482" s="3331"/>
      <c r="G482" s="203"/>
      <c r="H482" s="3332"/>
      <c r="I482" s="3446"/>
      <c r="AP482" s="2206"/>
      <c r="AQ482" s="2206"/>
      <c r="AR482" s="1825"/>
      <c r="AS482" s="1825"/>
      <c r="AT482" s="1825"/>
      <c r="AU482" s="1825"/>
      <c r="AV482" s="1825"/>
      <c r="AW482" s="1825"/>
      <c r="AX482" s="1825"/>
      <c r="AY482" s="1825"/>
      <c r="AZ482" s="1825"/>
      <c r="BA482" s="1825"/>
      <c r="BB482" s="1825"/>
      <c r="BC482" s="1825"/>
      <c r="BD482" s="1825"/>
      <c r="BE482" s="1825"/>
      <c r="BF482" s="1825"/>
      <c r="BG482" s="1825"/>
      <c r="BH482" s="1825"/>
      <c r="BI482" s="1825"/>
      <c r="BJ482" s="1825"/>
      <c r="BK482" s="1825"/>
      <c r="BL482" s="1825"/>
      <c r="BM482" s="1825"/>
      <c r="BN482" s="1825"/>
      <c r="BO482" s="1825"/>
      <c r="BP482" s="1825"/>
      <c r="BQ482" s="1825"/>
      <c r="BR482" s="1825"/>
      <c r="BS482" s="1825"/>
      <c r="BT482" s="1825"/>
      <c r="BU482" s="1825"/>
      <c r="BV482" s="1825"/>
      <c r="BW482" s="1825"/>
      <c r="BX482" s="1825"/>
      <c r="BY482" s="1825"/>
      <c r="BZ482" s="1825"/>
      <c r="CA482" s="1825"/>
      <c r="CB482" s="1825"/>
      <c r="CC482" s="1825"/>
      <c r="CD482" s="1825"/>
      <c r="CE482" s="1825"/>
      <c r="CF482" s="1825"/>
      <c r="CG482" s="1825"/>
      <c r="CH482" s="1825"/>
      <c r="CI482" s="1825"/>
      <c r="CJ482" s="1825"/>
      <c r="CK482" s="1825"/>
      <c r="CL482" s="1825"/>
      <c r="CM482" s="1825"/>
      <c r="CN482" s="1825"/>
      <c r="CO482" s="1825"/>
      <c r="CP482" s="1825"/>
      <c r="CQ482" s="1825"/>
      <c r="CR482" s="1825"/>
      <c r="CS482" s="1825"/>
      <c r="CT482" s="1825"/>
      <c r="CU482" s="1825"/>
      <c r="CV482" s="1825"/>
      <c r="CW482" s="1825"/>
      <c r="CX482" s="1825"/>
      <c r="CY482" s="1825"/>
      <c r="CZ482" s="1825"/>
      <c r="DA482" s="1825"/>
      <c r="DB482" s="1825"/>
      <c r="DC482" s="1825"/>
      <c r="DD482" s="1825"/>
      <c r="DE482" s="1825"/>
      <c r="DF482" s="1825"/>
      <c r="DG482" s="1825"/>
      <c r="DH482" s="1825"/>
      <c r="DI482" s="1825"/>
      <c r="DJ482" s="1825"/>
      <c r="DK482" s="1825"/>
      <c r="DL482" s="1825"/>
      <c r="DM482" s="1825"/>
      <c r="DN482" s="1825"/>
      <c r="DO482" s="1825"/>
      <c r="DP482" s="1825"/>
      <c r="DQ482" s="1825"/>
      <c r="DR482" s="1825"/>
      <c r="DS482" s="1825"/>
      <c r="DT482" s="1825"/>
      <c r="DU482" s="1825"/>
      <c r="DV482" s="1825"/>
      <c r="DW482" s="1825"/>
      <c r="DX482" s="1825"/>
      <c r="DY482" s="1825"/>
      <c r="DZ482" s="1825"/>
      <c r="EA482" s="1825"/>
      <c r="EB482" s="1825"/>
      <c r="EC482" s="1825"/>
      <c r="ED482" s="1825"/>
      <c r="EE482" s="1825"/>
      <c r="EF482" s="1825"/>
      <c r="EG482" s="1825"/>
      <c r="EH482" s="1825"/>
      <c r="EI482" s="1825"/>
      <c r="EJ482" s="1825"/>
      <c r="EK482" s="1825"/>
      <c r="EL482" s="1825"/>
      <c r="EM482" s="1825"/>
      <c r="EN482" s="1825"/>
      <c r="EO482" s="1825"/>
      <c r="EP482" s="1825"/>
      <c r="EQ482" s="1825"/>
      <c r="ER482" s="1825"/>
      <c r="ES482" s="1825"/>
      <c r="ET482" s="1825"/>
      <c r="EU482" s="1825"/>
      <c r="EV482" s="1825"/>
      <c r="EW482" s="1825"/>
      <c r="EX482" s="1825"/>
      <c r="EY482" s="1825"/>
      <c r="EZ482" s="1825"/>
      <c r="FA482" s="1825"/>
      <c r="FB482" s="1825"/>
      <c r="FC482" s="1825"/>
      <c r="FD482" s="1825"/>
      <c r="FE482" s="1825"/>
      <c r="FF482" s="1825"/>
      <c r="FG482" s="1825"/>
      <c r="FH482" s="1825"/>
      <c r="FI482" s="1825"/>
      <c r="FJ482" s="1825"/>
      <c r="FK482" s="1825"/>
      <c r="FL482" s="1825"/>
      <c r="FM482" s="1825"/>
      <c r="FN482" s="1825"/>
      <c r="FO482" s="1825"/>
      <c r="FP482" s="1825"/>
      <c r="FQ482" s="1825"/>
      <c r="FR482" s="1825"/>
      <c r="FS482" s="1825"/>
      <c r="FT482" s="1825"/>
      <c r="FU482" s="1825"/>
      <c r="FV482" s="1825"/>
      <c r="FW482" s="1825"/>
      <c r="FX482" s="1825"/>
      <c r="FY482" s="1825"/>
      <c r="FZ482" s="1825"/>
      <c r="GA482" s="1825"/>
      <c r="GB482" s="1825"/>
      <c r="GC482" s="1825"/>
      <c r="GD482" s="1825"/>
      <c r="GE482" s="1825"/>
      <c r="GF482" s="1825"/>
      <c r="GG482" s="1825"/>
      <c r="GH482" s="1825"/>
      <c r="GI482" s="1825"/>
      <c r="GJ482" s="1825"/>
      <c r="GK482" s="1825"/>
      <c r="GL482" s="1825"/>
      <c r="GM482" s="1825"/>
      <c r="GN482" s="1825"/>
      <c r="GO482" s="1825"/>
      <c r="GP482" s="1825"/>
      <c r="GQ482" s="1825"/>
      <c r="GR482" s="1825"/>
      <c r="GS482" s="1825"/>
      <c r="GT482" s="1825"/>
      <c r="GU482" s="1825"/>
      <c r="GV482" s="1825"/>
      <c r="GW482" s="1825"/>
      <c r="GX482" s="1825"/>
      <c r="GY482" s="1825"/>
      <c r="GZ482" s="1825"/>
      <c r="HA482" s="1825"/>
      <c r="HB482" s="1825"/>
      <c r="HC482" s="1825"/>
      <c r="HD482" s="1825"/>
      <c r="HE482" s="1825"/>
      <c r="HF482" s="1825"/>
      <c r="HG482" s="1825"/>
      <c r="HH482" s="1825"/>
      <c r="HI482" s="1825"/>
      <c r="HJ482" s="1825"/>
      <c r="HK482" s="1825"/>
      <c r="HL482" s="1825"/>
      <c r="HM482" s="1825"/>
      <c r="HN482" s="1825"/>
      <c r="HO482" s="1825"/>
      <c r="HP482" s="1825"/>
      <c r="HQ482" s="1825"/>
      <c r="HR482" s="1825"/>
      <c r="HS482" s="1825"/>
      <c r="HT482" s="1825"/>
      <c r="HU482" s="1825"/>
      <c r="HV482" s="1825"/>
      <c r="HW482" s="1825"/>
      <c r="HX482" s="1825"/>
      <c r="HY482" s="1825"/>
      <c r="HZ482" s="1825"/>
      <c r="IA482" s="1825"/>
      <c r="IB482" s="1825"/>
      <c r="IC482" s="1825"/>
      <c r="ID482" s="1825"/>
      <c r="IE482" s="1825"/>
      <c r="IF482" s="1825"/>
      <c r="IG482" s="1825"/>
      <c r="IH482" s="1825"/>
      <c r="II482" s="1825"/>
      <c r="IJ482" s="1825"/>
      <c r="IK482" s="1825"/>
      <c r="IL482" s="1825"/>
      <c r="IM482" s="1825"/>
      <c r="IN482" s="1825"/>
      <c r="IO482" s="1825"/>
      <c r="IP482" s="1825"/>
      <c r="IQ482" s="1825"/>
      <c r="IR482" s="1825"/>
      <c r="IS482" s="1825"/>
      <c r="IT482" s="1825"/>
      <c r="IU482" s="1825"/>
      <c r="IV482" s="1825"/>
    </row>
    <row r="483" spans="1:256" s="1913" customFormat="1" ht="27" customHeight="1">
      <c r="A483" s="3340">
        <v>99</v>
      </c>
      <c r="B483" s="3438" t="s">
        <v>1860</v>
      </c>
      <c r="C483" s="2590" t="s">
        <v>2694</v>
      </c>
      <c r="D483" s="3434" t="s">
        <v>2695</v>
      </c>
      <c r="E483" s="3434" t="s">
        <v>205</v>
      </c>
      <c r="F483" s="2593">
        <f>SUM(F485:F485)</f>
        <v>1</v>
      </c>
      <c r="G483" s="208"/>
      <c r="H483" s="3439">
        <f>F483*G483</f>
        <v>0</v>
      </c>
      <c r="I483" s="3440" t="s">
        <v>112</v>
      </c>
      <c r="J483" s="3441"/>
      <c r="K483" s="3441"/>
      <c r="O483" s="3442"/>
      <c r="P483" s="3441"/>
      <c r="Q483" s="3349"/>
      <c r="X483" s="3441"/>
      <c r="Y483" s="3441"/>
      <c r="Z483" s="2206"/>
      <c r="AA483" s="2206"/>
      <c r="AB483" s="2206"/>
      <c r="AC483" s="2206"/>
      <c r="AD483" s="2206"/>
      <c r="AE483" s="2206"/>
      <c r="AF483" s="2206"/>
      <c r="AG483" s="2206"/>
      <c r="AH483" s="3443"/>
    </row>
    <row r="484" spans="1:256" s="1913" customFormat="1" ht="13.5" customHeight="1">
      <c r="A484" s="3323"/>
      <c r="B484" s="3324"/>
      <c r="C484" s="2230"/>
      <c r="D484" s="2230" t="s">
        <v>2676</v>
      </c>
      <c r="E484" s="2230"/>
      <c r="F484" s="3444"/>
      <c r="G484" s="207"/>
      <c r="H484" s="3326"/>
      <c r="I484" s="3445"/>
      <c r="J484" s="3441"/>
      <c r="K484" s="3441"/>
      <c r="L484" s="2206"/>
      <c r="M484" s="2206"/>
      <c r="N484" s="2206"/>
      <c r="O484" s="2206"/>
      <c r="P484" s="2206"/>
      <c r="Q484" s="2206"/>
      <c r="R484" s="2206"/>
      <c r="S484" s="2206"/>
      <c r="T484" s="2206"/>
      <c r="U484" s="2206"/>
      <c r="V484" s="2233"/>
      <c r="W484" s="2206"/>
      <c r="X484" s="3441"/>
      <c r="Y484" s="3441"/>
      <c r="Z484" s="2206"/>
      <c r="AA484" s="2206"/>
      <c r="AB484" s="2206"/>
      <c r="AC484" s="2206"/>
      <c r="AD484" s="2206"/>
      <c r="AE484" s="2206"/>
      <c r="AF484" s="2206"/>
      <c r="AG484" s="2206"/>
      <c r="AH484" s="2206"/>
    </row>
    <row r="485" spans="1:256" s="3333" customFormat="1" ht="13.5" customHeight="1">
      <c r="A485" s="3329"/>
      <c r="B485" s="3330"/>
      <c r="C485" s="3330"/>
      <c r="D485" s="3330" t="s">
        <v>2492</v>
      </c>
      <c r="E485" s="3330"/>
      <c r="F485" s="3331">
        <v>1</v>
      </c>
      <c r="G485" s="203"/>
      <c r="H485" s="3332"/>
      <c r="I485" s="3334"/>
      <c r="K485" s="2206"/>
      <c r="L485" s="2206"/>
      <c r="M485" s="2206"/>
      <c r="N485" s="2206"/>
      <c r="O485" s="2206"/>
      <c r="P485" s="2206"/>
      <c r="Q485" s="2206"/>
      <c r="R485" s="2206"/>
      <c r="S485" s="2206"/>
      <c r="T485" s="2206"/>
      <c r="U485" s="2206"/>
      <c r="V485" s="2206"/>
      <c r="W485" s="2206"/>
      <c r="X485" s="2206"/>
      <c r="Y485" s="2206"/>
      <c r="Z485" s="2206"/>
      <c r="AA485" s="2206"/>
      <c r="AB485" s="2206"/>
      <c r="AC485" s="2206"/>
      <c r="AD485" s="2206"/>
      <c r="AE485" s="2206"/>
      <c r="AF485" s="2206"/>
      <c r="AG485" s="2206"/>
      <c r="AH485" s="2206"/>
      <c r="AI485" s="2206"/>
      <c r="AJ485" s="2206"/>
      <c r="AK485" s="2206"/>
      <c r="AL485" s="2206"/>
      <c r="AM485" s="2206"/>
      <c r="AN485" s="2206"/>
      <c r="AO485" s="2206"/>
      <c r="AP485" s="2206"/>
      <c r="AQ485" s="2206"/>
      <c r="AR485" s="1825"/>
      <c r="AS485" s="1825"/>
      <c r="AT485" s="1825"/>
      <c r="AU485" s="1825"/>
      <c r="AV485" s="1825"/>
      <c r="AW485" s="1825"/>
      <c r="AX485" s="1825"/>
      <c r="AY485" s="1825"/>
      <c r="AZ485" s="1825"/>
      <c r="BA485" s="1825"/>
      <c r="BB485" s="1825"/>
      <c r="BC485" s="1825"/>
      <c r="BD485" s="1825"/>
      <c r="BE485" s="1825"/>
      <c r="BF485" s="1825"/>
      <c r="BG485" s="1825"/>
      <c r="BH485" s="1825"/>
      <c r="BI485" s="1825"/>
      <c r="BJ485" s="1825"/>
      <c r="BK485" s="1825"/>
      <c r="BL485" s="1825"/>
      <c r="BM485" s="1825"/>
      <c r="BN485" s="1825"/>
      <c r="BO485" s="1825"/>
      <c r="BP485" s="1825"/>
      <c r="BQ485" s="1825"/>
      <c r="BR485" s="1825"/>
      <c r="BS485" s="1825"/>
      <c r="BT485" s="1825"/>
      <c r="BU485" s="1825"/>
      <c r="BV485" s="1825"/>
      <c r="BW485" s="1825"/>
      <c r="BX485" s="1825"/>
      <c r="BY485" s="1825"/>
      <c r="BZ485" s="1825"/>
      <c r="CA485" s="1825"/>
      <c r="CB485" s="1825"/>
      <c r="CC485" s="1825"/>
      <c r="CD485" s="1825"/>
      <c r="CE485" s="1825"/>
      <c r="CF485" s="1825"/>
      <c r="CG485" s="1825"/>
      <c r="CH485" s="1825"/>
      <c r="CI485" s="1825"/>
      <c r="CJ485" s="1825"/>
      <c r="CK485" s="1825"/>
      <c r="CL485" s="1825"/>
      <c r="CM485" s="1825"/>
      <c r="CN485" s="1825"/>
      <c r="CO485" s="1825"/>
      <c r="CP485" s="1825"/>
      <c r="CQ485" s="1825"/>
      <c r="CR485" s="1825"/>
      <c r="CS485" s="1825"/>
      <c r="CT485" s="1825"/>
      <c r="CU485" s="1825"/>
      <c r="CV485" s="1825"/>
      <c r="CW485" s="1825"/>
      <c r="CX485" s="1825"/>
      <c r="CY485" s="1825"/>
      <c r="CZ485" s="1825"/>
      <c r="DA485" s="1825"/>
      <c r="DB485" s="1825"/>
      <c r="DC485" s="1825"/>
      <c r="DD485" s="1825"/>
      <c r="DE485" s="1825"/>
      <c r="DF485" s="1825"/>
      <c r="DG485" s="1825"/>
      <c r="DH485" s="1825"/>
      <c r="DI485" s="1825"/>
      <c r="DJ485" s="1825"/>
      <c r="DK485" s="1825"/>
      <c r="DL485" s="1825"/>
      <c r="DM485" s="1825"/>
      <c r="DN485" s="1825"/>
      <c r="DO485" s="1825"/>
      <c r="DP485" s="1825"/>
      <c r="DQ485" s="1825"/>
      <c r="DR485" s="1825"/>
      <c r="DS485" s="1825"/>
      <c r="DT485" s="1825"/>
      <c r="DU485" s="1825"/>
      <c r="DV485" s="1825"/>
      <c r="DW485" s="1825"/>
      <c r="DX485" s="1825"/>
      <c r="DY485" s="1825"/>
      <c r="DZ485" s="1825"/>
      <c r="EA485" s="1825"/>
      <c r="EB485" s="1825"/>
      <c r="EC485" s="1825"/>
      <c r="ED485" s="1825"/>
      <c r="EE485" s="1825"/>
      <c r="EF485" s="1825"/>
      <c r="EG485" s="1825"/>
      <c r="EH485" s="1825"/>
      <c r="EI485" s="1825"/>
      <c r="EJ485" s="1825"/>
      <c r="EK485" s="1825"/>
      <c r="EL485" s="1825"/>
      <c r="EM485" s="1825"/>
      <c r="EN485" s="1825"/>
      <c r="EO485" s="1825"/>
      <c r="EP485" s="1825"/>
      <c r="EQ485" s="1825"/>
      <c r="ER485" s="1825"/>
      <c r="ES485" s="1825"/>
      <c r="ET485" s="1825"/>
      <c r="EU485" s="1825"/>
      <c r="EV485" s="1825"/>
      <c r="EW485" s="1825"/>
      <c r="EX485" s="1825"/>
      <c r="EY485" s="1825"/>
      <c r="EZ485" s="1825"/>
      <c r="FA485" s="1825"/>
      <c r="FB485" s="1825"/>
      <c r="FC485" s="1825"/>
      <c r="FD485" s="1825"/>
      <c r="FE485" s="1825"/>
      <c r="FF485" s="1825"/>
      <c r="FG485" s="1825"/>
      <c r="FH485" s="1825"/>
      <c r="FI485" s="1825"/>
      <c r="FJ485" s="1825"/>
      <c r="FK485" s="1825"/>
      <c r="FL485" s="1825"/>
      <c r="FM485" s="1825"/>
      <c r="FN485" s="1825"/>
      <c r="FO485" s="1825"/>
      <c r="FP485" s="1825"/>
      <c r="FQ485" s="1825"/>
      <c r="FR485" s="1825"/>
      <c r="FS485" s="1825"/>
      <c r="FT485" s="1825"/>
      <c r="FU485" s="1825"/>
      <c r="FV485" s="1825"/>
      <c r="FW485" s="1825"/>
      <c r="FX485" s="1825"/>
      <c r="FY485" s="1825"/>
      <c r="FZ485" s="1825"/>
      <c r="GA485" s="1825"/>
      <c r="GB485" s="1825"/>
      <c r="GC485" s="1825"/>
      <c r="GD485" s="1825"/>
      <c r="GE485" s="1825"/>
      <c r="GF485" s="1825"/>
      <c r="GG485" s="1825"/>
      <c r="GH485" s="1825"/>
      <c r="GI485" s="1825"/>
      <c r="GJ485" s="1825"/>
      <c r="GK485" s="1825"/>
      <c r="GL485" s="1825"/>
      <c r="GM485" s="1825"/>
      <c r="GN485" s="1825"/>
      <c r="GO485" s="1825"/>
      <c r="GP485" s="1825"/>
      <c r="GQ485" s="1825"/>
      <c r="GR485" s="1825"/>
      <c r="GS485" s="1825"/>
      <c r="GT485" s="1825"/>
      <c r="GU485" s="1825"/>
      <c r="GV485" s="1825"/>
      <c r="GW485" s="1825"/>
      <c r="GX485" s="1825"/>
      <c r="GY485" s="1825"/>
      <c r="GZ485" s="1825"/>
      <c r="HA485" s="1825"/>
      <c r="HB485" s="1825"/>
      <c r="HC485" s="1825"/>
      <c r="HD485" s="1825"/>
      <c r="HE485" s="1825"/>
      <c r="HF485" s="1825"/>
      <c r="HG485" s="1825"/>
      <c r="HH485" s="1825"/>
      <c r="HI485" s="1825"/>
      <c r="HJ485" s="1825"/>
      <c r="HK485" s="1825"/>
      <c r="HL485" s="1825"/>
      <c r="HM485" s="1825"/>
      <c r="HN485" s="1825"/>
      <c r="HO485" s="1825"/>
      <c r="HP485" s="1825"/>
      <c r="HQ485" s="1825"/>
      <c r="HR485" s="1825"/>
      <c r="HS485" s="1825"/>
      <c r="HT485" s="1825"/>
      <c r="HU485" s="1825"/>
      <c r="HV485" s="1825"/>
      <c r="HW485" s="1825"/>
      <c r="HX485" s="1825"/>
      <c r="HY485" s="1825"/>
      <c r="HZ485" s="1825"/>
      <c r="IA485" s="1825"/>
      <c r="IB485" s="1825"/>
      <c r="IC485" s="1825"/>
      <c r="ID485" s="1825"/>
      <c r="IE485" s="1825"/>
      <c r="IF485" s="1825"/>
      <c r="IG485" s="1825"/>
      <c r="IH485" s="1825"/>
      <c r="II485" s="1825"/>
      <c r="IJ485" s="1825"/>
      <c r="IK485" s="1825"/>
      <c r="IL485" s="1825"/>
      <c r="IM485" s="1825"/>
      <c r="IN485" s="1825"/>
      <c r="IO485" s="1825"/>
      <c r="IP485" s="1825"/>
      <c r="IQ485" s="1825"/>
      <c r="IR485" s="1825"/>
      <c r="IS485" s="1825"/>
      <c r="IT485" s="1825"/>
      <c r="IU485" s="1825"/>
      <c r="IV485" s="1825"/>
    </row>
    <row r="486" spans="1:256" s="3333" customFormat="1" ht="40.5" customHeight="1">
      <c r="A486" s="3329"/>
      <c r="B486" s="3330"/>
      <c r="C486" s="3330"/>
      <c r="D486" s="2230" t="s">
        <v>2677</v>
      </c>
      <c r="E486" s="3330"/>
      <c r="F486" s="3331"/>
      <c r="G486" s="203"/>
      <c r="H486" s="3332"/>
      <c r="I486" s="3446"/>
      <c r="AP486" s="2206"/>
      <c r="AQ486" s="2206"/>
      <c r="AR486" s="1825"/>
      <c r="AS486" s="1825"/>
      <c r="AT486" s="1825"/>
      <c r="AU486" s="1825"/>
      <c r="AV486" s="1825"/>
      <c r="AW486" s="1825"/>
      <c r="AX486" s="1825"/>
      <c r="AY486" s="1825"/>
      <c r="AZ486" s="1825"/>
      <c r="BA486" s="1825"/>
      <c r="BB486" s="1825"/>
      <c r="BC486" s="1825"/>
      <c r="BD486" s="1825"/>
      <c r="BE486" s="1825"/>
      <c r="BF486" s="1825"/>
      <c r="BG486" s="1825"/>
      <c r="BH486" s="1825"/>
      <c r="BI486" s="1825"/>
      <c r="BJ486" s="1825"/>
      <c r="BK486" s="1825"/>
      <c r="BL486" s="1825"/>
      <c r="BM486" s="1825"/>
      <c r="BN486" s="1825"/>
      <c r="BO486" s="1825"/>
      <c r="BP486" s="1825"/>
      <c r="BQ486" s="1825"/>
      <c r="BR486" s="1825"/>
      <c r="BS486" s="1825"/>
      <c r="BT486" s="1825"/>
      <c r="BU486" s="1825"/>
      <c r="BV486" s="1825"/>
      <c r="BW486" s="1825"/>
      <c r="BX486" s="1825"/>
      <c r="BY486" s="1825"/>
      <c r="BZ486" s="1825"/>
      <c r="CA486" s="1825"/>
      <c r="CB486" s="1825"/>
      <c r="CC486" s="1825"/>
      <c r="CD486" s="1825"/>
      <c r="CE486" s="1825"/>
      <c r="CF486" s="1825"/>
      <c r="CG486" s="1825"/>
      <c r="CH486" s="1825"/>
      <c r="CI486" s="1825"/>
      <c r="CJ486" s="1825"/>
      <c r="CK486" s="1825"/>
      <c r="CL486" s="1825"/>
      <c r="CM486" s="1825"/>
      <c r="CN486" s="1825"/>
      <c r="CO486" s="1825"/>
      <c r="CP486" s="1825"/>
      <c r="CQ486" s="1825"/>
      <c r="CR486" s="1825"/>
      <c r="CS486" s="1825"/>
      <c r="CT486" s="1825"/>
      <c r="CU486" s="1825"/>
      <c r="CV486" s="1825"/>
      <c r="CW486" s="1825"/>
      <c r="CX486" s="1825"/>
      <c r="CY486" s="1825"/>
      <c r="CZ486" s="1825"/>
      <c r="DA486" s="1825"/>
      <c r="DB486" s="1825"/>
      <c r="DC486" s="1825"/>
      <c r="DD486" s="1825"/>
      <c r="DE486" s="1825"/>
      <c r="DF486" s="1825"/>
      <c r="DG486" s="1825"/>
      <c r="DH486" s="1825"/>
      <c r="DI486" s="1825"/>
      <c r="DJ486" s="1825"/>
      <c r="DK486" s="1825"/>
      <c r="DL486" s="1825"/>
      <c r="DM486" s="1825"/>
      <c r="DN486" s="1825"/>
      <c r="DO486" s="1825"/>
      <c r="DP486" s="1825"/>
      <c r="DQ486" s="1825"/>
      <c r="DR486" s="1825"/>
      <c r="DS486" s="1825"/>
      <c r="DT486" s="1825"/>
      <c r="DU486" s="1825"/>
      <c r="DV486" s="1825"/>
      <c r="DW486" s="1825"/>
      <c r="DX486" s="1825"/>
      <c r="DY486" s="1825"/>
      <c r="DZ486" s="1825"/>
      <c r="EA486" s="1825"/>
      <c r="EB486" s="1825"/>
      <c r="EC486" s="1825"/>
      <c r="ED486" s="1825"/>
      <c r="EE486" s="1825"/>
      <c r="EF486" s="1825"/>
      <c r="EG486" s="1825"/>
      <c r="EH486" s="1825"/>
      <c r="EI486" s="1825"/>
      <c r="EJ486" s="1825"/>
      <c r="EK486" s="1825"/>
      <c r="EL486" s="1825"/>
      <c r="EM486" s="1825"/>
      <c r="EN486" s="1825"/>
      <c r="EO486" s="1825"/>
      <c r="EP486" s="1825"/>
      <c r="EQ486" s="1825"/>
      <c r="ER486" s="1825"/>
      <c r="ES486" s="1825"/>
      <c r="ET486" s="1825"/>
      <c r="EU486" s="1825"/>
      <c r="EV486" s="1825"/>
      <c r="EW486" s="1825"/>
      <c r="EX486" s="1825"/>
      <c r="EY486" s="1825"/>
      <c r="EZ486" s="1825"/>
      <c r="FA486" s="1825"/>
      <c r="FB486" s="1825"/>
      <c r="FC486" s="1825"/>
      <c r="FD486" s="1825"/>
      <c r="FE486" s="1825"/>
      <c r="FF486" s="1825"/>
      <c r="FG486" s="1825"/>
      <c r="FH486" s="1825"/>
      <c r="FI486" s="1825"/>
      <c r="FJ486" s="1825"/>
      <c r="FK486" s="1825"/>
      <c r="FL486" s="1825"/>
      <c r="FM486" s="1825"/>
      <c r="FN486" s="1825"/>
      <c r="FO486" s="1825"/>
      <c r="FP486" s="1825"/>
      <c r="FQ486" s="1825"/>
      <c r="FR486" s="1825"/>
      <c r="FS486" s="1825"/>
      <c r="FT486" s="1825"/>
      <c r="FU486" s="1825"/>
      <c r="FV486" s="1825"/>
      <c r="FW486" s="1825"/>
      <c r="FX486" s="1825"/>
      <c r="FY486" s="1825"/>
      <c r="FZ486" s="1825"/>
      <c r="GA486" s="1825"/>
      <c r="GB486" s="1825"/>
      <c r="GC486" s="1825"/>
      <c r="GD486" s="1825"/>
      <c r="GE486" s="1825"/>
      <c r="GF486" s="1825"/>
      <c r="GG486" s="1825"/>
      <c r="GH486" s="1825"/>
      <c r="GI486" s="1825"/>
      <c r="GJ486" s="1825"/>
      <c r="GK486" s="1825"/>
      <c r="GL486" s="1825"/>
      <c r="GM486" s="1825"/>
      <c r="GN486" s="1825"/>
      <c r="GO486" s="1825"/>
      <c r="GP486" s="1825"/>
      <c r="GQ486" s="1825"/>
      <c r="GR486" s="1825"/>
      <c r="GS486" s="1825"/>
      <c r="GT486" s="1825"/>
      <c r="GU486" s="1825"/>
      <c r="GV486" s="1825"/>
      <c r="GW486" s="1825"/>
      <c r="GX486" s="1825"/>
      <c r="GY486" s="1825"/>
      <c r="GZ486" s="1825"/>
      <c r="HA486" s="1825"/>
      <c r="HB486" s="1825"/>
      <c r="HC486" s="1825"/>
      <c r="HD486" s="1825"/>
      <c r="HE486" s="1825"/>
      <c r="HF486" s="1825"/>
      <c r="HG486" s="1825"/>
      <c r="HH486" s="1825"/>
      <c r="HI486" s="1825"/>
      <c r="HJ486" s="1825"/>
      <c r="HK486" s="1825"/>
      <c r="HL486" s="1825"/>
      <c r="HM486" s="1825"/>
      <c r="HN486" s="1825"/>
      <c r="HO486" s="1825"/>
      <c r="HP486" s="1825"/>
      <c r="HQ486" s="1825"/>
      <c r="HR486" s="1825"/>
      <c r="HS486" s="1825"/>
      <c r="HT486" s="1825"/>
      <c r="HU486" s="1825"/>
      <c r="HV486" s="1825"/>
      <c r="HW486" s="1825"/>
      <c r="HX486" s="1825"/>
      <c r="HY486" s="1825"/>
      <c r="HZ486" s="1825"/>
      <c r="IA486" s="1825"/>
      <c r="IB486" s="1825"/>
      <c r="IC486" s="1825"/>
      <c r="ID486" s="1825"/>
      <c r="IE486" s="1825"/>
      <c r="IF486" s="1825"/>
      <c r="IG486" s="1825"/>
      <c r="IH486" s="1825"/>
      <c r="II486" s="1825"/>
      <c r="IJ486" s="1825"/>
      <c r="IK486" s="1825"/>
      <c r="IL486" s="1825"/>
      <c r="IM486" s="1825"/>
      <c r="IN486" s="1825"/>
      <c r="IO486" s="1825"/>
      <c r="IP486" s="1825"/>
      <c r="IQ486" s="1825"/>
      <c r="IR486" s="1825"/>
      <c r="IS486" s="1825"/>
      <c r="IT486" s="1825"/>
      <c r="IU486" s="1825"/>
      <c r="IV486" s="1825"/>
    </row>
    <row r="487" spans="1:256" s="1913" customFormat="1" ht="13.5" customHeight="1">
      <c r="A487" s="3340">
        <v>100</v>
      </c>
      <c r="B487" s="3438" t="s">
        <v>1860</v>
      </c>
      <c r="C487" s="2590" t="s">
        <v>2696</v>
      </c>
      <c r="D487" s="3434" t="s">
        <v>2697</v>
      </c>
      <c r="E487" s="3434" t="s">
        <v>205</v>
      </c>
      <c r="F487" s="2593">
        <f>SUM(F489:F489)</f>
        <v>2</v>
      </c>
      <c r="G487" s="208"/>
      <c r="H487" s="3439">
        <f>F487*G487</f>
        <v>0</v>
      </c>
      <c r="I487" s="3440" t="s">
        <v>112</v>
      </c>
      <c r="J487" s="3441"/>
      <c r="K487" s="3441"/>
      <c r="O487" s="3442"/>
      <c r="P487" s="3441"/>
      <c r="Q487" s="3349"/>
      <c r="X487" s="3441"/>
      <c r="Y487" s="3441"/>
      <c r="Z487" s="2206"/>
      <c r="AA487" s="2206"/>
      <c r="AB487" s="2206"/>
      <c r="AC487" s="2206"/>
      <c r="AD487" s="2206"/>
      <c r="AE487" s="2206"/>
      <c r="AF487" s="2206"/>
      <c r="AG487" s="2206"/>
      <c r="AH487" s="3443"/>
    </row>
    <row r="488" spans="1:256" s="1913" customFormat="1" ht="13.5" customHeight="1">
      <c r="A488" s="3323"/>
      <c r="B488" s="3324"/>
      <c r="C488" s="2230"/>
      <c r="D488" s="2230" t="s">
        <v>2676</v>
      </c>
      <c r="E488" s="2230"/>
      <c r="F488" s="3444"/>
      <c r="G488" s="207"/>
      <c r="H488" s="3326"/>
      <c r="I488" s="3445"/>
      <c r="J488" s="3441"/>
      <c r="K488" s="3441"/>
      <c r="L488" s="2206"/>
      <c r="M488" s="2206"/>
      <c r="N488" s="2206"/>
      <c r="O488" s="2206"/>
      <c r="P488" s="2206"/>
      <c r="Q488" s="2206"/>
      <c r="R488" s="2206"/>
      <c r="S488" s="2206"/>
      <c r="T488" s="2206"/>
      <c r="U488" s="2206"/>
      <c r="V488" s="2233"/>
      <c r="W488" s="2206"/>
      <c r="X488" s="3441"/>
      <c r="Y488" s="3441"/>
      <c r="Z488" s="2206"/>
      <c r="AA488" s="2206"/>
      <c r="AB488" s="2206"/>
      <c r="AC488" s="2206"/>
      <c r="AD488" s="2206"/>
      <c r="AE488" s="2206"/>
      <c r="AF488" s="2206"/>
      <c r="AG488" s="2206"/>
      <c r="AH488" s="2206"/>
    </row>
    <row r="489" spans="1:256" s="3333" customFormat="1" ht="13.5" customHeight="1">
      <c r="A489" s="3329"/>
      <c r="B489" s="3330"/>
      <c r="C489" s="3330"/>
      <c r="D489" s="3330" t="s">
        <v>2492</v>
      </c>
      <c r="E489" s="3330"/>
      <c r="F489" s="3331">
        <v>2</v>
      </c>
      <c r="G489" s="203"/>
      <c r="H489" s="3332"/>
      <c r="I489" s="3334"/>
      <c r="K489" s="2206"/>
      <c r="L489" s="2206"/>
      <c r="M489" s="2206"/>
      <c r="N489" s="2206"/>
      <c r="O489" s="2206"/>
      <c r="P489" s="2206"/>
      <c r="Q489" s="2206"/>
      <c r="R489" s="2206"/>
      <c r="S489" s="2206"/>
      <c r="T489" s="2206"/>
      <c r="U489" s="2206"/>
      <c r="V489" s="2206"/>
      <c r="W489" s="2206"/>
      <c r="X489" s="2206"/>
      <c r="Y489" s="2206"/>
      <c r="Z489" s="2206"/>
      <c r="AA489" s="2206"/>
      <c r="AB489" s="2206"/>
      <c r="AC489" s="2206"/>
      <c r="AD489" s="2206"/>
      <c r="AE489" s="2206"/>
      <c r="AF489" s="2206"/>
      <c r="AG489" s="2206"/>
      <c r="AH489" s="2206"/>
      <c r="AI489" s="2206"/>
      <c r="AJ489" s="2206"/>
      <c r="AK489" s="2206"/>
      <c r="AL489" s="2206"/>
      <c r="AM489" s="2206"/>
      <c r="AN489" s="2206"/>
      <c r="AO489" s="2206"/>
      <c r="AP489" s="2206"/>
      <c r="AQ489" s="2206"/>
      <c r="AR489" s="1825"/>
      <c r="AS489" s="1825"/>
      <c r="AT489" s="1825"/>
      <c r="AU489" s="1825"/>
      <c r="AV489" s="1825"/>
      <c r="AW489" s="1825"/>
      <c r="AX489" s="1825"/>
      <c r="AY489" s="1825"/>
      <c r="AZ489" s="1825"/>
      <c r="BA489" s="1825"/>
      <c r="BB489" s="1825"/>
      <c r="BC489" s="1825"/>
      <c r="BD489" s="1825"/>
      <c r="BE489" s="1825"/>
      <c r="BF489" s="1825"/>
      <c r="BG489" s="1825"/>
      <c r="BH489" s="1825"/>
      <c r="BI489" s="1825"/>
      <c r="BJ489" s="1825"/>
      <c r="BK489" s="1825"/>
      <c r="BL489" s="1825"/>
      <c r="BM489" s="1825"/>
      <c r="BN489" s="1825"/>
      <c r="BO489" s="1825"/>
      <c r="BP489" s="1825"/>
      <c r="BQ489" s="1825"/>
      <c r="BR489" s="1825"/>
      <c r="BS489" s="1825"/>
      <c r="BT489" s="1825"/>
      <c r="BU489" s="1825"/>
      <c r="BV489" s="1825"/>
      <c r="BW489" s="1825"/>
      <c r="BX489" s="1825"/>
      <c r="BY489" s="1825"/>
      <c r="BZ489" s="1825"/>
      <c r="CA489" s="1825"/>
      <c r="CB489" s="1825"/>
      <c r="CC489" s="1825"/>
      <c r="CD489" s="1825"/>
      <c r="CE489" s="1825"/>
      <c r="CF489" s="1825"/>
      <c r="CG489" s="1825"/>
      <c r="CH489" s="1825"/>
      <c r="CI489" s="1825"/>
      <c r="CJ489" s="1825"/>
      <c r="CK489" s="1825"/>
      <c r="CL489" s="1825"/>
      <c r="CM489" s="1825"/>
      <c r="CN489" s="1825"/>
      <c r="CO489" s="1825"/>
      <c r="CP489" s="1825"/>
      <c r="CQ489" s="1825"/>
      <c r="CR489" s="1825"/>
      <c r="CS489" s="1825"/>
      <c r="CT489" s="1825"/>
      <c r="CU489" s="1825"/>
      <c r="CV489" s="1825"/>
      <c r="CW489" s="1825"/>
      <c r="CX489" s="1825"/>
      <c r="CY489" s="1825"/>
      <c r="CZ489" s="1825"/>
      <c r="DA489" s="1825"/>
      <c r="DB489" s="1825"/>
      <c r="DC489" s="1825"/>
      <c r="DD489" s="1825"/>
      <c r="DE489" s="1825"/>
      <c r="DF489" s="1825"/>
      <c r="DG489" s="1825"/>
      <c r="DH489" s="1825"/>
      <c r="DI489" s="1825"/>
      <c r="DJ489" s="1825"/>
      <c r="DK489" s="1825"/>
      <c r="DL489" s="1825"/>
      <c r="DM489" s="1825"/>
      <c r="DN489" s="1825"/>
      <c r="DO489" s="1825"/>
      <c r="DP489" s="1825"/>
      <c r="DQ489" s="1825"/>
      <c r="DR489" s="1825"/>
      <c r="DS489" s="1825"/>
      <c r="DT489" s="1825"/>
      <c r="DU489" s="1825"/>
      <c r="DV489" s="1825"/>
      <c r="DW489" s="1825"/>
      <c r="DX489" s="1825"/>
      <c r="DY489" s="1825"/>
      <c r="DZ489" s="1825"/>
      <c r="EA489" s="1825"/>
      <c r="EB489" s="1825"/>
      <c r="EC489" s="1825"/>
      <c r="ED489" s="1825"/>
      <c r="EE489" s="1825"/>
      <c r="EF489" s="1825"/>
      <c r="EG489" s="1825"/>
      <c r="EH489" s="1825"/>
      <c r="EI489" s="1825"/>
      <c r="EJ489" s="1825"/>
      <c r="EK489" s="1825"/>
      <c r="EL489" s="1825"/>
      <c r="EM489" s="1825"/>
      <c r="EN489" s="1825"/>
      <c r="EO489" s="1825"/>
      <c r="EP489" s="1825"/>
      <c r="EQ489" s="1825"/>
      <c r="ER489" s="1825"/>
      <c r="ES489" s="1825"/>
      <c r="ET489" s="1825"/>
      <c r="EU489" s="1825"/>
      <c r="EV489" s="1825"/>
      <c r="EW489" s="1825"/>
      <c r="EX489" s="1825"/>
      <c r="EY489" s="1825"/>
      <c r="EZ489" s="1825"/>
      <c r="FA489" s="1825"/>
      <c r="FB489" s="1825"/>
      <c r="FC489" s="1825"/>
      <c r="FD489" s="1825"/>
      <c r="FE489" s="1825"/>
      <c r="FF489" s="1825"/>
      <c r="FG489" s="1825"/>
      <c r="FH489" s="1825"/>
      <c r="FI489" s="1825"/>
      <c r="FJ489" s="1825"/>
      <c r="FK489" s="1825"/>
      <c r="FL489" s="1825"/>
      <c r="FM489" s="1825"/>
      <c r="FN489" s="1825"/>
      <c r="FO489" s="1825"/>
      <c r="FP489" s="1825"/>
      <c r="FQ489" s="1825"/>
      <c r="FR489" s="1825"/>
      <c r="FS489" s="1825"/>
      <c r="FT489" s="1825"/>
      <c r="FU489" s="1825"/>
      <c r="FV489" s="1825"/>
      <c r="FW489" s="1825"/>
      <c r="FX489" s="1825"/>
      <c r="FY489" s="1825"/>
      <c r="FZ489" s="1825"/>
      <c r="GA489" s="1825"/>
      <c r="GB489" s="1825"/>
      <c r="GC489" s="1825"/>
      <c r="GD489" s="1825"/>
      <c r="GE489" s="1825"/>
      <c r="GF489" s="1825"/>
      <c r="GG489" s="1825"/>
      <c r="GH489" s="1825"/>
      <c r="GI489" s="1825"/>
      <c r="GJ489" s="1825"/>
      <c r="GK489" s="1825"/>
      <c r="GL489" s="1825"/>
      <c r="GM489" s="1825"/>
      <c r="GN489" s="1825"/>
      <c r="GO489" s="1825"/>
      <c r="GP489" s="1825"/>
      <c r="GQ489" s="1825"/>
      <c r="GR489" s="1825"/>
      <c r="GS489" s="1825"/>
      <c r="GT489" s="1825"/>
      <c r="GU489" s="1825"/>
      <c r="GV489" s="1825"/>
      <c r="GW489" s="1825"/>
      <c r="GX489" s="1825"/>
      <c r="GY489" s="1825"/>
      <c r="GZ489" s="1825"/>
      <c r="HA489" s="1825"/>
      <c r="HB489" s="1825"/>
      <c r="HC489" s="1825"/>
      <c r="HD489" s="1825"/>
      <c r="HE489" s="1825"/>
      <c r="HF489" s="1825"/>
      <c r="HG489" s="1825"/>
      <c r="HH489" s="1825"/>
      <c r="HI489" s="1825"/>
      <c r="HJ489" s="1825"/>
      <c r="HK489" s="1825"/>
      <c r="HL489" s="1825"/>
      <c r="HM489" s="1825"/>
      <c r="HN489" s="1825"/>
      <c r="HO489" s="1825"/>
      <c r="HP489" s="1825"/>
      <c r="HQ489" s="1825"/>
      <c r="HR489" s="1825"/>
      <c r="HS489" s="1825"/>
      <c r="HT489" s="1825"/>
      <c r="HU489" s="1825"/>
      <c r="HV489" s="1825"/>
      <c r="HW489" s="1825"/>
      <c r="HX489" s="1825"/>
      <c r="HY489" s="1825"/>
      <c r="HZ489" s="1825"/>
      <c r="IA489" s="1825"/>
      <c r="IB489" s="1825"/>
      <c r="IC489" s="1825"/>
      <c r="ID489" s="1825"/>
      <c r="IE489" s="1825"/>
      <c r="IF489" s="1825"/>
      <c r="IG489" s="1825"/>
      <c r="IH489" s="1825"/>
      <c r="II489" s="1825"/>
      <c r="IJ489" s="1825"/>
      <c r="IK489" s="1825"/>
      <c r="IL489" s="1825"/>
      <c r="IM489" s="1825"/>
      <c r="IN489" s="1825"/>
      <c r="IO489" s="1825"/>
      <c r="IP489" s="1825"/>
      <c r="IQ489" s="1825"/>
      <c r="IR489" s="1825"/>
      <c r="IS489" s="1825"/>
      <c r="IT489" s="1825"/>
      <c r="IU489" s="1825"/>
      <c r="IV489" s="1825"/>
    </row>
    <row r="490" spans="1:256" s="3333" customFormat="1" ht="40.5" customHeight="1">
      <c r="A490" s="3329"/>
      <c r="B490" s="3330"/>
      <c r="C490" s="3330"/>
      <c r="D490" s="2230" t="s">
        <v>2677</v>
      </c>
      <c r="E490" s="3330"/>
      <c r="F490" s="3331"/>
      <c r="G490" s="203"/>
      <c r="H490" s="3332"/>
      <c r="I490" s="3446"/>
      <c r="AP490" s="2206"/>
      <c r="AQ490" s="2206"/>
      <c r="AR490" s="1825"/>
      <c r="AS490" s="1825"/>
      <c r="AT490" s="1825"/>
      <c r="AU490" s="1825"/>
      <c r="AV490" s="1825"/>
      <c r="AW490" s="1825"/>
      <c r="AX490" s="1825"/>
      <c r="AY490" s="1825"/>
      <c r="AZ490" s="1825"/>
      <c r="BA490" s="1825"/>
      <c r="BB490" s="1825"/>
      <c r="BC490" s="1825"/>
      <c r="BD490" s="1825"/>
      <c r="BE490" s="1825"/>
      <c r="BF490" s="1825"/>
      <c r="BG490" s="1825"/>
      <c r="BH490" s="1825"/>
      <c r="BI490" s="1825"/>
      <c r="BJ490" s="1825"/>
      <c r="BK490" s="1825"/>
      <c r="BL490" s="1825"/>
      <c r="BM490" s="1825"/>
      <c r="BN490" s="1825"/>
      <c r="BO490" s="1825"/>
      <c r="BP490" s="1825"/>
      <c r="BQ490" s="1825"/>
      <c r="BR490" s="1825"/>
      <c r="BS490" s="1825"/>
      <c r="BT490" s="1825"/>
      <c r="BU490" s="1825"/>
      <c r="BV490" s="1825"/>
      <c r="BW490" s="1825"/>
      <c r="BX490" s="1825"/>
      <c r="BY490" s="1825"/>
      <c r="BZ490" s="1825"/>
      <c r="CA490" s="1825"/>
      <c r="CB490" s="1825"/>
      <c r="CC490" s="1825"/>
      <c r="CD490" s="1825"/>
      <c r="CE490" s="1825"/>
      <c r="CF490" s="1825"/>
      <c r="CG490" s="1825"/>
      <c r="CH490" s="1825"/>
      <c r="CI490" s="1825"/>
      <c r="CJ490" s="1825"/>
      <c r="CK490" s="1825"/>
      <c r="CL490" s="1825"/>
      <c r="CM490" s="1825"/>
      <c r="CN490" s="1825"/>
      <c r="CO490" s="1825"/>
      <c r="CP490" s="1825"/>
      <c r="CQ490" s="1825"/>
      <c r="CR490" s="1825"/>
      <c r="CS490" s="1825"/>
      <c r="CT490" s="1825"/>
      <c r="CU490" s="1825"/>
      <c r="CV490" s="1825"/>
      <c r="CW490" s="1825"/>
      <c r="CX490" s="1825"/>
      <c r="CY490" s="1825"/>
      <c r="CZ490" s="1825"/>
      <c r="DA490" s="1825"/>
      <c r="DB490" s="1825"/>
      <c r="DC490" s="1825"/>
      <c r="DD490" s="1825"/>
      <c r="DE490" s="1825"/>
      <c r="DF490" s="1825"/>
      <c r="DG490" s="1825"/>
      <c r="DH490" s="1825"/>
      <c r="DI490" s="1825"/>
      <c r="DJ490" s="1825"/>
      <c r="DK490" s="1825"/>
      <c r="DL490" s="1825"/>
      <c r="DM490" s="1825"/>
      <c r="DN490" s="1825"/>
      <c r="DO490" s="1825"/>
      <c r="DP490" s="1825"/>
      <c r="DQ490" s="1825"/>
      <c r="DR490" s="1825"/>
      <c r="DS490" s="1825"/>
      <c r="DT490" s="1825"/>
      <c r="DU490" s="1825"/>
      <c r="DV490" s="1825"/>
      <c r="DW490" s="1825"/>
      <c r="DX490" s="1825"/>
      <c r="DY490" s="1825"/>
      <c r="DZ490" s="1825"/>
      <c r="EA490" s="1825"/>
      <c r="EB490" s="1825"/>
      <c r="EC490" s="1825"/>
      <c r="ED490" s="1825"/>
      <c r="EE490" s="1825"/>
      <c r="EF490" s="1825"/>
      <c r="EG490" s="1825"/>
      <c r="EH490" s="1825"/>
      <c r="EI490" s="1825"/>
      <c r="EJ490" s="1825"/>
      <c r="EK490" s="1825"/>
      <c r="EL490" s="1825"/>
      <c r="EM490" s="1825"/>
      <c r="EN490" s="1825"/>
      <c r="EO490" s="1825"/>
      <c r="EP490" s="1825"/>
      <c r="EQ490" s="1825"/>
      <c r="ER490" s="1825"/>
      <c r="ES490" s="1825"/>
      <c r="ET490" s="1825"/>
      <c r="EU490" s="1825"/>
      <c r="EV490" s="1825"/>
      <c r="EW490" s="1825"/>
      <c r="EX490" s="1825"/>
      <c r="EY490" s="1825"/>
      <c r="EZ490" s="1825"/>
      <c r="FA490" s="1825"/>
      <c r="FB490" s="1825"/>
      <c r="FC490" s="1825"/>
      <c r="FD490" s="1825"/>
      <c r="FE490" s="1825"/>
      <c r="FF490" s="1825"/>
      <c r="FG490" s="1825"/>
      <c r="FH490" s="1825"/>
      <c r="FI490" s="1825"/>
      <c r="FJ490" s="1825"/>
      <c r="FK490" s="1825"/>
      <c r="FL490" s="1825"/>
      <c r="FM490" s="1825"/>
      <c r="FN490" s="1825"/>
      <c r="FO490" s="1825"/>
      <c r="FP490" s="1825"/>
      <c r="FQ490" s="1825"/>
      <c r="FR490" s="1825"/>
      <c r="FS490" s="1825"/>
      <c r="FT490" s="1825"/>
      <c r="FU490" s="1825"/>
      <c r="FV490" s="1825"/>
      <c r="FW490" s="1825"/>
      <c r="FX490" s="1825"/>
      <c r="FY490" s="1825"/>
      <c r="FZ490" s="1825"/>
      <c r="GA490" s="1825"/>
      <c r="GB490" s="1825"/>
      <c r="GC490" s="1825"/>
      <c r="GD490" s="1825"/>
      <c r="GE490" s="1825"/>
      <c r="GF490" s="1825"/>
      <c r="GG490" s="1825"/>
      <c r="GH490" s="1825"/>
      <c r="GI490" s="1825"/>
      <c r="GJ490" s="1825"/>
      <c r="GK490" s="1825"/>
      <c r="GL490" s="1825"/>
      <c r="GM490" s="1825"/>
      <c r="GN490" s="1825"/>
      <c r="GO490" s="1825"/>
      <c r="GP490" s="1825"/>
      <c r="GQ490" s="1825"/>
      <c r="GR490" s="1825"/>
      <c r="GS490" s="1825"/>
      <c r="GT490" s="1825"/>
      <c r="GU490" s="1825"/>
      <c r="GV490" s="1825"/>
      <c r="GW490" s="1825"/>
      <c r="GX490" s="1825"/>
      <c r="GY490" s="1825"/>
      <c r="GZ490" s="1825"/>
      <c r="HA490" s="1825"/>
      <c r="HB490" s="1825"/>
      <c r="HC490" s="1825"/>
      <c r="HD490" s="1825"/>
      <c r="HE490" s="1825"/>
      <c r="HF490" s="1825"/>
      <c r="HG490" s="1825"/>
      <c r="HH490" s="1825"/>
      <c r="HI490" s="1825"/>
      <c r="HJ490" s="1825"/>
      <c r="HK490" s="1825"/>
      <c r="HL490" s="1825"/>
      <c r="HM490" s="1825"/>
      <c r="HN490" s="1825"/>
      <c r="HO490" s="1825"/>
      <c r="HP490" s="1825"/>
      <c r="HQ490" s="1825"/>
      <c r="HR490" s="1825"/>
      <c r="HS490" s="1825"/>
      <c r="HT490" s="1825"/>
      <c r="HU490" s="1825"/>
      <c r="HV490" s="1825"/>
      <c r="HW490" s="1825"/>
      <c r="HX490" s="1825"/>
      <c r="HY490" s="1825"/>
      <c r="HZ490" s="1825"/>
      <c r="IA490" s="1825"/>
      <c r="IB490" s="1825"/>
      <c r="IC490" s="1825"/>
      <c r="ID490" s="1825"/>
      <c r="IE490" s="1825"/>
      <c r="IF490" s="1825"/>
      <c r="IG490" s="1825"/>
      <c r="IH490" s="1825"/>
      <c r="II490" s="1825"/>
      <c r="IJ490" s="1825"/>
      <c r="IK490" s="1825"/>
      <c r="IL490" s="1825"/>
      <c r="IM490" s="1825"/>
      <c r="IN490" s="1825"/>
      <c r="IO490" s="1825"/>
      <c r="IP490" s="1825"/>
      <c r="IQ490" s="1825"/>
      <c r="IR490" s="1825"/>
      <c r="IS490" s="1825"/>
      <c r="IT490" s="1825"/>
      <c r="IU490" s="1825"/>
      <c r="IV490" s="1825"/>
    </row>
    <row r="491" spans="1:256" s="593" customFormat="1" ht="13.5" customHeight="1">
      <c r="A491" s="3308">
        <v>101</v>
      </c>
      <c r="B491" s="3447" t="s">
        <v>1860</v>
      </c>
      <c r="C491" s="2590" t="s">
        <v>2698</v>
      </c>
      <c r="D491" s="2224" t="s">
        <v>2699</v>
      </c>
      <c r="E491" s="2224" t="s">
        <v>205</v>
      </c>
      <c r="F491" s="2593">
        <f>SUM(F493:F493)</f>
        <v>3</v>
      </c>
      <c r="G491" s="208"/>
      <c r="H491" s="2279">
        <f>F491*G491</f>
        <v>0</v>
      </c>
      <c r="I491" s="3440" t="s">
        <v>112</v>
      </c>
      <c r="J491" s="3441"/>
      <c r="K491" s="3441"/>
      <c r="L491" s="3448"/>
      <c r="M491" s="3448"/>
      <c r="N491" s="3448"/>
      <c r="O491" s="3449"/>
      <c r="P491" s="3441"/>
      <c r="Q491" s="3450"/>
      <c r="S491" s="3451"/>
      <c r="T491" s="3451"/>
      <c r="U491" s="3451"/>
      <c r="V491" s="3451"/>
      <c r="W491" s="2241"/>
      <c r="X491" s="2206"/>
      <c r="Y491" s="2206"/>
      <c r="Z491" s="2206"/>
      <c r="AA491" s="2206"/>
    </row>
    <row r="492" spans="1:256" s="593" customFormat="1" ht="13.5" customHeight="1">
      <c r="A492" s="3452"/>
      <c r="B492" s="2344"/>
      <c r="C492" s="2277"/>
      <c r="D492" s="2230" t="s">
        <v>2676</v>
      </c>
      <c r="E492" s="2277"/>
      <c r="F492" s="3314"/>
      <c r="G492" s="100"/>
      <c r="H492" s="2624"/>
      <c r="I492" s="3453"/>
      <c r="J492" s="3454"/>
      <c r="K492" s="3441"/>
      <c r="L492" s="2206"/>
      <c r="M492" s="2206"/>
      <c r="N492" s="2206"/>
      <c r="O492" s="2206"/>
      <c r="P492" s="2206"/>
      <c r="Q492" s="2206"/>
      <c r="R492" s="2206"/>
      <c r="S492" s="2206"/>
      <c r="T492" s="2206"/>
      <c r="U492" s="2206"/>
      <c r="V492" s="2233"/>
      <c r="W492" s="2206"/>
      <c r="X492" s="3349"/>
      <c r="Y492" s="2206"/>
      <c r="Z492" s="2206"/>
      <c r="AA492" s="2206"/>
      <c r="AB492" s="2206"/>
      <c r="AC492" s="2206"/>
      <c r="AD492" s="2206"/>
      <c r="AE492" s="2206"/>
      <c r="AF492" s="2206"/>
      <c r="AG492" s="2206"/>
      <c r="AH492" s="2206"/>
      <c r="AI492" s="2206"/>
      <c r="AJ492" s="2206"/>
      <c r="AK492" s="2206"/>
      <c r="AL492" s="2206"/>
      <c r="AM492" s="2206"/>
    </row>
    <row r="493" spans="1:256" s="3333" customFormat="1" ht="13.5" customHeight="1">
      <c r="A493" s="3329"/>
      <c r="B493" s="3330"/>
      <c r="C493" s="3330"/>
      <c r="D493" s="3330" t="s">
        <v>2492</v>
      </c>
      <c r="E493" s="3330"/>
      <c r="F493" s="3331">
        <v>3</v>
      </c>
      <c r="G493" s="203"/>
      <c r="H493" s="3332"/>
      <c r="I493" s="3334"/>
      <c r="K493" s="2206"/>
      <c r="L493" s="2206"/>
      <c r="M493" s="2206"/>
      <c r="N493" s="2206"/>
      <c r="O493" s="2206"/>
      <c r="P493" s="2206"/>
      <c r="Q493" s="2206"/>
      <c r="R493" s="2206"/>
      <c r="S493" s="2206"/>
      <c r="T493" s="2206"/>
      <c r="U493" s="2206"/>
      <c r="V493" s="2206"/>
      <c r="W493" s="2206"/>
      <c r="X493" s="2206"/>
      <c r="Y493" s="2206"/>
      <c r="Z493" s="2206"/>
      <c r="AA493" s="2206"/>
      <c r="AB493" s="2206"/>
      <c r="AC493" s="2206"/>
      <c r="AD493" s="2206"/>
      <c r="AE493" s="2206"/>
      <c r="AF493" s="2206"/>
      <c r="AG493" s="2206"/>
      <c r="AH493" s="2206"/>
      <c r="AI493" s="2206"/>
      <c r="AJ493" s="2206"/>
      <c r="AK493" s="2206"/>
      <c r="AL493" s="2206"/>
      <c r="AM493" s="2206"/>
      <c r="AN493" s="2206"/>
      <c r="AO493" s="2206"/>
      <c r="AP493" s="2206"/>
      <c r="AQ493" s="2206"/>
      <c r="AR493" s="1825"/>
      <c r="AS493" s="1825"/>
      <c r="AT493" s="1825"/>
      <c r="AU493" s="1825"/>
      <c r="AV493" s="1825"/>
      <c r="AW493" s="1825"/>
      <c r="AX493" s="1825"/>
      <c r="AY493" s="1825"/>
      <c r="AZ493" s="1825"/>
      <c r="BA493" s="1825"/>
      <c r="BB493" s="1825"/>
      <c r="BC493" s="1825"/>
      <c r="BD493" s="1825"/>
      <c r="BE493" s="1825"/>
      <c r="BF493" s="1825"/>
      <c r="BG493" s="1825"/>
      <c r="BH493" s="1825"/>
      <c r="BI493" s="1825"/>
      <c r="BJ493" s="1825"/>
      <c r="BK493" s="1825"/>
      <c r="BL493" s="1825"/>
      <c r="BM493" s="1825"/>
      <c r="BN493" s="1825"/>
      <c r="BO493" s="1825"/>
      <c r="BP493" s="1825"/>
      <c r="BQ493" s="1825"/>
      <c r="BR493" s="1825"/>
      <c r="BS493" s="1825"/>
      <c r="BT493" s="1825"/>
      <c r="BU493" s="1825"/>
      <c r="BV493" s="1825"/>
      <c r="BW493" s="1825"/>
      <c r="BX493" s="1825"/>
      <c r="BY493" s="1825"/>
      <c r="BZ493" s="1825"/>
      <c r="CA493" s="1825"/>
      <c r="CB493" s="1825"/>
      <c r="CC493" s="1825"/>
      <c r="CD493" s="1825"/>
      <c r="CE493" s="1825"/>
      <c r="CF493" s="1825"/>
      <c r="CG493" s="1825"/>
      <c r="CH493" s="1825"/>
      <c r="CI493" s="1825"/>
      <c r="CJ493" s="1825"/>
      <c r="CK493" s="1825"/>
      <c r="CL493" s="1825"/>
      <c r="CM493" s="1825"/>
      <c r="CN493" s="1825"/>
      <c r="CO493" s="1825"/>
      <c r="CP493" s="1825"/>
      <c r="CQ493" s="1825"/>
      <c r="CR493" s="1825"/>
      <c r="CS493" s="1825"/>
      <c r="CT493" s="1825"/>
      <c r="CU493" s="1825"/>
      <c r="CV493" s="1825"/>
      <c r="CW493" s="1825"/>
      <c r="CX493" s="1825"/>
      <c r="CY493" s="1825"/>
      <c r="CZ493" s="1825"/>
      <c r="DA493" s="1825"/>
      <c r="DB493" s="1825"/>
      <c r="DC493" s="1825"/>
      <c r="DD493" s="1825"/>
      <c r="DE493" s="1825"/>
      <c r="DF493" s="1825"/>
      <c r="DG493" s="1825"/>
      <c r="DH493" s="1825"/>
      <c r="DI493" s="1825"/>
      <c r="DJ493" s="1825"/>
      <c r="DK493" s="1825"/>
      <c r="DL493" s="1825"/>
      <c r="DM493" s="1825"/>
      <c r="DN493" s="1825"/>
      <c r="DO493" s="1825"/>
      <c r="DP493" s="1825"/>
      <c r="DQ493" s="1825"/>
      <c r="DR493" s="1825"/>
      <c r="DS493" s="1825"/>
      <c r="DT493" s="1825"/>
      <c r="DU493" s="1825"/>
      <c r="DV493" s="1825"/>
      <c r="DW493" s="1825"/>
      <c r="DX493" s="1825"/>
      <c r="DY493" s="1825"/>
      <c r="DZ493" s="1825"/>
      <c r="EA493" s="1825"/>
      <c r="EB493" s="1825"/>
      <c r="EC493" s="1825"/>
      <c r="ED493" s="1825"/>
      <c r="EE493" s="1825"/>
      <c r="EF493" s="1825"/>
      <c r="EG493" s="1825"/>
      <c r="EH493" s="1825"/>
      <c r="EI493" s="1825"/>
      <c r="EJ493" s="1825"/>
      <c r="EK493" s="1825"/>
      <c r="EL493" s="1825"/>
      <c r="EM493" s="1825"/>
      <c r="EN493" s="1825"/>
      <c r="EO493" s="1825"/>
      <c r="EP493" s="1825"/>
      <c r="EQ493" s="1825"/>
      <c r="ER493" s="1825"/>
      <c r="ES493" s="1825"/>
      <c r="ET493" s="1825"/>
      <c r="EU493" s="1825"/>
      <c r="EV493" s="1825"/>
      <c r="EW493" s="1825"/>
      <c r="EX493" s="1825"/>
      <c r="EY493" s="1825"/>
      <c r="EZ493" s="1825"/>
      <c r="FA493" s="1825"/>
      <c r="FB493" s="1825"/>
      <c r="FC493" s="1825"/>
      <c r="FD493" s="1825"/>
      <c r="FE493" s="1825"/>
      <c r="FF493" s="1825"/>
      <c r="FG493" s="1825"/>
      <c r="FH493" s="1825"/>
      <c r="FI493" s="1825"/>
      <c r="FJ493" s="1825"/>
      <c r="FK493" s="1825"/>
      <c r="FL493" s="1825"/>
      <c r="FM493" s="1825"/>
      <c r="FN493" s="1825"/>
      <c r="FO493" s="1825"/>
      <c r="FP493" s="1825"/>
      <c r="FQ493" s="1825"/>
      <c r="FR493" s="1825"/>
      <c r="FS493" s="1825"/>
      <c r="FT493" s="1825"/>
      <c r="FU493" s="1825"/>
      <c r="FV493" s="1825"/>
      <c r="FW493" s="1825"/>
      <c r="FX493" s="1825"/>
      <c r="FY493" s="1825"/>
      <c r="FZ493" s="1825"/>
      <c r="GA493" s="1825"/>
      <c r="GB493" s="1825"/>
      <c r="GC493" s="1825"/>
      <c r="GD493" s="1825"/>
      <c r="GE493" s="1825"/>
      <c r="GF493" s="1825"/>
      <c r="GG493" s="1825"/>
      <c r="GH493" s="1825"/>
      <c r="GI493" s="1825"/>
      <c r="GJ493" s="1825"/>
      <c r="GK493" s="1825"/>
      <c r="GL493" s="1825"/>
      <c r="GM493" s="1825"/>
      <c r="GN493" s="1825"/>
      <c r="GO493" s="1825"/>
      <c r="GP493" s="1825"/>
      <c r="GQ493" s="1825"/>
      <c r="GR493" s="1825"/>
      <c r="GS493" s="1825"/>
      <c r="GT493" s="1825"/>
      <c r="GU493" s="1825"/>
      <c r="GV493" s="1825"/>
      <c r="GW493" s="1825"/>
      <c r="GX493" s="1825"/>
      <c r="GY493" s="1825"/>
      <c r="GZ493" s="1825"/>
      <c r="HA493" s="1825"/>
      <c r="HB493" s="1825"/>
      <c r="HC493" s="1825"/>
      <c r="HD493" s="1825"/>
      <c r="HE493" s="1825"/>
      <c r="HF493" s="1825"/>
      <c r="HG493" s="1825"/>
      <c r="HH493" s="1825"/>
      <c r="HI493" s="1825"/>
      <c r="HJ493" s="1825"/>
      <c r="HK493" s="1825"/>
      <c r="HL493" s="1825"/>
      <c r="HM493" s="1825"/>
      <c r="HN493" s="1825"/>
      <c r="HO493" s="1825"/>
      <c r="HP493" s="1825"/>
      <c r="HQ493" s="1825"/>
      <c r="HR493" s="1825"/>
      <c r="HS493" s="1825"/>
      <c r="HT493" s="1825"/>
      <c r="HU493" s="1825"/>
      <c r="HV493" s="1825"/>
      <c r="HW493" s="1825"/>
      <c r="HX493" s="1825"/>
      <c r="HY493" s="1825"/>
      <c r="HZ493" s="1825"/>
      <c r="IA493" s="1825"/>
      <c r="IB493" s="1825"/>
      <c r="IC493" s="1825"/>
      <c r="ID493" s="1825"/>
      <c r="IE493" s="1825"/>
      <c r="IF493" s="1825"/>
      <c r="IG493" s="1825"/>
      <c r="IH493" s="1825"/>
      <c r="II493" s="1825"/>
      <c r="IJ493" s="1825"/>
      <c r="IK493" s="1825"/>
      <c r="IL493" s="1825"/>
      <c r="IM493" s="1825"/>
      <c r="IN493" s="1825"/>
      <c r="IO493" s="1825"/>
      <c r="IP493" s="1825"/>
      <c r="IQ493" s="1825"/>
      <c r="IR493" s="1825"/>
      <c r="IS493" s="1825"/>
      <c r="IT493" s="1825"/>
      <c r="IU493" s="1825"/>
      <c r="IV493" s="1825"/>
    </row>
    <row r="494" spans="1:256" s="3333" customFormat="1" ht="40.5" customHeight="1">
      <c r="A494" s="3329"/>
      <c r="B494" s="3330"/>
      <c r="C494" s="3330"/>
      <c r="D494" s="2277" t="s">
        <v>2677</v>
      </c>
      <c r="E494" s="3330"/>
      <c r="F494" s="3331"/>
      <c r="G494" s="203"/>
      <c r="H494" s="3332"/>
      <c r="I494" s="3334"/>
      <c r="Z494" s="2233"/>
      <c r="AA494" s="2206"/>
      <c r="AB494" s="2206"/>
      <c r="AC494" s="2206"/>
      <c r="AD494" s="2206"/>
      <c r="AE494" s="2206"/>
      <c r="AF494" s="2206"/>
      <c r="AG494" s="2206"/>
      <c r="AH494" s="2206"/>
      <c r="AI494" s="2206"/>
      <c r="AJ494" s="2206"/>
      <c r="AK494" s="2206"/>
      <c r="AL494" s="2206"/>
      <c r="AM494" s="2206"/>
      <c r="AN494" s="2206"/>
      <c r="AO494" s="2206"/>
      <c r="AP494" s="2206"/>
      <c r="AQ494" s="2206"/>
      <c r="AR494" s="1825"/>
      <c r="AS494" s="1825"/>
      <c r="AT494" s="1825"/>
      <c r="AU494" s="1825"/>
      <c r="AV494" s="1825"/>
      <c r="AW494" s="1825"/>
      <c r="AX494" s="1825"/>
      <c r="AY494" s="1825"/>
      <c r="AZ494" s="1825"/>
      <c r="BA494" s="1825"/>
      <c r="BB494" s="1825"/>
      <c r="BC494" s="1825"/>
      <c r="BD494" s="1825"/>
      <c r="BE494" s="1825"/>
      <c r="BF494" s="1825"/>
      <c r="BG494" s="1825"/>
      <c r="BH494" s="1825"/>
      <c r="BI494" s="1825"/>
      <c r="BJ494" s="1825"/>
      <c r="BK494" s="1825"/>
      <c r="BL494" s="1825"/>
      <c r="BM494" s="1825"/>
      <c r="BN494" s="1825"/>
      <c r="BO494" s="1825"/>
      <c r="BP494" s="1825"/>
      <c r="BQ494" s="1825"/>
      <c r="BR494" s="1825"/>
      <c r="BS494" s="1825"/>
      <c r="BT494" s="1825"/>
      <c r="BU494" s="1825"/>
      <c r="BV494" s="1825"/>
      <c r="BW494" s="1825"/>
      <c r="BX494" s="1825"/>
      <c r="BY494" s="1825"/>
      <c r="BZ494" s="1825"/>
      <c r="CA494" s="1825"/>
      <c r="CB494" s="1825"/>
      <c r="CC494" s="1825"/>
      <c r="CD494" s="1825"/>
      <c r="CE494" s="1825"/>
      <c r="CF494" s="1825"/>
      <c r="CG494" s="1825"/>
      <c r="CH494" s="1825"/>
      <c r="CI494" s="1825"/>
      <c r="CJ494" s="1825"/>
      <c r="CK494" s="1825"/>
      <c r="CL494" s="1825"/>
      <c r="CM494" s="1825"/>
      <c r="CN494" s="1825"/>
      <c r="CO494" s="1825"/>
      <c r="CP494" s="1825"/>
      <c r="CQ494" s="1825"/>
      <c r="CR494" s="1825"/>
      <c r="CS494" s="1825"/>
      <c r="CT494" s="1825"/>
      <c r="CU494" s="1825"/>
      <c r="CV494" s="1825"/>
      <c r="CW494" s="1825"/>
      <c r="CX494" s="1825"/>
      <c r="CY494" s="1825"/>
      <c r="CZ494" s="1825"/>
      <c r="DA494" s="1825"/>
      <c r="DB494" s="1825"/>
      <c r="DC494" s="1825"/>
      <c r="DD494" s="1825"/>
      <c r="DE494" s="1825"/>
      <c r="DF494" s="1825"/>
      <c r="DG494" s="1825"/>
      <c r="DH494" s="1825"/>
      <c r="DI494" s="1825"/>
      <c r="DJ494" s="1825"/>
      <c r="DK494" s="1825"/>
      <c r="DL494" s="1825"/>
      <c r="DM494" s="1825"/>
      <c r="DN494" s="1825"/>
      <c r="DO494" s="1825"/>
      <c r="DP494" s="1825"/>
      <c r="DQ494" s="1825"/>
      <c r="DR494" s="1825"/>
      <c r="DS494" s="1825"/>
      <c r="DT494" s="1825"/>
      <c r="DU494" s="1825"/>
      <c r="DV494" s="1825"/>
      <c r="DW494" s="1825"/>
      <c r="DX494" s="1825"/>
      <c r="DY494" s="1825"/>
      <c r="DZ494" s="1825"/>
      <c r="EA494" s="1825"/>
      <c r="EB494" s="1825"/>
      <c r="EC494" s="1825"/>
      <c r="ED494" s="1825"/>
      <c r="EE494" s="1825"/>
      <c r="EF494" s="1825"/>
      <c r="EG494" s="1825"/>
      <c r="EH494" s="1825"/>
      <c r="EI494" s="1825"/>
      <c r="EJ494" s="1825"/>
      <c r="EK494" s="1825"/>
      <c r="EL494" s="1825"/>
      <c r="EM494" s="1825"/>
      <c r="EN494" s="1825"/>
      <c r="EO494" s="1825"/>
      <c r="EP494" s="1825"/>
      <c r="EQ494" s="1825"/>
      <c r="ER494" s="1825"/>
      <c r="ES494" s="1825"/>
      <c r="ET494" s="1825"/>
      <c r="EU494" s="1825"/>
      <c r="EV494" s="1825"/>
      <c r="EW494" s="1825"/>
      <c r="EX494" s="1825"/>
      <c r="EY494" s="1825"/>
      <c r="EZ494" s="1825"/>
      <c r="FA494" s="1825"/>
      <c r="FB494" s="1825"/>
      <c r="FC494" s="1825"/>
      <c r="FD494" s="1825"/>
      <c r="FE494" s="1825"/>
      <c r="FF494" s="1825"/>
      <c r="FG494" s="1825"/>
      <c r="FH494" s="1825"/>
      <c r="FI494" s="1825"/>
      <c r="FJ494" s="1825"/>
      <c r="FK494" s="1825"/>
      <c r="FL494" s="1825"/>
      <c r="FM494" s="1825"/>
      <c r="FN494" s="1825"/>
      <c r="FO494" s="1825"/>
      <c r="FP494" s="1825"/>
      <c r="FQ494" s="1825"/>
      <c r="FR494" s="1825"/>
      <c r="FS494" s="1825"/>
      <c r="FT494" s="1825"/>
      <c r="FU494" s="1825"/>
      <c r="FV494" s="1825"/>
      <c r="FW494" s="1825"/>
      <c r="FX494" s="1825"/>
      <c r="FY494" s="1825"/>
      <c r="FZ494" s="1825"/>
      <c r="GA494" s="1825"/>
      <c r="GB494" s="1825"/>
      <c r="GC494" s="1825"/>
      <c r="GD494" s="1825"/>
      <c r="GE494" s="1825"/>
      <c r="GF494" s="1825"/>
      <c r="GG494" s="1825"/>
      <c r="GH494" s="1825"/>
      <c r="GI494" s="1825"/>
      <c r="GJ494" s="1825"/>
      <c r="GK494" s="1825"/>
      <c r="GL494" s="1825"/>
      <c r="GM494" s="1825"/>
      <c r="GN494" s="1825"/>
      <c r="GO494" s="1825"/>
      <c r="GP494" s="1825"/>
      <c r="GQ494" s="1825"/>
      <c r="GR494" s="1825"/>
      <c r="GS494" s="1825"/>
      <c r="GT494" s="1825"/>
      <c r="GU494" s="1825"/>
      <c r="GV494" s="1825"/>
      <c r="GW494" s="1825"/>
      <c r="GX494" s="1825"/>
      <c r="GY494" s="1825"/>
      <c r="GZ494" s="1825"/>
      <c r="HA494" s="1825"/>
      <c r="HB494" s="1825"/>
      <c r="HC494" s="1825"/>
      <c r="HD494" s="1825"/>
      <c r="HE494" s="1825"/>
      <c r="HF494" s="1825"/>
      <c r="HG494" s="1825"/>
      <c r="HH494" s="1825"/>
      <c r="HI494" s="1825"/>
      <c r="HJ494" s="1825"/>
      <c r="HK494" s="1825"/>
      <c r="HL494" s="1825"/>
      <c r="HM494" s="1825"/>
      <c r="HN494" s="1825"/>
      <c r="HO494" s="1825"/>
      <c r="HP494" s="1825"/>
      <c r="HQ494" s="1825"/>
      <c r="HR494" s="1825"/>
      <c r="HS494" s="1825"/>
      <c r="HT494" s="1825"/>
      <c r="HU494" s="1825"/>
      <c r="HV494" s="1825"/>
      <c r="HW494" s="1825"/>
      <c r="HX494" s="1825"/>
      <c r="HY494" s="1825"/>
      <c r="HZ494" s="1825"/>
      <c r="IA494" s="1825"/>
      <c r="IB494" s="1825"/>
      <c r="IC494" s="1825"/>
      <c r="ID494" s="1825"/>
      <c r="IE494" s="1825"/>
      <c r="IF494" s="1825"/>
      <c r="IG494" s="1825"/>
      <c r="IH494" s="1825"/>
      <c r="II494" s="1825"/>
      <c r="IJ494" s="1825"/>
      <c r="IK494" s="1825"/>
      <c r="IL494" s="1825"/>
      <c r="IM494" s="1825"/>
      <c r="IN494" s="1825"/>
      <c r="IO494" s="1825"/>
      <c r="IP494" s="1825"/>
      <c r="IQ494" s="1825"/>
      <c r="IR494" s="1825"/>
      <c r="IS494" s="1825"/>
      <c r="IT494" s="1825"/>
      <c r="IU494" s="1825"/>
      <c r="IV494" s="1825"/>
    </row>
    <row r="495" spans="1:256" s="3448" customFormat="1" ht="13.5" customHeight="1">
      <c r="A495" s="3455">
        <v>102</v>
      </c>
      <c r="B495" s="3447" t="s">
        <v>1860</v>
      </c>
      <c r="C495" s="2590" t="s">
        <v>2700</v>
      </c>
      <c r="D495" s="2224" t="s">
        <v>2701</v>
      </c>
      <c r="E495" s="2612" t="s">
        <v>205</v>
      </c>
      <c r="F495" s="2593">
        <f>SUM(F497:F497)</f>
        <v>2</v>
      </c>
      <c r="G495" s="208"/>
      <c r="H495" s="3456">
        <f>F495*G495</f>
        <v>0</v>
      </c>
      <c r="I495" s="3440" t="s">
        <v>112</v>
      </c>
      <c r="J495" s="3441"/>
      <c r="K495" s="3441"/>
      <c r="T495" s="3441"/>
    </row>
    <row r="496" spans="1:256" s="3448" customFormat="1" ht="13.5" customHeight="1">
      <c r="A496" s="3457"/>
      <c r="B496" s="3447"/>
      <c r="C496" s="2617"/>
      <c r="D496" s="2230" t="s">
        <v>2676</v>
      </c>
      <c r="E496" s="2617"/>
      <c r="F496" s="3458"/>
      <c r="G496" s="3219"/>
      <c r="H496" s="3459"/>
      <c r="I496" s="3460"/>
      <c r="J496" s="3461"/>
      <c r="K496" s="2233"/>
      <c r="L496" s="2233"/>
      <c r="M496" s="2233"/>
      <c r="N496" s="2233"/>
      <c r="O496" s="2233"/>
      <c r="P496" s="2233"/>
      <c r="Q496" s="2233"/>
      <c r="R496" s="2233"/>
      <c r="S496" s="2233"/>
      <c r="T496" s="2233"/>
      <c r="U496" s="2206"/>
    </row>
    <row r="497" spans="1:256" s="3318" customFormat="1" ht="13.5" customHeight="1">
      <c r="A497" s="2222"/>
      <c r="B497" s="2224"/>
      <c r="C497" s="2224"/>
      <c r="D497" s="3330" t="s">
        <v>2492</v>
      </c>
      <c r="E497" s="3330"/>
      <c r="F497" s="3331">
        <v>2</v>
      </c>
      <c r="G497" s="124"/>
      <c r="H497" s="2226"/>
      <c r="I497" s="2297"/>
      <c r="J497" s="3462"/>
      <c r="T497" s="3463"/>
    </row>
    <row r="498" spans="1:256" s="3448" customFormat="1" ht="38.25" customHeight="1">
      <c r="A498" s="3457"/>
      <c r="B498" s="3464"/>
      <c r="C498" s="2617"/>
      <c r="D498" s="2617" t="s">
        <v>2677</v>
      </c>
      <c r="E498" s="2617"/>
      <c r="F498" s="3465"/>
      <c r="G498" s="3219"/>
      <c r="H498" s="3459"/>
      <c r="I498" s="3460"/>
      <c r="J498" s="3466"/>
      <c r="K498" s="3466"/>
      <c r="L498" s="3466"/>
      <c r="M498" s="3466"/>
      <c r="N498" s="3466"/>
      <c r="O498" s="3466"/>
      <c r="P498" s="3466"/>
      <c r="Q498" s="3466"/>
      <c r="R498" s="3466"/>
      <c r="S498" s="3466"/>
      <c r="T498" s="3466"/>
      <c r="U498" s="3467"/>
      <c r="V498" s="3466"/>
      <c r="W498" s="3466"/>
    </row>
    <row r="499" spans="1:256" s="3448" customFormat="1" ht="13.5" customHeight="1">
      <c r="A499" s="3455">
        <v>103</v>
      </c>
      <c r="B499" s="3447" t="s">
        <v>1860</v>
      </c>
      <c r="C499" s="2590" t="s">
        <v>2702</v>
      </c>
      <c r="D499" s="2612" t="s">
        <v>2703</v>
      </c>
      <c r="E499" s="2612" t="s">
        <v>205</v>
      </c>
      <c r="F499" s="2593">
        <f>SUM(F501:F501)</f>
        <v>1</v>
      </c>
      <c r="G499" s="208"/>
      <c r="H499" s="3456">
        <f>F499*G499</f>
        <v>0</v>
      </c>
      <c r="I499" s="3440" t="s">
        <v>112</v>
      </c>
      <c r="J499" s="3441"/>
      <c r="K499" s="3441"/>
      <c r="T499" s="3441"/>
    </row>
    <row r="500" spans="1:256" s="3448" customFormat="1" ht="13.5" customHeight="1">
      <c r="A500" s="3457"/>
      <c r="B500" s="3447"/>
      <c r="C500" s="2617"/>
      <c r="D500" s="2230" t="s">
        <v>2676</v>
      </c>
      <c r="E500" s="2617"/>
      <c r="F500" s="3458"/>
      <c r="G500" s="3219"/>
      <c r="H500" s="3459"/>
      <c r="I500" s="3460"/>
      <c r="J500" s="3461"/>
      <c r="K500" s="2233"/>
      <c r="L500" s="2233"/>
      <c r="M500" s="2233"/>
      <c r="N500" s="2233"/>
      <c r="O500" s="2233"/>
      <c r="P500" s="2233"/>
      <c r="Q500" s="2233"/>
      <c r="R500" s="2233"/>
      <c r="S500" s="2233"/>
      <c r="T500" s="2233"/>
      <c r="U500" s="2206"/>
    </row>
    <row r="501" spans="1:256" s="3318" customFormat="1" ht="13.5" customHeight="1">
      <c r="A501" s="2222"/>
      <c r="B501" s="2224"/>
      <c r="C501" s="2224"/>
      <c r="D501" s="3330" t="s">
        <v>2492</v>
      </c>
      <c r="E501" s="3330"/>
      <c r="F501" s="3331">
        <v>1</v>
      </c>
      <c r="G501" s="124"/>
      <c r="H501" s="2226"/>
      <c r="I501" s="2297"/>
      <c r="J501" s="3462"/>
      <c r="T501" s="3463"/>
    </row>
    <row r="502" spans="1:256" s="3448" customFormat="1" ht="38.25" customHeight="1">
      <c r="A502" s="3457"/>
      <c r="B502" s="3464"/>
      <c r="C502" s="2617"/>
      <c r="D502" s="2617" t="s">
        <v>2677</v>
      </c>
      <c r="E502" s="2617"/>
      <c r="F502" s="3465"/>
      <c r="G502" s="3219"/>
      <c r="H502" s="3459"/>
      <c r="I502" s="3460"/>
      <c r="J502" s="3466"/>
      <c r="K502" s="3466"/>
      <c r="L502" s="3466"/>
      <c r="M502" s="3466"/>
      <c r="N502" s="3466"/>
      <c r="O502" s="3466"/>
      <c r="P502" s="3466"/>
      <c r="Q502" s="3466"/>
      <c r="R502" s="3466"/>
      <c r="S502" s="3466"/>
      <c r="T502" s="3466"/>
      <c r="U502" s="3467"/>
      <c r="V502" s="3466"/>
      <c r="W502" s="3466"/>
    </row>
    <row r="503" spans="1:256" s="3448" customFormat="1" ht="13.5" customHeight="1">
      <c r="A503" s="3455">
        <v>104</v>
      </c>
      <c r="B503" s="3447" t="s">
        <v>1860</v>
      </c>
      <c r="C503" s="2590" t="s">
        <v>2704</v>
      </c>
      <c r="D503" s="2612" t="s">
        <v>2705</v>
      </c>
      <c r="E503" s="2612" t="s">
        <v>205</v>
      </c>
      <c r="F503" s="2593">
        <f>SUM(F505:F505)</f>
        <v>3</v>
      </c>
      <c r="G503" s="208"/>
      <c r="H503" s="3456">
        <f>F503*G503</f>
        <v>0</v>
      </c>
      <c r="I503" s="3440" t="s">
        <v>112</v>
      </c>
      <c r="J503" s="3441"/>
      <c r="K503" s="3441"/>
      <c r="T503" s="3441"/>
    </row>
    <row r="504" spans="1:256" s="3448" customFormat="1" ht="13.5" customHeight="1">
      <c r="A504" s="3457"/>
      <c r="B504" s="3447"/>
      <c r="C504" s="2617"/>
      <c r="D504" s="2230" t="s">
        <v>2676</v>
      </c>
      <c r="E504" s="2617"/>
      <c r="F504" s="3458"/>
      <c r="G504" s="3219"/>
      <c r="H504" s="3459"/>
      <c r="I504" s="3460"/>
      <c r="J504" s="3461"/>
      <c r="K504" s="2233"/>
      <c r="L504" s="2233"/>
      <c r="M504" s="2233"/>
      <c r="N504" s="2233"/>
      <c r="O504" s="2233"/>
      <c r="P504" s="2233"/>
      <c r="Q504" s="2233"/>
      <c r="R504" s="2233"/>
      <c r="S504" s="2233"/>
      <c r="T504" s="2233"/>
      <c r="U504" s="2206"/>
    </row>
    <row r="505" spans="1:256" s="3318" customFormat="1" ht="13.5" customHeight="1">
      <c r="A505" s="2222"/>
      <c r="B505" s="2224"/>
      <c r="C505" s="2224"/>
      <c r="D505" s="3330" t="s">
        <v>2492</v>
      </c>
      <c r="E505" s="3330"/>
      <c r="F505" s="3331">
        <v>3</v>
      </c>
      <c r="G505" s="124"/>
      <c r="H505" s="2226"/>
      <c r="I505" s="2297"/>
      <c r="J505" s="3462"/>
      <c r="T505" s="3463"/>
    </row>
    <row r="506" spans="1:256" s="3448" customFormat="1" ht="38.25" customHeight="1">
      <c r="A506" s="3457"/>
      <c r="B506" s="3464"/>
      <c r="C506" s="2617"/>
      <c r="D506" s="2617" t="s">
        <v>2677</v>
      </c>
      <c r="E506" s="2617"/>
      <c r="F506" s="3465"/>
      <c r="G506" s="3219"/>
      <c r="H506" s="3459"/>
      <c r="I506" s="3460"/>
      <c r="J506" s="3466"/>
      <c r="K506" s="3466"/>
      <c r="L506" s="3466"/>
      <c r="M506" s="3466"/>
      <c r="N506" s="3466"/>
      <c r="O506" s="3466"/>
      <c r="P506" s="3466"/>
      <c r="Q506" s="3466"/>
      <c r="R506" s="3466"/>
      <c r="S506" s="3466"/>
      <c r="T506" s="3466"/>
      <c r="U506" s="3467"/>
      <c r="V506" s="3466"/>
      <c r="W506" s="3466"/>
    </row>
    <row r="507" spans="1:256" s="3318" customFormat="1" ht="13.5" customHeight="1">
      <c r="A507" s="2222">
        <v>105</v>
      </c>
      <c r="B507" s="2224" t="s">
        <v>1860</v>
      </c>
      <c r="C507" s="2590" t="s">
        <v>2706</v>
      </c>
      <c r="D507" s="2224" t="s">
        <v>2707</v>
      </c>
      <c r="E507" s="2224" t="s">
        <v>205</v>
      </c>
      <c r="F507" s="2305">
        <f>SUM(F509:F509)</f>
        <v>1</v>
      </c>
      <c r="G507" s="208"/>
      <c r="H507" s="2226">
        <f>F507*G507</f>
        <v>0</v>
      </c>
      <c r="I507" s="3440" t="s">
        <v>112</v>
      </c>
      <c r="J507" s="2288"/>
      <c r="K507" s="2289"/>
      <c r="U507" s="3337"/>
    </row>
    <row r="508" spans="1:256" s="3333" customFormat="1" ht="13.5" customHeight="1">
      <c r="A508" s="3329"/>
      <c r="B508" s="3330"/>
      <c r="C508" s="3330"/>
      <c r="D508" s="3330" t="s">
        <v>2708</v>
      </c>
      <c r="E508" s="3330"/>
      <c r="F508" s="3331"/>
      <c r="G508" s="203"/>
      <c r="H508" s="3332"/>
      <c r="I508" s="3334"/>
      <c r="J508" s="3468"/>
      <c r="K508" s="2206"/>
      <c r="L508" s="2206"/>
      <c r="M508" s="2206"/>
      <c r="N508" s="2206"/>
      <c r="O508" s="2206"/>
      <c r="P508" s="2206"/>
      <c r="Q508" s="2206"/>
      <c r="R508" s="2206"/>
      <c r="S508" s="2206"/>
      <c r="T508" s="2206"/>
      <c r="U508" s="2206"/>
      <c r="V508" s="2206"/>
      <c r="W508" s="2206"/>
      <c r="X508" s="2206"/>
      <c r="Y508" s="2206"/>
      <c r="Z508" s="2206"/>
      <c r="AA508" s="2206"/>
      <c r="AB508" s="2206"/>
      <c r="AC508" s="2206"/>
      <c r="AD508" s="2206"/>
      <c r="AE508" s="2206"/>
      <c r="AF508" s="2206"/>
      <c r="AG508" s="2206"/>
      <c r="AH508" s="2206"/>
      <c r="AI508" s="2206"/>
      <c r="AJ508" s="2206"/>
      <c r="AK508" s="2206"/>
      <c r="AL508" s="2206"/>
      <c r="AM508" s="2206"/>
      <c r="AN508" s="2206"/>
      <c r="AO508" s="2206"/>
      <c r="AP508" s="2206"/>
      <c r="AQ508" s="2206"/>
      <c r="AR508" s="1825"/>
      <c r="AS508" s="1825"/>
      <c r="AT508" s="1825"/>
      <c r="AU508" s="1825"/>
      <c r="AV508" s="1825"/>
      <c r="AW508" s="1825"/>
      <c r="AX508" s="1825"/>
      <c r="AY508" s="1825"/>
      <c r="AZ508" s="1825"/>
      <c r="BA508" s="1825"/>
      <c r="BB508" s="1825"/>
      <c r="BC508" s="1825"/>
      <c r="BD508" s="1825"/>
      <c r="BE508" s="1825"/>
      <c r="BF508" s="1825"/>
      <c r="BG508" s="1825"/>
      <c r="BH508" s="1825"/>
      <c r="BI508" s="1825"/>
      <c r="BJ508" s="1825"/>
      <c r="BK508" s="1825"/>
      <c r="BL508" s="1825"/>
      <c r="BM508" s="1825"/>
      <c r="BN508" s="1825"/>
      <c r="BO508" s="1825"/>
      <c r="BP508" s="1825"/>
      <c r="BQ508" s="1825"/>
      <c r="BR508" s="1825"/>
      <c r="BS508" s="1825"/>
      <c r="BT508" s="1825"/>
      <c r="BU508" s="1825"/>
      <c r="BV508" s="1825"/>
      <c r="BW508" s="1825"/>
      <c r="BX508" s="1825"/>
      <c r="BY508" s="1825"/>
      <c r="BZ508" s="1825"/>
      <c r="CA508" s="1825"/>
      <c r="CB508" s="1825"/>
      <c r="CC508" s="1825"/>
      <c r="CD508" s="1825"/>
      <c r="CE508" s="1825"/>
      <c r="CF508" s="1825"/>
      <c r="CG508" s="1825"/>
      <c r="CH508" s="1825"/>
      <c r="CI508" s="1825"/>
      <c r="CJ508" s="1825"/>
      <c r="CK508" s="1825"/>
      <c r="CL508" s="1825"/>
      <c r="CM508" s="1825"/>
      <c r="CN508" s="1825"/>
      <c r="CO508" s="1825"/>
      <c r="CP508" s="1825"/>
      <c r="CQ508" s="1825"/>
      <c r="CR508" s="1825"/>
      <c r="CS508" s="1825"/>
      <c r="CT508" s="1825"/>
      <c r="CU508" s="1825"/>
      <c r="CV508" s="1825"/>
      <c r="CW508" s="1825"/>
      <c r="CX508" s="1825"/>
      <c r="CY508" s="1825"/>
      <c r="CZ508" s="1825"/>
      <c r="DA508" s="1825"/>
      <c r="DB508" s="1825"/>
      <c r="DC508" s="1825"/>
      <c r="DD508" s="1825"/>
      <c r="DE508" s="1825"/>
      <c r="DF508" s="1825"/>
      <c r="DG508" s="1825"/>
      <c r="DH508" s="1825"/>
      <c r="DI508" s="1825"/>
      <c r="DJ508" s="1825"/>
      <c r="DK508" s="1825"/>
      <c r="DL508" s="1825"/>
      <c r="DM508" s="1825"/>
      <c r="DN508" s="1825"/>
      <c r="DO508" s="1825"/>
      <c r="DP508" s="1825"/>
      <c r="DQ508" s="1825"/>
      <c r="DR508" s="1825"/>
      <c r="DS508" s="1825"/>
      <c r="DT508" s="1825"/>
      <c r="DU508" s="1825"/>
      <c r="DV508" s="1825"/>
      <c r="DW508" s="1825"/>
      <c r="DX508" s="1825"/>
      <c r="DY508" s="1825"/>
      <c r="DZ508" s="1825"/>
      <c r="EA508" s="1825"/>
      <c r="EB508" s="1825"/>
      <c r="EC508" s="1825"/>
      <c r="ED508" s="1825"/>
      <c r="EE508" s="1825"/>
      <c r="EF508" s="1825"/>
      <c r="EG508" s="1825"/>
      <c r="EH508" s="1825"/>
      <c r="EI508" s="1825"/>
      <c r="EJ508" s="1825"/>
      <c r="EK508" s="1825"/>
      <c r="EL508" s="1825"/>
      <c r="EM508" s="1825"/>
      <c r="EN508" s="1825"/>
      <c r="EO508" s="1825"/>
      <c r="EP508" s="1825"/>
      <c r="EQ508" s="1825"/>
      <c r="ER508" s="1825"/>
      <c r="ES508" s="1825"/>
      <c r="ET508" s="1825"/>
      <c r="EU508" s="1825"/>
      <c r="EV508" s="1825"/>
      <c r="EW508" s="1825"/>
      <c r="EX508" s="1825"/>
      <c r="EY508" s="1825"/>
      <c r="EZ508" s="1825"/>
      <c r="FA508" s="1825"/>
      <c r="FB508" s="1825"/>
      <c r="FC508" s="1825"/>
      <c r="FD508" s="1825"/>
      <c r="FE508" s="1825"/>
      <c r="FF508" s="1825"/>
      <c r="FG508" s="1825"/>
      <c r="FH508" s="1825"/>
      <c r="FI508" s="1825"/>
      <c r="FJ508" s="1825"/>
      <c r="FK508" s="1825"/>
      <c r="FL508" s="1825"/>
      <c r="FM508" s="1825"/>
      <c r="FN508" s="1825"/>
      <c r="FO508" s="1825"/>
      <c r="FP508" s="1825"/>
      <c r="FQ508" s="1825"/>
      <c r="FR508" s="1825"/>
      <c r="FS508" s="1825"/>
      <c r="FT508" s="1825"/>
      <c r="FU508" s="1825"/>
      <c r="FV508" s="1825"/>
      <c r="FW508" s="1825"/>
      <c r="FX508" s="1825"/>
      <c r="FY508" s="1825"/>
      <c r="FZ508" s="1825"/>
      <c r="GA508" s="1825"/>
      <c r="GB508" s="1825"/>
      <c r="GC508" s="1825"/>
      <c r="GD508" s="1825"/>
      <c r="GE508" s="1825"/>
      <c r="GF508" s="1825"/>
      <c r="GG508" s="1825"/>
      <c r="GH508" s="1825"/>
      <c r="GI508" s="1825"/>
      <c r="GJ508" s="1825"/>
      <c r="GK508" s="1825"/>
      <c r="GL508" s="1825"/>
      <c r="GM508" s="1825"/>
      <c r="GN508" s="1825"/>
      <c r="GO508" s="1825"/>
      <c r="GP508" s="1825"/>
      <c r="GQ508" s="1825"/>
      <c r="GR508" s="1825"/>
      <c r="GS508" s="1825"/>
      <c r="GT508" s="1825"/>
      <c r="GU508" s="1825"/>
      <c r="GV508" s="1825"/>
      <c r="GW508" s="1825"/>
      <c r="GX508" s="1825"/>
      <c r="GY508" s="1825"/>
      <c r="GZ508" s="1825"/>
      <c r="HA508" s="1825"/>
      <c r="HB508" s="1825"/>
      <c r="HC508" s="1825"/>
      <c r="HD508" s="1825"/>
      <c r="HE508" s="1825"/>
      <c r="HF508" s="1825"/>
      <c r="HG508" s="1825"/>
      <c r="HH508" s="1825"/>
      <c r="HI508" s="1825"/>
      <c r="HJ508" s="1825"/>
      <c r="HK508" s="1825"/>
      <c r="HL508" s="1825"/>
      <c r="HM508" s="1825"/>
      <c r="HN508" s="1825"/>
      <c r="HO508" s="1825"/>
      <c r="HP508" s="1825"/>
      <c r="HQ508" s="1825"/>
      <c r="HR508" s="1825"/>
      <c r="HS508" s="1825"/>
      <c r="HT508" s="1825"/>
      <c r="HU508" s="1825"/>
      <c r="HV508" s="1825"/>
      <c r="HW508" s="1825"/>
      <c r="HX508" s="1825"/>
      <c r="HY508" s="1825"/>
      <c r="HZ508" s="1825"/>
      <c r="IA508" s="1825"/>
      <c r="IB508" s="1825"/>
      <c r="IC508" s="1825"/>
      <c r="ID508" s="1825"/>
      <c r="IE508" s="1825"/>
      <c r="IF508" s="1825"/>
      <c r="IG508" s="1825"/>
      <c r="IH508" s="1825"/>
      <c r="II508" s="1825"/>
      <c r="IJ508" s="1825"/>
      <c r="IK508" s="1825"/>
      <c r="IL508" s="1825"/>
      <c r="IM508" s="1825"/>
      <c r="IN508" s="1825"/>
      <c r="IO508" s="1825"/>
      <c r="IP508" s="1825"/>
      <c r="IQ508" s="1825"/>
      <c r="IR508" s="1825"/>
      <c r="IS508" s="1825"/>
      <c r="IT508" s="1825"/>
      <c r="IU508" s="1825"/>
      <c r="IV508" s="1825"/>
    </row>
    <row r="509" spans="1:256" s="3333" customFormat="1" ht="13.5" customHeight="1">
      <c r="A509" s="3329"/>
      <c r="B509" s="3330"/>
      <c r="C509" s="3330"/>
      <c r="D509" s="3330" t="s">
        <v>2492</v>
      </c>
      <c r="E509" s="3330"/>
      <c r="F509" s="3331">
        <v>1</v>
      </c>
      <c r="G509" s="203"/>
      <c r="H509" s="3332"/>
      <c r="I509" s="3334"/>
      <c r="J509" s="3468"/>
      <c r="K509" s="2206"/>
      <c r="L509" s="2206"/>
      <c r="M509" s="2206"/>
      <c r="N509" s="2206"/>
      <c r="O509" s="2206"/>
      <c r="P509" s="2206"/>
      <c r="Q509" s="2206"/>
      <c r="R509" s="2206"/>
      <c r="S509" s="2206"/>
      <c r="T509" s="2206"/>
      <c r="U509" s="2206"/>
      <c r="V509" s="2206"/>
      <c r="W509" s="2206"/>
      <c r="X509" s="2206"/>
      <c r="Y509" s="2206"/>
      <c r="Z509" s="2206"/>
      <c r="AA509" s="2206"/>
      <c r="AB509" s="2206"/>
      <c r="AC509" s="2206"/>
      <c r="AD509" s="2206"/>
      <c r="AE509" s="2206"/>
      <c r="AF509" s="2206"/>
      <c r="AG509" s="2206"/>
      <c r="AH509" s="2206"/>
      <c r="AI509" s="2206"/>
      <c r="AJ509" s="2206"/>
      <c r="AK509" s="2206"/>
      <c r="AL509" s="2206"/>
      <c r="AM509" s="2206"/>
      <c r="AN509" s="2206"/>
      <c r="AO509" s="2206"/>
      <c r="AP509" s="2206"/>
      <c r="AQ509" s="2206"/>
      <c r="AR509" s="1825"/>
      <c r="AS509" s="1825"/>
      <c r="AT509" s="1825"/>
      <c r="AU509" s="1825"/>
      <c r="AV509" s="1825"/>
      <c r="AW509" s="1825"/>
      <c r="AX509" s="1825"/>
      <c r="AY509" s="1825"/>
      <c r="AZ509" s="1825"/>
      <c r="BA509" s="1825"/>
      <c r="BB509" s="1825"/>
      <c r="BC509" s="1825"/>
      <c r="BD509" s="1825"/>
      <c r="BE509" s="1825"/>
      <c r="BF509" s="1825"/>
      <c r="BG509" s="1825"/>
      <c r="BH509" s="1825"/>
      <c r="BI509" s="1825"/>
      <c r="BJ509" s="1825"/>
      <c r="BK509" s="1825"/>
      <c r="BL509" s="1825"/>
      <c r="BM509" s="1825"/>
      <c r="BN509" s="1825"/>
      <c r="BO509" s="1825"/>
      <c r="BP509" s="1825"/>
      <c r="BQ509" s="1825"/>
      <c r="BR509" s="1825"/>
      <c r="BS509" s="1825"/>
      <c r="BT509" s="1825"/>
      <c r="BU509" s="1825"/>
      <c r="BV509" s="1825"/>
      <c r="BW509" s="1825"/>
      <c r="BX509" s="1825"/>
      <c r="BY509" s="1825"/>
      <c r="BZ509" s="1825"/>
      <c r="CA509" s="1825"/>
      <c r="CB509" s="1825"/>
      <c r="CC509" s="1825"/>
      <c r="CD509" s="1825"/>
      <c r="CE509" s="1825"/>
      <c r="CF509" s="1825"/>
      <c r="CG509" s="1825"/>
      <c r="CH509" s="1825"/>
      <c r="CI509" s="1825"/>
      <c r="CJ509" s="1825"/>
      <c r="CK509" s="1825"/>
      <c r="CL509" s="1825"/>
      <c r="CM509" s="1825"/>
      <c r="CN509" s="1825"/>
      <c r="CO509" s="1825"/>
      <c r="CP509" s="1825"/>
      <c r="CQ509" s="1825"/>
      <c r="CR509" s="1825"/>
      <c r="CS509" s="1825"/>
      <c r="CT509" s="1825"/>
      <c r="CU509" s="1825"/>
      <c r="CV509" s="1825"/>
      <c r="CW509" s="1825"/>
      <c r="CX509" s="1825"/>
      <c r="CY509" s="1825"/>
      <c r="CZ509" s="1825"/>
      <c r="DA509" s="1825"/>
      <c r="DB509" s="1825"/>
      <c r="DC509" s="1825"/>
      <c r="DD509" s="1825"/>
      <c r="DE509" s="1825"/>
      <c r="DF509" s="1825"/>
      <c r="DG509" s="1825"/>
      <c r="DH509" s="1825"/>
      <c r="DI509" s="1825"/>
      <c r="DJ509" s="1825"/>
      <c r="DK509" s="1825"/>
      <c r="DL509" s="1825"/>
      <c r="DM509" s="1825"/>
      <c r="DN509" s="1825"/>
      <c r="DO509" s="1825"/>
      <c r="DP509" s="1825"/>
      <c r="DQ509" s="1825"/>
      <c r="DR509" s="1825"/>
      <c r="DS509" s="1825"/>
      <c r="DT509" s="1825"/>
      <c r="DU509" s="1825"/>
      <c r="DV509" s="1825"/>
      <c r="DW509" s="1825"/>
      <c r="DX509" s="1825"/>
      <c r="DY509" s="1825"/>
      <c r="DZ509" s="1825"/>
      <c r="EA509" s="1825"/>
      <c r="EB509" s="1825"/>
      <c r="EC509" s="1825"/>
      <c r="ED509" s="1825"/>
      <c r="EE509" s="1825"/>
      <c r="EF509" s="1825"/>
      <c r="EG509" s="1825"/>
      <c r="EH509" s="1825"/>
      <c r="EI509" s="1825"/>
      <c r="EJ509" s="1825"/>
      <c r="EK509" s="1825"/>
      <c r="EL509" s="1825"/>
      <c r="EM509" s="1825"/>
      <c r="EN509" s="1825"/>
      <c r="EO509" s="1825"/>
      <c r="EP509" s="1825"/>
      <c r="EQ509" s="1825"/>
      <c r="ER509" s="1825"/>
      <c r="ES509" s="1825"/>
      <c r="ET509" s="1825"/>
      <c r="EU509" s="1825"/>
      <c r="EV509" s="1825"/>
      <c r="EW509" s="1825"/>
      <c r="EX509" s="1825"/>
      <c r="EY509" s="1825"/>
      <c r="EZ509" s="1825"/>
      <c r="FA509" s="1825"/>
      <c r="FB509" s="1825"/>
      <c r="FC509" s="1825"/>
      <c r="FD509" s="1825"/>
      <c r="FE509" s="1825"/>
      <c r="FF509" s="1825"/>
      <c r="FG509" s="1825"/>
      <c r="FH509" s="1825"/>
      <c r="FI509" s="1825"/>
      <c r="FJ509" s="1825"/>
      <c r="FK509" s="1825"/>
      <c r="FL509" s="1825"/>
      <c r="FM509" s="1825"/>
      <c r="FN509" s="1825"/>
      <c r="FO509" s="1825"/>
      <c r="FP509" s="1825"/>
      <c r="FQ509" s="1825"/>
      <c r="FR509" s="1825"/>
      <c r="FS509" s="1825"/>
      <c r="FT509" s="1825"/>
      <c r="FU509" s="1825"/>
      <c r="FV509" s="1825"/>
      <c r="FW509" s="1825"/>
      <c r="FX509" s="1825"/>
      <c r="FY509" s="1825"/>
      <c r="FZ509" s="1825"/>
      <c r="GA509" s="1825"/>
      <c r="GB509" s="1825"/>
      <c r="GC509" s="1825"/>
      <c r="GD509" s="1825"/>
      <c r="GE509" s="1825"/>
      <c r="GF509" s="1825"/>
      <c r="GG509" s="1825"/>
      <c r="GH509" s="1825"/>
      <c r="GI509" s="1825"/>
      <c r="GJ509" s="1825"/>
      <c r="GK509" s="1825"/>
      <c r="GL509" s="1825"/>
      <c r="GM509" s="1825"/>
      <c r="GN509" s="1825"/>
      <c r="GO509" s="1825"/>
      <c r="GP509" s="1825"/>
      <c r="GQ509" s="1825"/>
      <c r="GR509" s="1825"/>
      <c r="GS509" s="1825"/>
      <c r="GT509" s="1825"/>
      <c r="GU509" s="1825"/>
      <c r="GV509" s="1825"/>
      <c r="GW509" s="1825"/>
      <c r="GX509" s="1825"/>
      <c r="GY509" s="1825"/>
      <c r="GZ509" s="1825"/>
      <c r="HA509" s="1825"/>
      <c r="HB509" s="1825"/>
      <c r="HC509" s="1825"/>
      <c r="HD509" s="1825"/>
      <c r="HE509" s="1825"/>
      <c r="HF509" s="1825"/>
      <c r="HG509" s="1825"/>
      <c r="HH509" s="1825"/>
      <c r="HI509" s="1825"/>
      <c r="HJ509" s="1825"/>
      <c r="HK509" s="1825"/>
      <c r="HL509" s="1825"/>
      <c r="HM509" s="1825"/>
      <c r="HN509" s="1825"/>
      <c r="HO509" s="1825"/>
      <c r="HP509" s="1825"/>
      <c r="HQ509" s="1825"/>
      <c r="HR509" s="1825"/>
      <c r="HS509" s="1825"/>
      <c r="HT509" s="1825"/>
      <c r="HU509" s="1825"/>
      <c r="HV509" s="1825"/>
      <c r="HW509" s="1825"/>
      <c r="HX509" s="1825"/>
      <c r="HY509" s="1825"/>
      <c r="HZ509" s="1825"/>
      <c r="IA509" s="1825"/>
      <c r="IB509" s="1825"/>
      <c r="IC509" s="1825"/>
      <c r="ID509" s="1825"/>
      <c r="IE509" s="1825"/>
      <c r="IF509" s="1825"/>
      <c r="IG509" s="1825"/>
      <c r="IH509" s="1825"/>
      <c r="II509" s="1825"/>
      <c r="IJ509" s="1825"/>
      <c r="IK509" s="1825"/>
      <c r="IL509" s="1825"/>
      <c r="IM509" s="1825"/>
      <c r="IN509" s="1825"/>
      <c r="IO509" s="1825"/>
      <c r="IP509" s="1825"/>
      <c r="IQ509" s="1825"/>
      <c r="IR509" s="1825"/>
      <c r="IS509" s="1825"/>
      <c r="IT509" s="1825"/>
      <c r="IU509" s="1825"/>
      <c r="IV509" s="1825"/>
    </row>
    <row r="510" spans="1:256" s="3143" customFormat="1" ht="27" customHeight="1">
      <c r="A510" s="3469"/>
      <c r="B510" s="3324"/>
      <c r="C510" s="2230"/>
      <c r="D510" s="2230" t="s">
        <v>2709</v>
      </c>
      <c r="E510" s="2230"/>
      <c r="F510" s="3325"/>
      <c r="G510" s="207"/>
      <c r="H510" s="3326"/>
      <c r="I510" s="3470"/>
      <c r="J510" s="3471"/>
    </row>
    <row r="511" spans="1:256" s="3318" customFormat="1" ht="13.5" customHeight="1">
      <c r="A511" s="2222">
        <v>106</v>
      </c>
      <c r="B511" s="2224" t="s">
        <v>1860</v>
      </c>
      <c r="C511" s="2590" t="s">
        <v>2710</v>
      </c>
      <c r="D511" s="2224" t="s">
        <v>2711</v>
      </c>
      <c r="E511" s="2224" t="s">
        <v>205</v>
      </c>
      <c r="F511" s="2305">
        <f>SUM(F513:F513)</f>
        <v>2</v>
      </c>
      <c r="G511" s="208"/>
      <c r="H511" s="2226">
        <f>F511*G511</f>
        <v>0</v>
      </c>
      <c r="I511" s="3440" t="s">
        <v>112</v>
      </c>
      <c r="J511" s="2288"/>
      <c r="K511" s="2289"/>
      <c r="U511" s="3337"/>
    </row>
    <row r="512" spans="1:256" s="3333" customFormat="1" ht="13.5" customHeight="1">
      <c r="A512" s="3329"/>
      <c r="B512" s="3330"/>
      <c r="C512" s="3330"/>
      <c r="D512" s="3330" t="s">
        <v>2712</v>
      </c>
      <c r="E512" s="3330"/>
      <c r="F512" s="3331"/>
      <c r="G512" s="203"/>
      <c r="H512" s="3332"/>
      <c r="I512" s="3334"/>
      <c r="J512" s="3468"/>
      <c r="K512" s="2206"/>
      <c r="L512" s="2206"/>
      <c r="M512" s="2206"/>
      <c r="N512" s="2206"/>
      <c r="O512" s="2206"/>
      <c r="P512" s="2206"/>
      <c r="Q512" s="2206"/>
      <c r="R512" s="2206"/>
      <c r="S512" s="2206"/>
      <c r="T512" s="2206"/>
      <c r="U512" s="2206"/>
      <c r="V512" s="2206"/>
      <c r="W512" s="2206"/>
      <c r="X512" s="2206"/>
      <c r="Y512" s="2206"/>
      <c r="Z512" s="2206"/>
      <c r="AA512" s="2206"/>
      <c r="AB512" s="2206"/>
      <c r="AC512" s="2206"/>
      <c r="AD512" s="2206"/>
      <c r="AE512" s="2206"/>
      <c r="AF512" s="2206"/>
      <c r="AG512" s="2206"/>
      <c r="AH512" s="2206"/>
      <c r="AI512" s="2206"/>
      <c r="AJ512" s="2206"/>
      <c r="AK512" s="2206"/>
      <c r="AL512" s="2206"/>
      <c r="AM512" s="2206"/>
      <c r="AN512" s="2206"/>
      <c r="AO512" s="2206"/>
      <c r="AP512" s="2206"/>
      <c r="AQ512" s="2206"/>
      <c r="AR512" s="1825"/>
      <c r="AS512" s="1825"/>
      <c r="AT512" s="1825"/>
      <c r="AU512" s="1825"/>
      <c r="AV512" s="1825"/>
      <c r="AW512" s="1825"/>
      <c r="AX512" s="1825"/>
      <c r="AY512" s="1825"/>
      <c r="AZ512" s="1825"/>
      <c r="BA512" s="1825"/>
      <c r="BB512" s="1825"/>
      <c r="BC512" s="1825"/>
      <c r="BD512" s="1825"/>
      <c r="BE512" s="1825"/>
      <c r="BF512" s="1825"/>
      <c r="BG512" s="1825"/>
      <c r="BH512" s="1825"/>
      <c r="BI512" s="1825"/>
      <c r="BJ512" s="1825"/>
      <c r="BK512" s="1825"/>
      <c r="BL512" s="1825"/>
      <c r="BM512" s="1825"/>
      <c r="BN512" s="1825"/>
      <c r="BO512" s="1825"/>
      <c r="BP512" s="1825"/>
      <c r="BQ512" s="1825"/>
      <c r="BR512" s="1825"/>
      <c r="BS512" s="1825"/>
      <c r="BT512" s="1825"/>
      <c r="BU512" s="1825"/>
      <c r="BV512" s="1825"/>
      <c r="BW512" s="1825"/>
      <c r="BX512" s="1825"/>
      <c r="BY512" s="1825"/>
      <c r="BZ512" s="1825"/>
      <c r="CA512" s="1825"/>
      <c r="CB512" s="1825"/>
      <c r="CC512" s="1825"/>
      <c r="CD512" s="1825"/>
      <c r="CE512" s="1825"/>
      <c r="CF512" s="1825"/>
      <c r="CG512" s="1825"/>
      <c r="CH512" s="1825"/>
      <c r="CI512" s="1825"/>
      <c r="CJ512" s="1825"/>
      <c r="CK512" s="1825"/>
      <c r="CL512" s="1825"/>
      <c r="CM512" s="1825"/>
      <c r="CN512" s="1825"/>
      <c r="CO512" s="1825"/>
      <c r="CP512" s="1825"/>
      <c r="CQ512" s="1825"/>
      <c r="CR512" s="1825"/>
      <c r="CS512" s="1825"/>
      <c r="CT512" s="1825"/>
      <c r="CU512" s="1825"/>
      <c r="CV512" s="1825"/>
      <c r="CW512" s="1825"/>
      <c r="CX512" s="1825"/>
      <c r="CY512" s="1825"/>
      <c r="CZ512" s="1825"/>
      <c r="DA512" s="1825"/>
      <c r="DB512" s="1825"/>
      <c r="DC512" s="1825"/>
      <c r="DD512" s="1825"/>
      <c r="DE512" s="1825"/>
      <c r="DF512" s="1825"/>
      <c r="DG512" s="1825"/>
      <c r="DH512" s="1825"/>
      <c r="DI512" s="1825"/>
      <c r="DJ512" s="1825"/>
      <c r="DK512" s="1825"/>
      <c r="DL512" s="1825"/>
      <c r="DM512" s="1825"/>
      <c r="DN512" s="1825"/>
      <c r="DO512" s="1825"/>
      <c r="DP512" s="1825"/>
      <c r="DQ512" s="1825"/>
      <c r="DR512" s="1825"/>
      <c r="DS512" s="1825"/>
      <c r="DT512" s="1825"/>
      <c r="DU512" s="1825"/>
      <c r="DV512" s="1825"/>
      <c r="DW512" s="1825"/>
      <c r="DX512" s="1825"/>
      <c r="DY512" s="1825"/>
      <c r="DZ512" s="1825"/>
      <c r="EA512" s="1825"/>
      <c r="EB512" s="1825"/>
      <c r="EC512" s="1825"/>
      <c r="ED512" s="1825"/>
      <c r="EE512" s="1825"/>
      <c r="EF512" s="1825"/>
      <c r="EG512" s="1825"/>
      <c r="EH512" s="1825"/>
      <c r="EI512" s="1825"/>
      <c r="EJ512" s="1825"/>
      <c r="EK512" s="1825"/>
      <c r="EL512" s="1825"/>
      <c r="EM512" s="1825"/>
      <c r="EN512" s="1825"/>
      <c r="EO512" s="1825"/>
      <c r="EP512" s="1825"/>
      <c r="EQ512" s="1825"/>
      <c r="ER512" s="1825"/>
      <c r="ES512" s="1825"/>
      <c r="ET512" s="1825"/>
      <c r="EU512" s="1825"/>
      <c r="EV512" s="1825"/>
      <c r="EW512" s="1825"/>
      <c r="EX512" s="1825"/>
      <c r="EY512" s="1825"/>
      <c r="EZ512" s="1825"/>
      <c r="FA512" s="1825"/>
      <c r="FB512" s="1825"/>
      <c r="FC512" s="1825"/>
      <c r="FD512" s="1825"/>
      <c r="FE512" s="1825"/>
      <c r="FF512" s="1825"/>
      <c r="FG512" s="1825"/>
      <c r="FH512" s="1825"/>
      <c r="FI512" s="1825"/>
      <c r="FJ512" s="1825"/>
      <c r="FK512" s="1825"/>
      <c r="FL512" s="1825"/>
      <c r="FM512" s="1825"/>
      <c r="FN512" s="1825"/>
      <c r="FO512" s="1825"/>
      <c r="FP512" s="1825"/>
      <c r="FQ512" s="1825"/>
      <c r="FR512" s="1825"/>
      <c r="FS512" s="1825"/>
      <c r="FT512" s="1825"/>
      <c r="FU512" s="1825"/>
      <c r="FV512" s="1825"/>
      <c r="FW512" s="1825"/>
      <c r="FX512" s="1825"/>
      <c r="FY512" s="1825"/>
      <c r="FZ512" s="1825"/>
      <c r="GA512" s="1825"/>
      <c r="GB512" s="1825"/>
      <c r="GC512" s="1825"/>
      <c r="GD512" s="1825"/>
      <c r="GE512" s="1825"/>
      <c r="GF512" s="1825"/>
      <c r="GG512" s="1825"/>
      <c r="GH512" s="1825"/>
      <c r="GI512" s="1825"/>
      <c r="GJ512" s="1825"/>
      <c r="GK512" s="1825"/>
      <c r="GL512" s="1825"/>
      <c r="GM512" s="1825"/>
      <c r="GN512" s="1825"/>
      <c r="GO512" s="1825"/>
      <c r="GP512" s="1825"/>
      <c r="GQ512" s="1825"/>
      <c r="GR512" s="1825"/>
      <c r="GS512" s="1825"/>
      <c r="GT512" s="1825"/>
      <c r="GU512" s="1825"/>
      <c r="GV512" s="1825"/>
      <c r="GW512" s="1825"/>
      <c r="GX512" s="1825"/>
      <c r="GY512" s="1825"/>
      <c r="GZ512" s="1825"/>
      <c r="HA512" s="1825"/>
      <c r="HB512" s="1825"/>
      <c r="HC512" s="1825"/>
      <c r="HD512" s="1825"/>
      <c r="HE512" s="1825"/>
      <c r="HF512" s="1825"/>
      <c r="HG512" s="1825"/>
      <c r="HH512" s="1825"/>
      <c r="HI512" s="1825"/>
      <c r="HJ512" s="1825"/>
      <c r="HK512" s="1825"/>
      <c r="HL512" s="1825"/>
      <c r="HM512" s="1825"/>
      <c r="HN512" s="1825"/>
      <c r="HO512" s="1825"/>
      <c r="HP512" s="1825"/>
      <c r="HQ512" s="1825"/>
      <c r="HR512" s="1825"/>
      <c r="HS512" s="1825"/>
      <c r="HT512" s="1825"/>
      <c r="HU512" s="1825"/>
      <c r="HV512" s="1825"/>
      <c r="HW512" s="1825"/>
      <c r="HX512" s="1825"/>
      <c r="HY512" s="1825"/>
      <c r="HZ512" s="1825"/>
      <c r="IA512" s="1825"/>
      <c r="IB512" s="1825"/>
      <c r="IC512" s="1825"/>
      <c r="ID512" s="1825"/>
      <c r="IE512" s="1825"/>
      <c r="IF512" s="1825"/>
      <c r="IG512" s="1825"/>
      <c r="IH512" s="1825"/>
      <c r="II512" s="1825"/>
      <c r="IJ512" s="1825"/>
      <c r="IK512" s="1825"/>
      <c r="IL512" s="1825"/>
      <c r="IM512" s="1825"/>
      <c r="IN512" s="1825"/>
      <c r="IO512" s="1825"/>
      <c r="IP512" s="1825"/>
      <c r="IQ512" s="1825"/>
      <c r="IR512" s="1825"/>
      <c r="IS512" s="1825"/>
      <c r="IT512" s="1825"/>
      <c r="IU512" s="1825"/>
      <c r="IV512" s="1825"/>
    </row>
    <row r="513" spans="1:256" s="3333" customFormat="1" ht="13.5" customHeight="1">
      <c r="A513" s="3329"/>
      <c r="B513" s="3330"/>
      <c r="C513" s="3330"/>
      <c r="D513" s="3330" t="s">
        <v>2492</v>
      </c>
      <c r="E513" s="3330"/>
      <c r="F513" s="3331">
        <v>2</v>
      </c>
      <c r="G513" s="203"/>
      <c r="H513" s="3332"/>
      <c r="I513" s="3334"/>
      <c r="J513" s="3468"/>
      <c r="K513" s="2206"/>
      <c r="L513" s="2206"/>
      <c r="M513" s="2206"/>
      <c r="N513" s="2206"/>
      <c r="O513" s="2206"/>
      <c r="P513" s="2206"/>
      <c r="Q513" s="2206"/>
      <c r="R513" s="2206"/>
      <c r="S513" s="2206"/>
      <c r="T513" s="2206"/>
      <c r="U513" s="2206"/>
      <c r="V513" s="2206"/>
      <c r="W513" s="2206"/>
      <c r="X513" s="2206"/>
      <c r="Y513" s="2206"/>
      <c r="Z513" s="2206"/>
      <c r="AA513" s="2206"/>
      <c r="AB513" s="2206"/>
      <c r="AC513" s="2206"/>
      <c r="AD513" s="2206"/>
      <c r="AE513" s="2206"/>
      <c r="AF513" s="2206"/>
      <c r="AG513" s="2206"/>
      <c r="AH513" s="2206"/>
      <c r="AI513" s="2206"/>
      <c r="AJ513" s="2206"/>
      <c r="AK513" s="2206"/>
      <c r="AL513" s="2206"/>
      <c r="AM513" s="2206"/>
      <c r="AN513" s="2206"/>
      <c r="AO513" s="2206"/>
      <c r="AP513" s="2206"/>
      <c r="AQ513" s="2206"/>
      <c r="AR513" s="1825"/>
      <c r="AS513" s="1825"/>
      <c r="AT513" s="1825"/>
      <c r="AU513" s="1825"/>
      <c r="AV513" s="1825"/>
      <c r="AW513" s="1825"/>
      <c r="AX513" s="1825"/>
      <c r="AY513" s="1825"/>
      <c r="AZ513" s="1825"/>
      <c r="BA513" s="1825"/>
      <c r="BB513" s="1825"/>
      <c r="BC513" s="1825"/>
      <c r="BD513" s="1825"/>
      <c r="BE513" s="1825"/>
      <c r="BF513" s="1825"/>
      <c r="BG513" s="1825"/>
      <c r="BH513" s="1825"/>
      <c r="BI513" s="1825"/>
      <c r="BJ513" s="1825"/>
      <c r="BK513" s="1825"/>
      <c r="BL513" s="1825"/>
      <c r="BM513" s="1825"/>
      <c r="BN513" s="1825"/>
      <c r="BO513" s="1825"/>
      <c r="BP513" s="1825"/>
      <c r="BQ513" s="1825"/>
      <c r="BR513" s="1825"/>
      <c r="BS513" s="1825"/>
      <c r="BT513" s="1825"/>
      <c r="BU513" s="1825"/>
      <c r="BV513" s="1825"/>
      <c r="BW513" s="1825"/>
      <c r="BX513" s="1825"/>
      <c r="BY513" s="1825"/>
      <c r="BZ513" s="1825"/>
      <c r="CA513" s="1825"/>
      <c r="CB513" s="1825"/>
      <c r="CC513" s="1825"/>
      <c r="CD513" s="1825"/>
      <c r="CE513" s="1825"/>
      <c r="CF513" s="1825"/>
      <c r="CG513" s="1825"/>
      <c r="CH513" s="1825"/>
      <c r="CI513" s="1825"/>
      <c r="CJ513" s="1825"/>
      <c r="CK513" s="1825"/>
      <c r="CL513" s="1825"/>
      <c r="CM513" s="1825"/>
      <c r="CN513" s="1825"/>
      <c r="CO513" s="1825"/>
      <c r="CP513" s="1825"/>
      <c r="CQ513" s="1825"/>
      <c r="CR513" s="1825"/>
      <c r="CS513" s="1825"/>
      <c r="CT513" s="1825"/>
      <c r="CU513" s="1825"/>
      <c r="CV513" s="1825"/>
      <c r="CW513" s="1825"/>
      <c r="CX513" s="1825"/>
      <c r="CY513" s="1825"/>
      <c r="CZ513" s="1825"/>
      <c r="DA513" s="1825"/>
      <c r="DB513" s="1825"/>
      <c r="DC513" s="1825"/>
      <c r="DD513" s="1825"/>
      <c r="DE513" s="1825"/>
      <c r="DF513" s="1825"/>
      <c r="DG513" s="1825"/>
      <c r="DH513" s="1825"/>
      <c r="DI513" s="1825"/>
      <c r="DJ513" s="1825"/>
      <c r="DK513" s="1825"/>
      <c r="DL513" s="1825"/>
      <c r="DM513" s="1825"/>
      <c r="DN513" s="1825"/>
      <c r="DO513" s="1825"/>
      <c r="DP513" s="1825"/>
      <c r="DQ513" s="1825"/>
      <c r="DR513" s="1825"/>
      <c r="DS513" s="1825"/>
      <c r="DT513" s="1825"/>
      <c r="DU513" s="1825"/>
      <c r="DV513" s="1825"/>
      <c r="DW513" s="1825"/>
      <c r="DX513" s="1825"/>
      <c r="DY513" s="1825"/>
      <c r="DZ513" s="1825"/>
      <c r="EA513" s="1825"/>
      <c r="EB513" s="1825"/>
      <c r="EC513" s="1825"/>
      <c r="ED513" s="1825"/>
      <c r="EE513" s="1825"/>
      <c r="EF513" s="1825"/>
      <c r="EG513" s="1825"/>
      <c r="EH513" s="1825"/>
      <c r="EI513" s="1825"/>
      <c r="EJ513" s="1825"/>
      <c r="EK513" s="1825"/>
      <c r="EL513" s="1825"/>
      <c r="EM513" s="1825"/>
      <c r="EN513" s="1825"/>
      <c r="EO513" s="1825"/>
      <c r="EP513" s="1825"/>
      <c r="EQ513" s="1825"/>
      <c r="ER513" s="1825"/>
      <c r="ES513" s="1825"/>
      <c r="ET513" s="1825"/>
      <c r="EU513" s="1825"/>
      <c r="EV513" s="1825"/>
      <c r="EW513" s="1825"/>
      <c r="EX513" s="1825"/>
      <c r="EY513" s="1825"/>
      <c r="EZ513" s="1825"/>
      <c r="FA513" s="1825"/>
      <c r="FB513" s="1825"/>
      <c r="FC513" s="1825"/>
      <c r="FD513" s="1825"/>
      <c r="FE513" s="1825"/>
      <c r="FF513" s="1825"/>
      <c r="FG513" s="1825"/>
      <c r="FH513" s="1825"/>
      <c r="FI513" s="1825"/>
      <c r="FJ513" s="1825"/>
      <c r="FK513" s="1825"/>
      <c r="FL513" s="1825"/>
      <c r="FM513" s="1825"/>
      <c r="FN513" s="1825"/>
      <c r="FO513" s="1825"/>
      <c r="FP513" s="1825"/>
      <c r="FQ513" s="1825"/>
      <c r="FR513" s="1825"/>
      <c r="FS513" s="1825"/>
      <c r="FT513" s="1825"/>
      <c r="FU513" s="1825"/>
      <c r="FV513" s="1825"/>
      <c r="FW513" s="1825"/>
      <c r="FX513" s="1825"/>
      <c r="FY513" s="1825"/>
      <c r="FZ513" s="1825"/>
      <c r="GA513" s="1825"/>
      <c r="GB513" s="1825"/>
      <c r="GC513" s="1825"/>
      <c r="GD513" s="1825"/>
      <c r="GE513" s="1825"/>
      <c r="GF513" s="1825"/>
      <c r="GG513" s="1825"/>
      <c r="GH513" s="1825"/>
      <c r="GI513" s="1825"/>
      <c r="GJ513" s="1825"/>
      <c r="GK513" s="1825"/>
      <c r="GL513" s="1825"/>
      <c r="GM513" s="1825"/>
      <c r="GN513" s="1825"/>
      <c r="GO513" s="1825"/>
      <c r="GP513" s="1825"/>
      <c r="GQ513" s="1825"/>
      <c r="GR513" s="1825"/>
      <c r="GS513" s="1825"/>
      <c r="GT513" s="1825"/>
      <c r="GU513" s="1825"/>
      <c r="GV513" s="1825"/>
      <c r="GW513" s="1825"/>
      <c r="GX513" s="1825"/>
      <c r="GY513" s="1825"/>
      <c r="GZ513" s="1825"/>
      <c r="HA513" s="1825"/>
      <c r="HB513" s="1825"/>
      <c r="HC513" s="1825"/>
      <c r="HD513" s="1825"/>
      <c r="HE513" s="1825"/>
      <c r="HF513" s="1825"/>
      <c r="HG513" s="1825"/>
      <c r="HH513" s="1825"/>
      <c r="HI513" s="1825"/>
      <c r="HJ513" s="1825"/>
      <c r="HK513" s="1825"/>
      <c r="HL513" s="1825"/>
      <c r="HM513" s="1825"/>
      <c r="HN513" s="1825"/>
      <c r="HO513" s="1825"/>
      <c r="HP513" s="1825"/>
      <c r="HQ513" s="1825"/>
      <c r="HR513" s="1825"/>
      <c r="HS513" s="1825"/>
      <c r="HT513" s="1825"/>
      <c r="HU513" s="1825"/>
      <c r="HV513" s="1825"/>
      <c r="HW513" s="1825"/>
      <c r="HX513" s="1825"/>
      <c r="HY513" s="1825"/>
      <c r="HZ513" s="1825"/>
      <c r="IA513" s="1825"/>
      <c r="IB513" s="1825"/>
      <c r="IC513" s="1825"/>
      <c r="ID513" s="1825"/>
      <c r="IE513" s="1825"/>
      <c r="IF513" s="1825"/>
      <c r="IG513" s="1825"/>
      <c r="IH513" s="1825"/>
      <c r="II513" s="1825"/>
      <c r="IJ513" s="1825"/>
      <c r="IK513" s="1825"/>
      <c r="IL513" s="1825"/>
      <c r="IM513" s="1825"/>
      <c r="IN513" s="1825"/>
      <c r="IO513" s="1825"/>
      <c r="IP513" s="1825"/>
      <c r="IQ513" s="1825"/>
      <c r="IR513" s="1825"/>
      <c r="IS513" s="1825"/>
      <c r="IT513" s="1825"/>
      <c r="IU513" s="1825"/>
      <c r="IV513" s="1825"/>
    </row>
    <row r="514" spans="1:256" s="3143" customFormat="1" ht="27" customHeight="1">
      <c r="A514" s="3469"/>
      <c r="B514" s="3324"/>
      <c r="C514" s="2230"/>
      <c r="D514" s="2230" t="s">
        <v>2713</v>
      </c>
      <c r="E514" s="2230"/>
      <c r="F514" s="3325"/>
      <c r="G514" s="207"/>
      <c r="H514" s="3326"/>
      <c r="I514" s="3470"/>
      <c r="J514" s="3471"/>
    </row>
    <row r="515" spans="1:256" s="1913" customFormat="1" ht="13.5" customHeight="1">
      <c r="A515" s="3340">
        <v>107</v>
      </c>
      <c r="B515" s="3438" t="s">
        <v>1860</v>
      </c>
      <c r="C515" s="2590" t="s">
        <v>2714</v>
      </c>
      <c r="D515" s="3434" t="s">
        <v>2715</v>
      </c>
      <c r="E515" s="3434" t="s">
        <v>205</v>
      </c>
      <c r="F515" s="2593">
        <f>SUM(F517:F517)</f>
        <v>2</v>
      </c>
      <c r="G515" s="208"/>
      <c r="H515" s="3439">
        <f>F515*G515</f>
        <v>0</v>
      </c>
      <c r="I515" s="3440" t="s">
        <v>112</v>
      </c>
      <c r="J515" s="3472"/>
    </row>
    <row r="516" spans="1:256" s="1913" customFormat="1" ht="13.5" customHeight="1">
      <c r="A516" s="3323"/>
      <c r="B516" s="3324"/>
      <c r="C516" s="2230"/>
      <c r="D516" s="2230" t="s">
        <v>2716</v>
      </c>
      <c r="E516" s="2230"/>
      <c r="F516" s="3444"/>
      <c r="G516" s="207"/>
      <c r="H516" s="3326"/>
      <c r="I516" s="3470"/>
    </row>
    <row r="517" spans="1:256" s="3333" customFormat="1" ht="13.5" customHeight="1">
      <c r="A517" s="3329"/>
      <c r="B517" s="3330"/>
      <c r="C517" s="3330"/>
      <c r="D517" s="3330" t="s">
        <v>2492</v>
      </c>
      <c r="E517" s="3330"/>
      <c r="F517" s="3331">
        <v>2</v>
      </c>
      <c r="G517" s="203"/>
      <c r="H517" s="3332"/>
      <c r="I517" s="3334"/>
      <c r="J517" s="3409"/>
      <c r="K517" s="2206"/>
      <c r="L517" s="2206"/>
      <c r="M517" s="2206"/>
      <c r="N517" s="2206"/>
      <c r="O517" s="2206"/>
      <c r="P517" s="2206"/>
      <c r="Q517" s="2206"/>
      <c r="R517" s="2206"/>
      <c r="S517" s="2206"/>
      <c r="T517" s="2206"/>
      <c r="U517" s="2206"/>
      <c r="V517" s="2206"/>
      <c r="W517" s="2206"/>
      <c r="X517" s="2206"/>
      <c r="Y517" s="2206"/>
      <c r="Z517" s="2206"/>
      <c r="AA517" s="2206"/>
      <c r="AB517" s="2206"/>
      <c r="AC517" s="2206"/>
      <c r="AD517" s="2206"/>
      <c r="AE517" s="2206"/>
      <c r="AF517" s="2206"/>
      <c r="AG517" s="2206"/>
      <c r="AH517" s="2206"/>
      <c r="AI517" s="2206"/>
      <c r="AJ517" s="2206"/>
      <c r="AK517" s="2206"/>
      <c r="AL517" s="2206"/>
      <c r="AM517" s="2206"/>
      <c r="AN517" s="2206"/>
      <c r="AO517" s="2206"/>
      <c r="AP517" s="2206"/>
      <c r="AQ517" s="2206"/>
      <c r="AR517" s="1825"/>
      <c r="AS517" s="1825"/>
      <c r="AT517" s="1825"/>
      <c r="AU517" s="1825"/>
      <c r="AV517" s="1825"/>
      <c r="AW517" s="1825"/>
      <c r="AX517" s="1825"/>
      <c r="AY517" s="1825"/>
      <c r="AZ517" s="1825"/>
      <c r="BA517" s="1825"/>
      <c r="BB517" s="1825"/>
      <c r="BC517" s="1825"/>
      <c r="BD517" s="1825"/>
      <c r="BE517" s="1825"/>
      <c r="BF517" s="1825"/>
      <c r="BG517" s="1825"/>
      <c r="BH517" s="1825"/>
      <c r="BI517" s="1825"/>
      <c r="BJ517" s="1825"/>
      <c r="BK517" s="1825"/>
      <c r="BL517" s="1825"/>
      <c r="BM517" s="1825"/>
      <c r="BN517" s="1825"/>
      <c r="BO517" s="1825"/>
      <c r="BP517" s="1825"/>
      <c r="BQ517" s="1825"/>
      <c r="BR517" s="1825"/>
      <c r="BS517" s="1825"/>
      <c r="BT517" s="1825"/>
      <c r="BU517" s="1825"/>
      <c r="BV517" s="1825"/>
      <c r="BW517" s="1825"/>
      <c r="BX517" s="1825"/>
      <c r="BY517" s="1825"/>
      <c r="BZ517" s="1825"/>
      <c r="CA517" s="1825"/>
      <c r="CB517" s="1825"/>
      <c r="CC517" s="1825"/>
      <c r="CD517" s="1825"/>
      <c r="CE517" s="1825"/>
      <c r="CF517" s="1825"/>
      <c r="CG517" s="1825"/>
      <c r="CH517" s="1825"/>
      <c r="CI517" s="1825"/>
      <c r="CJ517" s="1825"/>
      <c r="CK517" s="1825"/>
      <c r="CL517" s="1825"/>
      <c r="CM517" s="1825"/>
      <c r="CN517" s="1825"/>
      <c r="CO517" s="1825"/>
      <c r="CP517" s="1825"/>
      <c r="CQ517" s="1825"/>
      <c r="CR517" s="1825"/>
      <c r="CS517" s="1825"/>
      <c r="CT517" s="1825"/>
      <c r="CU517" s="1825"/>
      <c r="CV517" s="1825"/>
      <c r="CW517" s="1825"/>
      <c r="CX517" s="1825"/>
      <c r="CY517" s="1825"/>
      <c r="CZ517" s="1825"/>
      <c r="DA517" s="1825"/>
      <c r="DB517" s="1825"/>
      <c r="DC517" s="1825"/>
      <c r="DD517" s="1825"/>
      <c r="DE517" s="1825"/>
      <c r="DF517" s="1825"/>
      <c r="DG517" s="1825"/>
      <c r="DH517" s="1825"/>
      <c r="DI517" s="1825"/>
      <c r="DJ517" s="1825"/>
      <c r="DK517" s="1825"/>
      <c r="DL517" s="1825"/>
      <c r="DM517" s="1825"/>
      <c r="DN517" s="1825"/>
      <c r="DO517" s="1825"/>
      <c r="DP517" s="1825"/>
      <c r="DQ517" s="1825"/>
      <c r="DR517" s="1825"/>
      <c r="DS517" s="1825"/>
      <c r="DT517" s="1825"/>
      <c r="DU517" s="1825"/>
      <c r="DV517" s="1825"/>
      <c r="DW517" s="1825"/>
      <c r="DX517" s="1825"/>
      <c r="DY517" s="1825"/>
      <c r="DZ517" s="1825"/>
      <c r="EA517" s="1825"/>
      <c r="EB517" s="1825"/>
      <c r="EC517" s="1825"/>
      <c r="ED517" s="1825"/>
      <c r="EE517" s="1825"/>
      <c r="EF517" s="1825"/>
      <c r="EG517" s="1825"/>
      <c r="EH517" s="1825"/>
      <c r="EI517" s="1825"/>
      <c r="EJ517" s="1825"/>
      <c r="EK517" s="1825"/>
      <c r="EL517" s="1825"/>
      <c r="EM517" s="1825"/>
      <c r="EN517" s="1825"/>
      <c r="EO517" s="1825"/>
      <c r="EP517" s="1825"/>
      <c r="EQ517" s="1825"/>
      <c r="ER517" s="1825"/>
      <c r="ES517" s="1825"/>
      <c r="ET517" s="1825"/>
      <c r="EU517" s="1825"/>
      <c r="EV517" s="1825"/>
      <c r="EW517" s="1825"/>
      <c r="EX517" s="1825"/>
      <c r="EY517" s="1825"/>
      <c r="EZ517" s="1825"/>
      <c r="FA517" s="1825"/>
      <c r="FB517" s="1825"/>
      <c r="FC517" s="1825"/>
      <c r="FD517" s="1825"/>
      <c r="FE517" s="1825"/>
      <c r="FF517" s="1825"/>
      <c r="FG517" s="1825"/>
      <c r="FH517" s="1825"/>
      <c r="FI517" s="1825"/>
      <c r="FJ517" s="1825"/>
      <c r="FK517" s="1825"/>
      <c r="FL517" s="1825"/>
      <c r="FM517" s="1825"/>
      <c r="FN517" s="1825"/>
      <c r="FO517" s="1825"/>
      <c r="FP517" s="1825"/>
      <c r="FQ517" s="1825"/>
      <c r="FR517" s="1825"/>
      <c r="FS517" s="1825"/>
      <c r="FT517" s="1825"/>
      <c r="FU517" s="1825"/>
      <c r="FV517" s="1825"/>
      <c r="FW517" s="1825"/>
      <c r="FX517" s="1825"/>
      <c r="FY517" s="1825"/>
      <c r="FZ517" s="1825"/>
      <c r="GA517" s="1825"/>
      <c r="GB517" s="1825"/>
      <c r="GC517" s="1825"/>
      <c r="GD517" s="1825"/>
      <c r="GE517" s="1825"/>
      <c r="GF517" s="1825"/>
      <c r="GG517" s="1825"/>
      <c r="GH517" s="1825"/>
      <c r="GI517" s="1825"/>
      <c r="GJ517" s="1825"/>
      <c r="GK517" s="1825"/>
      <c r="GL517" s="1825"/>
      <c r="GM517" s="1825"/>
      <c r="GN517" s="1825"/>
      <c r="GO517" s="1825"/>
      <c r="GP517" s="1825"/>
      <c r="GQ517" s="1825"/>
      <c r="GR517" s="1825"/>
      <c r="GS517" s="1825"/>
      <c r="GT517" s="1825"/>
      <c r="GU517" s="1825"/>
      <c r="GV517" s="1825"/>
      <c r="GW517" s="1825"/>
      <c r="GX517" s="1825"/>
      <c r="GY517" s="1825"/>
      <c r="GZ517" s="1825"/>
      <c r="HA517" s="1825"/>
      <c r="HB517" s="1825"/>
      <c r="HC517" s="1825"/>
      <c r="HD517" s="1825"/>
      <c r="HE517" s="1825"/>
      <c r="HF517" s="1825"/>
      <c r="HG517" s="1825"/>
      <c r="HH517" s="1825"/>
      <c r="HI517" s="1825"/>
      <c r="HJ517" s="1825"/>
      <c r="HK517" s="1825"/>
      <c r="HL517" s="1825"/>
      <c r="HM517" s="1825"/>
      <c r="HN517" s="1825"/>
      <c r="HO517" s="1825"/>
      <c r="HP517" s="1825"/>
      <c r="HQ517" s="1825"/>
      <c r="HR517" s="1825"/>
      <c r="HS517" s="1825"/>
      <c r="HT517" s="1825"/>
      <c r="HU517" s="1825"/>
      <c r="HV517" s="1825"/>
      <c r="HW517" s="1825"/>
      <c r="HX517" s="1825"/>
      <c r="HY517" s="1825"/>
      <c r="HZ517" s="1825"/>
      <c r="IA517" s="1825"/>
      <c r="IB517" s="1825"/>
      <c r="IC517" s="1825"/>
      <c r="ID517" s="1825"/>
      <c r="IE517" s="1825"/>
      <c r="IF517" s="1825"/>
      <c r="IG517" s="1825"/>
      <c r="IH517" s="1825"/>
      <c r="II517" s="1825"/>
      <c r="IJ517" s="1825"/>
      <c r="IK517" s="1825"/>
      <c r="IL517" s="1825"/>
      <c r="IM517" s="1825"/>
      <c r="IN517" s="1825"/>
      <c r="IO517" s="1825"/>
      <c r="IP517" s="1825"/>
      <c r="IQ517" s="1825"/>
      <c r="IR517" s="1825"/>
      <c r="IS517" s="1825"/>
      <c r="IT517" s="1825"/>
      <c r="IU517" s="1825"/>
      <c r="IV517" s="1825"/>
    </row>
    <row r="518" spans="1:256" s="3143" customFormat="1" ht="27" customHeight="1">
      <c r="A518" s="3469"/>
      <c r="B518" s="3324"/>
      <c r="C518" s="2230"/>
      <c r="D518" s="2230" t="s">
        <v>2713</v>
      </c>
      <c r="E518" s="2230"/>
      <c r="F518" s="3325"/>
      <c r="G518" s="207"/>
      <c r="H518" s="3326"/>
      <c r="I518" s="3470"/>
      <c r="J518" s="3471"/>
    </row>
    <row r="519" spans="1:256" s="1913" customFormat="1" ht="13.5" customHeight="1">
      <c r="A519" s="3340">
        <v>108</v>
      </c>
      <c r="B519" s="3438" t="s">
        <v>1860</v>
      </c>
      <c r="C519" s="2590" t="s">
        <v>2717</v>
      </c>
      <c r="D519" s="3434" t="s">
        <v>2718</v>
      </c>
      <c r="E519" s="3434" t="s">
        <v>205</v>
      </c>
      <c r="F519" s="2593">
        <f>SUM(F521:F521)</f>
        <v>3</v>
      </c>
      <c r="G519" s="208"/>
      <c r="H519" s="3439">
        <f>F519*G519</f>
        <v>0</v>
      </c>
      <c r="I519" s="3440" t="s">
        <v>112</v>
      </c>
      <c r="J519" s="3472"/>
    </row>
    <row r="520" spans="1:256" s="1913" customFormat="1" ht="13.5" customHeight="1">
      <c r="A520" s="3323"/>
      <c r="B520" s="3324"/>
      <c r="C520" s="2230"/>
      <c r="D520" s="2230" t="s">
        <v>2719</v>
      </c>
      <c r="E520" s="2230"/>
      <c r="F520" s="3444"/>
      <c r="G520" s="207"/>
      <c r="H520" s="3326"/>
      <c r="I520" s="3470"/>
    </row>
    <row r="521" spans="1:256" s="3333" customFormat="1" ht="13.5" customHeight="1">
      <c r="A521" s="3329"/>
      <c r="B521" s="3330"/>
      <c r="C521" s="3330"/>
      <c r="D521" s="3330" t="s">
        <v>2492</v>
      </c>
      <c r="E521" s="3330"/>
      <c r="F521" s="3331">
        <v>3</v>
      </c>
      <c r="G521" s="203"/>
      <c r="H521" s="3332"/>
      <c r="I521" s="3334"/>
      <c r="J521" s="3409"/>
      <c r="K521" s="2206"/>
      <c r="L521" s="2206"/>
      <c r="M521" s="2206"/>
      <c r="N521" s="2206"/>
      <c r="O521" s="2206"/>
      <c r="P521" s="2206"/>
      <c r="Q521" s="2206"/>
      <c r="R521" s="2206"/>
      <c r="S521" s="2206"/>
      <c r="T521" s="2206"/>
      <c r="U521" s="2206"/>
      <c r="V521" s="2206"/>
      <c r="W521" s="2206"/>
      <c r="X521" s="2206"/>
      <c r="Y521" s="2206"/>
      <c r="Z521" s="2206"/>
      <c r="AA521" s="2206"/>
      <c r="AB521" s="2206"/>
      <c r="AC521" s="2206"/>
      <c r="AD521" s="2206"/>
      <c r="AE521" s="2206"/>
      <c r="AF521" s="2206"/>
      <c r="AG521" s="2206"/>
      <c r="AH521" s="2206"/>
      <c r="AI521" s="2206"/>
      <c r="AJ521" s="2206"/>
      <c r="AK521" s="2206"/>
      <c r="AL521" s="2206"/>
      <c r="AM521" s="2206"/>
      <c r="AN521" s="2206"/>
      <c r="AO521" s="2206"/>
      <c r="AP521" s="2206"/>
      <c r="AQ521" s="2206"/>
      <c r="AR521" s="1825"/>
      <c r="AS521" s="1825"/>
      <c r="AT521" s="1825"/>
      <c r="AU521" s="1825"/>
      <c r="AV521" s="1825"/>
      <c r="AW521" s="1825"/>
      <c r="AX521" s="1825"/>
      <c r="AY521" s="1825"/>
      <c r="AZ521" s="1825"/>
      <c r="BA521" s="1825"/>
      <c r="BB521" s="1825"/>
      <c r="BC521" s="1825"/>
      <c r="BD521" s="1825"/>
      <c r="BE521" s="1825"/>
      <c r="BF521" s="1825"/>
      <c r="BG521" s="1825"/>
      <c r="BH521" s="1825"/>
      <c r="BI521" s="1825"/>
      <c r="BJ521" s="1825"/>
      <c r="BK521" s="1825"/>
      <c r="BL521" s="1825"/>
      <c r="BM521" s="1825"/>
      <c r="BN521" s="1825"/>
      <c r="BO521" s="1825"/>
      <c r="BP521" s="1825"/>
      <c r="BQ521" s="1825"/>
      <c r="BR521" s="1825"/>
      <c r="BS521" s="1825"/>
      <c r="BT521" s="1825"/>
      <c r="BU521" s="1825"/>
      <c r="BV521" s="1825"/>
      <c r="BW521" s="1825"/>
      <c r="BX521" s="1825"/>
      <c r="BY521" s="1825"/>
      <c r="BZ521" s="1825"/>
      <c r="CA521" s="1825"/>
      <c r="CB521" s="1825"/>
      <c r="CC521" s="1825"/>
      <c r="CD521" s="1825"/>
      <c r="CE521" s="1825"/>
      <c r="CF521" s="1825"/>
      <c r="CG521" s="1825"/>
      <c r="CH521" s="1825"/>
      <c r="CI521" s="1825"/>
      <c r="CJ521" s="1825"/>
      <c r="CK521" s="1825"/>
      <c r="CL521" s="1825"/>
      <c r="CM521" s="1825"/>
      <c r="CN521" s="1825"/>
      <c r="CO521" s="1825"/>
      <c r="CP521" s="1825"/>
      <c r="CQ521" s="1825"/>
      <c r="CR521" s="1825"/>
      <c r="CS521" s="1825"/>
      <c r="CT521" s="1825"/>
      <c r="CU521" s="1825"/>
      <c r="CV521" s="1825"/>
      <c r="CW521" s="1825"/>
      <c r="CX521" s="1825"/>
      <c r="CY521" s="1825"/>
      <c r="CZ521" s="1825"/>
      <c r="DA521" s="1825"/>
      <c r="DB521" s="1825"/>
      <c r="DC521" s="1825"/>
      <c r="DD521" s="1825"/>
      <c r="DE521" s="1825"/>
      <c r="DF521" s="1825"/>
      <c r="DG521" s="1825"/>
      <c r="DH521" s="1825"/>
      <c r="DI521" s="1825"/>
      <c r="DJ521" s="1825"/>
      <c r="DK521" s="1825"/>
      <c r="DL521" s="1825"/>
      <c r="DM521" s="1825"/>
      <c r="DN521" s="1825"/>
      <c r="DO521" s="1825"/>
      <c r="DP521" s="1825"/>
      <c r="DQ521" s="1825"/>
      <c r="DR521" s="1825"/>
      <c r="DS521" s="1825"/>
      <c r="DT521" s="1825"/>
      <c r="DU521" s="1825"/>
      <c r="DV521" s="1825"/>
      <c r="DW521" s="1825"/>
      <c r="DX521" s="1825"/>
      <c r="DY521" s="1825"/>
      <c r="DZ521" s="1825"/>
      <c r="EA521" s="1825"/>
      <c r="EB521" s="1825"/>
      <c r="EC521" s="1825"/>
      <c r="ED521" s="1825"/>
      <c r="EE521" s="1825"/>
      <c r="EF521" s="1825"/>
      <c r="EG521" s="1825"/>
      <c r="EH521" s="1825"/>
      <c r="EI521" s="1825"/>
      <c r="EJ521" s="1825"/>
      <c r="EK521" s="1825"/>
      <c r="EL521" s="1825"/>
      <c r="EM521" s="1825"/>
      <c r="EN521" s="1825"/>
      <c r="EO521" s="1825"/>
      <c r="EP521" s="1825"/>
      <c r="EQ521" s="1825"/>
      <c r="ER521" s="1825"/>
      <c r="ES521" s="1825"/>
      <c r="ET521" s="1825"/>
      <c r="EU521" s="1825"/>
      <c r="EV521" s="1825"/>
      <c r="EW521" s="1825"/>
      <c r="EX521" s="1825"/>
      <c r="EY521" s="1825"/>
      <c r="EZ521" s="1825"/>
      <c r="FA521" s="1825"/>
      <c r="FB521" s="1825"/>
      <c r="FC521" s="1825"/>
      <c r="FD521" s="1825"/>
      <c r="FE521" s="1825"/>
      <c r="FF521" s="1825"/>
      <c r="FG521" s="1825"/>
      <c r="FH521" s="1825"/>
      <c r="FI521" s="1825"/>
      <c r="FJ521" s="1825"/>
      <c r="FK521" s="1825"/>
      <c r="FL521" s="1825"/>
      <c r="FM521" s="1825"/>
      <c r="FN521" s="1825"/>
      <c r="FO521" s="1825"/>
      <c r="FP521" s="1825"/>
      <c r="FQ521" s="1825"/>
      <c r="FR521" s="1825"/>
      <c r="FS521" s="1825"/>
      <c r="FT521" s="1825"/>
      <c r="FU521" s="1825"/>
      <c r="FV521" s="1825"/>
      <c r="FW521" s="1825"/>
      <c r="FX521" s="1825"/>
      <c r="FY521" s="1825"/>
      <c r="FZ521" s="1825"/>
      <c r="GA521" s="1825"/>
      <c r="GB521" s="1825"/>
      <c r="GC521" s="1825"/>
      <c r="GD521" s="1825"/>
      <c r="GE521" s="1825"/>
      <c r="GF521" s="1825"/>
      <c r="GG521" s="1825"/>
      <c r="GH521" s="1825"/>
      <c r="GI521" s="1825"/>
      <c r="GJ521" s="1825"/>
      <c r="GK521" s="1825"/>
      <c r="GL521" s="1825"/>
      <c r="GM521" s="1825"/>
      <c r="GN521" s="1825"/>
      <c r="GO521" s="1825"/>
      <c r="GP521" s="1825"/>
      <c r="GQ521" s="1825"/>
      <c r="GR521" s="1825"/>
      <c r="GS521" s="1825"/>
      <c r="GT521" s="1825"/>
      <c r="GU521" s="1825"/>
      <c r="GV521" s="1825"/>
      <c r="GW521" s="1825"/>
      <c r="GX521" s="1825"/>
      <c r="GY521" s="1825"/>
      <c r="GZ521" s="1825"/>
      <c r="HA521" s="1825"/>
      <c r="HB521" s="1825"/>
      <c r="HC521" s="1825"/>
      <c r="HD521" s="1825"/>
      <c r="HE521" s="1825"/>
      <c r="HF521" s="1825"/>
      <c r="HG521" s="1825"/>
      <c r="HH521" s="1825"/>
      <c r="HI521" s="1825"/>
      <c r="HJ521" s="1825"/>
      <c r="HK521" s="1825"/>
      <c r="HL521" s="1825"/>
      <c r="HM521" s="1825"/>
      <c r="HN521" s="1825"/>
      <c r="HO521" s="1825"/>
      <c r="HP521" s="1825"/>
      <c r="HQ521" s="1825"/>
      <c r="HR521" s="1825"/>
      <c r="HS521" s="1825"/>
      <c r="HT521" s="1825"/>
      <c r="HU521" s="1825"/>
      <c r="HV521" s="1825"/>
      <c r="HW521" s="1825"/>
      <c r="HX521" s="1825"/>
      <c r="HY521" s="1825"/>
      <c r="HZ521" s="1825"/>
      <c r="IA521" s="1825"/>
      <c r="IB521" s="1825"/>
      <c r="IC521" s="1825"/>
      <c r="ID521" s="1825"/>
      <c r="IE521" s="1825"/>
      <c r="IF521" s="1825"/>
      <c r="IG521" s="1825"/>
      <c r="IH521" s="1825"/>
      <c r="II521" s="1825"/>
      <c r="IJ521" s="1825"/>
      <c r="IK521" s="1825"/>
      <c r="IL521" s="1825"/>
      <c r="IM521" s="1825"/>
      <c r="IN521" s="1825"/>
      <c r="IO521" s="1825"/>
      <c r="IP521" s="1825"/>
      <c r="IQ521" s="1825"/>
      <c r="IR521" s="1825"/>
      <c r="IS521" s="1825"/>
      <c r="IT521" s="1825"/>
      <c r="IU521" s="1825"/>
      <c r="IV521" s="1825"/>
    </row>
    <row r="522" spans="1:256" s="3143" customFormat="1" ht="27" customHeight="1">
      <c r="A522" s="3469"/>
      <c r="B522" s="3324"/>
      <c r="C522" s="2230"/>
      <c r="D522" s="2230" t="s">
        <v>2713</v>
      </c>
      <c r="E522" s="2230"/>
      <c r="F522" s="3325"/>
      <c r="G522" s="207"/>
      <c r="H522" s="3326"/>
      <c r="I522" s="3470"/>
      <c r="J522" s="3471"/>
    </row>
    <row r="523" spans="1:256" s="1913" customFormat="1" ht="13.5" customHeight="1">
      <c r="A523" s="3340">
        <v>109</v>
      </c>
      <c r="B523" s="3438" t="s">
        <v>1860</v>
      </c>
      <c r="C523" s="2590" t="s">
        <v>2720</v>
      </c>
      <c r="D523" s="3434" t="s">
        <v>2721</v>
      </c>
      <c r="E523" s="3434" t="s">
        <v>205</v>
      </c>
      <c r="F523" s="2593">
        <f>SUM(F525:F525)</f>
        <v>1</v>
      </c>
      <c r="G523" s="208"/>
      <c r="H523" s="3439">
        <f>F523*G523</f>
        <v>0</v>
      </c>
      <c r="I523" s="3440" t="s">
        <v>112</v>
      </c>
      <c r="J523" s="3472"/>
    </row>
    <row r="524" spans="1:256" s="1913" customFormat="1" ht="13.5" customHeight="1">
      <c r="A524" s="3323"/>
      <c r="B524" s="3324"/>
      <c r="C524" s="2230"/>
      <c r="D524" s="2230" t="s">
        <v>2722</v>
      </c>
      <c r="E524" s="2230"/>
      <c r="F524" s="3444"/>
      <c r="G524" s="207"/>
      <c r="H524" s="3326"/>
      <c r="I524" s="3470"/>
    </row>
    <row r="525" spans="1:256" s="3333" customFormat="1" ht="13.5" customHeight="1">
      <c r="A525" s="3329"/>
      <c r="B525" s="3330"/>
      <c r="C525" s="3330"/>
      <c r="D525" s="3330" t="s">
        <v>2492</v>
      </c>
      <c r="E525" s="3330"/>
      <c r="F525" s="3331">
        <v>1</v>
      </c>
      <c r="G525" s="203"/>
      <c r="H525" s="3332"/>
      <c r="I525" s="3334"/>
      <c r="J525" s="3409"/>
      <c r="K525" s="2206"/>
      <c r="L525" s="2206"/>
      <c r="M525" s="2206"/>
      <c r="N525" s="2206"/>
      <c r="O525" s="2206"/>
      <c r="P525" s="2206"/>
      <c r="Q525" s="2206"/>
      <c r="R525" s="2206"/>
      <c r="S525" s="2206"/>
      <c r="T525" s="2206"/>
      <c r="U525" s="2206"/>
      <c r="V525" s="2206"/>
      <c r="W525" s="2206"/>
      <c r="X525" s="2206"/>
      <c r="Y525" s="2206"/>
      <c r="Z525" s="2206"/>
      <c r="AA525" s="2206"/>
      <c r="AB525" s="2206"/>
      <c r="AC525" s="2206"/>
      <c r="AD525" s="2206"/>
      <c r="AE525" s="2206"/>
      <c r="AF525" s="2206"/>
      <c r="AG525" s="2206"/>
      <c r="AH525" s="2206"/>
      <c r="AI525" s="2206"/>
      <c r="AJ525" s="2206"/>
      <c r="AK525" s="2206"/>
      <c r="AL525" s="2206"/>
      <c r="AM525" s="2206"/>
      <c r="AN525" s="2206"/>
      <c r="AO525" s="2206"/>
      <c r="AP525" s="2206"/>
      <c r="AQ525" s="2206"/>
      <c r="AR525" s="1825"/>
      <c r="AS525" s="1825"/>
      <c r="AT525" s="1825"/>
      <c r="AU525" s="1825"/>
      <c r="AV525" s="1825"/>
      <c r="AW525" s="1825"/>
      <c r="AX525" s="1825"/>
      <c r="AY525" s="1825"/>
      <c r="AZ525" s="1825"/>
      <c r="BA525" s="1825"/>
      <c r="BB525" s="1825"/>
      <c r="BC525" s="1825"/>
      <c r="BD525" s="1825"/>
      <c r="BE525" s="1825"/>
      <c r="BF525" s="1825"/>
      <c r="BG525" s="1825"/>
      <c r="BH525" s="1825"/>
      <c r="BI525" s="1825"/>
      <c r="BJ525" s="1825"/>
      <c r="BK525" s="1825"/>
      <c r="BL525" s="1825"/>
      <c r="BM525" s="1825"/>
      <c r="BN525" s="1825"/>
      <c r="BO525" s="1825"/>
      <c r="BP525" s="1825"/>
      <c r="BQ525" s="1825"/>
      <c r="BR525" s="1825"/>
      <c r="BS525" s="1825"/>
      <c r="BT525" s="1825"/>
      <c r="BU525" s="1825"/>
      <c r="BV525" s="1825"/>
      <c r="BW525" s="1825"/>
      <c r="BX525" s="1825"/>
      <c r="BY525" s="1825"/>
      <c r="BZ525" s="1825"/>
      <c r="CA525" s="1825"/>
      <c r="CB525" s="1825"/>
      <c r="CC525" s="1825"/>
      <c r="CD525" s="1825"/>
      <c r="CE525" s="1825"/>
      <c r="CF525" s="1825"/>
      <c r="CG525" s="1825"/>
      <c r="CH525" s="1825"/>
      <c r="CI525" s="1825"/>
      <c r="CJ525" s="1825"/>
      <c r="CK525" s="1825"/>
      <c r="CL525" s="1825"/>
      <c r="CM525" s="1825"/>
      <c r="CN525" s="1825"/>
      <c r="CO525" s="1825"/>
      <c r="CP525" s="1825"/>
      <c r="CQ525" s="1825"/>
      <c r="CR525" s="1825"/>
      <c r="CS525" s="1825"/>
      <c r="CT525" s="1825"/>
      <c r="CU525" s="1825"/>
      <c r="CV525" s="1825"/>
      <c r="CW525" s="1825"/>
      <c r="CX525" s="1825"/>
      <c r="CY525" s="1825"/>
      <c r="CZ525" s="1825"/>
      <c r="DA525" s="1825"/>
      <c r="DB525" s="1825"/>
      <c r="DC525" s="1825"/>
      <c r="DD525" s="1825"/>
      <c r="DE525" s="1825"/>
      <c r="DF525" s="1825"/>
      <c r="DG525" s="1825"/>
      <c r="DH525" s="1825"/>
      <c r="DI525" s="1825"/>
      <c r="DJ525" s="1825"/>
      <c r="DK525" s="1825"/>
      <c r="DL525" s="1825"/>
      <c r="DM525" s="1825"/>
      <c r="DN525" s="1825"/>
      <c r="DO525" s="1825"/>
      <c r="DP525" s="1825"/>
      <c r="DQ525" s="1825"/>
      <c r="DR525" s="1825"/>
      <c r="DS525" s="1825"/>
      <c r="DT525" s="1825"/>
      <c r="DU525" s="1825"/>
      <c r="DV525" s="1825"/>
      <c r="DW525" s="1825"/>
      <c r="DX525" s="1825"/>
      <c r="DY525" s="1825"/>
      <c r="DZ525" s="1825"/>
      <c r="EA525" s="1825"/>
      <c r="EB525" s="1825"/>
      <c r="EC525" s="1825"/>
      <c r="ED525" s="1825"/>
      <c r="EE525" s="1825"/>
      <c r="EF525" s="1825"/>
      <c r="EG525" s="1825"/>
      <c r="EH525" s="1825"/>
      <c r="EI525" s="1825"/>
      <c r="EJ525" s="1825"/>
      <c r="EK525" s="1825"/>
      <c r="EL525" s="1825"/>
      <c r="EM525" s="1825"/>
      <c r="EN525" s="1825"/>
      <c r="EO525" s="1825"/>
      <c r="EP525" s="1825"/>
      <c r="EQ525" s="1825"/>
      <c r="ER525" s="1825"/>
      <c r="ES525" s="1825"/>
      <c r="ET525" s="1825"/>
      <c r="EU525" s="1825"/>
      <c r="EV525" s="1825"/>
      <c r="EW525" s="1825"/>
      <c r="EX525" s="1825"/>
      <c r="EY525" s="1825"/>
      <c r="EZ525" s="1825"/>
      <c r="FA525" s="1825"/>
      <c r="FB525" s="1825"/>
      <c r="FC525" s="1825"/>
      <c r="FD525" s="1825"/>
      <c r="FE525" s="1825"/>
      <c r="FF525" s="1825"/>
      <c r="FG525" s="1825"/>
      <c r="FH525" s="1825"/>
      <c r="FI525" s="1825"/>
      <c r="FJ525" s="1825"/>
      <c r="FK525" s="1825"/>
      <c r="FL525" s="1825"/>
      <c r="FM525" s="1825"/>
      <c r="FN525" s="1825"/>
      <c r="FO525" s="1825"/>
      <c r="FP525" s="1825"/>
      <c r="FQ525" s="1825"/>
      <c r="FR525" s="1825"/>
      <c r="FS525" s="1825"/>
      <c r="FT525" s="1825"/>
      <c r="FU525" s="1825"/>
      <c r="FV525" s="1825"/>
      <c r="FW525" s="1825"/>
      <c r="FX525" s="1825"/>
      <c r="FY525" s="1825"/>
      <c r="FZ525" s="1825"/>
      <c r="GA525" s="1825"/>
      <c r="GB525" s="1825"/>
      <c r="GC525" s="1825"/>
      <c r="GD525" s="1825"/>
      <c r="GE525" s="1825"/>
      <c r="GF525" s="1825"/>
      <c r="GG525" s="1825"/>
      <c r="GH525" s="1825"/>
      <c r="GI525" s="1825"/>
      <c r="GJ525" s="1825"/>
      <c r="GK525" s="1825"/>
      <c r="GL525" s="1825"/>
      <c r="GM525" s="1825"/>
      <c r="GN525" s="1825"/>
      <c r="GO525" s="1825"/>
      <c r="GP525" s="1825"/>
      <c r="GQ525" s="1825"/>
      <c r="GR525" s="1825"/>
      <c r="GS525" s="1825"/>
      <c r="GT525" s="1825"/>
      <c r="GU525" s="1825"/>
      <c r="GV525" s="1825"/>
      <c r="GW525" s="1825"/>
      <c r="GX525" s="1825"/>
      <c r="GY525" s="1825"/>
      <c r="GZ525" s="1825"/>
      <c r="HA525" s="1825"/>
      <c r="HB525" s="1825"/>
      <c r="HC525" s="1825"/>
      <c r="HD525" s="1825"/>
      <c r="HE525" s="1825"/>
      <c r="HF525" s="1825"/>
      <c r="HG525" s="1825"/>
      <c r="HH525" s="1825"/>
      <c r="HI525" s="1825"/>
      <c r="HJ525" s="1825"/>
      <c r="HK525" s="1825"/>
      <c r="HL525" s="1825"/>
      <c r="HM525" s="1825"/>
      <c r="HN525" s="1825"/>
      <c r="HO525" s="1825"/>
      <c r="HP525" s="1825"/>
      <c r="HQ525" s="1825"/>
      <c r="HR525" s="1825"/>
      <c r="HS525" s="1825"/>
      <c r="HT525" s="1825"/>
      <c r="HU525" s="1825"/>
      <c r="HV525" s="1825"/>
      <c r="HW525" s="1825"/>
      <c r="HX525" s="1825"/>
      <c r="HY525" s="1825"/>
      <c r="HZ525" s="1825"/>
      <c r="IA525" s="1825"/>
      <c r="IB525" s="1825"/>
      <c r="IC525" s="1825"/>
      <c r="ID525" s="1825"/>
      <c r="IE525" s="1825"/>
      <c r="IF525" s="1825"/>
      <c r="IG525" s="1825"/>
      <c r="IH525" s="1825"/>
      <c r="II525" s="1825"/>
      <c r="IJ525" s="1825"/>
      <c r="IK525" s="1825"/>
      <c r="IL525" s="1825"/>
      <c r="IM525" s="1825"/>
      <c r="IN525" s="1825"/>
      <c r="IO525" s="1825"/>
      <c r="IP525" s="1825"/>
      <c r="IQ525" s="1825"/>
      <c r="IR525" s="1825"/>
      <c r="IS525" s="1825"/>
      <c r="IT525" s="1825"/>
      <c r="IU525" s="1825"/>
      <c r="IV525" s="1825"/>
    </row>
    <row r="526" spans="1:256" s="3143" customFormat="1" ht="27" customHeight="1">
      <c r="A526" s="3469"/>
      <c r="B526" s="3324"/>
      <c r="C526" s="2230"/>
      <c r="D526" s="2230" t="s">
        <v>2713</v>
      </c>
      <c r="E526" s="2230"/>
      <c r="F526" s="3325"/>
      <c r="G526" s="207"/>
      <c r="H526" s="3326"/>
      <c r="I526" s="3470"/>
      <c r="J526" s="3471"/>
    </row>
    <row r="527" spans="1:256" s="1913" customFormat="1" ht="13.5" customHeight="1">
      <c r="A527" s="3340">
        <v>110</v>
      </c>
      <c r="B527" s="3438" t="s">
        <v>1860</v>
      </c>
      <c r="C527" s="2590" t="s">
        <v>2723</v>
      </c>
      <c r="D527" s="3434" t="s">
        <v>2724</v>
      </c>
      <c r="E527" s="3434" t="s">
        <v>205</v>
      </c>
      <c r="F527" s="2593">
        <f>SUM(F529:F529)</f>
        <v>1</v>
      </c>
      <c r="G527" s="208"/>
      <c r="H527" s="3439">
        <f>F527*G527</f>
        <v>0</v>
      </c>
      <c r="I527" s="3440" t="s">
        <v>112</v>
      </c>
      <c r="J527" s="3472"/>
    </row>
    <row r="528" spans="1:256" s="1913" customFormat="1" ht="13.5" customHeight="1">
      <c r="A528" s="3323"/>
      <c r="B528" s="3324"/>
      <c r="C528" s="2230"/>
      <c r="D528" s="2230" t="s">
        <v>2725</v>
      </c>
      <c r="E528" s="2230"/>
      <c r="F528" s="3444"/>
      <c r="G528" s="207"/>
      <c r="H528" s="3326"/>
      <c r="I528" s="3470"/>
    </row>
    <row r="529" spans="1:256" s="3333" customFormat="1" ht="13.5" customHeight="1">
      <c r="A529" s="3329"/>
      <c r="B529" s="3330"/>
      <c r="C529" s="3330"/>
      <c r="D529" s="3330" t="s">
        <v>2492</v>
      </c>
      <c r="E529" s="3330"/>
      <c r="F529" s="3331">
        <v>1</v>
      </c>
      <c r="G529" s="203"/>
      <c r="H529" s="3332"/>
      <c r="I529" s="3334"/>
      <c r="J529" s="3409"/>
      <c r="K529" s="2206"/>
      <c r="L529" s="2206"/>
      <c r="M529" s="2206"/>
      <c r="N529" s="2206"/>
      <c r="O529" s="2206"/>
      <c r="P529" s="2206"/>
      <c r="Q529" s="2206"/>
      <c r="R529" s="2206"/>
      <c r="S529" s="2206"/>
      <c r="T529" s="2206"/>
      <c r="U529" s="2206"/>
      <c r="V529" s="2206"/>
      <c r="W529" s="2206"/>
      <c r="X529" s="2206"/>
      <c r="Y529" s="2206"/>
      <c r="Z529" s="2206"/>
      <c r="AA529" s="2206"/>
      <c r="AB529" s="2206"/>
      <c r="AC529" s="2206"/>
      <c r="AD529" s="2206"/>
      <c r="AE529" s="2206"/>
      <c r="AF529" s="2206"/>
      <c r="AG529" s="2206"/>
      <c r="AH529" s="2206"/>
      <c r="AI529" s="2206"/>
      <c r="AJ529" s="2206"/>
      <c r="AK529" s="2206"/>
      <c r="AL529" s="2206"/>
      <c r="AM529" s="2206"/>
      <c r="AN529" s="2206"/>
      <c r="AO529" s="2206"/>
      <c r="AP529" s="2206"/>
      <c r="AQ529" s="2206"/>
      <c r="AR529" s="1825"/>
      <c r="AS529" s="1825"/>
      <c r="AT529" s="1825"/>
      <c r="AU529" s="1825"/>
      <c r="AV529" s="1825"/>
      <c r="AW529" s="1825"/>
      <c r="AX529" s="1825"/>
      <c r="AY529" s="1825"/>
      <c r="AZ529" s="1825"/>
      <c r="BA529" s="1825"/>
      <c r="BB529" s="1825"/>
      <c r="BC529" s="1825"/>
      <c r="BD529" s="1825"/>
      <c r="BE529" s="1825"/>
      <c r="BF529" s="1825"/>
      <c r="BG529" s="1825"/>
      <c r="BH529" s="1825"/>
      <c r="BI529" s="1825"/>
      <c r="BJ529" s="1825"/>
      <c r="BK529" s="1825"/>
      <c r="BL529" s="1825"/>
      <c r="BM529" s="1825"/>
      <c r="BN529" s="1825"/>
      <c r="BO529" s="1825"/>
      <c r="BP529" s="1825"/>
      <c r="BQ529" s="1825"/>
      <c r="BR529" s="1825"/>
      <c r="BS529" s="1825"/>
      <c r="BT529" s="1825"/>
      <c r="BU529" s="1825"/>
      <c r="BV529" s="1825"/>
      <c r="BW529" s="1825"/>
      <c r="BX529" s="1825"/>
      <c r="BY529" s="1825"/>
      <c r="BZ529" s="1825"/>
      <c r="CA529" s="1825"/>
      <c r="CB529" s="1825"/>
      <c r="CC529" s="1825"/>
      <c r="CD529" s="1825"/>
      <c r="CE529" s="1825"/>
      <c r="CF529" s="1825"/>
      <c r="CG529" s="1825"/>
      <c r="CH529" s="1825"/>
      <c r="CI529" s="1825"/>
      <c r="CJ529" s="1825"/>
      <c r="CK529" s="1825"/>
      <c r="CL529" s="1825"/>
      <c r="CM529" s="1825"/>
      <c r="CN529" s="1825"/>
      <c r="CO529" s="1825"/>
      <c r="CP529" s="1825"/>
      <c r="CQ529" s="1825"/>
      <c r="CR529" s="1825"/>
      <c r="CS529" s="1825"/>
      <c r="CT529" s="1825"/>
      <c r="CU529" s="1825"/>
      <c r="CV529" s="1825"/>
      <c r="CW529" s="1825"/>
      <c r="CX529" s="1825"/>
      <c r="CY529" s="1825"/>
      <c r="CZ529" s="1825"/>
      <c r="DA529" s="1825"/>
      <c r="DB529" s="1825"/>
      <c r="DC529" s="1825"/>
      <c r="DD529" s="1825"/>
      <c r="DE529" s="1825"/>
      <c r="DF529" s="1825"/>
      <c r="DG529" s="1825"/>
      <c r="DH529" s="1825"/>
      <c r="DI529" s="1825"/>
      <c r="DJ529" s="1825"/>
      <c r="DK529" s="1825"/>
      <c r="DL529" s="1825"/>
      <c r="DM529" s="1825"/>
      <c r="DN529" s="1825"/>
      <c r="DO529" s="1825"/>
      <c r="DP529" s="1825"/>
      <c r="DQ529" s="1825"/>
      <c r="DR529" s="1825"/>
      <c r="DS529" s="1825"/>
      <c r="DT529" s="1825"/>
      <c r="DU529" s="1825"/>
      <c r="DV529" s="1825"/>
      <c r="DW529" s="1825"/>
      <c r="DX529" s="1825"/>
      <c r="DY529" s="1825"/>
      <c r="DZ529" s="1825"/>
      <c r="EA529" s="1825"/>
      <c r="EB529" s="1825"/>
      <c r="EC529" s="1825"/>
      <c r="ED529" s="1825"/>
      <c r="EE529" s="1825"/>
      <c r="EF529" s="1825"/>
      <c r="EG529" s="1825"/>
      <c r="EH529" s="1825"/>
      <c r="EI529" s="1825"/>
      <c r="EJ529" s="1825"/>
      <c r="EK529" s="1825"/>
      <c r="EL529" s="1825"/>
      <c r="EM529" s="1825"/>
      <c r="EN529" s="1825"/>
      <c r="EO529" s="1825"/>
      <c r="EP529" s="1825"/>
      <c r="EQ529" s="1825"/>
      <c r="ER529" s="1825"/>
      <c r="ES529" s="1825"/>
      <c r="ET529" s="1825"/>
      <c r="EU529" s="1825"/>
      <c r="EV529" s="1825"/>
      <c r="EW529" s="1825"/>
      <c r="EX529" s="1825"/>
      <c r="EY529" s="1825"/>
      <c r="EZ529" s="1825"/>
      <c r="FA529" s="1825"/>
      <c r="FB529" s="1825"/>
      <c r="FC529" s="1825"/>
      <c r="FD529" s="1825"/>
      <c r="FE529" s="1825"/>
      <c r="FF529" s="1825"/>
      <c r="FG529" s="1825"/>
      <c r="FH529" s="1825"/>
      <c r="FI529" s="1825"/>
      <c r="FJ529" s="1825"/>
      <c r="FK529" s="1825"/>
      <c r="FL529" s="1825"/>
      <c r="FM529" s="1825"/>
      <c r="FN529" s="1825"/>
      <c r="FO529" s="1825"/>
      <c r="FP529" s="1825"/>
      <c r="FQ529" s="1825"/>
      <c r="FR529" s="1825"/>
      <c r="FS529" s="1825"/>
      <c r="FT529" s="1825"/>
      <c r="FU529" s="1825"/>
      <c r="FV529" s="1825"/>
      <c r="FW529" s="1825"/>
      <c r="FX529" s="1825"/>
      <c r="FY529" s="1825"/>
      <c r="FZ529" s="1825"/>
      <c r="GA529" s="1825"/>
      <c r="GB529" s="1825"/>
      <c r="GC529" s="1825"/>
      <c r="GD529" s="1825"/>
      <c r="GE529" s="1825"/>
      <c r="GF529" s="1825"/>
      <c r="GG529" s="1825"/>
      <c r="GH529" s="1825"/>
      <c r="GI529" s="1825"/>
      <c r="GJ529" s="1825"/>
      <c r="GK529" s="1825"/>
      <c r="GL529" s="1825"/>
      <c r="GM529" s="1825"/>
      <c r="GN529" s="1825"/>
      <c r="GO529" s="1825"/>
      <c r="GP529" s="1825"/>
      <c r="GQ529" s="1825"/>
      <c r="GR529" s="1825"/>
      <c r="GS529" s="1825"/>
      <c r="GT529" s="1825"/>
      <c r="GU529" s="1825"/>
      <c r="GV529" s="1825"/>
      <c r="GW529" s="1825"/>
      <c r="GX529" s="1825"/>
      <c r="GY529" s="1825"/>
      <c r="GZ529" s="1825"/>
      <c r="HA529" s="1825"/>
      <c r="HB529" s="1825"/>
      <c r="HC529" s="1825"/>
      <c r="HD529" s="1825"/>
      <c r="HE529" s="1825"/>
      <c r="HF529" s="1825"/>
      <c r="HG529" s="1825"/>
      <c r="HH529" s="1825"/>
      <c r="HI529" s="1825"/>
      <c r="HJ529" s="1825"/>
      <c r="HK529" s="1825"/>
      <c r="HL529" s="1825"/>
      <c r="HM529" s="1825"/>
      <c r="HN529" s="1825"/>
      <c r="HO529" s="1825"/>
      <c r="HP529" s="1825"/>
      <c r="HQ529" s="1825"/>
      <c r="HR529" s="1825"/>
      <c r="HS529" s="1825"/>
      <c r="HT529" s="1825"/>
      <c r="HU529" s="1825"/>
      <c r="HV529" s="1825"/>
      <c r="HW529" s="1825"/>
      <c r="HX529" s="1825"/>
      <c r="HY529" s="1825"/>
      <c r="HZ529" s="1825"/>
      <c r="IA529" s="1825"/>
      <c r="IB529" s="1825"/>
      <c r="IC529" s="1825"/>
      <c r="ID529" s="1825"/>
      <c r="IE529" s="1825"/>
      <c r="IF529" s="1825"/>
      <c r="IG529" s="1825"/>
      <c r="IH529" s="1825"/>
      <c r="II529" s="1825"/>
      <c r="IJ529" s="1825"/>
      <c r="IK529" s="1825"/>
      <c r="IL529" s="1825"/>
      <c r="IM529" s="1825"/>
      <c r="IN529" s="1825"/>
      <c r="IO529" s="1825"/>
      <c r="IP529" s="1825"/>
      <c r="IQ529" s="1825"/>
      <c r="IR529" s="1825"/>
      <c r="IS529" s="1825"/>
      <c r="IT529" s="1825"/>
      <c r="IU529" s="1825"/>
      <c r="IV529" s="1825"/>
    </row>
    <row r="530" spans="1:256" s="3143" customFormat="1" ht="27" customHeight="1">
      <c r="A530" s="3469"/>
      <c r="B530" s="3324"/>
      <c r="C530" s="2230"/>
      <c r="D530" s="2230" t="s">
        <v>2709</v>
      </c>
      <c r="E530" s="2230"/>
      <c r="F530" s="3325"/>
      <c r="G530" s="207"/>
      <c r="H530" s="3326"/>
      <c r="I530" s="3470"/>
      <c r="J530" s="3471"/>
    </row>
    <row r="531" spans="1:256" s="1913" customFormat="1" ht="13.5" customHeight="1">
      <c r="A531" s="3340">
        <v>111</v>
      </c>
      <c r="B531" s="3438" t="s">
        <v>1860</v>
      </c>
      <c r="C531" s="2590" t="s">
        <v>2726</v>
      </c>
      <c r="D531" s="3434" t="s">
        <v>2727</v>
      </c>
      <c r="E531" s="3434" t="s">
        <v>205</v>
      </c>
      <c r="F531" s="2593">
        <f>SUM(F533:F533)</f>
        <v>2</v>
      </c>
      <c r="G531" s="208"/>
      <c r="H531" s="3439">
        <f>F531*G531</f>
        <v>0</v>
      </c>
      <c r="I531" s="3440" t="s">
        <v>112</v>
      </c>
      <c r="J531" s="3472"/>
    </row>
    <row r="532" spans="1:256" s="1913" customFormat="1" ht="13.5" customHeight="1">
      <c r="A532" s="3323"/>
      <c r="B532" s="3324"/>
      <c r="C532" s="2230"/>
      <c r="D532" s="2230" t="s">
        <v>2728</v>
      </c>
      <c r="E532" s="2230"/>
      <c r="F532" s="3444"/>
      <c r="G532" s="207"/>
      <c r="H532" s="3326"/>
      <c r="I532" s="3470"/>
    </row>
    <row r="533" spans="1:256" s="3333" customFormat="1" ht="13.5" customHeight="1">
      <c r="A533" s="3329"/>
      <c r="B533" s="3330"/>
      <c r="C533" s="3330"/>
      <c r="D533" s="3330" t="s">
        <v>2492</v>
      </c>
      <c r="E533" s="3330"/>
      <c r="F533" s="3331">
        <v>2</v>
      </c>
      <c r="G533" s="203"/>
      <c r="H533" s="3332"/>
      <c r="I533" s="3334"/>
      <c r="J533" s="3409"/>
      <c r="K533" s="2206"/>
      <c r="L533" s="2206"/>
      <c r="M533" s="2206"/>
      <c r="N533" s="2206"/>
      <c r="O533" s="2206"/>
      <c r="P533" s="2206"/>
      <c r="Q533" s="2206"/>
      <c r="R533" s="2206"/>
      <c r="S533" s="2206"/>
      <c r="T533" s="2206"/>
      <c r="U533" s="2206"/>
      <c r="V533" s="2206"/>
      <c r="W533" s="2206"/>
      <c r="X533" s="2206"/>
      <c r="Y533" s="2206"/>
      <c r="Z533" s="2206"/>
      <c r="AA533" s="2206"/>
      <c r="AB533" s="2206"/>
      <c r="AC533" s="2206"/>
      <c r="AD533" s="2206"/>
      <c r="AE533" s="2206"/>
      <c r="AF533" s="2206"/>
      <c r="AG533" s="2206"/>
      <c r="AH533" s="2206"/>
      <c r="AI533" s="2206"/>
      <c r="AJ533" s="2206"/>
      <c r="AK533" s="2206"/>
      <c r="AL533" s="2206"/>
      <c r="AM533" s="2206"/>
      <c r="AN533" s="2206"/>
      <c r="AO533" s="2206"/>
      <c r="AP533" s="2206"/>
      <c r="AQ533" s="2206"/>
      <c r="AR533" s="1825"/>
      <c r="AS533" s="1825"/>
      <c r="AT533" s="1825"/>
      <c r="AU533" s="1825"/>
      <c r="AV533" s="1825"/>
      <c r="AW533" s="1825"/>
      <c r="AX533" s="1825"/>
      <c r="AY533" s="1825"/>
      <c r="AZ533" s="1825"/>
      <c r="BA533" s="1825"/>
      <c r="BB533" s="1825"/>
      <c r="BC533" s="1825"/>
      <c r="BD533" s="1825"/>
      <c r="BE533" s="1825"/>
      <c r="BF533" s="1825"/>
      <c r="BG533" s="1825"/>
      <c r="BH533" s="1825"/>
      <c r="BI533" s="1825"/>
      <c r="BJ533" s="1825"/>
      <c r="BK533" s="1825"/>
      <c r="BL533" s="1825"/>
      <c r="BM533" s="1825"/>
      <c r="BN533" s="1825"/>
      <c r="BO533" s="1825"/>
      <c r="BP533" s="1825"/>
      <c r="BQ533" s="1825"/>
      <c r="BR533" s="1825"/>
      <c r="BS533" s="1825"/>
      <c r="BT533" s="1825"/>
      <c r="BU533" s="1825"/>
      <c r="BV533" s="1825"/>
      <c r="BW533" s="1825"/>
      <c r="BX533" s="1825"/>
      <c r="BY533" s="1825"/>
      <c r="BZ533" s="1825"/>
      <c r="CA533" s="1825"/>
      <c r="CB533" s="1825"/>
      <c r="CC533" s="1825"/>
      <c r="CD533" s="1825"/>
      <c r="CE533" s="1825"/>
      <c r="CF533" s="1825"/>
      <c r="CG533" s="1825"/>
      <c r="CH533" s="1825"/>
      <c r="CI533" s="1825"/>
      <c r="CJ533" s="1825"/>
      <c r="CK533" s="1825"/>
      <c r="CL533" s="1825"/>
      <c r="CM533" s="1825"/>
      <c r="CN533" s="1825"/>
      <c r="CO533" s="1825"/>
      <c r="CP533" s="1825"/>
      <c r="CQ533" s="1825"/>
      <c r="CR533" s="1825"/>
      <c r="CS533" s="1825"/>
      <c r="CT533" s="1825"/>
      <c r="CU533" s="1825"/>
      <c r="CV533" s="1825"/>
      <c r="CW533" s="1825"/>
      <c r="CX533" s="1825"/>
      <c r="CY533" s="1825"/>
      <c r="CZ533" s="1825"/>
      <c r="DA533" s="1825"/>
      <c r="DB533" s="1825"/>
      <c r="DC533" s="1825"/>
      <c r="DD533" s="1825"/>
      <c r="DE533" s="1825"/>
      <c r="DF533" s="1825"/>
      <c r="DG533" s="1825"/>
      <c r="DH533" s="1825"/>
      <c r="DI533" s="1825"/>
      <c r="DJ533" s="1825"/>
      <c r="DK533" s="1825"/>
      <c r="DL533" s="1825"/>
      <c r="DM533" s="1825"/>
      <c r="DN533" s="1825"/>
      <c r="DO533" s="1825"/>
      <c r="DP533" s="1825"/>
      <c r="DQ533" s="1825"/>
      <c r="DR533" s="1825"/>
      <c r="DS533" s="1825"/>
      <c r="DT533" s="1825"/>
      <c r="DU533" s="1825"/>
      <c r="DV533" s="1825"/>
      <c r="DW533" s="1825"/>
      <c r="DX533" s="1825"/>
      <c r="DY533" s="1825"/>
      <c r="DZ533" s="1825"/>
      <c r="EA533" s="1825"/>
      <c r="EB533" s="1825"/>
      <c r="EC533" s="1825"/>
      <c r="ED533" s="1825"/>
      <c r="EE533" s="1825"/>
      <c r="EF533" s="1825"/>
      <c r="EG533" s="1825"/>
      <c r="EH533" s="1825"/>
      <c r="EI533" s="1825"/>
      <c r="EJ533" s="1825"/>
      <c r="EK533" s="1825"/>
      <c r="EL533" s="1825"/>
      <c r="EM533" s="1825"/>
      <c r="EN533" s="1825"/>
      <c r="EO533" s="1825"/>
      <c r="EP533" s="1825"/>
      <c r="EQ533" s="1825"/>
      <c r="ER533" s="1825"/>
      <c r="ES533" s="1825"/>
      <c r="ET533" s="1825"/>
      <c r="EU533" s="1825"/>
      <c r="EV533" s="1825"/>
      <c r="EW533" s="1825"/>
      <c r="EX533" s="1825"/>
      <c r="EY533" s="1825"/>
      <c r="EZ533" s="1825"/>
      <c r="FA533" s="1825"/>
      <c r="FB533" s="1825"/>
      <c r="FC533" s="1825"/>
      <c r="FD533" s="1825"/>
      <c r="FE533" s="1825"/>
      <c r="FF533" s="1825"/>
      <c r="FG533" s="1825"/>
      <c r="FH533" s="1825"/>
      <c r="FI533" s="1825"/>
      <c r="FJ533" s="1825"/>
      <c r="FK533" s="1825"/>
      <c r="FL533" s="1825"/>
      <c r="FM533" s="1825"/>
      <c r="FN533" s="1825"/>
      <c r="FO533" s="1825"/>
      <c r="FP533" s="1825"/>
      <c r="FQ533" s="1825"/>
      <c r="FR533" s="1825"/>
      <c r="FS533" s="1825"/>
      <c r="FT533" s="1825"/>
      <c r="FU533" s="1825"/>
      <c r="FV533" s="1825"/>
      <c r="FW533" s="1825"/>
      <c r="FX533" s="1825"/>
      <c r="FY533" s="1825"/>
      <c r="FZ533" s="1825"/>
      <c r="GA533" s="1825"/>
      <c r="GB533" s="1825"/>
      <c r="GC533" s="1825"/>
      <c r="GD533" s="1825"/>
      <c r="GE533" s="1825"/>
      <c r="GF533" s="1825"/>
      <c r="GG533" s="1825"/>
      <c r="GH533" s="1825"/>
      <c r="GI533" s="1825"/>
      <c r="GJ533" s="1825"/>
      <c r="GK533" s="1825"/>
      <c r="GL533" s="1825"/>
      <c r="GM533" s="1825"/>
      <c r="GN533" s="1825"/>
      <c r="GO533" s="1825"/>
      <c r="GP533" s="1825"/>
      <c r="GQ533" s="1825"/>
      <c r="GR533" s="1825"/>
      <c r="GS533" s="1825"/>
      <c r="GT533" s="1825"/>
      <c r="GU533" s="1825"/>
      <c r="GV533" s="1825"/>
      <c r="GW533" s="1825"/>
      <c r="GX533" s="1825"/>
      <c r="GY533" s="1825"/>
      <c r="GZ533" s="1825"/>
      <c r="HA533" s="1825"/>
      <c r="HB533" s="1825"/>
      <c r="HC533" s="1825"/>
      <c r="HD533" s="1825"/>
      <c r="HE533" s="1825"/>
      <c r="HF533" s="1825"/>
      <c r="HG533" s="1825"/>
      <c r="HH533" s="1825"/>
      <c r="HI533" s="1825"/>
      <c r="HJ533" s="1825"/>
      <c r="HK533" s="1825"/>
      <c r="HL533" s="1825"/>
      <c r="HM533" s="1825"/>
      <c r="HN533" s="1825"/>
      <c r="HO533" s="1825"/>
      <c r="HP533" s="1825"/>
      <c r="HQ533" s="1825"/>
      <c r="HR533" s="1825"/>
      <c r="HS533" s="1825"/>
      <c r="HT533" s="1825"/>
      <c r="HU533" s="1825"/>
      <c r="HV533" s="1825"/>
      <c r="HW533" s="1825"/>
      <c r="HX533" s="1825"/>
      <c r="HY533" s="1825"/>
      <c r="HZ533" s="1825"/>
      <c r="IA533" s="1825"/>
      <c r="IB533" s="1825"/>
      <c r="IC533" s="1825"/>
      <c r="ID533" s="1825"/>
      <c r="IE533" s="1825"/>
      <c r="IF533" s="1825"/>
      <c r="IG533" s="1825"/>
      <c r="IH533" s="1825"/>
      <c r="II533" s="1825"/>
      <c r="IJ533" s="1825"/>
      <c r="IK533" s="1825"/>
      <c r="IL533" s="1825"/>
      <c r="IM533" s="1825"/>
      <c r="IN533" s="1825"/>
      <c r="IO533" s="1825"/>
      <c r="IP533" s="1825"/>
      <c r="IQ533" s="1825"/>
      <c r="IR533" s="1825"/>
      <c r="IS533" s="1825"/>
      <c r="IT533" s="1825"/>
      <c r="IU533" s="1825"/>
      <c r="IV533" s="1825"/>
    </row>
    <row r="534" spans="1:256" s="3143" customFormat="1" ht="27" customHeight="1">
      <c r="A534" s="3469"/>
      <c r="B534" s="3324"/>
      <c r="C534" s="2230"/>
      <c r="D534" s="2230" t="s">
        <v>2709</v>
      </c>
      <c r="E534" s="2230"/>
      <c r="F534" s="3325"/>
      <c r="G534" s="207"/>
      <c r="H534" s="3326"/>
      <c r="I534" s="3470"/>
      <c r="J534" s="3471"/>
    </row>
    <row r="535" spans="1:256" s="1913" customFormat="1" ht="13.5" customHeight="1">
      <c r="A535" s="3340">
        <v>112</v>
      </c>
      <c r="B535" s="3438" t="s">
        <v>1860</v>
      </c>
      <c r="C535" s="2590" t="s">
        <v>2729</v>
      </c>
      <c r="D535" s="3434" t="s">
        <v>2730</v>
      </c>
      <c r="E535" s="3434" t="s">
        <v>205</v>
      </c>
      <c r="F535" s="2593">
        <f>SUM(F537:F537)</f>
        <v>2</v>
      </c>
      <c r="G535" s="208"/>
      <c r="H535" s="3439">
        <f>F535*G535</f>
        <v>0</v>
      </c>
      <c r="I535" s="3440" t="s">
        <v>112</v>
      </c>
      <c r="J535" s="3472"/>
    </row>
    <row r="536" spans="1:256" s="1913" customFormat="1" ht="13.5" customHeight="1">
      <c r="A536" s="3323"/>
      <c r="B536" s="3324"/>
      <c r="C536" s="2230"/>
      <c r="D536" s="2230" t="s">
        <v>2731</v>
      </c>
      <c r="E536" s="2230"/>
      <c r="F536" s="3444"/>
      <c r="G536" s="207"/>
      <c r="H536" s="3326"/>
      <c r="I536" s="3470"/>
    </row>
    <row r="537" spans="1:256" s="3333" customFormat="1" ht="13.5" customHeight="1">
      <c r="A537" s="3329"/>
      <c r="B537" s="3330"/>
      <c r="C537" s="3330"/>
      <c r="D537" s="3330" t="s">
        <v>2492</v>
      </c>
      <c r="E537" s="3330"/>
      <c r="F537" s="3331">
        <v>2</v>
      </c>
      <c r="G537" s="203"/>
      <c r="H537" s="3332"/>
      <c r="I537" s="3334"/>
      <c r="J537" s="3409"/>
      <c r="K537" s="2206"/>
      <c r="L537" s="2206"/>
      <c r="M537" s="2206"/>
      <c r="N537" s="2206"/>
      <c r="O537" s="2206"/>
      <c r="P537" s="2206"/>
      <c r="Q537" s="2206"/>
      <c r="R537" s="2206"/>
      <c r="S537" s="2206"/>
      <c r="T537" s="2206"/>
      <c r="U537" s="2206"/>
      <c r="V537" s="2206"/>
      <c r="W537" s="2206"/>
      <c r="X537" s="2206"/>
      <c r="Y537" s="2206"/>
      <c r="Z537" s="2206"/>
      <c r="AA537" s="2206"/>
      <c r="AB537" s="2206"/>
      <c r="AC537" s="2206"/>
      <c r="AD537" s="2206"/>
      <c r="AE537" s="2206"/>
      <c r="AF537" s="2206"/>
      <c r="AG537" s="2206"/>
      <c r="AH537" s="2206"/>
      <c r="AI537" s="2206"/>
      <c r="AJ537" s="2206"/>
      <c r="AK537" s="2206"/>
      <c r="AL537" s="2206"/>
      <c r="AM537" s="2206"/>
      <c r="AN537" s="2206"/>
      <c r="AO537" s="2206"/>
      <c r="AP537" s="2206"/>
      <c r="AQ537" s="2206"/>
      <c r="AR537" s="1825"/>
      <c r="AS537" s="1825"/>
      <c r="AT537" s="1825"/>
      <c r="AU537" s="1825"/>
      <c r="AV537" s="1825"/>
      <c r="AW537" s="1825"/>
      <c r="AX537" s="1825"/>
      <c r="AY537" s="1825"/>
      <c r="AZ537" s="1825"/>
      <c r="BA537" s="1825"/>
      <c r="BB537" s="1825"/>
      <c r="BC537" s="1825"/>
      <c r="BD537" s="1825"/>
      <c r="BE537" s="1825"/>
      <c r="BF537" s="1825"/>
      <c r="BG537" s="1825"/>
      <c r="BH537" s="1825"/>
      <c r="BI537" s="1825"/>
      <c r="BJ537" s="1825"/>
      <c r="BK537" s="1825"/>
      <c r="BL537" s="1825"/>
      <c r="BM537" s="1825"/>
      <c r="BN537" s="1825"/>
      <c r="BO537" s="1825"/>
      <c r="BP537" s="1825"/>
      <c r="BQ537" s="1825"/>
      <c r="BR537" s="1825"/>
      <c r="BS537" s="1825"/>
      <c r="BT537" s="1825"/>
      <c r="BU537" s="1825"/>
      <c r="BV537" s="1825"/>
      <c r="BW537" s="1825"/>
      <c r="BX537" s="1825"/>
      <c r="BY537" s="1825"/>
      <c r="BZ537" s="1825"/>
      <c r="CA537" s="1825"/>
      <c r="CB537" s="1825"/>
      <c r="CC537" s="1825"/>
      <c r="CD537" s="1825"/>
      <c r="CE537" s="1825"/>
      <c r="CF537" s="1825"/>
      <c r="CG537" s="1825"/>
      <c r="CH537" s="1825"/>
      <c r="CI537" s="1825"/>
      <c r="CJ537" s="1825"/>
      <c r="CK537" s="1825"/>
      <c r="CL537" s="1825"/>
      <c r="CM537" s="1825"/>
      <c r="CN537" s="1825"/>
      <c r="CO537" s="1825"/>
      <c r="CP537" s="1825"/>
      <c r="CQ537" s="1825"/>
      <c r="CR537" s="1825"/>
      <c r="CS537" s="1825"/>
      <c r="CT537" s="1825"/>
      <c r="CU537" s="1825"/>
      <c r="CV537" s="1825"/>
      <c r="CW537" s="1825"/>
      <c r="CX537" s="1825"/>
      <c r="CY537" s="1825"/>
      <c r="CZ537" s="1825"/>
      <c r="DA537" s="1825"/>
      <c r="DB537" s="1825"/>
      <c r="DC537" s="1825"/>
      <c r="DD537" s="1825"/>
      <c r="DE537" s="1825"/>
      <c r="DF537" s="1825"/>
      <c r="DG537" s="1825"/>
      <c r="DH537" s="1825"/>
      <c r="DI537" s="1825"/>
      <c r="DJ537" s="1825"/>
      <c r="DK537" s="1825"/>
      <c r="DL537" s="1825"/>
      <c r="DM537" s="1825"/>
      <c r="DN537" s="1825"/>
      <c r="DO537" s="1825"/>
      <c r="DP537" s="1825"/>
      <c r="DQ537" s="1825"/>
      <c r="DR537" s="1825"/>
      <c r="DS537" s="1825"/>
      <c r="DT537" s="1825"/>
      <c r="DU537" s="1825"/>
      <c r="DV537" s="1825"/>
      <c r="DW537" s="1825"/>
      <c r="DX537" s="1825"/>
      <c r="DY537" s="1825"/>
      <c r="DZ537" s="1825"/>
      <c r="EA537" s="1825"/>
      <c r="EB537" s="1825"/>
      <c r="EC537" s="1825"/>
      <c r="ED537" s="1825"/>
      <c r="EE537" s="1825"/>
      <c r="EF537" s="1825"/>
      <c r="EG537" s="1825"/>
      <c r="EH537" s="1825"/>
      <c r="EI537" s="1825"/>
      <c r="EJ537" s="1825"/>
      <c r="EK537" s="1825"/>
      <c r="EL537" s="1825"/>
      <c r="EM537" s="1825"/>
      <c r="EN537" s="1825"/>
      <c r="EO537" s="1825"/>
      <c r="EP537" s="1825"/>
      <c r="EQ537" s="1825"/>
      <c r="ER537" s="1825"/>
      <c r="ES537" s="1825"/>
      <c r="ET537" s="1825"/>
      <c r="EU537" s="1825"/>
      <c r="EV537" s="1825"/>
      <c r="EW537" s="1825"/>
      <c r="EX537" s="1825"/>
      <c r="EY537" s="1825"/>
      <c r="EZ537" s="1825"/>
      <c r="FA537" s="1825"/>
      <c r="FB537" s="1825"/>
      <c r="FC537" s="1825"/>
      <c r="FD537" s="1825"/>
      <c r="FE537" s="1825"/>
      <c r="FF537" s="1825"/>
      <c r="FG537" s="1825"/>
      <c r="FH537" s="1825"/>
      <c r="FI537" s="1825"/>
      <c r="FJ537" s="1825"/>
      <c r="FK537" s="1825"/>
      <c r="FL537" s="1825"/>
      <c r="FM537" s="1825"/>
      <c r="FN537" s="1825"/>
      <c r="FO537" s="1825"/>
      <c r="FP537" s="1825"/>
      <c r="FQ537" s="1825"/>
      <c r="FR537" s="1825"/>
      <c r="FS537" s="1825"/>
      <c r="FT537" s="1825"/>
      <c r="FU537" s="1825"/>
      <c r="FV537" s="1825"/>
      <c r="FW537" s="1825"/>
      <c r="FX537" s="1825"/>
      <c r="FY537" s="1825"/>
      <c r="FZ537" s="1825"/>
      <c r="GA537" s="1825"/>
      <c r="GB537" s="1825"/>
      <c r="GC537" s="1825"/>
      <c r="GD537" s="1825"/>
      <c r="GE537" s="1825"/>
      <c r="GF537" s="1825"/>
      <c r="GG537" s="1825"/>
      <c r="GH537" s="1825"/>
      <c r="GI537" s="1825"/>
      <c r="GJ537" s="1825"/>
      <c r="GK537" s="1825"/>
      <c r="GL537" s="1825"/>
      <c r="GM537" s="1825"/>
      <c r="GN537" s="1825"/>
      <c r="GO537" s="1825"/>
      <c r="GP537" s="1825"/>
      <c r="GQ537" s="1825"/>
      <c r="GR537" s="1825"/>
      <c r="GS537" s="1825"/>
      <c r="GT537" s="1825"/>
      <c r="GU537" s="1825"/>
      <c r="GV537" s="1825"/>
      <c r="GW537" s="1825"/>
      <c r="GX537" s="1825"/>
      <c r="GY537" s="1825"/>
      <c r="GZ537" s="1825"/>
      <c r="HA537" s="1825"/>
      <c r="HB537" s="1825"/>
      <c r="HC537" s="1825"/>
      <c r="HD537" s="1825"/>
      <c r="HE537" s="1825"/>
      <c r="HF537" s="1825"/>
      <c r="HG537" s="1825"/>
      <c r="HH537" s="1825"/>
      <c r="HI537" s="1825"/>
      <c r="HJ537" s="1825"/>
      <c r="HK537" s="1825"/>
      <c r="HL537" s="1825"/>
      <c r="HM537" s="1825"/>
      <c r="HN537" s="1825"/>
      <c r="HO537" s="1825"/>
      <c r="HP537" s="1825"/>
      <c r="HQ537" s="1825"/>
      <c r="HR537" s="1825"/>
      <c r="HS537" s="1825"/>
      <c r="HT537" s="1825"/>
      <c r="HU537" s="1825"/>
      <c r="HV537" s="1825"/>
      <c r="HW537" s="1825"/>
      <c r="HX537" s="1825"/>
      <c r="HY537" s="1825"/>
      <c r="HZ537" s="1825"/>
      <c r="IA537" s="1825"/>
      <c r="IB537" s="1825"/>
      <c r="IC537" s="1825"/>
      <c r="ID537" s="1825"/>
      <c r="IE537" s="1825"/>
      <c r="IF537" s="1825"/>
      <c r="IG537" s="1825"/>
      <c r="IH537" s="1825"/>
      <c r="II537" s="1825"/>
      <c r="IJ537" s="1825"/>
      <c r="IK537" s="1825"/>
      <c r="IL537" s="1825"/>
      <c r="IM537" s="1825"/>
      <c r="IN537" s="1825"/>
      <c r="IO537" s="1825"/>
      <c r="IP537" s="1825"/>
      <c r="IQ537" s="1825"/>
      <c r="IR537" s="1825"/>
      <c r="IS537" s="1825"/>
      <c r="IT537" s="1825"/>
      <c r="IU537" s="1825"/>
      <c r="IV537" s="1825"/>
    </row>
    <row r="538" spans="1:256" s="3143" customFormat="1" ht="27" customHeight="1">
      <c r="A538" s="3469"/>
      <c r="B538" s="3324"/>
      <c r="C538" s="2230"/>
      <c r="D538" s="2230" t="s">
        <v>2732</v>
      </c>
      <c r="E538" s="2230"/>
      <c r="F538" s="3325"/>
      <c r="G538" s="207"/>
      <c r="H538" s="3326"/>
      <c r="I538" s="3470"/>
      <c r="J538" s="3471"/>
    </row>
    <row r="539" spans="1:256" s="1913" customFormat="1" ht="13.5" customHeight="1">
      <c r="A539" s="3340">
        <v>113</v>
      </c>
      <c r="B539" s="3438" t="s">
        <v>1860</v>
      </c>
      <c r="C539" s="2590" t="s">
        <v>2733</v>
      </c>
      <c r="D539" s="3434" t="s">
        <v>2734</v>
      </c>
      <c r="E539" s="3434" t="s">
        <v>205</v>
      </c>
      <c r="F539" s="2593">
        <f>SUM(F541:F541)</f>
        <v>1</v>
      </c>
      <c r="G539" s="208"/>
      <c r="H539" s="3439">
        <f>F539*G539</f>
        <v>0</v>
      </c>
      <c r="I539" s="3440" t="s">
        <v>112</v>
      </c>
      <c r="J539" s="3472"/>
    </row>
    <row r="540" spans="1:256" s="1913" customFormat="1" ht="13.5" customHeight="1">
      <c r="A540" s="3323"/>
      <c r="B540" s="3324"/>
      <c r="C540" s="2230"/>
      <c r="D540" s="2230" t="s">
        <v>2735</v>
      </c>
      <c r="E540" s="2230"/>
      <c r="F540" s="3444"/>
      <c r="G540" s="207"/>
      <c r="H540" s="3326"/>
      <c r="I540" s="3470"/>
    </row>
    <row r="541" spans="1:256" s="3333" customFormat="1" ht="13.5" customHeight="1">
      <c r="A541" s="3329"/>
      <c r="B541" s="3330"/>
      <c r="C541" s="3330"/>
      <c r="D541" s="3330" t="s">
        <v>2492</v>
      </c>
      <c r="E541" s="3330"/>
      <c r="F541" s="3331">
        <v>1</v>
      </c>
      <c r="G541" s="203"/>
      <c r="H541" s="3332"/>
      <c r="I541" s="3334"/>
      <c r="J541" s="3409"/>
      <c r="K541" s="2206"/>
      <c r="L541" s="2206"/>
      <c r="M541" s="2206"/>
      <c r="N541" s="2206"/>
      <c r="O541" s="2206"/>
      <c r="P541" s="2206"/>
      <c r="Q541" s="2206"/>
      <c r="R541" s="2206"/>
      <c r="S541" s="2206"/>
      <c r="T541" s="2206"/>
      <c r="U541" s="2206"/>
      <c r="V541" s="2206"/>
      <c r="W541" s="2206"/>
      <c r="X541" s="2206"/>
      <c r="Y541" s="2206"/>
      <c r="Z541" s="2206"/>
      <c r="AA541" s="2206"/>
      <c r="AB541" s="2206"/>
      <c r="AC541" s="2206"/>
      <c r="AD541" s="2206"/>
      <c r="AE541" s="2206"/>
      <c r="AF541" s="2206"/>
      <c r="AG541" s="2206"/>
      <c r="AH541" s="2206"/>
      <c r="AI541" s="2206"/>
      <c r="AJ541" s="2206"/>
      <c r="AK541" s="2206"/>
      <c r="AL541" s="2206"/>
      <c r="AM541" s="2206"/>
      <c r="AN541" s="2206"/>
      <c r="AO541" s="2206"/>
      <c r="AP541" s="2206"/>
      <c r="AQ541" s="2206"/>
      <c r="AR541" s="1825"/>
      <c r="AS541" s="1825"/>
      <c r="AT541" s="1825"/>
      <c r="AU541" s="1825"/>
      <c r="AV541" s="1825"/>
      <c r="AW541" s="1825"/>
      <c r="AX541" s="1825"/>
      <c r="AY541" s="1825"/>
      <c r="AZ541" s="1825"/>
      <c r="BA541" s="1825"/>
      <c r="BB541" s="1825"/>
      <c r="BC541" s="1825"/>
      <c r="BD541" s="1825"/>
      <c r="BE541" s="1825"/>
      <c r="BF541" s="1825"/>
      <c r="BG541" s="1825"/>
      <c r="BH541" s="1825"/>
      <c r="BI541" s="1825"/>
      <c r="BJ541" s="1825"/>
      <c r="BK541" s="1825"/>
      <c r="BL541" s="1825"/>
      <c r="BM541" s="1825"/>
      <c r="BN541" s="1825"/>
      <c r="BO541" s="1825"/>
      <c r="BP541" s="1825"/>
      <c r="BQ541" s="1825"/>
      <c r="BR541" s="1825"/>
      <c r="BS541" s="1825"/>
      <c r="BT541" s="1825"/>
      <c r="BU541" s="1825"/>
      <c r="BV541" s="1825"/>
      <c r="BW541" s="1825"/>
      <c r="BX541" s="1825"/>
      <c r="BY541" s="1825"/>
      <c r="BZ541" s="1825"/>
      <c r="CA541" s="1825"/>
      <c r="CB541" s="1825"/>
      <c r="CC541" s="1825"/>
      <c r="CD541" s="1825"/>
      <c r="CE541" s="1825"/>
      <c r="CF541" s="1825"/>
      <c r="CG541" s="1825"/>
      <c r="CH541" s="1825"/>
      <c r="CI541" s="1825"/>
      <c r="CJ541" s="1825"/>
      <c r="CK541" s="1825"/>
      <c r="CL541" s="1825"/>
      <c r="CM541" s="1825"/>
      <c r="CN541" s="1825"/>
      <c r="CO541" s="1825"/>
      <c r="CP541" s="1825"/>
      <c r="CQ541" s="1825"/>
      <c r="CR541" s="1825"/>
      <c r="CS541" s="1825"/>
      <c r="CT541" s="1825"/>
      <c r="CU541" s="1825"/>
      <c r="CV541" s="1825"/>
      <c r="CW541" s="1825"/>
      <c r="CX541" s="1825"/>
      <c r="CY541" s="1825"/>
      <c r="CZ541" s="1825"/>
      <c r="DA541" s="1825"/>
      <c r="DB541" s="1825"/>
      <c r="DC541" s="1825"/>
      <c r="DD541" s="1825"/>
      <c r="DE541" s="1825"/>
      <c r="DF541" s="1825"/>
      <c r="DG541" s="1825"/>
      <c r="DH541" s="1825"/>
      <c r="DI541" s="1825"/>
      <c r="DJ541" s="1825"/>
      <c r="DK541" s="1825"/>
      <c r="DL541" s="1825"/>
      <c r="DM541" s="1825"/>
      <c r="DN541" s="1825"/>
      <c r="DO541" s="1825"/>
      <c r="DP541" s="1825"/>
      <c r="DQ541" s="1825"/>
      <c r="DR541" s="1825"/>
      <c r="DS541" s="1825"/>
      <c r="DT541" s="1825"/>
      <c r="DU541" s="1825"/>
      <c r="DV541" s="1825"/>
      <c r="DW541" s="1825"/>
      <c r="DX541" s="1825"/>
      <c r="DY541" s="1825"/>
      <c r="DZ541" s="1825"/>
      <c r="EA541" s="1825"/>
      <c r="EB541" s="1825"/>
      <c r="EC541" s="1825"/>
      <c r="ED541" s="1825"/>
      <c r="EE541" s="1825"/>
      <c r="EF541" s="1825"/>
      <c r="EG541" s="1825"/>
      <c r="EH541" s="1825"/>
      <c r="EI541" s="1825"/>
      <c r="EJ541" s="1825"/>
      <c r="EK541" s="1825"/>
      <c r="EL541" s="1825"/>
      <c r="EM541" s="1825"/>
      <c r="EN541" s="1825"/>
      <c r="EO541" s="1825"/>
      <c r="EP541" s="1825"/>
      <c r="EQ541" s="1825"/>
      <c r="ER541" s="1825"/>
      <c r="ES541" s="1825"/>
      <c r="ET541" s="1825"/>
      <c r="EU541" s="1825"/>
      <c r="EV541" s="1825"/>
      <c r="EW541" s="1825"/>
      <c r="EX541" s="1825"/>
      <c r="EY541" s="1825"/>
      <c r="EZ541" s="1825"/>
      <c r="FA541" s="1825"/>
      <c r="FB541" s="1825"/>
      <c r="FC541" s="1825"/>
      <c r="FD541" s="1825"/>
      <c r="FE541" s="1825"/>
      <c r="FF541" s="1825"/>
      <c r="FG541" s="1825"/>
      <c r="FH541" s="1825"/>
      <c r="FI541" s="1825"/>
      <c r="FJ541" s="1825"/>
      <c r="FK541" s="1825"/>
      <c r="FL541" s="1825"/>
      <c r="FM541" s="1825"/>
      <c r="FN541" s="1825"/>
      <c r="FO541" s="1825"/>
      <c r="FP541" s="1825"/>
      <c r="FQ541" s="1825"/>
      <c r="FR541" s="1825"/>
      <c r="FS541" s="1825"/>
      <c r="FT541" s="1825"/>
      <c r="FU541" s="1825"/>
      <c r="FV541" s="1825"/>
      <c r="FW541" s="1825"/>
      <c r="FX541" s="1825"/>
      <c r="FY541" s="1825"/>
      <c r="FZ541" s="1825"/>
      <c r="GA541" s="1825"/>
      <c r="GB541" s="1825"/>
      <c r="GC541" s="1825"/>
      <c r="GD541" s="1825"/>
      <c r="GE541" s="1825"/>
      <c r="GF541" s="1825"/>
      <c r="GG541" s="1825"/>
      <c r="GH541" s="1825"/>
      <c r="GI541" s="1825"/>
      <c r="GJ541" s="1825"/>
      <c r="GK541" s="1825"/>
      <c r="GL541" s="1825"/>
      <c r="GM541" s="1825"/>
      <c r="GN541" s="1825"/>
      <c r="GO541" s="1825"/>
      <c r="GP541" s="1825"/>
      <c r="GQ541" s="1825"/>
      <c r="GR541" s="1825"/>
      <c r="GS541" s="1825"/>
      <c r="GT541" s="1825"/>
      <c r="GU541" s="1825"/>
      <c r="GV541" s="1825"/>
      <c r="GW541" s="1825"/>
      <c r="GX541" s="1825"/>
      <c r="GY541" s="1825"/>
      <c r="GZ541" s="1825"/>
      <c r="HA541" s="1825"/>
      <c r="HB541" s="1825"/>
      <c r="HC541" s="1825"/>
      <c r="HD541" s="1825"/>
      <c r="HE541" s="1825"/>
      <c r="HF541" s="1825"/>
      <c r="HG541" s="1825"/>
      <c r="HH541" s="1825"/>
      <c r="HI541" s="1825"/>
      <c r="HJ541" s="1825"/>
      <c r="HK541" s="1825"/>
      <c r="HL541" s="1825"/>
      <c r="HM541" s="1825"/>
      <c r="HN541" s="1825"/>
      <c r="HO541" s="1825"/>
      <c r="HP541" s="1825"/>
      <c r="HQ541" s="1825"/>
      <c r="HR541" s="1825"/>
      <c r="HS541" s="1825"/>
      <c r="HT541" s="1825"/>
      <c r="HU541" s="1825"/>
      <c r="HV541" s="1825"/>
      <c r="HW541" s="1825"/>
      <c r="HX541" s="1825"/>
      <c r="HY541" s="1825"/>
      <c r="HZ541" s="1825"/>
      <c r="IA541" s="1825"/>
      <c r="IB541" s="1825"/>
      <c r="IC541" s="1825"/>
      <c r="ID541" s="1825"/>
      <c r="IE541" s="1825"/>
      <c r="IF541" s="1825"/>
      <c r="IG541" s="1825"/>
      <c r="IH541" s="1825"/>
      <c r="II541" s="1825"/>
      <c r="IJ541" s="1825"/>
      <c r="IK541" s="1825"/>
      <c r="IL541" s="1825"/>
      <c r="IM541" s="1825"/>
      <c r="IN541" s="1825"/>
      <c r="IO541" s="1825"/>
      <c r="IP541" s="1825"/>
      <c r="IQ541" s="1825"/>
      <c r="IR541" s="1825"/>
      <c r="IS541" s="1825"/>
      <c r="IT541" s="1825"/>
      <c r="IU541" s="1825"/>
      <c r="IV541" s="1825"/>
    </row>
    <row r="542" spans="1:256" s="3143" customFormat="1" ht="27" customHeight="1">
      <c r="A542" s="3469"/>
      <c r="B542" s="3324"/>
      <c r="C542" s="2230"/>
      <c r="D542" s="2230" t="s">
        <v>2713</v>
      </c>
      <c r="E542" s="2230"/>
      <c r="F542" s="3325"/>
      <c r="G542" s="207"/>
      <c r="H542" s="3326"/>
      <c r="I542" s="3470"/>
      <c r="J542" s="3471"/>
    </row>
    <row r="543" spans="1:256" s="1913" customFormat="1" ht="13.5" customHeight="1">
      <c r="A543" s="3340">
        <v>114</v>
      </c>
      <c r="B543" s="3438" t="s">
        <v>1860</v>
      </c>
      <c r="C543" s="2590" t="s">
        <v>2736</v>
      </c>
      <c r="D543" s="3434" t="s">
        <v>2737</v>
      </c>
      <c r="E543" s="3434" t="s">
        <v>205</v>
      </c>
      <c r="F543" s="2593">
        <f>SUM(F545:F545)</f>
        <v>1</v>
      </c>
      <c r="G543" s="208"/>
      <c r="H543" s="3439">
        <f>F543*G543</f>
        <v>0</v>
      </c>
      <c r="I543" s="3440" t="s">
        <v>112</v>
      </c>
      <c r="J543" s="3472"/>
    </row>
    <row r="544" spans="1:256" s="1913" customFormat="1" ht="13.5" customHeight="1">
      <c r="A544" s="3323"/>
      <c r="B544" s="3324"/>
      <c r="C544" s="2230"/>
      <c r="D544" s="2230" t="s">
        <v>2738</v>
      </c>
      <c r="E544" s="2230"/>
      <c r="F544" s="3444"/>
      <c r="G544" s="207"/>
      <c r="H544" s="3326"/>
      <c r="I544" s="3470"/>
    </row>
    <row r="545" spans="1:256" s="3333" customFormat="1" ht="13.5" customHeight="1">
      <c r="A545" s="3329"/>
      <c r="B545" s="3330"/>
      <c r="C545" s="3330"/>
      <c r="D545" s="3330" t="s">
        <v>2492</v>
      </c>
      <c r="E545" s="3330"/>
      <c r="F545" s="3331">
        <v>1</v>
      </c>
      <c r="G545" s="203"/>
      <c r="H545" s="3332"/>
      <c r="I545" s="3334"/>
      <c r="J545" s="3409"/>
      <c r="K545" s="2206"/>
      <c r="L545" s="2206"/>
      <c r="M545" s="2206"/>
      <c r="N545" s="2206"/>
      <c r="O545" s="2206"/>
      <c r="P545" s="2206"/>
      <c r="Q545" s="2206"/>
      <c r="R545" s="2206"/>
      <c r="S545" s="2206"/>
      <c r="T545" s="2206"/>
      <c r="U545" s="2206"/>
      <c r="V545" s="2206"/>
      <c r="W545" s="2206"/>
      <c r="X545" s="2206"/>
      <c r="Y545" s="2206"/>
      <c r="Z545" s="2206"/>
      <c r="AA545" s="2206"/>
      <c r="AB545" s="2206"/>
      <c r="AC545" s="2206"/>
      <c r="AD545" s="2206"/>
      <c r="AE545" s="2206"/>
      <c r="AF545" s="2206"/>
      <c r="AG545" s="2206"/>
      <c r="AH545" s="2206"/>
      <c r="AI545" s="2206"/>
      <c r="AJ545" s="2206"/>
      <c r="AK545" s="2206"/>
      <c r="AL545" s="2206"/>
      <c r="AM545" s="2206"/>
      <c r="AN545" s="2206"/>
      <c r="AO545" s="2206"/>
      <c r="AP545" s="2206"/>
      <c r="AQ545" s="2206"/>
      <c r="AR545" s="1825"/>
      <c r="AS545" s="1825"/>
      <c r="AT545" s="1825"/>
      <c r="AU545" s="1825"/>
      <c r="AV545" s="1825"/>
      <c r="AW545" s="1825"/>
      <c r="AX545" s="1825"/>
      <c r="AY545" s="1825"/>
      <c r="AZ545" s="1825"/>
      <c r="BA545" s="1825"/>
      <c r="BB545" s="1825"/>
      <c r="BC545" s="1825"/>
      <c r="BD545" s="1825"/>
      <c r="BE545" s="1825"/>
      <c r="BF545" s="1825"/>
      <c r="BG545" s="1825"/>
      <c r="BH545" s="1825"/>
      <c r="BI545" s="1825"/>
      <c r="BJ545" s="1825"/>
      <c r="BK545" s="1825"/>
      <c r="BL545" s="1825"/>
      <c r="BM545" s="1825"/>
      <c r="BN545" s="1825"/>
      <c r="BO545" s="1825"/>
      <c r="BP545" s="1825"/>
      <c r="BQ545" s="1825"/>
      <c r="BR545" s="1825"/>
      <c r="BS545" s="1825"/>
      <c r="BT545" s="1825"/>
      <c r="BU545" s="1825"/>
      <c r="BV545" s="1825"/>
      <c r="BW545" s="1825"/>
      <c r="BX545" s="1825"/>
      <c r="BY545" s="1825"/>
      <c r="BZ545" s="1825"/>
      <c r="CA545" s="1825"/>
      <c r="CB545" s="1825"/>
      <c r="CC545" s="1825"/>
      <c r="CD545" s="1825"/>
      <c r="CE545" s="1825"/>
      <c r="CF545" s="1825"/>
      <c r="CG545" s="1825"/>
      <c r="CH545" s="1825"/>
      <c r="CI545" s="1825"/>
      <c r="CJ545" s="1825"/>
      <c r="CK545" s="1825"/>
      <c r="CL545" s="1825"/>
      <c r="CM545" s="1825"/>
      <c r="CN545" s="1825"/>
      <c r="CO545" s="1825"/>
      <c r="CP545" s="1825"/>
      <c r="CQ545" s="1825"/>
      <c r="CR545" s="1825"/>
      <c r="CS545" s="1825"/>
      <c r="CT545" s="1825"/>
      <c r="CU545" s="1825"/>
      <c r="CV545" s="1825"/>
      <c r="CW545" s="1825"/>
      <c r="CX545" s="1825"/>
      <c r="CY545" s="1825"/>
      <c r="CZ545" s="1825"/>
      <c r="DA545" s="1825"/>
      <c r="DB545" s="1825"/>
      <c r="DC545" s="1825"/>
      <c r="DD545" s="1825"/>
      <c r="DE545" s="1825"/>
      <c r="DF545" s="1825"/>
      <c r="DG545" s="1825"/>
      <c r="DH545" s="1825"/>
      <c r="DI545" s="1825"/>
      <c r="DJ545" s="1825"/>
      <c r="DK545" s="1825"/>
      <c r="DL545" s="1825"/>
      <c r="DM545" s="1825"/>
      <c r="DN545" s="1825"/>
      <c r="DO545" s="1825"/>
      <c r="DP545" s="1825"/>
      <c r="DQ545" s="1825"/>
      <c r="DR545" s="1825"/>
      <c r="DS545" s="1825"/>
      <c r="DT545" s="1825"/>
      <c r="DU545" s="1825"/>
      <c r="DV545" s="1825"/>
      <c r="DW545" s="1825"/>
      <c r="DX545" s="1825"/>
      <c r="DY545" s="1825"/>
      <c r="DZ545" s="1825"/>
      <c r="EA545" s="1825"/>
      <c r="EB545" s="1825"/>
      <c r="EC545" s="1825"/>
      <c r="ED545" s="1825"/>
      <c r="EE545" s="1825"/>
      <c r="EF545" s="1825"/>
      <c r="EG545" s="1825"/>
      <c r="EH545" s="1825"/>
      <c r="EI545" s="1825"/>
      <c r="EJ545" s="1825"/>
      <c r="EK545" s="1825"/>
      <c r="EL545" s="1825"/>
      <c r="EM545" s="1825"/>
      <c r="EN545" s="1825"/>
      <c r="EO545" s="1825"/>
      <c r="EP545" s="1825"/>
      <c r="EQ545" s="1825"/>
      <c r="ER545" s="1825"/>
      <c r="ES545" s="1825"/>
      <c r="ET545" s="1825"/>
      <c r="EU545" s="1825"/>
      <c r="EV545" s="1825"/>
      <c r="EW545" s="1825"/>
      <c r="EX545" s="1825"/>
      <c r="EY545" s="1825"/>
      <c r="EZ545" s="1825"/>
      <c r="FA545" s="1825"/>
      <c r="FB545" s="1825"/>
      <c r="FC545" s="1825"/>
      <c r="FD545" s="1825"/>
      <c r="FE545" s="1825"/>
      <c r="FF545" s="1825"/>
      <c r="FG545" s="1825"/>
      <c r="FH545" s="1825"/>
      <c r="FI545" s="1825"/>
      <c r="FJ545" s="1825"/>
      <c r="FK545" s="1825"/>
      <c r="FL545" s="1825"/>
      <c r="FM545" s="1825"/>
      <c r="FN545" s="1825"/>
      <c r="FO545" s="1825"/>
      <c r="FP545" s="1825"/>
      <c r="FQ545" s="1825"/>
      <c r="FR545" s="1825"/>
      <c r="FS545" s="1825"/>
      <c r="FT545" s="1825"/>
      <c r="FU545" s="1825"/>
      <c r="FV545" s="1825"/>
      <c r="FW545" s="1825"/>
      <c r="FX545" s="1825"/>
      <c r="FY545" s="1825"/>
      <c r="FZ545" s="1825"/>
      <c r="GA545" s="1825"/>
      <c r="GB545" s="1825"/>
      <c r="GC545" s="1825"/>
      <c r="GD545" s="1825"/>
      <c r="GE545" s="1825"/>
      <c r="GF545" s="1825"/>
      <c r="GG545" s="1825"/>
      <c r="GH545" s="1825"/>
      <c r="GI545" s="1825"/>
      <c r="GJ545" s="1825"/>
      <c r="GK545" s="1825"/>
      <c r="GL545" s="1825"/>
      <c r="GM545" s="1825"/>
      <c r="GN545" s="1825"/>
      <c r="GO545" s="1825"/>
      <c r="GP545" s="1825"/>
      <c r="GQ545" s="1825"/>
      <c r="GR545" s="1825"/>
      <c r="GS545" s="1825"/>
      <c r="GT545" s="1825"/>
      <c r="GU545" s="1825"/>
      <c r="GV545" s="1825"/>
      <c r="GW545" s="1825"/>
      <c r="GX545" s="1825"/>
      <c r="GY545" s="1825"/>
      <c r="GZ545" s="1825"/>
      <c r="HA545" s="1825"/>
      <c r="HB545" s="1825"/>
      <c r="HC545" s="1825"/>
      <c r="HD545" s="1825"/>
      <c r="HE545" s="1825"/>
      <c r="HF545" s="1825"/>
      <c r="HG545" s="1825"/>
      <c r="HH545" s="1825"/>
      <c r="HI545" s="1825"/>
      <c r="HJ545" s="1825"/>
      <c r="HK545" s="1825"/>
      <c r="HL545" s="1825"/>
      <c r="HM545" s="1825"/>
      <c r="HN545" s="1825"/>
      <c r="HO545" s="1825"/>
      <c r="HP545" s="1825"/>
      <c r="HQ545" s="1825"/>
      <c r="HR545" s="1825"/>
      <c r="HS545" s="1825"/>
      <c r="HT545" s="1825"/>
      <c r="HU545" s="1825"/>
      <c r="HV545" s="1825"/>
      <c r="HW545" s="1825"/>
      <c r="HX545" s="1825"/>
      <c r="HY545" s="1825"/>
      <c r="HZ545" s="1825"/>
      <c r="IA545" s="1825"/>
      <c r="IB545" s="1825"/>
      <c r="IC545" s="1825"/>
      <c r="ID545" s="1825"/>
      <c r="IE545" s="1825"/>
      <c r="IF545" s="1825"/>
      <c r="IG545" s="1825"/>
      <c r="IH545" s="1825"/>
      <c r="II545" s="1825"/>
      <c r="IJ545" s="1825"/>
      <c r="IK545" s="1825"/>
      <c r="IL545" s="1825"/>
      <c r="IM545" s="1825"/>
      <c r="IN545" s="1825"/>
      <c r="IO545" s="1825"/>
      <c r="IP545" s="1825"/>
      <c r="IQ545" s="1825"/>
      <c r="IR545" s="1825"/>
      <c r="IS545" s="1825"/>
      <c r="IT545" s="1825"/>
      <c r="IU545" s="1825"/>
      <c r="IV545" s="1825"/>
    </row>
    <row r="546" spans="1:256" s="3143" customFormat="1" ht="27" customHeight="1">
      <c r="A546" s="3469"/>
      <c r="B546" s="3324"/>
      <c r="C546" s="2230"/>
      <c r="D546" s="2230" t="s">
        <v>2732</v>
      </c>
      <c r="E546" s="2230"/>
      <c r="F546" s="3325"/>
      <c r="G546" s="207"/>
      <c r="H546" s="3326"/>
      <c r="I546" s="3470"/>
      <c r="J546" s="3471"/>
    </row>
    <row r="547" spans="1:256" s="1913" customFormat="1" ht="13.5" customHeight="1">
      <c r="A547" s="3340">
        <v>115</v>
      </c>
      <c r="B547" s="3438" t="s">
        <v>1860</v>
      </c>
      <c r="C547" s="2590" t="s">
        <v>2739</v>
      </c>
      <c r="D547" s="3434" t="s">
        <v>2740</v>
      </c>
      <c r="E547" s="3434" t="s">
        <v>205</v>
      </c>
      <c r="F547" s="2593">
        <f>SUM(F549:F549)</f>
        <v>2</v>
      </c>
      <c r="G547" s="208"/>
      <c r="H547" s="3439">
        <f>F547*G547</f>
        <v>0</v>
      </c>
      <c r="I547" s="3440" t="s">
        <v>112</v>
      </c>
      <c r="J547" s="3472"/>
    </row>
    <row r="548" spans="1:256" s="1913" customFormat="1" ht="13.5" customHeight="1">
      <c r="A548" s="3323"/>
      <c r="B548" s="3324"/>
      <c r="C548" s="2230"/>
      <c r="D548" s="2230" t="s">
        <v>2741</v>
      </c>
      <c r="E548" s="2230"/>
      <c r="F548" s="3444"/>
      <c r="G548" s="207"/>
      <c r="H548" s="3326"/>
      <c r="I548" s="3470"/>
    </row>
    <row r="549" spans="1:256" s="3333" customFormat="1" ht="13.5" customHeight="1">
      <c r="A549" s="3329"/>
      <c r="B549" s="3330"/>
      <c r="C549" s="3330"/>
      <c r="D549" s="3330" t="s">
        <v>2492</v>
      </c>
      <c r="E549" s="3330"/>
      <c r="F549" s="3331">
        <v>2</v>
      </c>
      <c r="G549" s="203"/>
      <c r="H549" s="3332"/>
      <c r="I549" s="3334"/>
      <c r="J549" s="3409"/>
      <c r="K549" s="2206"/>
      <c r="L549" s="2206"/>
      <c r="M549" s="2206"/>
      <c r="N549" s="2206"/>
      <c r="O549" s="2206"/>
      <c r="P549" s="2206"/>
      <c r="Q549" s="2206"/>
      <c r="R549" s="2206"/>
      <c r="S549" s="2206"/>
      <c r="T549" s="2206"/>
      <c r="U549" s="2206"/>
      <c r="V549" s="2206"/>
      <c r="W549" s="2206"/>
      <c r="X549" s="2206"/>
      <c r="Y549" s="2206"/>
      <c r="Z549" s="2206"/>
      <c r="AA549" s="2206"/>
      <c r="AB549" s="2206"/>
      <c r="AC549" s="2206"/>
      <c r="AD549" s="2206"/>
      <c r="AE549" s="2206"/>
      <c r="AF549" s="2206"/>
      <c r="AG549" s="2206"/>
      <c r="AH549" s="2206"/>
      <c r="AI549" s="2206"/>
      <c r="AJ549" s="2206"/>
      <c r="AK549" s="2206"/>
      <c r="AL549" s="2206"/>
      <c r="AM549" s="2206"/>
      <c r="AN549" s="2206"/>
      <c r="AO549" s="2206"/>
      <c r="AP549" s="2206"/>
      <c r="AQ549" s="2206"/>
      <c r="AR549" s="1825"/>
      <c r="AS549" s="1825"/>
      <c r="AT549" s="1825"/>
      <c r="AU549" s="1825"/>
      <c r="AV549" s="1825"/>
      <c r="AW549" s="1825"/>
      <c r="AX549" s="1825"/>
      <c r="AY549" s="1825"/>
      <c r="AZ549" s="1825"/>
      <c r="BA549" s="1825"/>
      <c r="BB549" s="1825"/>
      <c r="BC549" s="1825"/>
      <c r="BD549" s="1825"/>
      <c r="BE549" s="1825"/>
      <c r="BF549" s="1825"/>
      <c r="BG549" s="1825"/>
      <c r="BH549" s="1825"/>
      <c r="BI549" s="1825"/>
      <c r="BJ549" s="1825"/>
      <c r="BK549" s="1825"/>
      <c r="BL549" s="1825"/>
      <c r="BM549" s="1825"/>
      <c r="BN549" s="1825"/>
      <c r="BO549" s="1825"/>
      <c r="BP549" s="1825"/>
      <c r="BQ549" s="1825"/>
      <c r="BR549" s="1825"/>
      <c r="BS549" s="1825"/>
      <c r="BT549" s="1825"/>
      <c r="BU549" s="1825"/>
      <c r="BV549" s="1825"/>
      <c r="BW549" s="1825"/>
      <c r="BX549" s="1825"/>
      <c r="BY549" s="1825"/>
      <c r="BZ549" s="1825"/>
      <c r="CA549" s="1825"/>
      <c r="CB549" s="1825"/>
      <c r="CC549" s="1825"/>
      <c r="CD549" s="1825"/>
      <c r="CE549" s="1825"/>
      <c r="CF549" s="1825"/>
      <c r="CG549" s="1825"/>
      <c r="CH549" s="1825"/>
      <c r="CI549" s="1825"/>
      <c r="CJ549" s="1825"/>
      <c r="CK549" s="1825"/>
      <c r="CL549" s="1825"/>
      <c r="CM549" s="1825"/>
      <c r="CN549" s="1825"/>
      <c r="CO549" s="1825"/>
      <c r="CP549" s="1825"/>
      <c r="CQ549" s="1825"/>
      <c r="CR549" s="1825"/>
      <c r="CS549" s="1825"/>
      <c r="CT549" s="1825"/>
      <c r="CU549" s="1825"/>
      <c r="CV549" s="1825"/>
      <c r="CW549" s="1825"/>
      <c r="CX549" s="1825"/>
      <c r="CY549" s="1825"/>
      <c r="CZ549" s="1825"/>
      <c r="DA549" s="1825"/>
      <c r="DB549" s="1825"/>
      <c r="DC549" s="1825"/>
      <c r="DD549" s="1825"/>
      <c r="DE549" s="1825"/>
      <c r="DF549" s="1825"/>
      <c r="DG549" s="1825"/>
      <c r="DH549" s="1825"/>
      <c r="DI549" s="1825"/>
      <c r="DJ549" s="1825"/>
      <c r="DK549" s="1825"/>
      <c r="DL549" s="1825"/>
      <c r="DM549" s="1825"/>
      <c r="DN549" s="1825"/>
      <c r="DO549" s="1825"/>
      <c r="DP549" s="1825"/>
      <c r="DQ549" s="1825"/>
      <c r="DR549" s="1825"/>
      <c r="DS549" s="1825"/>
      <c r="DT549" s="1825"/>
      <c r="DU549" s="1825"/>
      <c r="DV549" s="1825"/>
      <c r="DW549" s="1825"/>
      <c r="DX549" s="1825"/>
      <c r="DY549" s="1825"/>
      <c r="DZ549" s="1825"/>
      <c r="EA549" s="1825"/>
      <c r="EB549" s="1825"/>
      <c r="EC549" s="1825"/>
      <c r="ED549" s="1825"/>
      <c r="EE549" s="1825"/>
      <c r="EF549" s="1825"/>
      <c r="EG549" s="1825"/>
      <c r="EH549" s="1825"/>
      <c r="EI549" s="1825"/>
      <c r="EJ549" s="1825"/>
      <c r="EK549" s="1825"/>
      <c r="EL549" s="1825"/>
      <c r="EM549" s="1825"/>
      <c r="EN549" s="1825"/>
      <c r="EO549" s="1825"/>
      <c r="EP549" s="1825"/>
      <c r="EQ549" s="1825"/>
      <c r="ER549" s="1825"/>
      <c r="ES549" s="1825"/>
      <c r="ET549" s="1825"/>
      <c r="EU549" s="1825"/>
      <c r="EV549" s="1825"/>
      <c r="EW549" s="1825"/>
      <c r="EX549" s="1825"/>
      <c r="EY549" s="1825"/>
      <c r="EZ549" s="1825"/>
      <c r="FA549" s="1825"/>
      <c r="FB549" s="1825"/>
      <c r="FC549" s="1825"/>
      <c r="FD549" s="1825"/>
      <c r="FE549" s="1825"/>
      <c r="FF549" s="1825"/>
      <c r="FG549" s="1825"/>
      <c r="FH549" s="1825"/>
      <c r="FI549" s="1825"/>
      <c r="FJ549" s="1825"/>
      <c r="FK549" s="1825"/>
      <c r="FL549" s="1825"/>
      <c r="FM549" s="1825"/>
      <c r="FN549" s="1825"/>
      <c r="FO549" s="1825"/>
      <c r="FP549" s="1825"/>
      <c r="FQ549" s="1825"/>
      <c r="FR549" s="1825"/>
      <c r="FS549" s="1825"/>
      <c r="FT549" s="1825"/>
      <c r="FU549" s="1825"/>
      <c r="FV549" s="1825"/>
      <c r="FW549" s="1825"/>
      <c r="FX549" s="1825"/>
      <c r="FY549" s="1825"/>
      <c r="FZ549" s="1825"/>
      <c r="GA549" s="1825"/>
      <c r="GB549" s="1825"/>
      <c r="GC549" s="1825"/>
      <c r="GD549" s="1825"/>
      <c r="GE549" s="1825"/>
      <c r="GF549" s="1825"/>
      <c r="GG549" s="1825"/>
      <c r="GH549" s="1825"/>
      <c r="GI549" s="1825"/>
      <c r="GJ549" s="1825"/>
      <c r="GK549" s="1825"/>
      <c r="GL549" s="1825"/>
      <c r="GM549" s="1825"/>
      <c r="GN549" s="1825"/>
      <c r="GO549" s="1825"/>
      <c r="GP549" s="1825"/>
      <c r="GQ549" s="1825"/>
      <c r="GR549" s="1825"/>
      <c r="GS549" s="1825"/>
      <c r="GT549" s="1825"/>
      <c r="GU549" s="1825"/>
      <c r="GV549" s="1825"/>
      <c r="GW549" s="1825"/>
      <c r="GX549" s="1825"/>
      <c r="GY549" s="1825"/>
      <c r="GZ549" s="1825"/>
      <c r="HA549" s="1825"/>
      <c r="HB549" s="1825"/>
      <c r="HC549" s="1825"/>
      <c r="HD549" s="1825"/>
      <c r="HE549" s="1825"/>
      <c r="HF549" s="1825"/>
      <c r="HG549" s="1825"/>
      <c r="HH549" s="1825"/>
      <c r="HI549" s="1825"/>
      <c r="HJ549" s="1825"/>
      <c r="HK549" s="1825"/>
      <c r="HL549" s="1825"/>
      <c r="HM549" s="1825"/>
      <c r="HN549" s="1825"/>
      <c r="HO549" s="1825"/>
      <c r="HP549" s="1825"/>
      <c r="HQ549" s="1825"/>
      <c r="HR549" s="1825"/>
      <c r="HS549" s="1825"/>
      <c r="HT549" s="1825"/>
      <c r="HU549" s="1825"/>
      <c r="HV549" s="1825"/>
      <c r="HW549" s="1825"/>
      <c r="HX549" s="1825"/>
      <c r="HY549" s="1825"/>
      <c r="HZ549" s="1825"/>
      <c r="IA549" s="1825"/>
      <c r="IB549" s="1825"/>
      <c r="IC549" s="1825"/>
      <c r="ID549" s="1825"/>
      <c r="IE549" s="1825"/>
      <c r="IF549" s="1825"/>
      <c r="IG549" s="1825"/>
      <c r="IH549" s="1825"/>
      <c r="II549" s="1825"/>
      <c r="IJ549" s="1825"/>
      <c r="IK549" s="1825"/>
      <c r="IL549" s="1825"/>
      <c r="IM549" s="1825"/>
      <c r="IN549" s="1825"/>
      <c r="IO549" s="1825"/>
      <c r="IP549" s="1825"/>
      <c r="IQ549" s="1825"/>
      <c r="IR549" s="1825"/>
      <c r="IS549" s="1825"/>
      <c r="IT549" s="1825"/>
      <c r="IU549" s="1825"/>
      <c r="IV549" s="1825"/>
    </row>
    <row r="550" spans="1:256" s="3143" customFormat="1" ht="27" customHeight="1">
      <c r="A550" s="3469"/>
      <c r="B550" s="3324"/>
      <c r="C550" s="2230"/>
      <c r="D550" s="2230" t="s">
        <v>2709</v>
      </c>
      <c r="E550" s="2230"/>
      <c r="F550" s="3325"/>
      <c r="G550" s="207"/>
      <c r="H550" s="3326"/>
      <c r="I550" s="3470"/>
      <c r="J550" s="3471"/>
    </row>
    <row r="551" spans="1:256" s="1913" customFormat="1" ht="13.5" customHeight="1">
      <c r="A551" s="3340">
        <v>116</v>
      </c>
      <c r="B551" s="3438" t="s">
        <v>1860</v>
      </c>
      <c r="C551" s="2590" t="s">
        <v>2742</v>
      </c>
      <c r="D551" s="3434" t="s">
        <v>2743</v>
      </c>
      <c r="E551" s="3434" t="s">
        <v>205</v>
      </c>
      <c r="F551" s="2593">
        <f>SUM(F553:F553)</f>
        <v>1</v>
      </c>
      <c r="G551" s="208"/>
      <c r="H551" s="3439">
        <f>F551*G551</f>
        <v>0</v>
      </c>
      <c r="I551" s="3440" t="s">
        <v>112</v>
      </c>
      <c r="J551" s="3472"/>
    </row>
    <row r="552" spans="1:256" s="1913" customFormat="1" ht="13.5" customHeight="1">
      <c r="A552" s="3323"/>
      <c r="B552" s="3324"/>
      <c r="C552" s="2230"/>
      <c r="D552" s="2230" t="s">
        <v>2744</v>
      </c>
      <c r="E552" s="2230"/>
      <c r="F552" s="3444"/>
      <c r="G552" s="207"/>
      <c r="H552" s="3326"/>
      <c r="I552" s="3470"/>
    </row>
    <row r="553" spans="1:256" s="3333" customFormat="1" ht="13.5" customHeight="1">
      <c r="A553" s="3329"/>
      <c r="B553" s="3330"/>
      <c r="C553" s="3330"/>
      <c r="D553" s="3330" t="s">
        <v>2492</v>
      </c>
      <c r="E553" s="3330"/>
      <c r="F553" s="3331">
        <v>1</v>
      </c>
      <c r="G553" s="203"/>
      <c r="H553" s="3332"/>
      <c r="I553" s="3334"/>
      <c r="J553" s="3409"/>
      <c r="K553" s="2206"/>
      <c r="L553" s="2206"/>
      <c r="M553" s="2206"/>
      <c r="N553" s="2206"/>
      <c r="O553" s="2206"/>
      <c r="P553" s="2206"/>
      <c r="Q553" s="2206"/>
      <c r="R553" s="2206"/>
      <c r="S553" s="2206"/>
      <c r="T553" s="2206"/>
      <c r="U553" s="2206"/>
      <c r="V553" s="2206"/>
      <c r="W553" s="2206"/>
      <c r="X553" s="2206"/>
      <c r="Y553" s="2206"/>
      <c r="Z553" s="2206"/>
      <c r="AA553" s="2206"/>
      <c r="AB553" s="2206"/>
      <c r="AC553" s="2206"/>
      <c r="AD553" s="2206"/>
      <c r="AE553" s="2206"/>
      <c r="AF553" s="2206"/>
      <c r="AG553" s="2206"/>
      <c r="AH553" s="2206"/>
      <c r="AI553" s="2206"/>
      <c r="AJ553" s="2206"/>
      <c r="AK553" s="2206"/>
      <c r="AL553" s="2206"/>
      <c r="AM553" s="2206"/>
      <c r="AN553" s="2206"/>
      <c r="AO553" s="2206"/>
      <c r="AP553" s="2206"/>
      <c r="AQ553" s="2206"/>
      <c r="AR553" s="1825"/>
      <c r="AS553" s="1825"/>
      <c r="AT553" s="1825"/>
      <c r="AU553" s="1825"/>
      <c r="AV553" s="1825"/>
      <c r="AW553" s="1825"/>
      <c r="AX553" s="1825"/>
      <c r="AY553" s="1825"/>
      <c r="AZ553" s="1825"/>
      <c r="BA553" s="1825"/>
      <c r="BB553" s="1825"/>
      <c r="BC553" s="1825"/>
      <c r="BD553" s="1825"/>
      <c r="BE553" s="1825"/>
      <c r="BF553" s="1825"/>
      <c r="BG553" s="1825"/>
      <c r="BH553" s="1825"/>
      <c r="BI553" s="1825"/>
      <c r="BJ553" s="1825"/>
      <c r="BK553" s="1825"/>
      <c r="BL553" s="1825"/>
      <c r="BM553" s="1825"/>
      <c r="BN553" s="1825"/>
      <c r="BO553" s="1825"/>
      <c r="BP553" s="1825"/>
      <c r="BQ553" s="1825"/>
      <c r="BR553" s="1825"/>
      <c r="BS553" s="1825"/>
      <c r="BT553" s="1825"/>
      <c r="BU553" s="1825"/>
      <c r="BV553" s="1825"/>
      <c r="BW553" s="1825"/>
      <c r="BX553" s="1825"/>
      <c r="BY553" s="1825"/>
      <c r="BZ553" s="1825"/>
      <c r="CA553" s="1825"/>
      <c r="CB553" s="1825"/>
      <c r="CC553" s="1825"/>
      <c r="CD553" s="1825"/>
      <c r="CE553" s="1825"/>
      <c r="CF553" s="1825"/>
      <c r="CG553" s="1825"/>
      <c r="CH553" s="1825"/>
      <c r="CI553" s="1825"/>
      <c r="CJ553" s="1825"/>
      <c r="CK553" s="1825"/>
      <c r="CL553" s="1825"/>
      <c r="CM553" s="1825"/>
      <c r="CN553" s="1825"/>
      <c r="CO553" s="1825"/>
      <c r="CP553" s="1825"/>
      <c r="CQ553" s="1825"/>
      <c r="CR553" s="1825"/>
      <c r="CS553" s="1825"/>
      <c r="CT553" s="1825"/>
      <c r="CU553" s="1825"/>
      <c r="CV553" s="1825"/>
      <c r="CW553" s="1825"/>
      <c r="CX553" s="1825"/>
      <c r="CY553" s="1825"/>
      <c r="CZ553" s="1825"/>
      <c r="DA553" s="1825"/>
      <c r="DB553" s="1825"/>
      <c r="DC553" s="1825"/>
      <c r="DD553" s="1825"/>
      <c r="DE553" s="1825"/>
      <c r="DF553" s="1825"/>
      <c r="DG553" s="1825"/>
      <c r="DH553" s="1825"/>
      <c r="DI553" s="1825"/>
      <c r="DJ553" s="1825"/>
      <c r="DK553" s="1825"/>
      <c r="DL553" s="1825"/>
      <c r="DM553" s="1825"/>
      <c r="DN553" s="1825"/>
      <c r="DO553" s="1825"/>
      <c r="DP553" s="1825"/>
      <c r="DQ553" s="1825"/>
      <c r="DR553" s="1825"/>
      <c r="DS553" s="1825"/>
      <c r="DT553" s="1825"/>
      <c r="DU553" s="1825"/>
      <c r="DV553" s="1825"/>
      <c r="DW553" s="1825"/>
      <c r="DX553" s="1825"/>
      <c r="DY553" s="1825"/>
      <c r="DZ553" s="1825"/>
      <c r="EA553" s="1825"/>
      <c r="EB553" s="1825"/>
      <c r="EC553" s="1825"/>
      <c r="ED553" s="1825"/>
      <c r="EE553" s="1825"/>
      <c r="EF553" s="1825"/>
      <c r="EG553" s="1825"/>
      <c r="EH553" s="1825"/>
      <c r="EI553" s="1825"/>
      <c r="EJ553" s="1825"/>
      <c r="EK553" s="1825"/>
      <c r="EL553" s="1825"/>
      <c r="EM553" s="1825"/>
      <c r="EN553" s="1825"/>
      <c r="EO553" s="1825"/>
      <c r="EP553" s="1825"/>
      <c r="EQ553" s="1825"/>
      <c r="ER553" s="1825"/>
      <c r="ES553" s="1825"/>
      <c r="ET553" s="1825"/>
      <c r="EU553" s="1825"/>
      <c r="EV553" s="1825"/>
      <c r="EW553" s="1825"/>
      <c r="EX553" s="1825"/>
      <c r="EY553" s="1825"/>
      <c r="EZ553" s="1825"/>
      <c r="FA553" s="1825"/>
      <c r="FB553" s="1825"/>
      <c r="FC553" s="1825"/>
      <c r="FD553" s="1825"/>
      <c r="FE553" s="1825"/>
      <c r="FF553" s="1825"/>
      <c r="FG553" s="1825"/>
      <c r="FH553" s="1825"/>
      <c r="FI553" s="1825"/>
      <c r="FJ553" s="1825"/>
      <c r="FK553" s="1825"/>
      <c r="FL553" s="1825"/>
      <c r="FM553" s="1825"/>
      <c r="FN553" s="1825"/>
      <c r="FO553" s="1825"/>
      <c r="FP553" s="1825"/>
      <c r="FQ553" s="1825"/>
      <c r="FR553" s="1825"/>
      <c r="FS553" s="1825"/>
      <c r="FT553" s="1825"/>
      <c r="FU553" s="1825"/>
      <c r="FV553" s="1825"/>
      <c r="FW553" s="1825"/>
      <c r="FX553" s="1825"/>
      <c r="FY553" s="1825"/>
      <c r="FZ553" s="1825"/>
      <c r="GA553" s="1825"/>
      <c r="GB553" s="1825"/>
      <c r="GC553" s="1825"/>
      <c r="GD553" s="1825"/>
      <c r="GE553" s="1825"/>
      <c r="GF553" s="1825"/>
      <c r="GG553" s="1825"/>
      <c r="GH553" s="1825"/>
      <c r="GI553" s="1825"/>
      <c r="GJ553" s="1825"/>
      <c r="GK553" s="1825"/>
      <c r="GL553" s="1825"/>
      <c r="GM553" s="1825"/>
      <c r="GN553" s="1825"/>
      <c r="GO553" s="1825"/>
      <c r="GP553" s="1825"/>
      <c r="GQ553" s="1825"/>
      <c r="GR553" s="1825"/>
      <c r="GS553" s="1825"/>
      <c r="GT553" s="1825"/>
      <c r="GU553" s="1825"/>
      <c r="GV553" s="1825"/>
      <c r="GW553" s="1825"/>
      <c r="GX553" s="1825"/>
      <c r="GY553" s="1825"/>
      <c r="GZ553" s="1825"/>
      <c r="HA553" s="1825"/>
      <c r="HB553" s="1825"/>
      <c r="HC553" s="1825"/>
      <c r="HD553" s="1825"/>
      <c r="HE553" s="1825"/>
      <c r="HF553" s="1825"/>
      <c r="HG553" s="1825"/>
      <c r="HH553" s="1825"/>
      <c r="HI553" s="1825"/>
      <c r="HJ553" s="1825"/>
      <c r="HK553" s="1825"/>
      <c r="HL553" s="1825"/>
      <c r="HM553" s="1825"/>
      <c r="HN553" s="1825"/>
      <c r="HO553" s="1825"/>
      <c r="HP553" s="1825"/>
      <c r="HQ553" s="1825"/>
      <c r="HR553" s="1825"/>
      <c r="HS553" s="1825"/>
      <c r="HT553" s="1825"/>
      <c r="HU553" s="1825"/>
      <c r="HV553" s="1825"/>
      <c r="HW553" s="1825"/>
      <c r="HX553" s="1825"/>
      <c r="HY553" s="1825"/>
      <c r="HZ553" s="1825"/>
      <c r="IA553" s="1825"/>
      <c r="IB553" s="1825"/>
      <c r="IC553" s="1825"/>
      <c r="ID553" s="1825"/>
      <c r="IE553" s="1825"/>
      <c r="IF553" s="1825"/>
      <c r="IG553" s="1825"/>
      <c r="IH553" s="1825"/>
      <c r="II553" s="1825"/>
      <c r="IJ553" s="1825"/>
      <c r="IK553" s="1825"/>
      <c r="IL553" s="1825"/>
      <c r="IM553" s="1825"/>
      <c r="IN553" s="1825"/>
      <c r="IO553" s="1825"/>
      <c r="IP553" s="1825"/>
      <c r="IQ553" s="1825"/>
      <c r="IR553" s="1825"/>
      <c r="IS553" s="1825"/>
      <c r="IT553" s="1825"/>
      <c r="IU553" s="1825"/>
      <c r="IV553" s="1825"/>
    </row>
    <row r="554" spans="1:256" s="3143" customFormat="1" ht="27" customHeight="1">
      <c r="A554" s="3469"/>
      <c r="B554" s="3324"/>
      <c r="C554" s="2230"/>
      <c r="D554" s="2230" t="s">
        <v>2745</v>
      </c>
      <c r="E554" s="2230"/>
      <c r="F554" s="3325"/>
      <c r="G554" s="207"/>
      <c r="H554" s="3326"/>
      <c r="I554" s="3470"/>
      <c r="J554" s="3471"/>
    </row>
    <row r="555" spans="1:256" s="1913" customFormat="1" ht="27" customHeight="1">
      <c r="A555" s="3340">
        <v>117</v>
      </c>
      <c r="B555" s="3438" t="s">
        <v>1860</v>
      </c>
      <c r="C555" s="2590" t="s">
        <v>2746</v>
      </c>
      <c r="D555" s="3434" t="s">
        <v>2747</v>
      </c>
      <c r="E555" s="3434" t="s">
        <v>205</v>
      </c>
      <c r="F555" s="2593">
        <f>SUM(F557:F557)</f>
        <v>1</v>
      </c>
      <c r="G555" s="208"/>
      <c r="H555" s="3439">
        <f>F555*G555</f>
        <v>0</v>
      </c>
      <c r="I555" s="3440" t="s">
        <v>112</v>
      </c>
      <c r="J555" s="3472"/>
    </row>
    <row r="556" spans="1:256" s="1913" customFormat="1" ht="13.5" customHeight="1">
      <c r="A556" s="3323"/>
      <c r="B556" s="3324"/>
      <c r="C556" s="2230"/>
      <c r="D556" s="2230" t="s">
        <v>2748</v>
      </c>
      <c r="E556" s="2230"/>
      <c r="F556" s="3444"/>
      <c r="G556" s="207"/>
      <c r="H556" s="3326"/>
      <c r="I556" s="3470"/>
    </row>
    <row r="557" spans="1:256" s="3333" customFormat="1" ht="13.5" customHeight="1">
      <c r="A557" s="3329"/>
      <c r="B557" s="3330"/>
      <c r="C557" s="3330"/>
      <c r="D557" s="3330" t="s">
        <v>2492</v>
      </c>
      <c r="E557" s="3330"/>
      <c r="F557" s="3331">
        <v>1</v>
      </c>
      <c r="G557" s="203"/>
      <c r="H557" s="3332"/>
      <c r="I557" s="3334"/>
      <c r="J557" s="3409"/>
      <c r="K557" s="2206"/>
      <c r="L557" s="2206"/>
      <c r="M557" s="2206"/>
      <c r="N557" s="2206"/>
      <c r="O557" s="2206"/>
      <c r="P557" s="2206"/>
      <c r="Q557" s="2206"/>
      <c r="R557" s="2206"/>
      <c r="S557" s="2206"/>
      <c r="T557" s="2206"/>
      <c r="U557" s="2206"/>
      <c r="V557" s="2206"/>
      <c r="W557" s="2206"/>
      <c r="X557" s="2206"/>
      <c r="Y557" s="2206"/>
      <c r="Z557" s="2206"/>
      <c r="AA557" s="2206"/>
      <c r="AB557" s="2206"/>
      <c r="AC557" s="2206"/>
      <c r="AD557" s="2206"/>
      <c r="AE557" s="2206"/>
      <c r="AF557" s="2206"/>
      <c r="AG557" s="2206"/>
      <c r="AH557" s="2206"/>
      <c r="AI557" s="2206"/>
      <c r="AJ557" s="2206"/>
      <c r="AK557" s="2206"/>
      <c r="AL557" s="2206"/>
      <c r="AM557" s="2206"/>
      <c r="AN557" s="2206"/>
      <c r="AO557" s="2206"/>
      <c r="AP557" s="2206"/>
      <c r="AQ557" s="2206"/>
      <c r="AR557" s="1825"/>
      <c r="AS557" s="1825"/>
      <c r="AT557" s="1825"/>
      <c r="AU557" s="1825"/>
      <c r="AV557" s="1825"/>
      <c r="AW557" s="1825"/>
      <c r="AX557" s="1825"/>
      <c r="AY557" s="1825"/>
      <c r="AZ557" s="1825"/>
      <c r="BA557" s="1825"/>
      <c r="BB557" s="1825"/>
      <c r="BC557" s="1825"/>
      <c r="BD557" s="1825"/>
      <c r="BE557" s="1825"/>
      <c r="BF557" s="1825"/>
      <c r="BG557" s="1825"/>
      <c r="BH557" s="1825"/>
      <c r="BI557" s="1825"/>
      <c r="BJ557" s="1825"/>
      <c r="BK557" s="1825"/>
      <c r="BL557" s="1825"/>
      <c r="BM557" s="1825"/>
      <c r="BN557" s="1825"/>
      <c r="BO557" s="1825"/>
      <c r="BP557" s="1825"/>
      <c r="BQ557" s="1825"/>
      <c r="BR557" s="1825"/>
      <c r="BS557" s="1825"/>
      <c r="BT557" s="1825"/>
      <c r="BU557" s="1825"/>
      <c r="BV557" s="1825"/>
      <c r="BW557" s="1825"/>
      <c r="BX557" s="1825"/>
      <c r="BY557" s="1825"/>
      <c r="BZ557" s="1825"/>
      <c r="CA557" s="1825"/>
      <c r="CB557" s="1825"/>
      <c r="CC557" s="1825"/>
      <c r="CD557" s="1825"/>
      <c r="CE557" s="1825"/>
      <c r="CF557" s="1825"/>
      <c r="CG557" s="1825"/>
      <c r="CH557" s="1825"/>
      <c r="CI557" s="1825"/>
      <c r="CJ557" s="1825"/>
      <c r="CK557" s="1825"/>
      <c r="CL557" s="1825"/>
      <c r="CM557" s="1825"/>
      <c r="CN557" s="1825"/>
      <c r="CO557" s="1825"/>
      <c r="CP557" s="1825"/>
      <c r="CQ557" s="1825"/>
      <c r="CR557" s="1825"/>
      <c r="CS557" s="1825"/>
      <c r="CT557" s="1825"/>
      <c r="CU557" s="1825"/>
      <c r="CV557" s="1825"/>
      <c r="CW557" s="1825"/>
      <c r="CX557" s="1825"/>
      <c r="CY557" s="1825"/>
      <c r="CZ557" s="1825"/>
      <c r="DA557" s="1825"/>
      <c r="DB557" s="1825"/>
      <c r="DC557" s="1825"/>
      <c r="DD557" s="1825"/>
      <c r="DE557" s="1825"/>
      <c r="DF557" s="1825"/>
      <c r="DG557" s="1825"/>
      <c r="DH557" s="1825"/>
      <c r="DI557" s="1825"/>
      <c r="DJ557" s="1825"/>
      <c r="DK557" s="1825"/>
      <c r="DL557" s="1825"/>
      <c r="DM557" s="1825"/>
      <c r="DN557" s="1825"/>
      <c r="DO557" s="1825"/>
      <c r="DP557" s="1825"/>
      <c r="DQ557" s="1825"/>
      <c r="DR557" s="1825"/>
      <c r="DS557" s="1825"/>
      <c r="DT557" s="1825"/>
      <c r="DU557" s="1825"/>
      <c r="DV557" s="1825"/>
      <c r="DW557" s="1825"/>
      <c r="DX557" s="1825"/>
      <c r="DY557" s="1825"/>
      <c r="DZ557" s="1825"/>
      <c r="EA557" s="1825"/>
      <c r="EB557" s="1825"/>
      <c r="EC557" s="1825"/>
      <c r="ED557" s="1825"/>
      <c r="EE557" s="1825"/>
      <c r="EF557" s="1825"/>
      <c r="EG557" s="1825"/>
      <c r="EH557" s="1825"/>
      <c r="EI557" s="1825"/>
      <c r="EJ557" s="1825"/>
      <c r="EK557" s="1825"/>
      <c r="EL557" s="1825"/>
      <c r="EM557" s="1825"/>
      <c r="EN557" s="1825"/>
      <c r="EO557" s="1825"/>
      <c r="EP557" s="1825"/>
      <c r="EQ557" s="1825"/>
      <c r="ER557" s="1825"/>
      <c r="ES557" s="1825"/>
      <c r="ET557" s="1825"/>
      <c r="EU557" s="1825"/>
      <c r="EV557" s="1825"/>
      <c r="EW557" s="1825"/>
      <c r="EX557" s="1825"/>
      <c r="EY557" s="1825"/>
      <c r="EZ557" s="1825"/>
      <c r="FA557" s="1825"/>
      <c r="FB557" s="1825"/>
      <c r="FC557" s="1825"/>
      <c r="FD557" s="1825"/>
      <c r="FE557" s="1825"/>
      <c r="FF557" s="1825"/>
      <c r="FG557" s="1825"/>
      <c r="FH557" s="1825"/>
      <c r="FI557" s="1825"/>
      <c r="FJ557" s="1825"/>
      <c r="FK557" s="1825"/>
      <c r="FL557" s="1825"/>
      <c r="FM557" s="1825"/>
      <c r="FN557" s="1825"/>
      <c r="FO557" s="1825"/>
      <c r="FP557" s="1825"/>
      <c r="FQ557" s="1825"/>
      <c r="FR557" s="1825"/>
      <c r="FS557" s="1825"/>
      <c r="FT557" s="1825"/>
      <c r="FU557" s="1825"/>
      <c r="FV557" s="1825"/>
      <c r="FW557" s="1825"/>
      <c r="FX557" s="1825"/>
      <c r="FY557" s="1825"/>
      <c r="FZ557" s="1825"/>
      <c r="GA557" s="1825"/>
      <c r="GB557" s="1825"/>
      <c r="GC557" s="1825"/>
      <c r="GD557" s="1825"/>
      <c r="GE557" s="1825"/>
      <c r="GF557" s="1825"/>
      <c r="GG557" s="1825"/>
      <c r="GH557" s="1825"/>
      <c r="GI557" s="1825"/>
      <c r="GJ557" s="1825"/>
      <c r="GK557" s="1825"/>
      <c r="GL557" s="1825"/>
      <c r="GM557" s="1825"/>
      <c r="GN557" s="1825"/>
      <c r="GO557" s="1825"/>
      <c r="GP557" s="1825"/>
      <c r="GQ557" s="1825"/>
      <c r="GR557" s="1825"/>
      <c r="GS557" s="1825"/>
      <c r="GT557" s="1825"/>
      <c r="GU557" s="1825"/>
      <c r="GV557" s="1825"/>
      <c r="GW557" s="1825"/>
      <c r="GX557" s="1825"/>
      <c r="GY557" s="1825"/>
      <c r="GZ557" s="1825"/>
      <c r="HA557" s="1825"/>
      <c r="HB557" s="1825"/>
      <c r="HC557" s="1825"/>
      <c r="HD557" s="1825"/>
      <c r="HE557" s="1825"/>
      <c r="HF557" s="1825"/>
      <c r="HG557" s="1825"/>
      <c r="HH557" s="1825"/>
      <c r="HI557" s="1825"/>
      <c r="HJ557" s="1825"/>
      <c r="HK557" s="1825"/>
      <c r="HL557" s="1825"/>
      <c r="HM557" s="1825"/>
      <c r="HN557" s="1825"/>
      <c r="HO557" s="1825"/>
      <c r="HP557" s="1825"/>
      <c r="HQ557" s="1825"/>
      <c r="HR557" s="1825"/>
      <c r="HS557" s="1825"/>
      <c r="HT557" s="1825"/>
      <c r="HU557" s="1825"/>
      <c r="HV557" s="1825"/>
      <c r="HW557" s="1825"/>
      <c r="HX557" s="1825"/>
      <c r="HY557" s="1825"/>
      <c r="HZ557" s="1825"/>
      <c r="IA557" s="1825"/>
      <c r="IB557" s="1825"/>
      <c r="IC557" s="1825"/>
      <c r="ID557" s="1825"/>
      <c r="IE557" s="1825"/>
      <c r="IF557" s="1825"/>
      <c r="IG557" s="1825"/>
      <c r="IH557" s="1825"/>
      <c r="II557" s="1825"/>
      <c r="IJ557" s="1825"/>
      <c r="IK557" s="1825"/>
      <c r="IL557" s="1825"/>
      <c r="IM557" s="1825"/>
      <c r="IN557" s="1825"/>
      <c r="IO557" s="1825"/>
      <c r="IP557" s="1825"/>
      <c r="IQ557" s="1825"/>
      <c r="IR557" s="1825"/>
      <c r="IS557" s="1825"/>
      <c r="IT557" s="1825"/>
      <c r="IU557" s="1825"/>
      <c r="IV557" s="1825"/>
    </row>
    <row r="558" spans="1:256" s="3143" customFormat="1" ht="27" customHeight="1">
      <c r="A558" s="3469"/>
      <c r="B558" s="3324"/>
      <c r="C558" s="2230"/>
      <c r="D558" s="2230" t="s">
        <v>2709</v>
      </c>
      <c r="E558" s="2230"/>
      <c r="F558" s="3325"/>
      <c r="G558" s="207"/>
      <c r="H558" s="3326"/>
      <c r="I558" s="3470"/>
      <c r="J558" s="3471"/>
    </row>
    <row r="559" spans="1:256" s="2321" customFormat="1" ht="13.5" customHeight="1">
      <c r="A559" s="2222">
        <v>118</v>
      </c>
      <c r="B559" s="3438" t="s">
        <v>1860</v>
      </c>
      <c r="C559" s="2590" t="s">
        <v>2749</v>
      </c>
      <c r="D559" s="2224" t="s">
        <v>2750</v>
      </c>
      <c r="E559" s="2224" t="s">
        <v>205</v>
      </c>
      <c r="F559" s="2593">
        <f>SUM(F561:F561)</f>
        <v>29</v>
      </c>
      <c r="G559" s="124"/>
      <c r="H559" s="2226">
        <f>F559*G559</f>
        <v>0</v>
      </c>
      <c r="I559" s="3440" t="s">
        <v>112</v>
      </c>
      <c r="J559" s="2295"/>
      <c r="M559" s="2295"/>
    </row>
    <row r="560" spans="1:256" s="2321" customFormat="1" ht="13.5" customHeight="1">
      <c r="A560" s="2222"/>
      <c r="B560" s="2223"/>
      <c r="C560" s="2224"/>
      <c r="D560" s="2277" t="s">
        <v>2751</v>
      </c>
      <c r="E560" s="2224"/>
      <c r="F560" s="3473"/>
      <c r="G560" s="124"/>
      <c r="H560" s="2226"/>
      <c r="I560" s="2297"/>
      <c r="J560" s="3474"/>
      <c r="K560" s="3475"/>
      <c r="L560" s="3475"/>
      <c r="M560" s="3476"/>
      <c r="N560" s="3477"/>
      <c r="O560" s="3477"/>
    </row>
    <row r="561" spans="1:19" s="2321" customFormat="1" ht="13.5" customHeight="1">
      <c r="A561" s="2222"/>
      <c r="B561" s="2223"/>
      <c r="C561" s="2224"/>
      <c r="D561" s="2277" t="s">
        <v>2752</v>
      </c>
      <c r="E561" s="2224"/>
      <c r="F561" s="2300">
        <f>(9+19+1)</f>
        <v>29</v>
      </c>
      <c r="G561" s="124"/>
      <c r="H561" s="2226"/>
      <c r="I561" s="2297"/>
      <c r="J561" s="2057"/>
      <c r="K561" s="2057"/>
      <c r="L561" s="2057"/>
      <c r="M561" s="2057"/>
      <c r="N561" s="2057"/>
      <c r="O561" s="2057"/>
      <c r="P561" s="2057"/>
      <c r="Q561" s="2057"/>
      <c r="R561" s="2057"/>
      <c r="S561" s="2057"/>
    </row>
    <row r="562" spans="1:19" s="3143" customFormat="1" ht="40.5" customHeight="1">
      <c r="A562" s="3323"/>
      <c r="B562" s="3324"/>
      <c r="C562" s="2230"/>
      <c r="D562" s="2230" t="s">
        <v>2753</v>
      </c>
      <c r="E562" s="2230"/>
      <c r="F562" s="3325"/>
      <c r="G562" s="207"/>
      <c r="H562" s="3326"/>
      <c r="I562" s="2297"/>
      <c r="J562" s="3478"/>
    </row>
    <row r="563" spans="1:19" s="2321" customFormat="1" ht="13.5" customHeight="1">
      <c r="A563" s="2222">
        <v>119</v>
      </c>
      <c r="B563" s="3438" t="s">
        <v>1860</v>
      </c>
      <c r="C563" s="2590" t="s">
        <v>2754</v>
      </c>
      <c r="D563" s="2224" t="s">
        <v>2755</v>
      </c>
      <c r="E563" s="2224" t="s">
        <v>49</v>
      </c>
      <c r="F563" s="2593">
        <f>F564</f>
        <v>1</v>
      </c>
      <c r="G563" s="124"/>
      <c r="H563" s="2226">
        <f>F563*G563</f>
        <v>0</v>
      </c>
      <c r="I563" s="3440" t="s">
        <v>112</v>
      </c>
      <c r="J563" s="2295"/>
      <c r="M563" s="2295"/>
    </row>
    <row r="564" spans="1:19" s="2321" customFormat="1" ht="13.5" customHeight="1">
      <c r="A564" s="2222"/>
      <c r="B564" s="2223"/>
      <c r="C564" s="2224"/>
      <c r="D564" s="2277" t="s">
        <v>1879</v>
      </c>
      <c r="E564" s="2224"/>
      <c r="F564" s="2300">
        <v>1</v>
      </c>
      <c r="G564" s="124"/>
      <c r="H564" s="2226"/>
      <c r="I564" s="2297"/>
      <c r="J564" s="2295"/>
      <c r="M564" s="2295"/>
    </row>
    <row r="565" spans="1:19" s="1803" customFormat="1" ht="13.5" customHeight="1">
      <c r="A565" s="3432">
        <v>120</v>
      </c>
      <c r="B565" s="3438" t="s">
        <v>1860</v>
      </c>
      <c r="C565" s="3434">
        <v>998725201</v>
      </c>
      <c r="D565" s="3434" t="s">
        <v>2756</v>
      </c>
      <c r="E565" s="3434" t="s">
        <v>10</v>
      </c>
      <c r="F565" s="3479">
        <v>0.15</v>
      </c>
      <c r="G565" s="124"/>
      <c r="H565" s="3480">
        <f>F565*G565</f>
        <v>0</v>
      </c>
      <c r="I565" s="3440" t="s">
        <v>137</v>
      </c>
      <c r="J565" s="3481"/>
    </row>
    <row r="566" spans="1:19" s="1913" customFormat="1" ht="13.5" customHeight="1">
      <c r="A566" s="3432">
        <v>121</v>
      </c>
      <c r="B566" s="3438" t="s">
        <v>362</v>
      </c>
      <c r="C566" s="2590" t="s">
        <v>843</v>
      </c>
      <c r="D566" s="3434" t="s">
        <v>844</v>
      </c>
      <c r="E566" s="3434" t="s">
        <v>69</v>
      </c>
      <c r="F566" s="2593">
        <f>F567</f>
        <v>20</v>
      </c>
      <c r="G566" s="3220"/>
      <c r="H566" s="3480">
        <f>F566*G566</f>
        <v>0</v>
      </c>
      <c r="I566" s="3440" t="s">
        <v>137</v>
      </c>
      <c r="J566" s="3482"/>
    </row>
    <row r="567" spans="1:19" s="627" customFormat="1" ht="13.5" customHeight="1">
      <c r="A567" s="3483"/>
      <c r="B567" s="3484"/>
      <c r="C567" s="3484"/>
      <c r="D567" s="2230" t="s">
        <v>2757</v>
      </c>
      <c r="E567" s="3484"/>
      <c r="F567" s="3325">
        <v>20</v>
      </c>
      <c r="G567" s="3221"/>
      <c r="H567" s="3480"/>
      <c r="I567" s="3485"/>
    </row>
    <row r="568" spans="1:19" s="627" customFormat="1" ht="13.5" customHeight="1">
      <c r="A568" s="3483"/>
      <c r="B568" s="3484"/>
      <c r="C568" s="3484"/>
      <c r="D568" s="2230" t="s">
        <v>526</v>
      </c>
      <c r="E568" s="3484"/>
      <c r="F568" s="3325"/>
      <c r="G568" s="3221"/>
      <c r="H568" s="3480"/>
      <c r="I568" s="3485"/>
      <c r="J568" s="3486"/>
    </row>
    <row r="569" spans="1:19" ht="21" customHeight="1">
      <c r="A569" s="2353"/>
      <c r="B569" s="2354"/>
      <c r="C569" s="2354"/>
      <c r="D569" s="2354" t="s">
        <v>0</v>
      </c>
      <c r="E569" s="2354"/>
      <c r="F569" s="2631"/>
      <c r="G569" s="2356"/>
      <c r="H569" s="2356">
        <f>H7+H99</f>
        <v>0</v>
      </c>
      <c r="I569" s="2206"/>
    </row>
    <row r="570" spans="1:19">
      <c r="A570" s="2357"/>
      <c r="B570" s="2357"/>
      <c r="C570" s="2358"/>
      <c r="D570" s="2358"/>
      <c r="E570" s="2359"/>
      <c r="F570" s="2632"/>
      <c r="G570" s="2361"/>
      <c r="H570" s="2361"/>
      <c r="I570" s="2362"/>
    </row>
    <row r="571" spans="1:19" ht="13.5" customHeight="1">
      <c r="A571" s="5208" t="s">
        <v>862</v>
      </c>
      <c r="B571" s="5209"/>
      <c r="C571" s="5210"/>
      <c r="D571" s="2363" t="s">
        <v>2758</v>
      </c>
      <c r="E571" s="2364"/>
      <c r="F571" s="2633"/>
      <c r="G571" s="2366"/>
      <c r="H571" s="2367">
        <f>H569</f>
        <v>0</v>
      </c>
      <c r="I571" s="2368"/>
    </row>
    <row r="572" spans="1:19" ht="13.5" customHeight="1">
      <c r="A572" s="2243"/>
      <c r="B572" s="2246"/>
      <c r="C572" s="2246"/>
      <c r="D572" s="2351"/>
      <c r="E572" s="2369"/>
      <c r="F572" s="2634"/>
      <c r="G572" s="2247"/>
      <c r="H572" s="2248"/>
      <c r="I572" s="2206"/>
    </row>
    <row r="573" spans="1:19" ht="13.5" customHeight="1">
      <c r="A573" s="689" t="s">
        <v>1</v>
      </c>
      <c r="B573" s="689"/>
      <c r="C573" s="689"/>
      <c r="D573" s="689"/>
      <c r="E573" s="689"/>
      <c r="F573" s="689"/>
      <c r="G573" s="689"/>
      <c r="H573" s="689"/>
      <c r="I573" s="689"/>
    </row>
    <row r="574" spans="1:19" ht="27" customHeight="1">
      <c r="A574" s="5159" t="s">
        <v>864</v>
      </c>
      <c r="B574" s="5159"/>
      <c r="C574" s="5159"/>
      <c r="D574" s="5159"/>
      <c r="E574" s="5159"/>
      <c r="F574" s="5159"/>
      <c r="G574" s="5159"/>
      <c r="H574" s="689"/>
      <c r="I574" s="2206"/>
    </row>
    <row r="575" spans="1:19" ht="93.75" customHeight="1">
      <c r="A575" s="5159" t="s">
        <v>104</v>
      </c>
      <c r="B575" s="5159"/>
      <c r="C575" s="5159"/>
      <c r="D575" s="5159"/>
      <c r="E575" s="5159"/>
      <c r="F575" s="5159"/>
      <c r="G575" s="5159"/>
      <c r="H575" s="689"/>
      <c r="I575" s="689"/>
    </row>
    <row r="576" spans="1:19" ht="13.5" customHeight="1">
      <c r="A576" s="5159" t="s">
        <v>105</v>
      </c>
      <c r="B576" s="5159"/>
      <c r="C576" s="5159"/>
      <c r="D576" s="5159"/>
      <c r="E576" s="5159"/>
      <c r="F576" s="5159"/>
      <c r="G576" s="5159"/>
      <c r="H576" s="691"/>
      <c r="I576" s="691"/>
    </row>
    <row r="577" spans="1:9" ht="13.5" customHeight="1">
      <c r="A577" s="5159" t="s">
        <v>106</v>
      </c>
      <c r="B577" s="5159"/>
      <c r="C577" s="5159"/>
      <c r="D577" s="5159"/>
      <c r="E577" s="5159"/>
      <c r="F577" s="5159"/>
      <c r="G577" s="5159"/>
      <c r="H577" s="691"/>
      <c r="I577" s="691"/>
    </row>
    <row r="578" spans="1:9" s="889" customFormat="1" ht="40.5" customHeight="1">
      <c r="A578" s="5156" t="s">
        <v>865</v>
      </c>
      <c r="B578" s="5156"/>
      <c r="C578" s="5156"/>
      <c r="D578" s="5156"/>
      <c r="E578" s="5156"/>
      <c r="F578" s="5156"/>
      <c r="G578" s="5156"/>
      <c r="H578" s="1203"/>
      <c r="I578" s="888"/>
    </row>
    <row r="579" spans="1:9" s="889" customFormat="1" ht="108" customHeight="1">
      <c r="A579" s="5156" t="s">
        <v>1013</v>
      </c>
      <c r="B579" s="5156"/>
      <c r="C579" s="5156"/>
      <c r="D579" s="5156"/>
      <c r="E579" s="5156"/>
      <c r="F579" s="5156"/>
      <c r="G579" s="5156"/>
      <c r="H579" s="1204"/>
      <c r="I579" s="1205"/>
    </row>
  </sheetData>
  <sheetProtection algorithmName="SHA-512" hashValue="G0e1Xsq/BvR2Cr+Qu/GDvRsDTkGA+nqMefrVV/ghWtV6XvCcw3wlp8NYZQAVbkpasYXZwMmX3bSlbKBm79C5PQ==" saltValue="KVssGb8JFzcDi59iv8Nj2g==" spinCount="100000" sheet="1" objects="1" scenarios="1"/>
  <mergeCells count="13">
    <mergeCell ref="G73:H73"/>
    <mergeCell ref="G74:H74"/>
    <mergeCell ref="A579:G579"/>
    <mergeCell ref="G203:H203"/>
    <mergeCell ref="G206:H206"/>
    <mergeCell ref="G345:H345"/>
    <mergeCell ref="G429:H429"/>
    <mergeCell ref="A578:G578"/>
    <mergeCell ref="A571:C571"/>
    <mergeCell ref="A574:G574"/>
    <mergeCell ref="A575:G575"/>
    <mergeCell ref="A576:G576"/>
    <mergeCell ref="A577:G57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5DAE-3198-44DD-B33F-0241C7752327}">
  <sheetPr>
    <tabColor rgb="FFFF00FF"/>
    <pageSetUpPr fitToPage="1"/>
  </sheetPr>
  <dimension ref="A1:IV60"/>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4242</v>
      </c>
      <c r="B1" s="28"/>
      <c r="C1" s="28"/>
    </row>
    <row r="2" spans="1:256" s="884" customFormat="1" ht="13.5" customHeight="1">
      <c r="A2" s="5193" t="s">
        <v>4243</v>
      </c>
      <c r="B2" s="5193"/>
      <c r="C2" s="5193"/>
      <c r="D2" s="1752"/>
      <c r="E2" s="698"/>
      <c r="F2" s="698"/>
      <c r="G2" s="700"/>
      <c r="H2" s="700"/>
      <c r="I2" s="883"/>
      <c r="M2" s="111"/>
    </row>
    <row r="3" spans="1:256" s="884" customFormat="1" ht="13.5" customHeight="1">
      <c r="A3" s="5193" t="s">
        <v>4244</v>
      </c>
      <c r="B3" s="5193"/>
      <c r="C3" s="5193"/>
      <c r="D3" s="1753"/>
      <c r="E3" s="698"/>
      <c r="F3" s="700"/>
      <c r="G3" s="700"/>
      <c r="H3" s="883"/>
      <c r="I3" s="883"/>
      <c r="M3" s="111"/>
    </row>
    <row r="4" spans="1:256" s="3208" customFormat="1" ht="13.5" customHeight="1">
      <c r="A4" s="5193" t="s">
        <v>4245</v>
      </c>
      <c r="B4" s="5193"/>
      <c r="C4" s="5193"/>
      <c r="D4" s="273"/>
      <c r="E4" s="3214"/>
      <c r="F4" s="3215"/>
      <c r="G4" s="3215"/>
      <c r="H4" s="3120"/>
      <c r="I4" s="3120"/>
    </row>
    <row r="5" spans="1:256" ht="13.5" customHeight="1">
      <c r="A5" s="274" t="s">
        <v>4246</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868</v>
      </c>
      <c r="B7" s="31" t="s">
        <v>121</v>
      </c>
      <c r="C7" s="32" t="s">
        <v>4247</v>
      </c>
    </row>
    <row r="8" spans="1:256" ht="13.5" customHeight="1">
      <c r="A8" s="276">
        <v>1</v>
      </c>
      <c r="B8" s="277">
        <v>2</v>
      </c>
      <c r="C8" s="278">
        <v>3</v>
      </c>
    </row>
    <row r="9" spans="1:256" ht="21" customHeight="1">
      <c r="A9" s="36"/>
      <c r="B9" s="37"/>
      <c r="C9" s="37"/>
    </row>
    <row r="10" spans="1:256" ht="13.5" customHeight="1">
      <c r="A10" s="279">
        <v>1</v>
      </c>
      <c r="B10" s="280" t="s">
        <v>4248</v>
      </c>
      <c r="C10" s="281">
        <f>'D.1.4.1.b.08. AREÁL. KANALIZACE'!H947</f>
        <v>0</v>
      </c>
    </row>
    <row r="11" spans="1:256" ht="13.5" customHeight="1">
      <c r="A11" s="279">
        <v>2</v>
      </c>
      <c r="B11" s="280" t="s">
        <v>4249</v>
      </c>
      <c r="C11" s="281">
        <f>'D.1.4.1.b.08. AREÁL. KANAL - BP'!H168</f>
        <v>0</v>
      </c>
    </row>
    <row r="12" spans="1:256" ht="21" customHeight="1">
      <c r="A12" s="282"/>
      <c r="B12" s="283" t="s">
        <v>4250</v>
      </c>
      <c r="C12" s="284">
        <f>SUM(C10:C11)</f>
        <v>0</v>
      </c>
    </row>
    <row r="13" spans="1:256" ht="13.5" customHeight="1"/>
    <row r="14" spans="1:256" ht="13.5" customHeight="1"/>
    <row r="15" spans="1:256" ht="13.5" customHeight="1"/>
    <row r="16" spans="1:256" ht="13.5" customHeight="1"/>
    <row r="17" spans="2:7" ht="13.5" customHeight="1">
      <c r="B17" s="3208"/>
      <c r="C17" s="3208"/>
      <c r="D17" s="3208"/>
      <c r="E17" s="3208"/>
      <c r="F17" s="3208"/>
      <c r="G17" s="3208"/>
    </row>
    <row r="18" spans="2:7" ht="13.5" customHeight="1">
      <c r="B18" s="3208"/>
      <c r="C18" s="3208"/>
      <c r="D18" s="3208"/>
      <c r="E18" s="3208"/>
      <c r="F18" s="3208"/>
      <c r="G18" s="3208"/>
    </row>
    <row r="19" spans="2:7" ht="13.5" customHeight="1">
      <c r="B19" s="3208"/>
      <c r="C19" s="3208"/>
      <c r="D19" s="3208"/>
      <c r="E19" s="3208"/>
      <c r="F19" s="3208"/>
      <c r="G19" s="3208"/>
    </row>
    <row r="20" spans="2:7" ht="13.5" customHeight="1">
      <c r="B20" s="3208"/>
      <c r="C20" s="3208"/>
      <c r="D20" s="3208"/>
      <c r="E20" s="3208"/>
      <c r="F20" s="3208"/>
      <c r="G20" s="3208"/>
    </row>
    <row r="21" spans="2:7" ht="13.5" customHeight="1">
      <c r="B21" s="3208"/>
      <c r="C21" s="3208"/>
      <c r="D21" s="3208"/>
      <c r="E21" s="3208"/>
      <c r="F21" s="3208"/>
      <c r="G21" s="3208"/>
    </row>
    <row r="22" spans="2:7" ht="13.5" customHeight="1">
      <c r="B22" s="3208"/>
    </row>
    <row r="23" spans="2:7" ht="13.5" customHeight="1">
      <c r="B23" s="3208"/>
    </row>
    <row r="24" spans="2:7" ht="13.5" customHeight="1">
      <c r="B24" s="3208"/>
    </row>
    <row r="25" spans="2:7" ht="13.5" customHeight="1">
      <c r="B25" s="3208"/>
    </row>
    <row r="26" spans="2:7" ht="13.5" customHeight="1">
      <c r="B26" s="3208"/>
    </row>
    <row r="27" spans="2:7" ht="13.5" customHeight="1">
      <c r="B27" s="3208"/>
    </row>
    <row r="28" spans="2:7" ht="13.5" customHeight="1">
      <c r="B28" s="3208"/>
    </row>
    <row r="29" spans="2:7" ht="13.5" customHeight="1">
      <c r="B29" s="3208"/>
    </row>
    <row r="30" spans="2:7" ht="13.5" customHeight="1">
      <c r="B30" s="3208"/>
    </row>
    <row r="31" spans="2:7" ht="13.5" customHeight="1">
      <c r="B31" s="3208"/>
    </row>
    <row r="32" spans="2:7" ht="13.5" customHeight="1">
      <c r="B32" s="3208"/>
    </row>
    <row r="33" spans="2:2" ht="13.5" customHeight="1">
      <c r="B33" s="3208"/>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sheetData>
  <sheetProtection algorithmName="SHA-512" hashValue="J/XB7iUFSUFVi+DTHJ074Q75CwC5D5qW3kTsFkNJERgyOQPv5BwiDyXnYQ4pcfSersrNHbvLALnzOV5uXgljnA==" saltValue="E9Zjz3c+ZL3TjTZ/CKS00Q=="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2289-55F0-4B76-AEFD-3E3EC2195D7E}">
  <sheetPr>
    <tabColor rgb="FFFF00FF"/>
    <pageSetUpPr fitToPage="1"/>
  </sheetPr>
  <dimension ref="A1:IV1272"/>
  <sheetViews>
    <sheetView zoomScaleNormal="100" workbookViewId="0"/>
  </sheetViews>
  <sheetFormatPr defaultRowHeight="15"/>
  <cols>
    <col min="1" max="1" width="4.83203125" style="1204" customWidth="1"/>
    <col min="2" max="2" width="5" style="1204" customWidth="1"/>
    <col min="3" max="3" width="16.83203125" style="1204" customWidth="1"/>
    <col min="4" max="4" width="75.83203125" style="1204" customWidth="1"/>
    <col min="5" max="5" width="7.83203125" style="1204" customWidth="1"/>
    <col min="6" max="6" width="11.83203125" style="1204" customWidth="1"/>
    <col min="7" max="7" width="13.6640625" style="3152" customWidth="1"/>
    <col min="8" max="8" width="18.33203125" style="1204" customWidth="1"/>
    <col min="9" max="9" width="20.1640625" style="1204" customWidth="1"/>
    <col min="10" max="10" width="19.6640625" style="889" customWidth="1"/>
    <col min="11" max="11" width="14.83203125" style="889" customWidth="1"/>
    <col min="12" max="12" width="13.5" style="889" customWidth="1"/>
    <col min="13" max="21" width="9.33203125" style="889"/>
    <col min="22" max="22" width="13.83203125" style="889" bestFit="1" customWidth="1"/>
    <col min="23" max="16384" width="9.33203125" style="889"/>
  </cols>
  <sheetData>
    <row r="1" spans="1:255" s="111" customFormat="1" ht="20.25" customHeight="1">
      <c r="A1" s="1" t="s">
        <v>2760</v>
      </c>
      <c r="B1" s="27"/>
      <c r="C1" s="28"/>
      <c r="D1" s="28"/>
      <c r="E1" s="285"/>
      <c r="F1" s="28"/>
      <c r="G1" s="28"/>
      <c r="H1" s="28"/>
      <c r="J1" s="535"/>
    </row>
    <row r="2" spans="1:255" ht="15" customHeight="1">
      <c r="A2" s="5199" t="s">
        <v>115</v>
      </c>
      <c r="B2" s="5200"/>
      <c r="C2" s="5200"/>
      <c r="D2" s="5200"/>
      <c r="E2" s="5200"/>
      <c r="F2" s="5200"/>
      <c r="G2" s="5200"/>
      <c r="H2" s="5200"/>
      <c r="I2" s="5200"/>
      <c r="J2" s="535"/>
    </row>
    <row r="3" spans="1:255" s="888" customFormat="1" ht="13.5" customHeight="1">
      <c r="A3" s="5199" t="s">
        <v>4244</v>
      </c>
      <c r="B3" s="5211"/>
      <c r="C3" s="5211"/>
      <c r="D3" s="5211"/>
      <c r="E3" s="886"/>
      <c r="F3" s="887"/>
      <c r="G3" s="887"/>
      <c r="I3" s="2635"/>
      <c r="J3" s="2636"/>
      <c r="K3" s="889"/>
      <c r="M3" s="2637"/>
    </row>
    <row r="4" spans="1:255" s="888" customFormat="1" ht="13.5" customHeight="1">
      <c r="A4" s="5193" t="s">
        <v>4245</v>
      </c>
      <c r="B4" s="5211"/>
      <c r="C4" s="5211"/>
      <c r="D4" s="5211"/>
      <c r="E4" s="5193"/>
      <c r="F4" s="5200"/>
      <c r="G4" s="5200"/>
      <c r="H4" s="5200"/>
      <c r="I4" s="2635"/>
      <c r="J4" s="2636"/>
      <c r="M4" s="2637"/>
    </row>
    <row r="5" spans="1:255" ht="13.5" customHeight="1">
      <c r="A5" s="886" t="s">
        <v>4251</v>
      </c>
      <c r="B5" s="886"/>
      <c r="C5" s="886"/>
      <c r="D5" s="886"/>
      <c r="E5" s="886"/>
      <c r="F5" s="887"/>
      <c r="G5" s="887"/>
      <c r="H5" s="888"/>
      <c r="I5" s="888"/>
    </row>
    <row r="6" spans="1:255" ht="15.75">
      <c r="A6" s="887"/>
      <c r="B6" s="887"/>
      <c r="C6" s="887"/>
      <c r="D6" s="3052"/>
      <c r="E6" s="3053"/>
      <c r="F6" s="887"/>
      <c r="G6" s="887"/>
      <c r="H6" s="887"/>
      <c r="I6" s="3054"/>
    </row>
    <row r="7" spans="1:255" ht="22.5">
      <c r="A7" s="3055" t="s">
        <v>118</v>
      </c>
      <c r="B7" s="3055" t="s">
        <v>119</v>
      </c>
      <c r="C7" s="3055" t="s">
        <v>120</v>
      </c>
      <c r="D7" s="3055" t="s">
        <v>121</v>
      </c>
      <c r="E7" s="3055" t="s">
        <v>122</v>
      </c>
      <c r="F7" s="3055" t="s">
        <v>123</v>
      </c>
      <c r="G7" s="3055" t="s">
        <v>124</v>
      </c>
      <c r="H7" s="3056" t="s">
        <v>2</v>
      </c>
      <c r="I7" s="3057" t="s">
        <v>46</v>
      </c>
      <c r="J7" s="3058"/>
      <c r="K7" s="3059"/>
    </row>
    <row r="8" spans="1:255">
      <c r="A8" s="3055" t="s">
        <v>125</v>
      </c>
      <c r="B8" s="3055" t="s">
        <v>126</v>
      </c>
      <c r="C8" s="3055">
        <v>3</v>
      </c>
      <c r="D8" s="3055">
        <v>4</v>
      </c>
      <c r="E8" s="3055">
        <v>5</v>
      </c>
      <c r="F8" s="3055">
        <v>6</v>
      </c>
      <c r="G8" s="3055">
        <v>7</v>
      </c>
      <c r="H8" s="3056">
        <v>8</v>
      </c>
      <c r="I8" s="3057">
        <v>9</v>
      </c>
      <c r="K8" s="3060"/>
    </row>
    <row r="9" spans="1:255" s="888" customFormat="1" ht="21" customHeight="1">
      <c r="A9" s="3061"/>
      <c r="B9" s="3062"/>
      <c r="C9" s="3062" t="s">
        <v>132</v>
      </c>
      <c r="D9" s="3062" t="s">
        <v>133</v>
      </c>
      <c r="E9" s="3062"/>
      <c r="F9" s="3063"/>
      <c r="G9" s="3064"/>
      <c r="H9" s="3064">
        <f>H10+H663+H709+H927</f>
        <v>0</v>
      </c>
      <c r="I9" s="2657"/>
    </row>
    <row r="10" spans="1:255" s="888" customFormat="1" ht="13.5" customHeight="1">
      <c r="A10" s="3065"/>
      <c r="B10" s="3066"/>
      <c r="C10" s="3067" t="s">
        <v>125</v>
      </c>
      <c r="D10" s="3067" t="s">
        <v>134</v>
      </c>
      <c r="E10" s="3067"/>
      <c r="F10" s="3068"/>
      <c r="G10" s="3069"/>
      <c r="H10" s="3069">
        <f>SUM(H11:H629,H635:H641,H646:H654,H661:H662)</f>
        <v>0</v>
      </c>
      <c r="I10" s="2719"/>
      <c r="L10" s="3070"/>
    </row>
    <row r="11" spans="1:255" s="888" customFormat="1" ht="13.5" customHeight="1">
      <c r="A11" s="2655" t="s">
        <v>125</v>
      </c>
      <c r="B11" s="799" t="s">
        <v>135</v>
      </c>
      <c r="C11" s="352">
        <v>115101201</v>
      </c>
      <c r="D11" s="352" t="s">
        <v>136</v>
      </c>
      <c r="E11" s="352" t="s">
        <v>69</v>
      </c>
      <c r="F11" s="1258">
        <v>80</v>
      </c>
      <c r="G11" s="2784"/>
      <c r="H11" s="568">
        <f t="shared" ref="H11:H17" si="0">ROUND(F11*G11,2)</f>
        <v>0</v>
      </c>
      <c r="I11" s="744" t="s">
        <v>137</v>
      </c>
      <c r="J11" s="3071"/>
      <c r="BN11" s="2657"/>
      <c r="BO11" s="2657"/>
      <c r="BP11" s="2657"/>
      <c r="BQ11" s="2657"/>
      <c r="BR11" s="2657"/>
      <c r="BS11" s="2657"/>
      <c r="BT11" s="2657"/>
      <c r="BU11" s="2657"/>
      <c r="BV11" s="2657"/>
      <c r="BW11" s="2657"/>
      <c r="BX11" s="2657"/>
      <c r="BY11" s="2657"/>
      <c r="BZ11" s="2657"/>
      <c r="CA11" s="2657"/>
      <c r="CB11" s="2657"/>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10</v>
      </c>
      <c r="G12" s="2784"/>
      <c r="H12" s="568">
        <f t="shared" si="0"/>
        <v>0</v>
      </c>
      <c r="I12" s="744" t="s">
        <v>137</v>
      </c>
      <c r="J12" s="2656"/>
      <c r="BN12" s="2657"/>
      <c r="BO12" s="2657"/>
      <c r="BP12" s="2657"/>
      <c r="BQ12" s="2657"/>
      <c r="BR12" s="2657"/>
      <c r="BS12" s="2657"/>
      <c r="BT12" s="2657"/>
      <c r="BU12" s="2657"/>
      <c r="BV12" s="2657"/>
      <c r="BW12" s="2657"/>
      <c r="BX12" s="2657"/>
      <c r="BY12" s="2657"/>
      <c r="BZ12" s="2657"/>
      <c r="CA12" s="2657"/>
      <c r="CB12" s="2657"/>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5</v>
      </c>
      <c r="G13" s="286"/>
      <c r="H13" s="568">
        <f t="shared" si="0"/>
        <v>0</v>
      </c>
      <c r="I13" s="744" t="s">
        <v>137</v>
      </c>
      <c r="J13" s="2656"/>
      <c r="BN13" s="2657"/>
      <c r="BO13" s="2657"/>
      <c r="BP13" s="2657"/>
      <c r="BQ13" s="2657"/>
      <c r="BR13" s="2657"/>
      <c r="BS13" s="2657"/>
      <c r="BT13" s="2657"/>
      <c r="BU13" s="2657"/>
      <c r="BV13" s="2657"/>
      <c r="BW13" s="2657"/>
      <c r="BX13" s="2657"/>
      <c r="BY13" s="2657"/>
      <c r="BZ13" s="2657"/>
      <c r="CA13" s="2657"/>
      <c r="CB13" s="2657"/>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5</v>
      </c>
      <c r="G14" s="286"/>
      <c r="H14" s="568">
        <f t="shared" si="0"/>
        <v>0</v>
      </c>
      <c r="I14" s="744" t="s">
        <v>137</v>
      </c>
      <c r="J14" s="2656"/>
      <c r="BN14" s="2657"/>
      <c r="BO14" s="2657"/>
      <c r="BP14" s="2657"/>
      <c r="BQ14" s="2657"/>
      <c r="BR14" s="2657"/>
      <c r="BS14" s="2657"/>
      <c r="BT14" s="2657"/>
      <c r="BU14" s="2657"/>
      <c r="BV14" s="2657"/>
      <c r="BW14" s="2657"/>
      <c r="BX14" s="2657"/>
      <c r="BY14" s="2657"/>
      <c r="BZ14" s="2657"/>
      <c r="CA14" s="2657"/>
      <c r="CB14" s="2657"/>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5</v>
      </c>
      <c r="G15" s="286"/>
      <c r="H15" s="568">
        <f t="shared" si="0"/>
        <v>0</v>
      </c>
      <c r="I15" s="744" t="s">
        <v>137</v>
      </c>
      <c r="J15" s="2656"/>
      <c r="BN15" s="2657"/>
      <c r="BO15" s="2657"/>
      <c r="BP15" s="2657"/>
      <c r="BQ15" s="2657"/>
      <c r="BR15" s="2657"/>
      <c r="BS15" s="2657"/>
      <c r="BT15" s="2657"/>
      <c r="BU15" s="2657"/>
      <c r="BV15" s="2657"/>
      <c r="BW15" s="2657"/>
      <c r="BX15" s="2657"/>
      <c r="BY15" s="2657"/>
      <c r="BZ15" s="2657"/>
      <c r="CA15" s="2657"/>
      <c r="CB15" s="2657"/>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35</v>
      </c>
      <c r="G16" s="286"/>
      <c r="H16" s="568">
        <f t="shared" si="0"/>
        <v>0</v>
      </c>
      <c r="I16" s="744" t="s">
        <v>137</v>
      </c>
      <c r="J16" s="2656"/>
      <c r="BN16" s="2657"/>
      <c r="BO16" s="2657"/>
      <c r="BP16" s="2657"/>
      <c r="BQ16" s="2657"/>
      <c r="BR16" s="2657"/>
      <c r="BS16" s="2657"/>
      <c r="BT16" s="2657"/>
      <c r="BU16" s="2657"/>
      <c r="BV16" s="2657"/>
      <c r="BW16" s="2657"/>
      <c r="BX16" s="2657"/>
      <c r="BY16" s="2657"/>
      <c r="BZ16" s="2657"/>
      <c r="CA16" s="2657"/>
      <c r="CB16" s="2657"/>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888" customFormat="1" ht="27" customHeight="1">
      <c r="A17" s="3072">
        <v>7</v>
      </c>
      <c r="B17" s="2665" t="s">
        <v>135</v>
      </c>
      <c r="C17" s="2666" t="s">
        <v>4252</v>
      </c>
      <c r="D17" s="2666" t="s">
        <v>4253</v>
      </c>
      <c r="E17" s="2666" t="s">
        <v>49</v>
      </c>
      <c r="F17" s="3073">
        <f>ROUND(SUM(F18),3)</f>
        <v>1</v>
      </c>
      <c r="G17" s="287"/>
      <c r="H17" s="568">
        <f t="shared" si="0"/>
        <v>0</v>
      </c>
      <c r="I17" s="2846" t="s">
        <v>112</v>
      </c>
      <c r="J17" s="3074"/>
    </row>
    <row r="18" spans="1:23" s="888" customFormat="1" ht="40.5" customHeight="1">
      <c r="A18" s="3072"/>
      <c r="B18" s="2665"/>
      <c r="C18" s="2666"/>
      <c r="D18" s="3075" t="s">
        <v>4254</v>
      </c>
      <c r="E18" s="2666"/>
      <c r="F18" s="3076">
        <v>1</v>
      </c>
      <c r="G18" s="287"/>
      <c r="H18" s="2667"/>
      <c r="I18" s="2846"/>
      <c r="J18" s="3077"/>
    </row>
    <row r="19" spans="1:23" s="888" customFormat="1" ht="40.5" customHeight="1">
      <c r="A19" s="2664"/>
      <c r="B19" s="2666"/>
      <c r="C19" s="2666"/>
      <c r="D19" s="3075" t="s">
        <v>4255</v>
      </c>
      <c r="E19" s="2666"/>
      <c r="F19" s="3078"/>
      <c r="G19" s="287"/>
      <c r="H19" s="2667"/>
      <c r="I19" s="3079"/>
      <c r="J19" s="3074"/>
    </row>
    <row r="20" spans="1:23" s="888" customFormat="1" ht="27" customHeight="1">
      <c r="A20" s="3072">
        <v>8</v>
      </c>
      <c r="B20" s="2665" t="s">
        <v>135</v>
      </c>
      <c r="C20" s="2666" t="s">
        <v>4256</v>
      </c>
      <c r="D20" s="2666" t="s">
        <v>4257</v>
      </c>
      <c r="E20" s="2666" t="s">
        <v>49</v>
      </c>
      <c r="F20" s="3073">
        <f>ROUND(SUM(F21),3)</f>
        <v>1</v>
      </c>
      <c r="G20" s="287"/>
      <c r="H20" s="568">
        <f t="shared" ref="H20" si="1">ROUND(F20*G20,2)</f>
        <v>0</v>
      </c>
      <c r="I20" s="2846" t="s">
        <v>112</v>
      </c>
      <c r="J20" s="3074"/>
    </row>
    <row r="21" spans="1:23" s="888" customFormat="1" ht="27" customHeight="1">
      <c r="A21" s="3072"/>
      <c r="B21" s="2665"/>
      <c r="C21" s="2666"/>
      <c r="D21" s="3075" t="s">
        <v>4258</v>
      </c>
      <c r="E21" s="2666"/>
      <c r="F21" s="3076">
        <v>1</v>
      </c>
      <c r="G21" s="287"/>
      <c r="H21" s="2667"/>
      <c r="I21" s="2846"/>
      <c r="J21" s="3077"/>
    </row>
    <row r="22" spans="1:23" s="888" customFormat="1" ht="13.5" customHeight="1">
      <c r="A22" s="3072"/>
      <c r="B22" s="2665"/>
      <c r="C22" s="2666"/>
      <c r="D22" s="3075" t="s">
        <v>4259</v>
      </c>
      <c r="E22" s="2666"/>
      <c r="F22" s="3076"/>
      <c r="G22" s="287"/>
      <c r="H22" s="2667"/>
      <c r="I22" s="2846"/>
      <c r="J22" s="3077"/>
    </row>
    <row r="23" spans="1:23" s="593" customFormat="1" ht="67.5" customHeight="1">
      <c r="A23" s="581"/>
      <c r="B23" s="582"/>
      <c r="C23" s="583"/>
      <c r="D23" s="584" t="s">
        <v>310</v>
      </c>
      <c r="E23" s="585"/>
      <c r="F23" s="586"/>
      <c r="G23" s="696"/>
      <c r="H23" s="587"/>
      <c r="I23" s="588"/>
      <c r="J23" s="589"/>
      <c r="K23" s="590"/>
      <c r="L23" s="591"/>
      <c r="M23" s="592"/>
    </row>
    <row r="24" spans="1:23" s="604" customFormat="1" ht="27" customHeight="1">
      <c r="A24" s="608">
        <v>9</v>
      </c>
      <c r="B24" s="557" t="s">
        <v>135</v>
      </c>
      <c r="C24" s="557">
        <v>132212222</v>
      </c>
      <c r="D24" s="557" t="s">
        <v>4260</v>
      </c>
      <c r="E24" s="557" t="s">
        <v>146</v>
      </c>
      <c r="F24" s="3073">
        <f>ROUND(SUM(F26:F86),3)</f>
        <v>54.884</v>
      </c>
      <c r="G24" s="288"/>
      <c r="H24" s="568">
        <f t="shared" ref="H24" si="2">ROUND(F24*G24,2)</f>
        <v>0</v>
      </c>
      <c r="I24" s="613" t="s">
        <v>137</v>
      </c>
      <c r="J24" s="715"/>
      <c r="U24" s="605"/>
      <c r="W24" s="605"/>
    </row>
    <row r="25" spans="1:23" s="604" customFormat="1" ht="13.5" customHeight="1">
      <c r="A25" s="595"/>
      <c r="B25" s="596"/>
      <c r="C25" s="597"/>
      <c r="D25" s="719" t="s">
        <v>4261</v>
      </c>
      <c r="E25" s="599"/>
      <c r="F25" s="600"/>
      <c r="G25" s="289"/>
      <c r="H25" s="601"/>
      <c r="I25" s="602"/>
      <c r="J25" s="606"/>
      <c r="Q25" s="3080"/>
      <c r="R25" s="3080"/>
      <c r="U25" s="605"/>
      <c r="W25" s="605"/>
    </row>
    <row r="26" spans="1:23" s="604" customFormat="1" ht="13.5" customHeight="1">
      <c r="A26" s="595"/>
      <c r="B26" s="596"/>
      <c r="C26" s="597"/>
      <c r="D26" s="599" t="s">
        <v>4262</v>
      </c>
      <c r="E26" s="599"/>
      <c r="F26" s="600">
        <f>(5.2*1.2*1.65)*0.1</f>
        <v>1.0296000000000001</v>
      </c>
      <c r="G26" s="289"/>
      <c r="H26" s="2733"/>
      <c r="I26" s="602"/>
      <c r="J26" s="3081"/>
      <c r="L26" s="2584"/>
      <c r="M26" s="2584"/>
      <c r="Q26" s="2585"/>
      <c r="R26" s="2585"/>
      <c r="U26" s="605"/>
      <c r="W26" s="605"/>
    </row>
    <row r="27" spans="1:23" s="604" customFormat="1" ht="13.5" customHeight="1">
      <c r="A27" s="595"/>
      <c r="B27" s="596"/>
      <c r="C27" s="597"/>
      <c r="D27" s="599" t="s">
        <v>4263</v>
      </c>
      <c r="E27" s="599"/>
      <c r="F27" s="600">
        <f>(1*1.2*1.15)*0.1</f>
        <v>0.13799999999999998</v>
      </c>
      <c r="G27" s="289"/>
      <c r="H27" s="2733"/>
      <c r="I27" s="602"/>
      <c r="J27" s="606"/>
      <c r="L27" s="2584"/>
      <c r="M27" s="2584"/>
      <c r="Q27" s="2585"/>
      <c r="R27" s="2585"/>
      <c r="U27" s="605"/>
      <c r="W27" s="605"/>
    </row>
    <row r="28" spans="1:23" s="604" customFormat="1" ht="13.5" customHeight="1">
      <c r="A28" s="595"/>
      <c r="B28" s="596"/>
      <c r="C28" s="597"/>
      <c r="D28" s="599" t="s">
        <v>4264</v>
      </c>
      <c r="E28" s="599"/>
      <c r="F28" s="600">
        <f>(4.2*1.2*1.15)*0.1</f>
        <v>0.5796</v>
      </c>
      <c r="G28" s="289"/>
      <c r="H28" s="2733"/>
      <c r="I28" s="602"/>
      <c r="J28" s="606"/>
      <c r="L28" s="2584"/>
      <c r="M28" s="2584"/>
      <c r="Q28" s="2585"/>
      <c r="R28" s="2585"/>
      <c r="U28" s="605"/>
      <c r="W28" s="605"/>
    </row>
    <row r="29" spans="1:23" s="604" customFormat="1" ht="13.5" customHeight="1">
      <c r="A29" s="595"/>
      <c r="B29" s="596"/>
      <c r="C29" s="597"/>
      <c r="D29" s="719" t="s">
        <v>4265</v>
      </c>
      <c r="E29" s="599"/>
      <c r="F29" s="600"/>
      <c r="G29" s="289"/>
      <c r="H29" s="2733"/>
      <c r="I29" s="602"/>
      <c r="J29" s="3082"/>
      <c r="L29" s="2584"/>
      <c r="M29" s="2584"/>
      <c r="Q29" s="2585"/>
      <c r="R29" s="2585"/>
      <c r="U29" s="605"/>
      <c r="W29" s="605"/>
    </row>
    <row r="30" spans="1:23" s="604" customFormat="1" ht="13.5" customHeight="1">
      <c r="A30" s="595"/>
      <c r="B30" s="596"/>
      <c r="C30" s="597"/>
      <c r="D30" s="599" t="s">
        <v>4266</v>
      </c>
      <c r="E30" s="599"/>
      <c r="F30" s="600">
        <f>(2.9*1.2*1.35)*0.1</f>
        <v>0.46980000000000005</v>
      </c>
      <c r="G30" s="289"/>
      <c r="H30" s="2733"/>
      <c r="I30" s="602"/>
      <c r="J30" s="2660"/>
      <c r="K30" s="2661"/>
      <c r="L30" s="3083"/>
      <c r="M30" s="3083"/>
      <c r="Q30" s="2585"/>
      <c r="R30" s="2585"/>
      <c r="U30" s="605"/>
      <c r="W30" s="605"/>
    </row>
    <row r="31" spans="1:23" s="604" customFormat="1" ht="13.5" customHeight="1">
      <c r="A31" s="595"/>
      <c r="B31" s="596"/>
      <c r="C31" s="597"/>
      <c r="D31" s="599" t="s">
        <v>4267</v>
      </c>
      <c r="E31" s="599"/>
      <c r="F31" s="600">
        <f>(19.3*1.2*1.25)*0.1</f>
        <v>2.895</v>
      </c>
      <c r="G31" s="289"/>
      <c r="H31" s="2733"/>
      <c r="I31" s="602"/>
      <c r="J31" s="2660"/>
      <c r="K31" s="2661"/>
      <c r="L31" s="3083"/>
      <c r="M31" s="3083"/>
      <c r="Q31" s="2585"/>
      <c r="R31" s="2585"/>
      <c r="U31" s="605"/>
      <c r="W31" s="605"/>
    </row>
    <row r="32" spans="1:23" s="604" customFormat="1" ht="13.5" customHeight="1">
      <c r="A32" s="595"/>
      <c r="B32" s="596"/>
      <c r="C32" s="597"/>
      <c r="D32" s="599" t="s">
        <v>4268</v>
      </c>
      <c r="E32" s="599"/>
      <c r="F32" s="600">
        <f>(4.9*1.2*1.1)*0.1</f>
        <v>0.64680000000000004</v>
      </c>
      <c r="G32" s="289"/>
      <c r="H32" s="2733"/>
      <c r="I32" s="602"/>
      <c r="J32" s="2660"/>
      <c r="K32" s="2661"/>
      <c r="L32" s="3084"/>
      <c r="M32" s="3083"/>
      <c r="Q32" s="2585"/>
      <c r="R32" s="2585"/>
      <c r="U32" s="605"/>
      <c r="W32" s="605"/>
    </row>
    <row r="33" spans="1:23" s="604" customFormat="1" ht="13.5" customHeight="1">
      <c r="A33" s="595"/>
      <c r="B33" s="596"/>
      <c r="C33" s="597"/>
      <c r="D33" s="599" t="s">
        <v>4269</v>
      </c>
      <c r="E33" s="599"/>
      <c r="F33" s="600">
        <f>(10.4*1.2*1.15)*0.1</f>
        <v>1.4352</v>
      </c>
      <c r="G33" s="289"/>
      <c r="H33" s="2733"/>
      <c r="I33" s="602"/>
      <c r="J33" s="2660"/>
      <c r="K33" s="2661"/>
      <c r="L33" s="3083"/>
      <c r="M33" s="3083"/>
      <c r="Q33" s="2585"/>
      <c r="R33" s="2585"/>
      <c r="U33" s="605"/>
      <c r="W33" s="605"/>
    </row>
    <row r="34" spans="1:23" s="604" customFormat="1" ht="13.5" customHeight="1">
      <c r="A34" s="595"/>
      <c r="B34" s="596"/>
      <c r="C34" s="597"/>
      <c r="D34" s="599" t="s">
        <v>4270</v>
      </c>
      <c r="E34" s="599"/>
      <c r="F34" s="600">
        <f>(8.7*1.2*1.15)*0.1</f>
        <v>1.2005999999999999</v>
      </c>
      <c r="G34" s="289"/>
      <c r="H34" s="2733"/>
      <c r="I34" s="602"/>
      <c r="J34" s="606"/>
      <c r="L34" s="2584"/>
      <c r="M34" s="2584"/>
      <c r="Q34" s="2585"/>
      <c r="R34" s="2585"/>
      <c r="U34" s="605"/>
      <c r="W34" s="605"/>
    </row>
    <row r="35" spans="1:23" s="604" customFormat="1" ht="13.5" customHeight="1">
      <c r="A35" s="595"/>
      <c r="B35" s="596"/>
      <c r="C35" s="597"/>
      <c r="D35" s="599" t="s">
        <v>4271</v>
      </c>
      <c r="E35" s="599"/>
      <c r="F35" s="600">
        <f>(8.8*1.2*1.4)*0.1</f>
        <v>1.4783999999999999</v>
      </c>
      <c r="G35" s="289"/>
      <c r="H35" s="2733"/>
      <c r="I35" s="602"/>
      <c r="J35" s="2660"/>
      <c r="K35" s="2681"/>
      <c r="L35" s="2584"/>
      <c r="M35" s="2584"/>
      <c r="Q35" s="2585"/>
      <c r="R35" s="2585"/>
      <c r="U35" s="605"/>
      <c r="W35" s="605"/>
    </row>
    <row r="36" spans="1:23" s="604" customFormat="1" ht="13.5" customHeight="1">
      <c r="A36" s="595"/>
      <c r="B36" s="596"/>
      <c r="C36" s="597"/>
      <c r="D36" s="599" t="s">
        <v>4272</v>
      </c>
      <c r="E36" s="599"/>
      <c r="F36" s="600">
        <f>(5*1.2*1.8)*0.1</f>
        <v>1.08</v>
      </c>
      <c r="G36" s="289"/>
      <c r="H36" s="2733"/>
      <c r="I36" s="602"/>
      <c r="J36" s="3085"/>
      <c r="K36" s="3086"/>
      <c r="L36" s="2584"/>
      <c r="M36" s="2584"/>
      <c r="Q36" s="2585"/>
      <c r="R36" s="2585"/>
      <c r="U36" s="605"/>
      <c r="W36" s="605"/>
    </row>
    <row r="37" spans="1:23" s="604" customFormat="1" ht="13.5" customHeight="1">
      <c r="A37" s="595"/>
      <c r="B37" s="596"/>
      <c r="C37" s="597"/>
      <c r="D37" s="599" t="s">
        <v>4273</v>
      </c>
      <c r="E37" s="599"/>
      <c r="F37" s="600">
        <f>(18.4*1.2*1.75)*0.1</f>
        <v>3.8640000000000003</v>
      </c>
      <c r="G37" s="289"/>
      <c r="H37" s="2733"/>
      <c r="I37" s="602"/>
      <c r="J37" s="3085"/>
      <c r="K37" s="3086"/>
      <c r="L37" s="2584"/>
      <c r="M37" s="2584"/>
      <c r="Q37" s="2585"/>
      <c r="R37" s="2585"/>
      <c r="U37" s="605"/>
      <c r="W37" s="605"/>
    </row>
    <row r="38" spans="1:23" s="604" customFormat="1" ht="13.5" customHeight="1">
      <c r="A38" s="595"/>
      <c r="B38" s="596"/>
      <c r="C38" s="597"/>
      <c r="D38" s="599" t="s">
        <v>4274</v>
      </c>
      <c r="E38" s="599"/>
      <c r="F38" s="600">
        <f>(7.6*1.2*1.5)*0.1</f>
        <v>1.3680000000000001</v>
      </c>
      <c r="G38" s="289"/>
      <c r="H38" s="2733"/>
      <c r="I38" s="602"/>
      <c r="J38" s="3085"/>
      <c r="K38" s="3086"/>
      <c r="L38" s="2584"/>
      <c r="M38" s="2584"/>
      <c r="Q38" s="2585"/>
      <c r="R38" s="2585"/>
      <c r="U38" s="605"/>
      <c r="W38" s="605"/>
    </row>
    <row r="39" spans="1:23" s="604" customFormat="1" ht="13.5" customHeight="1">
      <c r="A39" s="595"/>
      <c r="B39" s="596"/>
      <c r="C39" s="597"/>
      <c r="D39" s="599" t="s">
        <v>4275</v>
      </c>
      <c r="E39" s="599"/>
      <c r="F39" s="600">
        <f>(1.9*1.2*1.4)*0.1</f>
        <v>0.31919999999999998</v>
      </c>
      <c r="G39" s="289"/>
      <c r="H39" s="2733"/>
      <c r="I39" s="602"/>
      <c r="J39" s="3085"/>
      <c r="K39" s="3086"/>
      <c r="L39" s="2584"/>
      <c r="M39" s="2584"/>
      <c r="Q39" s="2585"/>
      <c r="R39" s="2585"/>
      <c r="U39" s="605"/>
      <c r="W39" s="605"/>
    </row>
    <row r="40" spans="1:23" s="604" customFormat="1" ht="13.5" customHeight="1">
      <c r="A40" s="595"/>
      <c r="B40" s="596"/>
      <c r="C40" s="597"/>
      <c r="D40" s="599" t="s">
        <v>4276</v>
      </c>
      <c r="E40" s="599"/>
      <c r="F40" s="600">
        <f>(4.8*1.2*1.4)*0.1</f>
        <v>0.80640000000000001</v>
      </c>
      <c r="G40" s="289"/>
      <c r="H40" s="2733"/>
      <c r="I40" s="602"/>
      <c r="J40" s="3085"/>
      <c r="K40" s="3086"/>
      <c r="L40" s="2584"/>
      <c r="M40" s="2584"/>
      <c r="Q40" s="2585"/>
      <c r="R40" s="2585"/>
      <c r="U40" s="605"/>
      <c r="W40" s="605"/>
    </row>
    <row r="41" spans="1:23" s="604" customFormat="1" ht="13.5" customHeight="1">
      <c r="A41" s="595"/>
      <c r="B41" s="596"/>
      <c r="C41" s="597"/>
      <c r="D41" s="599" t="s">
        <v>4277</v>
      </c>
      <c r="E41" s="599"/>
      <c r="F41" s="600">
        <f>(1.7*1.2*1.4)*0.1</f>
        <v>0.28560000000000002</v>
      </c>
      <c r="G41" s="289"/>
      <c r="H41" s="2733"/>
      <c r="I41" s="602"/>
      <c r="J41" s="606"/>
      <c r="L41" s="2584"/>
      <c r="M41" s="2584"/>
      <c r="Q41" s="2585"/>
      <c r="R41" s="2585"/>
      <c r="U41" s="605"/>
      <c r="W41" s="605"/>
    </row>
    <row r="42" spans="1:23" s="604" customFormat="1" ht="13.5" customHeight="1">
      <c r="A42" s="595"/>
      <c r="B42" s="596"/>
      <c r="C42" s="597"/>
      <c r="D42" s="599" t="s">
        <v>4278</v>
      </c>
      <c r="E42" s="599"/>
      <c r="F42" s="600">
        <f>(5*1.2*1.5)*0.1</f>
        <v>0.9</v>
      </c>
      <c r="G42" s="289"/>
      <c r="H42" s="2733"/>
      <c r="I42" s="602"/>
      <c r="J42" s="606"/>
      <c r="L42" s="2584"/>
      <c r="M42" s="2584"/>
      <c r="Q42" s="2585"/>
      <c r="R42" s="2585"/>
      <c r="U42" s="605"/>
      <c r="W42" s="605"/>
    </row>
    <row r="43" spans="1:23" s="604" customFormat="1" ht="13.5" customHeight="1">
      <c r="A43" s="595"/>
      <c r="B43" s="596"/>
      <c r="C43" s="597"/>
      <c r="D43" s="599" t="s">
        <v>4279</v>
      </c>
      <c r="E43" s="599"/>
      <c r="F43" s="600">
        <f>(21.4*1.2*1.35)*0.1</f>
        <v>3.4668000000000001</v>
      </c>
      <c r="G43" s="289"/>
      <c r="H43" s="2733"/>
      <c r="I43" s="602"/>
      <c r="J43" s="606"/>
      <c r="L43" s="2584"/>
      <c r="M43" s="2584"/>
      <c r="Q43" s="2585"/>
      <c r="R43" s="2585"/>
      <c r="U43" s="605"/>
      <c r="W43" s="605"/>
    </row>
    <row r="44" spans="1:23" s="604" customFormat="1" ht="13.5" customHeight="1">
      <c r="A44" s="595"/>
      <c r="B44" s="596"/>
      <c r="C44" s="597"/>
      <c r="D44" s="599" t="s">
        <v>4280</v>
      </c>
      <c r="E44" s="599"/>
      <c r="F44" s="600">
        <f>(3.6*1.2*1.15)*0.1</f>
        <v>0.49680000000000002</v>
      </c>
      <c r="G44" s="289"/>
      <c r="H44" s="2733"/>
      <c r="I44" s="602"/>
      <c r="J44" s="3082"/>
      <c r="L44" s="2584"/>
      <c r="M44" s="2584"/>
      <c r="Q44" s="2585"/>
      <c r="R44" s="2585"/>
      <c r="U44" s="605"/>
      <c r="W44" s="605"/>
    </row>
    <row r="45" spans="1:23" s="604" customFormat="1" ht="13.5" customHeight="1">
      <c r="A45" s="595"/>
      <c r="B45" s="596"/>
      <c r="C45" s="597"/>
      <c r="D45" s="719" t="s">
        <v>4281</v>
      </c>
      <c r="E45" s="599"/>
      <c r="F45" s="600"/>
      <c r="G45" s="289"/>
      <c r="H45" s="2733"/>
      <c r="I45" s="602"/>
      <c r="J45" s="606"/>
      <c r="L45" s="2584"/>
      <c r="M45" s="2584"/>
      <c r="Q45" s="2585"/>
      <c r="R45" s="2585"/>
      <c r="U45" s="605"/>
      <c r="W45" s="605"/>
    </row>
    <row r="46" spans="1:23" s="604" customFormat="1" ht="13.5" customHeight="1">
      <c r="A46" s="595"/>
      <c r="B46" s="596"/>
      <c r="C46" s="597"/>
      <c r="D46" s="599" t="s">
        <v>4282</v>
      </c>
      <c r="E46" s="599"/>
      <c r="F46" s="600">
        <f>(1.5*1.2*1.15)*0.1</f>
        <v>0.20699999999999999</v>
      </c>
      <c r="G46" s="289"/>
      <c r="H46" s="2733"/>
      <c r="I46" s="602"/>
      <c r="J46" s="606"/>
      <c r="L46" s="2584"/>
      <c r="M46" s="2584"/>
      <c r="Q46" s="2585"/>
      <c r="R46" s="2585"/>
      <c r="U46" s="605"/>
      <c r="W46" s="605"/>
    </row>
    <row r="47" spans="1:23" s="604" customFormat="1" ht="13.5" customHeight="1">
      <c r="A47" s="595"/>
      <c r="B47" s="596"/>
      <c r="C47" s="597"/>
      <c r="D47" s="599" t="s">
        <v>4283</v>
      </c>
      <c r="E47" s="599"/>
      <c r="F47" s="600">
        <f>(18.2*1.2*1.3)*0.1</f>
        <v>2.8391999999999999</v>
      </c>
      <c r="G47" s="289"/>
      <c r="H47" s="2733"/>
      <c r="I47" s="602"/>
      <c r="J47" s="606"/>
      <c r="L47" s="2584"/>
      <c r="M47" s="2584"/>
      <c r="Q47" s="2585"/>
      <c r="R47" s="2585"/>
      <c r="U47" s="605"/>
      <c r="W47" s="605"/>
    </row>
    <row r="48" spans="1:23" s="604" customFormat="1" ht="13.5" customHeight="1">
      <c r="A48" s="595"/>
      <c r="B48" s="596"/>
      <c r="C48" s="597"/>
      <c r="D48" s="599" t="s">
        <v>4284</v>
      </c>
      <c r="E48" s="599"/>
      <c r="F48" s="600">
        <f>(5.8*1.2*1.4)*0.1</f>
        <v>0.97440000000000004</v>
      </c>
      <c r="G48" s="289"/>
      <c r="H48" s="2733"/>
      <c r="I48" s="602"/>
      <c r="J48" s="606"/>
      <c r="L48" s="2584"/>
      <c r="M48" s="2584"/>
      <c r="Q48" s="2585"/>
      <c r="R48" s="2585"/>
      <c r="U48" s="605"/>
      <c r="W48" s="605"/>
    </row>
    <row r="49" spans="1:23" s="604" customFormat="1" ht="13.5" customHeight="1">
      <c r="A49" s="595"/>
      <c r="B49" s="596"/>
      <c r="C49" s="597"/>
      <c r="D49" s="599" t="s">
        <v>4285</v>
      </c>
      <c r="E49" s="599"/>
      <c r="F49" s="600">
        <f>(15.1*1.2*1.2)*0.1</f>
        <v>2.1743999999999999</v>
      </c>
      <c r="G49" s="289"/>
      <c r="H49" s="2733"/>
      <c r="I49" s="602"/>
      <c r="J49" s="606"/>
      <c r="L49" s="2584"/>
      <c r="M49" s="2584"/>
      <c r="Q49" s="2585"/>
      <c r="R49" s="2585"/>
      <c r="U49" s="605"/>
      <c r="W49" s="605"/>
    </row>
    <row r="50" spans="1:23" s="604" customFormat="1" ht="13.5" customHeight="1">
      <c r="A50" s="595"/>
      <c r="B50" s="596"/>
      <c r="C50" s="597"/>
      <c r="D50" s="599" t="s">
        <v>4286</v>
      </c>
      <c r="E50" s="599"/>
      <c r="F50" s="600">
        <f>(9.5*1.2*1.25)*0.1</f>
        <v>1.425</v>
      </c>
      <c r="G50" s="289"/>
      <c r="H50" s="2733"/>
      <c r="I50" s="602"/>
      <c r="J50" s="606"/>
      <c r="L50" s="2584"/>
      <c r="M50" s="2584"/>
      <c r="Q50" s="2585"/>
      <c r="R50" s="2585"/>
      <c r="U50" s="605"/>
      <c r="W50" s="605"/>
    </row>
    <row r="51" spans="1:23" s="604" customFormat="1" ht="13.5" customHeight="1">
      <c r="A51" s="595"/>
      <c r="B51" s="596"/>
      <c r="C51" s="597"/>
      <c r="D51" s="599" t="s">
        <v>4287</v>
      </c>
      <c r="E51" s="599"/>
      <c r="F51" s="600">
        <f>(3.9*1.2*1.6)*0.1</f>
        <v>0.74880000000000002</v>
      </c>
      <c r="G51" s="289"/>
      <c r="H51" s="2733"/>
      <c r="I51" s="602"/>
      <c r="J51" s="606"/>
      <c r="L51" s="2584"/>
      <c r="M51" s="2584"/>
      <c r="Q51" s="2585"/>
      <c r="R51" s="2585"/>
      <c r="U51" s="605"/>
      <c r="W51" s="605"/>
    </row>
    <row r="52" spans="1:23" s="604" customFormat="1" ht="13.5" customHeight="1">
      <c r="A52" s="595"/>
      <c r="B52" s="596"/>
      <c r="C52" s="597"/>
      <c r="D52" s="599" t="s">
        <v>4288</v>
      </c>
      <c r="E52" s="599"/>
      <c r="F52" s="600">
        <f>(11.4*1.2*1.65)*0.1</f>
        <v>2.2572000000000001</v>
      </c>
      <c r="G52" s="289"/>
      <c r="H52" s="2733"/>
      <c r="I52" s="602"/>
      <c r="J52" s="606"/>
      <c r="L52" s="2584"/>
      <c r="M52" s="2584"/>
      <c r="Q52" s="2585"/>
      <c r="R52" s="2585"/>
      <c r="U52" s="605"/>
      <c r="W52" s="605"/>
    </row>
    <row r="53" spans="1:23" s="604" customFormat="1" ht="13.5" customHeight="1">
      <c r="A53" s="595"/>
      <c r="B53" s="596"/>
      <c r="C53" s="597"/>
      <c r="D53" s="599" t="s">
        <v>4289</v>
      </c>
      <c r="E53" s="599"/>
      <c r="F53" s="600">
        <f>(8.4*1.2*1.75)*0.1</f>
        <v>1.7640000000000002</v>
      </c>
      <c r="G53" s="289"/>
      <c r="H53" s="2733"/>
      <c r="I53" s="602"/>
      <c r="J53" s="606"/>
      <c r="L53" s="2584"/>
      <c r="M53" s="2584"/>
      <c r="Q53" s="2585"/>
      <c r="R53" s="2585"/>
      <c r="U53" s="605"/>
      <c r="W53" s="605"/>
    </row>
    <row r="54" spans="1:23" s="604" customFormat="1" ht="13.5" customHeight="1">
      <c r="A54" s="595"/>
      <c r="B54" s="596"/>
      <c r="C54" s="597"/>
      <c r="D54" s="599" t="s">
        <v>4290</v>
      </c>
      <c r="E54" s="599"/>
      <c r="F54" s="600">
        <f>(1*1.2*1.8)*0.1</f>
        <v>0.21600000000000003</v>
      </c>
      <c r="G54" s="289"/>
      <c r="H54" s="2733"/>
      <c r="I54" s="602"/>
      <c r="J54" s="606"/>
      <c r="L54" s="2584"/>
      <c r="M54" s="2584"/>
      <c r="Q54" s="2585"/>
      <c r="R54" s="2585"/>
      <c r="U54" s="605"/>
      <c r="W54" s="605"/>
    </row>
    <row r="55" spans="1:23" s="604" customFormat="1" ht="13.5" customHeight="1">
      <c r="A55" s="595"/>
      <c r="B55" s="596"/>
      <c r="C55" s="597"/>
      <c r="D55" s="599" t="s">
        <v>4291</v>
      </c>
      <c r="E55" s="599"/>
      <c r="F55" s="600">
        <f>(7.8*1.2*1.6)*0.1</f>
        <v>1.4976</v>
      </c>
      <c r="G55" s="289"/>
      <c r="H55" s="2733"/>
      <c r="I55" s="602"/>
      <c r="J55" s="606"/>
      <c r="L55" s="2584"/>
      <c r="M55" s="2584"/>
      <c r="Q55" s="2585"/>
      <c r="R55" s="2585"/>
      <c r="U55" s="605"/>
      <c r="W55" s="605"/>
    </row>
    <row r="56" spans="1:23" s="604" customFormat="1" ht="13.5" customHeight="1">
      <c r="A56" s="595"/>
      <c r="B56" s="596"/>
      <c r="C56" s="597"/>
      <c r="D56" s="599" t="s">
        <v>4292</v>
      </c>
      <c r="E56" s="599"/>
      <c r="F56" s="600">
        <f>(19.7*1.2*1.35)*0.1</f>
        <v>3.1913999999999998</v>
      </c>
      <c r="G56" s="289"/>
      <c r="H56" s="2733"/>
      <c r="I56" s="602"/>
      <c r="J56" s="606"/>
      <c r="L56" s="2584"/>
      <c r="M56" s="2584"/>
      <c r="Q56" s="2585"/>
      <c r="R56" s="2585"/>
      <c r="U56" s="605"/>
      <c r="W56" s="605"/>
    </row>
    <row r="57" spans="1:23" s="604" customFormat="1" ht="13.5" customHeight="1">
      <c r="A57" s="595"/>
      <c r="B57" s="596"/>
      <c r="C57" s="597"/>
      <c r="D57" s="599" t="s">
        <v>4293</v>
      </c>
      <c r="E57" s="599"/>
      <c r="F57" s="600">
        <f>(25*1.2*1.35)*0.1</f>
        <v>4.05</v>
      </c>
      <c r="G57" s="289"/>
      <c r="H57" s="2733"/>
      <c r="I57" s="602"/>
      <c r="J57" s="606"/>
      <c r="L57" s="2584"/>
      <c r="M57" s="2584"/>
      <c r="Q57" s="2585"/>
      <c r="R57" s="2585"/>
      <c r="U57" s="605"/>
      <c r="W57" s="605"/>
    </row>
    <row r="58" spans="1:23" s="604" customFormat="1" ht="13.5" customHeight="1">
      <c r="A58" s="595"/>
      <c r="B58" s="596"/>
      <c r="C58" s="597"/>
      <c r="D58" s="599" t="s">
        <v>4294</v>
      </c>
      <c r="E58" s="599"/>
      <c r="F58" s="600">
        <f>(2.1*1.2*1.35)*0.1</f>
        <v>0.34020000000000006</v>
      </c>
      <c r="G58" s="289"/>
      <c r="H58" s="2733"/>
      <c r="I58" s="602"/>
      <c r="J58" s="606"/>
      <c r="L58" s="2584"/>
      <c r="M58" s="2584"/>
      <c r="Q58" s="2585"/>
      <c r="R58" s="2585"/>
      <c r="U58" s="605"/>
      <c r="W58" s="605"/>
    </row>
    <row r="59" spans="1:23" s="604" customFormat="1" ht="27" customHeight="1">
      <c r="A59" s="595"/>
      <c r="B59" s="596"/>
      <c r="C59" s="597"/>
      <c r="D59" s="599" t="s">
        <v>4295</v>
      </c>
      <c r="E59" s="599"/>
      <c r="F59" s="600">
        <f>(2.5*1.2*1.35)*0.1</f>
        <v>0.40500000000000008</v>
      </c>
      <c r="G59" s="289"/>
      <c r="H59" s="2733"/>
      <c r="I59" s="602"/>
      <c r="J59" s="606"/>
      <c r="L59" s="2584"/>
      <c r="M59" s="2584"/>
      <c r="Q59" s="2585"/>
      <c r="R59" s="2585"/>
      <c r="U59" s="605"/>
      <c r="W59" s="605"/>
    </row>
    <row r="60" spans="1:23" s="604" customFormat="1" ht="13.5" customHeight="1">
      <c r="A60" s="595"/>
      <c r="B60" s="596"/>
      <c r="C60" s="597"/>
      <c r="D60" s="599" t="s">
        <v>4296</v>
      </c>
      <c r="E60" s="599"/>
      <c r="F60" s="600">
        <f>(4.6*1.2*1.65)*0.1</f>
        <v>0.91079999999999994</v>
      </c>
      <c r="G60" s="289"/>
      <c r="H60" s="2733"/>
      <c r="I60" s="602"/>
      <c r="J60" s="606"/>
      <c r="L60" s="2584"/>
      <c r="M60" s="2584"/>
      <c r="Q60" s="2585"/>
      <c r="R60" s="2585"/>
      <c r="U60" s="605"/>
      <c r="W60" s="605"/>
    </row>
    <row r="61" spans="1:23" s="604" customFormat="1" ht="27" customHeight="1">
      <c r="A61" s="595"/>
      <c r="B61" s="596"/>
      <c r="C61" s="597"/>
      <c r="D61" s="599" t="s">
        <v>4297</v>
      </c>
      <c r="E61" s="599"/>
      <c r="F61" s="600">
        <f>(6.2*1.2*1)*0.1</f>
        <v>0.74399999999999999</v>
      </c>
      <c r="G61" s="289"/>
      <c r="H61" s="2733"/>
      <c r="I61" s="602"/>
      <c r="J61" s="606"/>
      <c r="L61" s="2584"/>
      <c r="M61" s="2584"/>
      <c r="Q61" s="2585"/>
      <c r="R61" s="2585"/>
      <c r="U61" s="605"/>
      <c r="W61" s="605"/>
    </row>
    <row r="62" spans="1:23" s="604" customFormat="1" ht="13.5" customHeight="1">
      <c r="A62" s="595"/>
      <c r="B62" s="596"/>
      <c r="C62" s="597"/>
      <c r="D62" s="599" t="s">
        <v>4298</v>
      </c>
      <c r="E62" s="599"/>
      <c r="F62" s="600">
        <f>(3.2*1.2*1.35)*0.1</f>
        <v>0.51840000000000008</v>
      </c>
      <c r="G62" s="289"/>
      <c r="H62" s="2733"/>
      <c r="I62" s="602"/>
      <c r="J62" s="3082"/>
      <c r="L62" s="2584"/>
      <c r="M62" s="2584"/>
      <c r="Q62" s="2585"/>
      <c r="R62" s="2585"/>
      <c r="U62" s="605"/>
      <c r="W62" s="605"/>
    </row>
    <row r="63" spans="1:23" s="604" customFormat="1" ht="13.5" customHeight="1">
      <c r="A63" s="595"/>
      <c r="B63" s="596"/>
      <c r="C63" s="597"/>
      <c r="D63" s="719" t="s">
        <v>4299</v>
      </c>
      <c r="E63" s="599"/>
      <c r="F63" s="600"/>
      <c r="G63" s="289"/>
      <c r="H63" s="601"/>
      <c r="I63" s="602"/>
      <c r="U63" s="605"/>
      <c r="W63" s="605"/>
    </row>
    <row r="64" spans="1:23" s="604" customFormat="1" ht="13.5" customHeight="1">
      <c r="A64" s="595"/>
      <c r="B64" s="596"/>
      <c r="C64" s="597"/>
      <c r="D64" s="599" t="s">
        <v>4300</v>
      </c>
      <c r="E64" s="599"/>
      <c r="F64" s="600">
        <f>(1.6*1.6*1.35)*0.1</f>
        <v>0.34560000000000013</v>
      </c>
      <c r="G64" s="289"/>
      <c r="H64" s="601"/>
      <c r="I64" s="602"/>
      <c r="J64" s="606"/>
      <c r="U64" s="605"/>
      <c r="W64" s="605"/>
    </row>
    <row r="65" spans="1:23" s="604" customFormat="1" ht="13.5" customHeight="1">
      <c r="A65" s="595"/>
      <c r="B65" s="596"/>
      <c r="C65" s="597"/>
      <c r="D65" s="599" t="s">
        <v>4301</v>
      </c>
      <c r="E65" s="599"/>
      <c r="F65" s="600">
        <f>(1.6*1.6*1.6)*0.1</f>
        <v>0.40960000000000013</v>
      </c>
      <c r="G65" s="289"/>
      <c r="H65" s="601"/>
      <c r="I65" s="602"/>
      <c r="J65" s="606"/>
      <c r="U65" s="605"/>
      <c r="W65" s="605"/>
    </row>
    <row r="66" spans="1:23" s="604" customFormat="1" ht="13.5" customHeight="1">
      <c r="A66" s="595"/>
      <c r="B66" s="596"/>
      <c r="C66" s="597"/>
      <c r="D66" s="599" t="s">
        <v>4302</v>
      </c>
      <c r="E66" s="599"/>
      <c r="F66" s="600">
        <f>(1.6*1.6*1.9)*0.1</f>
        <v>0.48640000000000011</v>
      </c>
      <c r="G66" s="289"/>
      <c r="H66" s="601"/>
      <c r="I66" s="602"/>
      <c r="J66" s="606"/>
      <c r="U66" s="605"/>
      <c r="W66" s="605"/>
    </row>
    <row r="67" spans="1:23" s="604" customFormat="1" ht="13.5" customHeight="1">
      <c r="A67" s="595"/>
      <c r="B67" s="596"/>
      <c r="C67" s="597"/>
      <c r="D67" s="599" t="s">
        <v>4303</v>
      </c>
      <c r="E67" s="599"/>
      <c r="F67" s="600">
        <f>(1.6*1.6*1.65)*0.1</f>
        <v>0.42240000000000005</v>
      </c>
      <c r="G67" s="289"/>
      <c r="H67" s="601"/>
      <c r="I67" s="602"/>
      <c r="J67" s="606"/>
      <c r="U67" s="605"/>
      <c r="W67" s="605"/>
    </row>
    <row r="68" spans="1:23" s="604" customFormat="1" ht="13.5" customHeight="1">
      <c r="A68" s="595"/>
      <c r="B68" s="596"/>
      <c r="C68" s="597"/>
      <c r="D68" s="599" t="s">
        <v>4304</v>
      </c>
      <c r="E68" s="599"/>
      <c r="F68" s="600">
        <f>(1.6*1.6*1.15)*0.1</f>
        <v>0.29440000000000005</v>
      </c>
      <c r="G68" s="289"/>
      <c r="H68" s="601"/>
      <c r="I68" s="602"/>
      <c r="J68" s="606"/>
      <c r="U68" s="605"/>
      <c r="W68" s="605"/>
    </row>
    <row r="69" spans="1:23" s="604" customFormat="1" ht="13.5" customHeight="1">
      <c r="A69" s="595"/>
      <c r="B69" s="596"/>
      <c r="C69" s="597"/>
      <c r="D69" s="599" t="s">
        <v>4305</v>
      </c>
      <c r="E69" s="599"/>
      <c r="F69" s="600">
        <f>(1.6*1.6*1.15)*0.1</f>
        <v>0.29440000000000005</v>
      </c>
      <c r="G69" s="289"/>
      <c r="H69" s="601"/>
      <c r="I69" s="602"/>
      <c r="J69" s="606"/>
      <c r="U69" s="605"/>
      <c r="W69" s="605"/>
    </row>
    <row r="70" spans="1:23" s="604" customFormat="1" ht="13.5" customHeight="1">
      <c r="A70" s="595"/>
      <c r="B70" s="596"/>
      <c r="C70" s="597"/>
      <c r="D70" s="599" t="s">
        <v>4306</v>
      </c>
      <c r="E70" s="599"/>
      <c r="F70" s="600">
        <f>(1.6*1.6*1.1)*0.1</f>
        <v>0.28160000000000007</v>
      </c>
      <c r="G70" s="289"/>
      <c r="H70" s="601"/>
      <c r="I70" s="602"/>
      <c r="J70" s="606"/>
      <c r="U70" s="605"/>
      <c r="W70" s="605"/>
    </row>
    <row r="71" spans="1:23" s="604" customFormat="1" ht="13.5" customHeight="1">
      <c r="A71" s="595"/>
      <c r="B71" s="596"/>
      <c r="C71" s="597"/>
      <c r="D71" s="599" t="s">
        <v>4307</v>
      </c>
      <c r="E71" s="599"/>
      <c r="F71" s="600">
        <f>(1.6*1.6*1.35)*0.1</f>
        <v>0.34560000000000013</v>
      </c>
      <c r="G71" s="289"/>
      <c r="H71" s="601"/>
      <c r="I71" s="602"/>
      <c r="J71" s="606"/>
      <c r="U71" s="605"/>
      <c r="W71" s="605"/>
    </row>
    <row r="72" spans="1:23" s="604" customFormat="1" ht="13.5" customHeight="1">
      <c r="A72" s="595"/>
      <c r="B72" s="596"/>
      <c r="C72" s="597"/>
      <c r="D72" s="599" t="s">
        <v>4308</v>
      </c>
      <c r="E72" s="599"/>
      <c r="F72" s="600">
        <f>(1.6*1.6*1.35)*0.1</f>
        <v>0.34560000000000013</v>
      </c>
      <c r="G72" s="289"/>
      <c r="H72" s="601"/>
      <c r="I72" s="602"/>
      <c r="J72" s="606"/>
      <c r="U72" s="605"/>
      <c r="W72" s="605"/>
    </row>
    <row r="73" spans="1:23" s="604" customFormat="1" ht="13.5" customHeight="1">
      <c r="A73" s="595"/>
      <c r="B73" s="596"/>
      <c r="C73" s="597"/>
      <c r="D73" s="599" t="s">
        <v>4309</v>
      </c>
      <c r="E73" s="599"/>
      <c r="F73" s="600">
        <f>(1.6*1.6*1.15)*0.1</f>
        <v>0.29440000000000005</v>
      </c>
      <c r="G73" s="289"/>
      <c r="H73" s="601"/>
      <c r="I73" s="602"/>
      <c r="J73" s="606"/>
      <c r="U73" s="605"/>
      <c r="W73" s="605"/>
    </row>
    <row r="74" spans="1:23" s="604" customFormat="1" ht="13.5" customHeight="1">
      <c r="A74" s="595"/>
      <c r="B74" s="596"/>
      <c r="C74" s="597"/>
      <c r="D74" s="599" t="s">
        <v>4310</v>
      </c>
      <c r="E74" s="599"/>
      <c r="F74" s="600">
        <f>(1.6*1.6*1.8)*0.1</f>
        <v>0.46080000000000015</v>
      </c>
      <c r="G74" s="289"/>
      <c r="H74" s="601"/>
      <c r="I74" s="602"/>
      <c r="J74" s="606"/>
      <c r="U74" s="605"/>
      <c r="W74" s="605"/>
    </row>
    <row r="75" spans="1:23" s="604" customFormat="1" ht="13.5" customHeight="1">
      <c r="A75" s="595"/>
      <c r="B75" s="596"/>
      <c r="C75" s="597"/>
      <c r="D75" s="599" t="s">
        <v>4311</v>
      </c>
      <c r="E75" s="599"/>
      <c r="F75" s="600">
        <f>(1.6*1.6*1.65)*0.1</f>
        <v>0.42240000000000005</v>
      </c>
      <c r="G75" s="289"/>
      <c r="H75" s="601"/>
      <c r="I75" s="602"/>
      <c r="J75" s="606"/>
      <c r="U75" s="605"/>
      <c r="W75" s="605"/>
    </row>
    <row r="76" spans="1:23" s="604" customFormat="1" ht="13.5" customHeight="1">
      <c r="A76" s="595"/>
      <c r="B76" s="596"/>
      <c r="C76" s="597"/>
      <c r="D76" s="599" t="s">
        <v>4312</v>
      </c>
      <c r="E76" s="599"/>
      <c r="F76" s="600">
        <f>(1.6*1.6*1.65)*0.1</f>
        <v>0.42240000000000005</v>
      </c>
      <c r="G76" s="289"/>
      <c r="H76" s="601"/>
      <c r="I76" s="602"/>
      <c r="J76" s="606"/>
      <c r="U76" s="605"/>
      <c r="W76" s="605"/>
    </row>
    <row r="77" spans="1:23" s="604" customFormat="1" ht="13.5" customHeight="1">
      <c r="A77" s="595"/>
      <c r="B77" s="596"/>
      <c r="C77" s="597"/>
      <c r="D77" s="599" t="s">
        <v>4313</v>
      </c>
      <c r="E77" s="599"/>
      <c r="F77" s="600">
        <f>(1.6*1.6*1.5)*0.1</f>
        <v>0.38400000000000012</v>
      </c>
      <c r="G77" s="289"/>
      <c r="H77" s="601"/>
      <c r="I77" s="602"/>
      <c r="J77" s="606"/>
      <c r="U77" s="605"/>
      <c r="W77" s="605"/>
    </row>
    <row r="78" spans="1:23" s="604" customFormat="1" ht="13.5" customHeight="1">
      <c r="A78" s="595"/>
      <c r="B78" s="596"/>
      <c r="C78" s="597"/>
      <c r="D78" s="599" t="s">
        <v>4314</v>
      </c>
      <c r="E78" s="599"/>
      <c r="F78" s="600">
        <f>(1.6*1.6*1)*0.1</f>
        <v>0.25600000000000006</v>
      </c>
      <c r="G78" s="289"/>
      <c r="H78" s="601"/>
      <c r="I78" s="602"/>
      <c r="J78" s="606"/>
      <c r="U78" s="605"/>
      <c r="W78" s="605"/>
    </row>
    <row r="79" spans="1:23" s="604" customFormat="1" ht="13.5" customHeight="1">
      <c r="A79" s="595"/>
      <c r="B79" s="596"/>
      <c r="C79" s="597"/>
      <c r="D79" s="599" t="s">
        <v>4315</v>
      </c>
      <c r="E79" s="599"/>
      <c r="F79" s="600">
        <f>(1.6*1.6*1.35)*0.1</f>
        <v>0.34560000000000013</v>
      </c>
      <c r="G79" s="289"/>
      <c r="H79" s="601"/>
      <c r="I79" s="602"/>
      <c r="J79" s="606"/>
      <c r="U79" s="605"/>
      <c r="W79" s="605"/>
    </row>
    <row r="80" spans="1:23" s="604" customFormat="1" ht="13.5" customHeight="1">
      <c r="A80" s="595"/>
      <c r="B80" s="596"/>
      <c r="C80" s="597"/>
      <c r="D80" s="599" t="s">
        <v>4316</v>
      </c>
      <c r="E80" s="599"/>
      <c r="F80" s="600">
        <f>(1.6*1.6*1.4)*0.1</f>
        <v>0.35840000000000005</v>
      </c>
      <c r="G80" s="289"/>
      <c r="H80" s="601"/>
      <c r="I80" s="602"/>
      <c r="J80" s="606"/>
      <c r="U80" s="605"/>
      <c r="W80" s="605"/>
    </row>
    <row r="81" spans="1:23" s="604" customFormat="1" ht="13.5" customHeight="1">
      <c r="A81" s="595"/>
      <c r="B81" s="596"/>
      <c r="C81" s="597"/>
      <c r="D81" s="599" t="s">
        <v>4317</v>
      </c>
      <c r="E81" s="599"/>
      <c r="F81" s="600">
        <f>(1.6*1.6*1.15)*0.1</f>
        <v>0.29440000000000005</v>
      </c>
      <c r="G81" s="289"/>
      <c r="H81" s="601"/>
      <c r="I81" s="602"/>
      <c r="J81" s="606"/>
      <c r="U81" s="605"/>
      <c r="W81" s="605"/>
    </row>
    <row r="82" spans="1:23" s="604" customFormat="1" ht="13.5" customHeight="1">
      <c r="A82" s="595"/>
      <c r="B82" s="596"/>
      <c r="C82" s="597"/>
      <c r="D82" s="599" t="s">
        <v>4318</v>
      </c>
      <c r="E82" s="599"/>
      <c r="F82" s="600">
        <f>(1.6*1.6*1.35)*0.1</f>
        <v>0.34560000000000013</v>
      </c>
      <c r="G82" s="289"/>
      <c r="H82" s="601"/>
      <c r="I82" s="602"/>
      <c r="J82" s="606"/>
      <c r="U82" s="605"/>
      <c r="W82" s="605"/>
    </row>
    <row r="83" spans="1:23" s="604" customFormat="1" ht="13.5" customHeight="1">
      <c r="A83" s="595"/>
      <c r="B83" s="596"/>
      <c r="C83" s="597"/>
      <c r="D83" s="599" t="s">
        <v>4319</v>
      </c>
      <c r="E83" s="599"/>
      <c r="F83" s="600">
        <f>(1.6*1.6*1.35)*0.1</f>
        <v>0.34560000000000013</v>
      </c>
      <c r="G83" s="289"/>
      <c r="H83" s="601"/>
      <c r="I83" s="602"/>
      <c r="J83" s="606"/>
      <c r="U83" s="605"/>
      <c r="W83" s="605"/>
    </row>
    <row r="84" spans="1:23" s="604" customFormat="1" ht="13.5" customHeight="1">
      <c r="A84" s="595"/>
      <c r="B84" s="596"/>
      <c r="C84" s="597"/>
      <c r="D84" s="599" t="s">
        <v>4320</v>
      </c>
      <c r="E84" s="599"/>
      <c r="F84" s="600">
        <f>(1.6*1.6*1.35)*0.1</f>
        <v>0.34560000000000013</v>
      </c>
      <c r="G84" s="289"/>
      <c r="H84" s="601"/>
      <c r="I84" s="602"/>
      <c r="J84" s="606"/>
      <c r="U84" s="605"/>
      <c r="W84" s="605"/>
    </row>
    <row r="85" spans="1:23" s="604" customFormat="1" ht="13.5" customHeight="1">
      <c r="A85" s="1586"/>
      <c r="B85" s="596"/>
      <c r="C85" s="597"/>
      <c r="D85" s="719" t="s">
        <v>4321</v>
      </c>
      <c r="E85" s="599"/>
      <c r="F85" s="600"/>
      <c r="G85" s="289"/>
      <c r="H85" s="601"/>
      <c r="I85" s="602"/>
      <c r="J85" s="3087"/>
      <c r="K85" s="3088"/>
      <c r="L85" s="3088"/>
      <c r="M85" s="3087"/>
      <c r="N85" s="1644"/>
      <c r="U85" s="605"/>
      <c r="W85" s="605"/>
    </row>
    <row r="86" spans="1:23" s="604" customFormat="1" ht="13.5" customHeight="1">
      <c r="A86" s="1586"/>
      <c r="B86" s="596"/>
      <c r="C86" s="597"/>
      <c r="D86" s="599" t="s">
        <v>4322</v>
      </c>
      <c r="E86" s="599"/>
      <c r="F86" s="600">
        <f>(2*2*1.65)*0.1</f>
        <v>0.66</v>
      </c>
      <c r="G86" s="289"/>
      <c r="H86" s="601"/>
      <c r="I86" s="602"/>
      <c r="J86" s="3087"/>
      <c r="K86" s="3088"/>
      <c r="L86" s="3088"/>
      <c r="M86" s="3087"/>
      <c r="N86" s="1644"/>
      <c r="U86" s="605"/>
      <c r="W86" s="605"/>
    </row>
    <row r="87" spans="1:23" s="604" customFormat="1" ht="27" customHeight="1">
      <c r="A87" s="595"/>
      <c r="B87" s="596"/>
      <c r="C87" s="597"/>
      <c r="D87" s="597" t="s">
        <v>4323</v>
      </c>
      <c r="E87" s="597"/>
      <c r="F87" s="607"/>
      <c r="G87" s="289"/>
      <c r="H87" s="601"/>
      <c r="I87" s="602"/>
      <c r="J87" s="606"/>
      <c r="U87" s="605"/>
      <c r="W87" s="605"/>
    </row>
    <row r="88" spans="1:23" s="604" customFormat="1" ht="27" customHeight="1">
      <c r="A88" s="608">
        <v>10</v>
      </c>
      <c r="B88" s="557" t="s">
        <v>135</v>
      </c>
      <c r="C88" s="557">
        <v>132254204</v>
      </c>
      <c r="D88" s="557" t="s">
        <v>4324</v>
      </c>
      <c r="E88" s="557" t="s">
        <v>146</v>
      </c>
      <c r="F88" s="3073">
        <f>ROUND(SUM(F90:F150),3)</f>
        <v>274.42</v>
      </c>
      <c r="G88" s="288"/>
      <c r="H88" s="568">
        <f t="shared" ref="H88" si="3">ROUND(F88*G88,2)</f>
        <v>0</v>
      </c>
      <c r="I88" s="613" t="s">
        <v>137</v>
      </c>
      <c r="J88" s="715"/>
      <c r="U88" s="605"/>
      <c r="W88" s="605"/>
    </row>
    <row r="89" spans="1:23" s="604" customFormat="1" ht="13.5" customHeight="1">
      <c r="A89" s="595"/>
      <c r="B89" s="596"/>
      <c r="C89" s="597"/>
      <c r="D89" s="719" t="s">
        <v>4325</v>
      </c>
      <c r="E89" s="599"/>
      <c r="F89" s="600"/>
      <c r="G89" s="289"/>
      <c r="H89" s="601"/>
      <c r="I89" s="602"/>
      <c r="J89" s="606"/>
      <c r="Q89" s="3080"/>
      <c r="R89" s="3080"/>
      <c r="U89" s="605"/>
      <c r="W89" s="605"/>
    </row>
    <row r="90" spans="1:23" s="604" customFormat="1" ht="13.5" customHeight="1">
      <c r="A90" s="595"/>
      <c r="B90" s="596"/>
      <c r="C90" s="597"/>
      <c r="D90" s="599" t="s">
        <v>4326</v>
      </c>
      <c r="E90" s="599"/>
      <c r="F90" s="600">
        <f>(5.2*1.2*1.65)*0.5</f>
        <v>5.1479999999999997</v>
      </c>
      <c r="G90" s="289"/>
      <c r="H90" s="2733"/>
      <c r="I90" s="602"/>
      <c r="J90" s="606"/>
      <c r="L90" s="2584"/>
      <c r="M90" s="2584"/>
      <c r="Q90" s="2585"/>
      <c r="R90" s="2585"/>
      <c r="U90" s="605"/>
      <c r="W90" s="605"/>
    </row>
    <row r="91" spans="1:23" s="604" customFormat="1" ht="13.5" customHeight="1">
      <c r="A91" s="595"/>
      <c r="B91" s="596"/>
      <c r="C91" s="597"/>
      <c r="D91" s="599" t="s">
        <v>4327</v>
      </c>
      <c r="E91" s="599"/>
      <c r="F91" s="600">
        <f>(1*1.2*1.15)*0.5</f>
        <v>0.69</v>
      </c>
      <c r="G91" s="289"/>
      <c r="H91" s="2733"/>
      <c r="I91" s="602"/>
      <c r="J91" s="606"/>
      <c r="L91" s="2584"/>
      <c r="M91" s="2584"/>
      <c r="Q91" s="2585"/>
      <c r="R91" s="2585"/>
      <c r="U91" s="605"/>
      <c r="W91" s="605"/>
    </row>
    <row r="92" spans="1:23" s="604" customFormat="1" ht="13.5" customHeight="1">
      <c r="A92" s="595"/>
      <c r="B92" s="596"/>
      <c r="C92" s="597"/>
      <c r="D92" s="599" t="s">
        <v>4328</v>
      </c>
      <c r="E92" s="599"/>
      <c r="F92" s="600">
        <f>(4.2*1.2*1.15)*0.5</f>
        <v>2.8979999999999997</v>
      </c>
      <c r="G92" s="289"/>
      <c r="H92" s="2733"/>
      <c r="I92" s="602"/>
      <c r="J92" s="606"/>
      <c r="L92" s="2584"/>
      <c r="M92" s="2584"/>
      <c r="Q92" s="2585"/>
      <c r="R92" s="2585"/>
      <c r="U92" s="605"/>
      <c r="W92" s="605"/>
    </row>
    <row r="93" spans="1:23" s="604" customFormat="1" ht="13.5" customHeight="1">
      <c r="A93" s="595"/>
      <c r="B93" s="596"/>
      <c r="C93" s="597"/>
      <c r="D93" s="719" t="s">
        <v>4329</v>
      </c>
      <c r="E93" s="599"/>
      <c r="F93" s="600"/>
      <c r="G93" s="289"/>
      <c r="H93" s="2733"/>
      <c r="I93" s="602"/>
      <c r="J93" s="3082"/>
      <c r="L93" s="2584"/>
      <c r="M93" s="2584"/>
      <c r="Q93" s="2585"/>
      <c r="R93" s="2585"/>
      <c r="U93" s="605"/>
      <c r="W93" s="605"/>
    </row>
    <row r="94" spans="1:23" s="604" customFormat="1" ht="13.5" customHeight="1">
      <c r="A94" s="595"/>
      <c r="B94" s="596"/>
      <c r="C94" s="597"/>
      <c r="D94" s="599" t="s">
        <v>4330</v>
      </c>
      <c r="E94" s="599"/>
      <c r="F94" s="600">
        <f>(2.9*1.2*1.35)*0.5</f>
        <v>2.3490000000000002</v>
      </c>
      <c r="G94" s="289"/>
      <c r="H94" s="2733"/>
      <c r="I94" s="602"/>
      <c r="J94" s="2660"/>
      <c r="K94" s="2661"/>
      <c r="L94" s="3083"/>
      <c r="M94" s="3083"/>
      <c r="Q94" s="2585"/>
      <c r="R94" s="2585"/>
      <c r="U94" s="605"/>
      <c r="W94" s="605"/>
    </row>
    <row r="95" spans="1:23" s="604" customFormat="1" ht="13.5" customHeight="1">
      <c r="A95" s="595"/>
      <c r="B95" s="596"/>
      <c r="C95" s="597"/>
      <c r="D95" s="599" t="s">
        <v>4331</v>
      </c>
      <c r="E95" s="599"/>
      <c r="F95" s="600">
        <f>(19.3*1.2*1.25)*0.5</f>
        <v>14.475</v>
      </c>
      <c r="G95" s="289"/>
      <c r="H95" s="2733"/>
      <c r="I95" s="602"/>
      <c r="J95" s="2660"/>
      <c r="K95" s="2661"/>
      <c r="L95" s="3083"/>
      <c r="M95" s="3083"/>
      <c r="Q95" s="2585"/>
      <c r="R95" s="2585"/>
      <c r="U95" s="605"/>
      <c r="W95" s="605"/>
    </row>
    <row r="96" spans="1:23" s="604" customFormat="1" ht="13.5" customHeight="1">
      <c r="A96" s="595"/>
      <c r="B96" s="596"/>
      <c r="C96" s="597"/>
      <c r="D96" s="599" t="s">
        <v>4332</v>
      </c>
      <c r="E96" s="599"/>
      <c r="F96" s="600">
        <f>(4.9*1.2*1.1)*0.5</f>
        <v>3.234</v>
      </c>
      <c r="G96" s="289"/>
      <c r="H96" s="2733"/>
      <c r="I96" s="602"/>
      <c r="J96" s="2660"/>
      <c r="K96" s="2661"/>
      <c r="L96" s="3084"/>
      <c r="M96" s="3083"/>
      <c r="Q96" s="2585"/>
      <c r="R96" s="2585"/>
      <c r="U96" s="605"/>
      <c r="W96" s="605"/>
    </row>
    <row r="97" spans="1:23" s="604" customFormat="1" ht="13.5" customHeight="1">
      <c r="A97" s="595"/>
      <c r="B97" s="596"/>
      <c r="C97" s="597"/>
      <c r="D97" s="599" t="s">
        <v>4333</v>
      </c>
      <c r="E97" s="599"/>
      <c r="F97" s="600">
        <f>(10.4*1.2*1.15)*0.5</f>
        <v>7.1759999999999993</v>
      </c>
      <c r="G97" s="289"/>
      <c r="H97" s="2733"/>
      <c r="I97" s="602"/>
      <c r="J97" s="2660"/>
      <c r="K97" s="2661"/>
      <c r="L97" s="3083"/>
      <c r="M97" s="3083"/>
      <c r="Q97" s="2585"/>
      <c r="R97" s="2585"/>
      <c r="U97" s="605"/>
      <c r="W97" s="605"/>
    </row>
    <row r="98" spans="1:23" s="604" customFormat="1" ht="13.5" customHeight="1">
      <c r="A98" s="595"/>
      <c r="B98" s="596"/>
      <c r="C98" s="597"/>
      <c r="D98" s="599" t="s">
        <v>4334</v>
      </c>
      <c r="E98" s="599"/>
      <c r="F98" s="600">
        <f>(8.7*1.2*1.15)*0.5</f>
        <v>6.0029999999999992</v>
      </c>
      <c r="G98" s="289"/>
      <c r="H98" s="2733"/>
      <c r="I98" s="602"/>
      <c r="J98" s="606"/>
      <c r="L98" s="2584"/>
      <c r="M98" s="2584"/>
      <c r="Q98" s="2585"/>
      <c r="R98" s="2585"/>
      <c r="U98" s="605"/>
      <c r="W98" s="605"/>
    </row>
    <row r="99" spans="1:23" s="604" customFormat="1" ht="13.5" customHeight="1">
      <c r="A99" s="595"/>
      <c r="B99" s="596"/>
      <c r="C99" s="597"/>
      <c r="D99" s="599" t="s">
        <v>4335</v>
      </c>
      <c r="E99" s="599"/>
      <c r="F99" s="600">
        <f>(8.8*1.2*1.4)*0.5</f>
        <v>7.3919999999999995</v>
      </c>
      <c r="G99" s="289"/>
      <c r="H99" s="2733"/>
      <c r="I99" s="602"/>
      <c r="J99" s="2660"/>
      <c r="K99" s="2681"/>
      <c r="L99" s="2584"/>
      <c r="M99" s="2584"/>
      <c r="Q99" s="2585"/>
      <c r="R99" s="2585"/>
      <c r="U99" s="605"/>
      <c r="W99" s="605"/>
    </row>
    <row r="100" spans="1:23" s="604" customFormat="1" ht="13.5" customHeight="1">
      <c r="A100" s="595"/>
      <c r="B100" s="596"/>
      <c r="C100" s="597"/>
      <c r="D100" s="599" t="s">
        <v>4336</v>
      </c>
      <c r="E100" s="599"/>
      <c r="F100" s="600">
        <f>(5*1.2*1.8)*0.5</f>
        <v>5.4</v>
      </c>
      <c r="G100" s="289"/>
      <c r="H100" s="2733"/>
      <c r="I100" s="602"/>
      <c r="J100" s="3085"/>
      <c r="K100" s="3086"/>
      <c r="L100" s="2584"/>
      <c r="M100" s="2584"/>
      <c r="Q100" s="2585"/>
      <c r="R100" s="2585"/>
      <c r="U100" s="605"/>
      <c r="W100" s="605"/>
    </row>
    <row r="101" spans="1:23" s="604" customFormat="1" ht="13.5" customHeight="1">
      <c r="A101" s="595"/>
      <c r="B101" s="596"/>
      <c r="C101" s="597"/>
      <c r="D101" s="599" t="s">
        <v>4337</v>
      </c>
      <c r="E101" s="599"/>
      <c r="F101" s="600">
        <f>(18.4*1.2*1.75)*0.5</f>
        <v>19.32</v>
      </c>
      <c r="G101" s="289"/>
      <c r="H101" s="2733"/>
      <c r="I101" s="602"/>
      <c r="J101" s="3085"/>
      <c r="K101" s="3086"/>
      <c r="L101" s="2584"/>
      <c r="M101" s="2584"/>
      <c r="Q101" s="2585"/>
      <c r="R101" s="2585"/>
      <c r="U101" s="605"/>
      <c r="W101" s="605"/>
    </row>
    <row r="102" spans="1:23" s="604" customFormat="1" ht="13.5" customHeight="1">
      <c r="A102" s="595"/>
      <c r="B102" s="596"/>
      <c r="C102" s="597"/>
      <c r="D102" s="599" t="s">
        <v>4338</v>
      </c>
      <c r="E102" s="599"/>
      <c r="F102" s="600">
        <f>(7.6*1.2*1.5)*0.5</f>
        <v>6.84</v>
      </c>
      <c r="G102" s="289"/>
      <c r="H102" s="2733"/>
      <c r="I102" s="602"/>
      <c r="J102" s="3085"/>
      <c r="K102" s="3086"/>
      <c r="L102" s="2584"/>
      <c r="M102" s="2584"/>
      <c r="Q102" s="2585"/>
      <c r="R102" s="2585"/>
      <c r="U102" s="605"/>
      <c r="W102" s="605"/>
    </row>
    <row r="103" spans="1:23" s="604" customFormat="1" ht="13.5" customHeight="1">
      <c r="A103" s="595"/>
      <c r="B103" s="596"/>
      <c r="C103" s="597"/>
      <c r="D103" s="599" t="s">
        <v>4339</v>
      </c>
      <c r="E103" s="599"/>
      <c r="F103" s="600">
        <f>(1.9*1.2*1.4)*0.5</f>
        <v>1.5959999999999999</v>
      </c>
      <c r="G103" s="289"/>
      <c r="H103" s="2733"/>
      <c r="I103" s="602"/>
      <c r="J103" s="3085"/>
      <c r="K103" s="3086"/>
      <c r="L103" s="2584"/>
      <c r="M103" s="2584"/>
      <c r="Q103" s="2585"/>
      <c r="R103" s="2585"/>
      <c r="U103" s="605"/>
      <c r="W103" s="605"/>
    </row>
    <row r="104" spans="1:23" s="604" customFormat="1" ht="13.5" customHeight="1">
      <c r="A104" s="595"/>
      <c r="B104" s="596"/>
      <c r="C104" s="597"/>
      <c r="D104" s="599" t="s">
        <v>4340</v>
      </c>
      <c r="E104" s="599"/>
      <c r="F104" s="600">
        <f>(4.8*1.2*1.4)*0.5</f>
        <v>4.032</v>
      </c>
      <c r="G104" s="289"/>
      <c r="H104" s="2733"/>
      <c r="I104" s="602"/>
      <c r="J104" s="3085"/>
      <c r="K104" s="3086"/>
      <c r="L104" s="2584"/>
      <c r="M104" s="2584"/>
      <c r="Q104" s="2585"/>
      <c r="R104" s="2585"/>
      <c r="U104" s="605"/>
      <c r="W104" s="605"/>
    </row>
    <row r="105" spans="1:23" s="604" customFormat="1" ht="13.5" customHeight="1">
      <c r="A105" s="595"/>
      <c r="B105" s="596"/>
      <c r="C105" s="597"/>
      <c r="D105" s="599" t="s">
        <v>4341</v>
      </c>
      <c r="E105" s="599"/>
      <c r="F105" s="600">
        <f>(1.7*1.2*1.4)*0.5</f>
        <v>1.4279999999999999</v>
      </c>
      <c r="G105" s="289"/>
      <c r="H105" s="2733"/>
      <c r="I105" s="602"/>
      <c r="J105" s="606"/>
      <c r="L105" s="2584"/>
      <c r="M105" s="2584"/>
      <c r="Q105" s="2585"/>
      <c r="R105" s="2585"/>
      <c r="U105" s="605"/>
      <c r="W105" s="605"/>
    </row>
    <row r="106" spans="1:23" s="604" customFormat="1" ht="13.5" customHeight="1">
      <c r="A106" s="595"/>
      <c r="B106" s="596"/>
      <c r="C106" s="597"/>
      <c r="D106" s="599" t="s">
        <v>4342</v>
      </c>
      <c r="E106" s="599"/>
      <c r="F106" s="600">
        <f>(5*1.2*1.5)*0.5</f>
        <v>4.5</v>
      </c>
      <c r="G106" s="289"/>
      <c r="H106" s="2733"/>
      <c r="I106" s="602"/>
      <c r="J106" s="606"/>
      <c r="L106" s="2584"/>
      <c r="M106" s="2584"/>
      <c r="Q106" s="2585"/>
      <c r="R106" s="2585"/>
      <c r="U106" s="605"/>
      <c r="W106" s="605"/>
    </row>
    <row r="107" spans="1:23" s="604" customFormat="1" ht="13.5" customHeight="1">
      <c r="A107" s="595"/>
      <c r="B107" s="596"/>
      <c r="C107" s="597"/>
      <c r="D107" s="599" t="s">
        <v>4343</v>
      </c>
      <c r="E107" s="599"/>
      <c r="F107" s="600">
        <f>(21.4*1.2*1.35)*0.5</f>
        <v>17.334</v>
      </c>
      <c r="G107" s="289"/>
      <c r="H107" s="2733"/>
      <c r="I107" s="602"/>
      <c r="J107" s="606"/>
      <c r="L107" s="2584"/>
      <c r="M107" s="2584"/>
      <c r="Q107" s="2585"/>
      <c r="R107" s="2585"/>
      <c r="U107" s="605"/>
      <c r="W107" s="605"/>
    </row>
    <row r="108" spans="1:23" s="604" customFormat="1" ht="13.5" customHeight="1">
      <c r="A108" s="595"/>
      <c r="B108" s="596"/>
      <c r="C108" s="597"/>
      <c r="D108" s="599" t="s">
        <v>4344</v>
      </c>
      <c r="E108" s="599"/>
      <c r="F108" s="600">
        <f>(3.6*1.2*1.15)*0.5</f>
        <v>2.484</v>
      </c>
      <c r="G108" s="289"/>
      <c r="H108" s="2733"/>
      <c r="I108" s="602"/>
      <c r="J108" s="3082"/>
      <c r="L108" s="2584"/>
      <c r="M108" s="2584"/>
      <c r="Q108" s="2585"/>
      <c r="R108" s="2585"/>
      <c r="U108" s="605"/>
      <c r="W108" s="605"/>
    </row>
    <row r="109" spans="1:23" s="604" customFormat="1" ht="13.5" customHeight="1">
      <c r="A109" s="595"/>
      <c r="B109" s="596"/>
      <c r="C109" s="597"/>
      <c r="D109" s="719" t="s">
        <v>4345</v>
      </c>
      <c r="E109" s="599"/>
      <c r="F109" s="600"/>
      <c r="G109" s="289"/>
      <c r="H109" s="2733"/>
      <c r="I109" s="602"/>
      <c r="J109" s="606"/>
      <c r="L109" s="2584"/>
      <c r="M109" s="2584"/>
      <c r="Q109" s="2585"/>
      <c r="R109" s="2585"/>
      <c r="U109" s="605"/>
      <c r="W109" s="605"/>
    </row>
    <row r="110" spans="1:23" s="604" customFormat="1" ht="13.5" customHeight="1">
      <c r="A110" s="595"/>
      <c r="B110" s="596"/>
      <c r="C110" s="597"/>
      <c r="D110" s="599" t="s">
        <v>4346</v>
      </c>
      <c r="E110" s="599"/>
      <c r="F110" s="600">
        <f>(1.5*1.2*1.15)*0.5</f>
        <v>1.0349999999999999</v>
      </c>
      <c r="G110" s="289"/>
      <c r="H110" s="2733"/>
      <c r="I110" s="602"/>
      <c r="J110" s="606"/>
      <c r="L110" s="2584"/>
      <c r="M110" s="2584"/>
      <c r="Q110" s="2585"/>
      <c r="R110" s="2585"/>
      <c r="U110" s="605"/>
      <c r="W110" s="605"/>
    </row>
    <row r="111" spans="1:23" s="604" customFormat="1" ht="13.5" customHeight="1">
      <c r="A111" s="595"/>
      <c r="B111" s="596"/>
      <c r="C111" s="597"/>
      <c r="D111" s="599" t="s">
        <v>4347</v>
      </c>
      <c r="E111" s="599"/>
      <c r="F111" s="600">
        <f>(18.2*1.2*1.3)*0.5</f>
        <v>14.196</v>
      </c>
      <c r="G111" s="289"/>
      <c r="H111" s="2733"/>
      <c r="I111" s="602"/>
      <c r="J111" s="606"/>
      <c r="L111" s="2584"/>
      <c r="M111" s="2584"/>
      <c r="Q111" s="2585"/>
      <c r="R111" s="2585"/>
      <c r="U111" s="605"/>
      <c r="W111" s="605"/>
    </row>
    <row r="112" spans="1:23" s="604" customFormat="1" ht="13.5" customHeight="1">
      <c r="A112" s="595"/>
      <c r="B112" s="596"/>
      <c r="C112" s="597"/>
      <c r="D112" s="599" t="s">
        <v>4348</v>
      </c>
      <c r="E112" s="599"/>
      <c r="F112" s="600">
        <f>(5.8*1.2*1.4)*0.5</f>
        <v>4.8719999999999999</v>
      </c>
      <c r="G112" s="289"/>
      <c r="H112" s="2733"/>
      <c r="I112" s="602"/>
      <c r="J112" s="606"/>
      <c r="L112" s="2584"/>
      <c r="M112" s="2584"/>
      <c r="Q112" s="2585"/>
      <c r="R112" s="2585"/>
      <c r="U112" s="605"/>
      <c r="W112" s="605"/>
    </row>
    <row r="113" spans="1:23" s="604" customFormat="1" ht="13.5" customHeight="1">
      <c r="A113" s="595"/>
      <c r="B113" s="596"/>
      <c r="C113" s="597"/>
      <c r="D113" s="599" t="s">
        <v>4349</v>
      </c>
      <c r="E113" s="599"/>
      <c r="F113" s="600">
        <f>(15.1*1.2*1.2)*0.5</f>
        <v>10.871999999999998</v>
      </c>
      <c r="G113" s="289"/>
      <c r="H113" s="2733"/>
      <c r="I113" s="602"/>
      <c r="J113" s="606"/>
      <c r="L113" s="2584"/>
      <c r="M113" s="2584"/>
      <c r="Q113" s="2585"/>
      <c r="R113" s="2585"/>
      <c r="U113" s="605"/>
      <c r="W113" s="605"/>
    </row>
    <row r="114" spans="1:23" s="604" customFormat="1" ht="13.5" customHeight="1">
      <c r="A114" s="595"/>
      <c r="B114" s="596"/>
      <c r="C114" s="597"/>
      <c r="D114" s="599" t="s">
        <v>4350</v>
      </c>
      <c r="E114" s="599"/>
      <c r="F114" s="600">
        <f>(9.5*1.2*1.25)*0.5</f>
        <v>7.125</v>
      </c>
      <c r="G114" s="289"/>
      <c r="H114" s="2733"/>
      <c r="I114" s="602"/>
      <c r="J114" s="606"/>
      <c r="L114" s="2584"/>
      <c r="M114" s="2584"/>
      <c r="Q114" s="2585"/>
      <c r="R114" s="2585"/>
      <c r="U114" s="605"/>
      <c r="W114" s="605"/>
    </row>
    <row r="115" spans="1:23" s="604" customFormat="1" ht="13.5" customHeight="1">
      <c r="A115" s="595"/>
      <c r="B115" s="596"/>
      <c r="C115" s="597"/>
      <c r="D115" s="599" t="s">
        <v>4351</v>
      </c>
      <c r="E115" s="599"/>
      <c r="F115" s="600">
        <f>(3.9*1.2*1.6)*0.5</f>
        <v>3.7439999999999998</v>
      </c>
      <c r="G115" s="289"/>
      <c r="H115" s="2733"/>
      <c r="I115" s="602"/>
      <c r="J115" s="606"/>
      <c r="L115" s="2584"/>
      <c r="M115" s="2584"/>
      <c r="Q115" s="2585"/>
      <c r="R115" s="2585"/>
      <c r="U115" s="605"/>
      <c r="W115" s="605"/>
    </row>
    <row r="116" spans="1:23" s="604" customFormat="1" ht="13.5" customHeight="1">
      <c r="A116" s="595"/>
      <c r="B116" s="596"/>
      <c r="C116" s="597"/>
      <c r="D116" s="599" t="s">
        <v>4352</v>
      </c>
      <c r="E116" s="599"/>
      <c r="F116" s="600">
        <f>(11.4*1.2*1.65)*0.5</f>
        <v>11.286</v>
      </c>
      <c r="G116" s="289"/>
      <c r="H116" s="2733"/>
      <c r="I116" s="602"/>
      <c r="J116" s="606"/>
      <c r="L116" s="2584"/>
      <c r="M116" s="2584"/>
      <c r="Q116" s="2585"/>
      <c r="R116" s="2585"/>
      <c r="U116" s="605"/>
      <c r="W116" s="605"/>
    </row>
    <row r="117" spans="1:23" s="604" customFormat="1" ht="13.5" customHeight="1">
      <c r="A117" s="595"/>
      <c r="B117" s="596"/>
      <c r="C117" s="597"/>
      <c r="D117" s="599" t="s">
        <v>4353</v>
      </c>
      <c r="E117" s="599"/>
      <c r="F117" s="600">
        <f>(8.4*1.2*1.75)*0.5</f>
        <v>8.82</v>
      </c>
      <c r="G117" s="289"/>
      <c r="H117" s="2733"/>
      <c r="I117" s="602"/>
      <c r="J117" s="606"/>
      <c r="L117" s="2584"/>
      <c r="M117" s="2584"/>
      <c r="Q117" s="2585"/>
      <c r="R117" s="2585"/>
      <c r="U117" s="605"/>
      <c r="W117" s="605"/>
    </row>
    <row r="118" spans="1:23" s="604" customFormat="1" ht="13.5" customHeight="1">
      <c r="A118" s="595"/>
      <c r="B118" s="596"/>
      <c r="C118" s="597"/>
      <c r="D118" s="599" t="s">
        <v>4354</v>
      </c>
      <c r="E118" s="599"/>
      <c r="F118" s="600">
        <f>(1*1.2*1.8)*0.5</f>
        <v>1.08</v>
      </c>
      <c r="G118" s="289"/>
      <c r="H118" s="2733"/>
      <c r="I118" s="602"/>
      <c r="J118" s="606"/>
      <c r="L118" s="2584"/>
      <c r="M118" s="2584"/>
      <c r="Q118" s="2585"/>
      <c r="R118" s="2585"/>
      <c r="U118" s="605"/>
      <c r="W118" s="605"/>
    </row>
    <row r="119" spans="1:23" s="604" customFormat="1" ht="13.5" customHeight="1">
      <c r="A119" s="595"/>
      <c r="B119" s="596"/>
      <c r="C119" s="597"/>
      <c r="D119" s="599" t="s">
        <v>4355</v>
      </c>
      <c r="E119" s="599"/>
      <c r="F119" s="600">
        <f>(7.8*1.2*1.6)*0.5</f>
        <v>7.4879999999999995</v>
      </c>
      <c r="G119" s="289"/>
      <c r="H119" s="2733"/>
      <c r="I119" s="602"/>
      <c r="J119" s="606"/>
      <c r="L119" s="2584"/>
      <c r="M119" s="2584"/>
      <c r="Q119" s="2585"/>
      <c r="R119" s="2585"/>
      <c r="U119" s="605"/>
      <c r="W119" s="605"/>
    </row>
    <row r="120" spans="1:23" s="604" customFormat="1" ht="13.5" customHeight="1">
      <c r="A120" s="595"/>
      <c r="B120" s="596"/>
      <c r="C120" s="597"/>
      <c r="D120" s="599" t="s">
        <v>4356</v>
      </c>
      <c r="E120" s="599"/>
      <c r="F120" s="600">
        <f>(19.7*1.2*1.35)*0.5</f>
        <v>15.956999999999999</v>
      </c>
      <c r="G120" s="289"/>
      <c r="H120" s="2733"/>
      <c r="I120" s="602"/>
      <c r="J120" s="606"/>
      <c r="L120" s="2584"/>
      <c r="M120" s="2584"/>
      <c r="Q120" s="2585"/>
      <c r="R120" s="2585"/>
      <c r="U120" s="605"/>
      <c r="W120" s="605"/>
    </row>
    <row r="121" spans="1:23" s="604" customFormat="1" ht="13.5" customHeight="1">
      <c r="A121" s="595"/>
      <c r="B121" s="596"/>
      <c r="C121" s="597"/>
      <c r="D121" s="599" t="s">
        <v>4357</v>
      </c>
      <c r="E121" s="599"/>
      <c r="F121" s="600">
        <f>(25*1.2*1.35)*0.5</f>
        <v>20.25</v>
      </c>
      <c r="G121" s="289"/>
      <c r="H121" s="2733"/>
      <c r="I121" s="602"/>
      <c r="J121" s="606"/>
      <c r="L121" s="2584"/>
      <c r="M121" s="2584"/>
      <c r="Q121" s="2585"/>
      <c r="R121" s="2585"/>
      <c r="U121" s="605"/>
      <c r="W121" s="605"/>
    </row>
    <row r="122" spans="1:23" s="604" customFormat="1" ht="13.5" customHeight="1">
      <c r="A122" s="595"/>
      <c r="B122" s="596"/>
      <c r="C122" s="597"/>
      <c r="D122" s="599" t="s">
        <v>4358</v>
      </c>
      <c r="E122" s="599"/>
      <c r="F122" s="600">
        <f>(2.1*1.2*1.35)*0.5</f>
        <v>1.7010000000000001</v>
      </c>
      <c r="G122" s="289"/>
      <c r="H122" s="2733"/>
      <c r="I122" s="602"/>
      <c r="J122" s="606"/>
      <c r="L122" s="2584"/>
      <c r="M122" s="2584"/>
      <c r="Q122" s="2585"/>
      <c r="R122" s="2585"/>
      <c r="U122" s="605"/>
      <c r="W122" s="605"/>
    </row>
    <row r="123" spans="1:23" s="604" customFormat="1" ht="27" customHeight="1">
      <c r="A123" s="595"/>
      <c r="B123" s="596"/>
      <c r="C123" s="597"/>
      <c r="D123" s="599" t="s">
        <v>4359</v>
      </c>
      <c r="E123" s="599"/>
      <c r="F123" s="600">
        <f>(2.5*1.2*1.35)*0.5</f>
        <v>2.0250000000000004</v>
      </c>
      <c r="G123" s="289"/>
      <c r="H123" s="2733"/>
      <c r="I123" s="602"/>
      <c r="J123" s="606"/>
      <c r="L123" s="2584"/>
      <c r="M123" s="2584"/>
      <c r="Q123" s="2585"/>
      <c r="R123" s="2585"/>
      <c r="U123" s="605"/>
      <c r="W123" s="605"/>
    </row>
    <row r="124" spans="1:23" s="604" customFormat="1" ht="13.5" customHeight="1">
      <c r="A124" s="595"/>
      <c r="B124" s="596"/>
      <c r="C124" s="597"/>
      <c r="D124" s="599" t="s">
        <v>4360</v>
      </c>
      <c r="E124" s="599"/>
      <c r="F124" s="600">
        <f>(4.6*1.2*1.65)*0.5</f>
        <v>4.5539999999999994</v>
      </c>
      <c r="G124" s="289"/>
      <c r="H124" s="2733"/>
      <c r="I124" s="602"/>
      <c r="J124" s="606"/>
      <c r="L124" s="2584"/>
      <c r="M124" s="2584"/>
      <c r="Q124" s="2585"/>
      <c r="R124" s="2585"/>
      <c r="U124" s="605"/>
      <c r="W124" s="605"/>
    </row>
    <row r="125" spans="1:23" s="604" customFormat="1" ht="27" customHeight="1">
      <c r="A125" s="595"/>
      <c r="B125" s="596"/>
      <c r="C125" s="597"/>
      <c r="D125" s="599" t="s">
        <v>4361</v>
      </c>
      <c r="E125" s="599"/>
      <c r="F125" s="600">
        <f>(6.2*1.2*1)*0.5</f>
        <v>3.7199999999999998</v>
      </c>
      <c r="G125" s="289"/>
      <c r="H125" s="2733"/>
      <c r="I125" s="602"/>
      <c r="J125" s="606"/>
      <c r="L125" s="2584"/>
      <c r="M125" s="2584"/>
      <c r="Q125" s="2585"/>
      <c r="R125" s="2585"/>
      <c r="U125" s="605"/>
      <c r="W125" s="605"/>
    </row>
    <row r="126" spans="1:23" s="604" customFormat="1" ht="13.5" customHeight="1">
      <c r="A126" s="595"/>
      <c r="B126" s="596"/>
      <c r="C126" s="597"/>
      <c r="D126" s="599" t="s">
        <v>4362</v>
      </c>
      <c r="E126" s="599"/>
      <c r="F126" s="600">
        <f>(3.2*1.2*1.35)*0.5</f>
        <v>2.5920000000000001</v>
      </c>
      <c r="G126" s="289"/>
      <c r="H126" s="2733"/>
      <c r="I126" s="602"/>
      <c r="J126" s="3082"/>
      <c r="L126" s="2584"/>
      <c r="M126" s="2584"/>
      <c r="Q126" s="2585"/>
      <c r="R126" s="2585"/>
      <c r="U126" s="605"/>
      <c r="W126" s="605"/>
    </row>
    <row r="127" spans="1:23" s="604" customFormat="1" ht="13.5" customHeight="1">
      <c r="A127" s="595"/>
      <c r="B127" s="596"/>
      <c r="C127" s="597"/>
      <c r="D127" s="719" t="s">
        <v>4363</v>
      </c>
      <c r="E127" s="599"/>
      <c r="F127" s="600"/>
      <c r="G127" s="289"/>
      <c r="H127" s="601"/>
      <c r="I127" s="602"/>
      <c r="U127" s="605"/>
      <c r="W127" s="605"/>
    </row>
    <row r="128" spans="1:23" s="604" customFormat="1" ht="13.5" customHeight="1">
      <c r="A128" s="595"/>
      <c r="B128" s="596"/>
      <c r="C128" s="597"/>
      <c r="D128" s="599" t="s">
        <v>4364</v>
      </c>
      <c r="E128" s="599"/>
      <c r="F128" s="600">
        <f>(1.6*1.6*1.35)*0.5</f>
        <v>1.7280000000000004</v>
      </c>
      <c r="G128" s="289"/>
      <c r="H128" s="601"/>
      <c r="I128" s="602"/>
      <c r="J128" s="606"/>
      <c r="U128" s="605"/>
      <c r="W128" s="605"/>
    </row>
    <row r="129" spans="1:23" s="604" customFormat="1" ht="13.5" customHeight="1">
      <c r="A129" s="595"/>
      <c r="B129" s="596"/>
      <c r="C129" s="597"/>
      <c r="D129" s="599" t="s">
        <v>4365</v>
      </c>
      <c r="E129" s="599"/>
      <c r="F129" s="600">
        <f>(1.6*1.6*1.6)*0.5</f>
        <v>2.0480000000000005</v>
      </c>
      <c r="G129" s="289"/>
      <c r="H129" s="601"/>
      <c r="I129" s="602"/>
      <c r="J129" s="606"/>
      <c r="U129" s="605"/>
      <c r="W129" s="605"/>
    </row>
    <row r="130" spans="1:23" s="604" customFormat="1" ht="13.5" customHeight="1">
      <c r="A130" s="595"/>
      <c r="B130" s="596"/>
      <c r="C130" s="597"/>
      <c r="D130" s="599" t="s">
        <v>4366</v>
      </c>
      <c r="E130" s="599"/>
      <c r="F130" s="600">
        <f>(1.6*1.6*1.9)*0.5</f>
        <v>2.4320000000000004</v>
      </c>
      <c r="G130" s="289"/>
      <c r="H130" s="601"/>
      <c r="I130" s="602"/>
      <c r="J130" s="606"/>
      <c r="U130" s="605"/>
      <c r="W130" s="605"/>
    </row>
    <row r="131" spans="1:23" s="604" customFormat="1" ht="13.5" customHeight="1">
      <c r="A131" s="595"/>
      <c r="B131" s="596"/>
      <c r="C131" s="597"/>
      <c r="D131" s="599" t="s">
        <v>4367</v>
      </c>
      <c r="E131" s="599"/>
      <c r="F131" s="600">
        <f>(1.6*1.6*1.65)*0.5</f>
        <v>2.1120000000000001</v>
      </c>
      <c r="G131" s="289"/>
      <c r="H131" s="601"/>
      <c r="I131" s="602"/>
      <c r="J131" s="606"/>
      <c r="U131" s="605"/>
      <c r="W131" s="605"/>
    </row>
    <row r="132" spans="1:23" s="604" customFormat="1" ht="13.5" customHeight="1">
      <c r="A132" s="595"/>
      <c r="B132" s="596"/>
      <c r="C132" s="597"/>
      <c r="D132" s="599" t="s">
        <v>4368</v>
      </c>
      <c r="E132" s="599"/>
      <c r="F132" s="600">
        <f>(1.6*1.6*1.15)*0.5</f>
        <v>1.4720000000000002</v>
      </c>
      <c r="G132" s="289"/>
      <c r="H132" s="601"/>
      <c r="I132" s="602"/>
      <c r="J132" s="606"/>
      <c r="U132" s="605"/>
      <c r="W132" s="605"/>
    </row>
    <row r="133" spans="1:23" s="604" customFormat="1" ht="13.5" customHeight="1">
      <c r="A133" s="595"/>
      <c r="B133" s="596"/>
      <c r="C133" s="597"/>
      <c r="D133" s="599" t="s">
        <v>4369</v>
      </c>
      <c r="E133" s="599"/>
      <c r="F133" s="600">
        <f>(1.6*1.6*1.15)*0.5</f>
        <v>1.4720000000000002</v>
      </c>
      <c r="G133" s="289"/>
      <c r="H133" s="601"/>
      <c r="I133" s="602"/>
      <c r="J133" s="606"/>
      <c r="U133" s="605"/>
      <c r="W133" s="605"/>
    </row>
    <row r="134" spans="1:23" s="604" customFormat="1" ht="13.5" customHeight="1">
      <c r="A134" s="595"/>
      <c r="B134" s="596"/>
      <c r="C134" s="597"/>
      <c r="D134" s="599" t="s">
        <v>4370</v>
      </c>
      <c r="E134" s="599"/>
      <c r="F134" s="600">
        <f>(1.6*1.6*1.1)*0.5</f>
        <v>1.4080000000000004</v>
      </c>
      <c r="G134" s="289"/>
      <c r="H134" s="601"/>
      <c r="I134" s="602"/>
      <c r="J134" s="606"/>
      <c r="U134" s="605"/>
      <c r="W134" s="605"/>
    </row>
    <row r="135" spans="1:23" s="604" customFormat="1" ht="13.5" customHeight="1">
      <c r="A135" s="595"/>
      <c r="B135" s="596"/>
      <c r="C135" s="597"/>
      <c r="D135" s="599" t="s">
        <v>4371</v>
      </c>
      <c r="E135" s="599"/>
      <c r="F135" s="600">
        <f>(1.6*1.6*1.35)*0.5</f>
        <v>1.7280000000000004</v>
      </c>
      <c r="G135" s="289"/>
      <c r="H135" s="601"/>
      <c r="I135" s="602"/>
      <c r="J135" s="606"/>
      <c r="U135" s="605"/>
      <c r="W135" s="605"/>
    </row>
    <row r="136" spans="1:23" s="604" customFormat="1" ht="13.5" customHeight="1">
      <c r="A136" s="595"/>
      <c r="B136" s="596"/>
      <c r="C136" s="597"/>
      <c r="D136" s="599" t="s">
        <v>4372</v>
      </c>
      <c r="E136" s="599"/>
      <c r="F136" s="600">
        <f>(1.6*1.6*1.35)*0.5</f>
        <v>1.7280000000000004</v>
      </c>
      <c r="G136" s="289"/>
      <c r="H136" s="601"/>
      <c r="I136" s="602"/>
      <c r="J136" s="606"/>
      <c r="U136" s="605"/>
      <c r="W136" s="605"/>
    </row>
    <row r="137" spans="1:23" s="604" customFormat="1" ht="13.5" customHeight="1">
      <c r="A137" s="595"/>
      <c r="B137" s="596"/>
      <c r="C137" s="597"/>
      <c r="D137" s="599" t="s">
        <v>4373</v>
      </c>
      <c r="E137" s="599"/>
      <c r="F137" s="600">
        <f>(1.6*1.6*1.15)*0.5</f>
        <v>1.4720000000000002</v>
      </c>
      <c r="G137" s="289"/>
      <c r="H137" s="601"/>
      <c r="I137" s="602"/>
      <c r="J137" s="606"/>
      <c r="U137" s="605"/>
      <c r="W137" s="605"/>
    </row>
    <row r="138" spans="1:23" s="604" customFormat="1" ht="13.5" customHeight="1">
      <c r="A138" s="595"/>
      <c r="B138" s="596"/>
      <c r="C138" s="597"/>
      <c r="D138" s="599" t="s">
        <v>4374</v>
      </c>
      <c r="E138" s="599"/>
      <c r="F138" s="600">
        <f>(1.6*1.6*1.8)*0.5</f>
        <v>2.3040000000000007</v>
      </c>
      <c r="G138" s="289"/>
      <c r="H138" s="601"/>
      <c r="I138" s="602"/>
      <c r="J138" s="606"/>
      <c r="U138" s="605"/>
      <c r="W138" s="605"/>
    </row>
    <row r="139" spans="1:23" s="604" customFormat="1" ht="13.5" customHeight="1">
      <c r="A139" s="595"/>
      <c r="B139" s="596"/>
      <c r="C139" s="597"/>
      <c r="D139" s="599" t="s">
        <v>4375</v>
      </c>
      <c r="E139" s="599"/>
      <c r="F139" s="600">
        <f>(1.6*1.6*1.65)*0.5</f>
        <v>2.1120000000000001</v>
      </c>
      <c r="G139" s="289"/>
      <c r="H139" s="601"/>
      <c r="I139" s="602"/>
      <c r="J139" s="606"/>
      <c r="U139" s="605"/>
      <c r="W139" s="605"/>
    </row>
    <row r="140" spans="1:23" s="604" customFormat="1" ht="13.5" customHeight="1">
      <c r="A140" s="595"/>
      <c r="B140" s="596"/>
      <c r="C140" s="597"/>
      <c r="D140" s="599" t="s">
        <v>4376</v>
      </c>
      <c r="E140" s="599"/>
      <c r="F140" s="600">
        <f>(1.6*1.6*1.65)*0.5</f>
        <v>2.1120000000000001</v>
      </c>
      <c r="G140" s="289"/>
      <c r="H140" s="601"/>
      <c r="I140" s="602"/>
      <c r="J140" s="606"/>
      <c r="U140" s="605"/>
      <c r="W140" s="605"/>
    </row>
    <row r="141" spans="1:23" s="604" customFormat="1" ht="13.5" customHeight="1">
      <c r="A141" s="595"/>
      <c r="B141" s="596"/>
      <c r="C141" s="597"/>
      <c r="D141" s="599" t="s">
        <v>4377</v>
      </c>
      <c r="E141" s="599"/>
      <c r="F141" s="600">
        <f>(1.6*1.6*1.5)*0.5</f>
        <v>1.9200000000000004</v>
      </c>
      <c r="G141" s="289"/>
      <c r="H141" s="601"/>
      <c r="I141" s="602"/>
      <c r="J141" s="606"/>
      <c r="U141" s="605"/>
      <c r="W141" s="605"/>
    </row>
    <row r="142" spans="1:23" s="604" customFormat="1" ht="13.5" customHeight="1">
      <c r="A142" s="595"/>
      <c r="B142" s="596"/>
      <c r="C142" s="597"/>
      <c r="D142" s="599" t="s">
        <v>4378</v>
      </c>
      <c r="E142" s="599"/>
      <c r="F142" s="600">
        <f>(1.6*1.6*1)*0.5</f>
        <v>1.2800000000000002</v>
      </c>
      <c r="G142" s="289"/>
      <c r="H142" s="601"/>
      <c r="I142" s="602"/>
      <c r="J142" s="606"/>
      <c r="U142" s="605"/>
      <c r="W142" s="605"/>
    </row>
    <row r="143" spans="1:23" s="604" customFormat="1" ht="13.5" customHeight="1">
      <c r="A143" s="595"/>
      <c r="B143" s="596"/>
      <c r="C143" s="597"/>
      <c r="D143" s="599" t="s">
        <v>4379</v>
      </c>
      <c r="E143" s="599"/>
      <c r="F143" s="600">
        <f>(1.6*1.6*1.35)*0.5</f>
        <v>1.7280000000000004</v>
      </c>
      <c r="G143" s="289"/>
      <c r="H143" s="601"/>
      <c r="I143" s="602"/>
      <c r="J143" s="606"/>
      <c r="U143" s="605"/>
      <c r="W143" s="605"/>
    </row>
    <row r="144" spans="1:23" s="604" customFormat="1" ht="13.5" customHeight="1">
      <c r="A144" s="595"/>
      <c r="B144" s="596"/>
      <c r="C144" s="597"/>
      <c r="D144" s="599" t="s">
        <v>4380</v>
      </c>
      <c r="E144" s="599"/>
      <c r="F144" s="600">
        <f>(1.6*1.6*1.4)*0.5</f>
        <v>1.7920000000000003</v>
      </c>
      <c r="G144" s="289"/>
      <c r="H144" s="601"/>
      <c r="I144" s="602"/>
      <c r="J144" s="606"/>
      <c r="U144" s="605"/>
      <c r="W144" s="605"/>
    </row>
    <row r="145" spans="1:23" s="604" customFormat="1" ht="13.5" customHeight="1">
      <c r="A145" s="595"/>
      <c r="B145" s="596"/>
      <c r="C145" s="597"/>
      <c r="D145" s="599" t="s">
        <v>4381</v>
      </c>
      <c r="E145" s="599"/>
      <c r="F145" s="600">
        <f>(1.6*1.6*1.15)*0.5</f>
        <v>1.4720000000000002</v>
      </c>
      <c r="G145" s="289"/>
      <c r="H145" s="601"/>
      <c r="I145" s="602"/>
      <c r="J145" s="606"/>
      <c r="U145" s="605"/>
      <c r="W145" s="605"/>
    </row>
    <row r="146" spans="1:23" s="604" customFormat="1" ht="13.5" customHeight="1">
      <c r="A146" s="595"/>
      <c r="B146" s="596"/>
      <c r="C146" s="597"/>
      <c r="D146" s="599" t="s">
        <v>4382</v>
      </c>
      <c r="E146" s="599"/>
      <c r="F146" s="600">
        <f>(1.6*1.6*1.35)*0.5</f>
        <v>1.7280000000000004</v>
      </c>
      <c r="G146" s="289"/>
      <c r="H146" s="601"/>
      <c r="I146" s="602"/>
      <c r="J146" s="606"/>
      <c r="U146" s="605"/>
      <c r="W146" s="605"/>
    </row>
    <row r="147" spans="1:23" s="604" customFormat="1" ht="13.5" customHeight="1">
      <c r="A147" s="595"/>
      <c r="B147" s="596"/>
      <c r="C147" s="597"/>
      <c r="D147" s="599" t="s">
        <v>4383</v>
      </c>
      <c r="E147" s="599"/>
      <c r="F147" s="600">
        <f>(1.6*1.6*1.35)*0.5</f>
        <v>1.7280000000000004</v>
      </c>
      <c r="G147" s="289"/>
      <c r="H147" s="601"/>
      <c r="I147" s="602"/>
      <c r="J147" s="606"/>
      <c r="U147" s="605"/>
      <c r="W147" s="605"/>
    </row>
    <row r="148" spans="1:23" s="604" customFormat="1" ht="13.5" customHeight="1">
      <c r="A148" s="595"/>
      <c r="B148" s="596"/>
      <c r="C148" s="597"/>
      <c r="D148" s="599" t="s">
        <v>4384</v>
      </c>
      <c r="E148" s="599"/>
      <c r="F148" s="600">
        <f>(1.6*1.6*1.35)*0.5</f>
        <v>1.7280000000000004</v>
      </c>
      <c r="G148" s="289"/>
      <c r="H148" s="601"/>
      <c r="I148" s="602"/>
      <c r="J148" s="606"/>
      <c r="U148" s="605"/>
      <c r="W148" s="605"/>
    </row>
    <row r="149" spans="1:23" s="604" customFormat="1" ht="13.5" customHeight="1">
      <c r="A149" s="1586"/>
      <c r="B149" s="596"/>
      <c r="C149" s="597"/>
      <c r="D149" s="719" t="s">
        <v>4385</v>
      </c>
      <c r="E149" s="599"/>
      <c r="F149" s="600"/>
      <c r="G149" s="289"/>
      <c r="H149" s="601"/>
      <c r="I149" s="602"/>
      <c r="J149" s="3087"/>
      <c r="K149" s="3088"/>
      <c r="L149" s="3088"/>
      <c r="M149" s="3087"/>
      <c r="N149" s="1644"/>
      <c r="U149" s="605"/>
      <c r="W149" s="605"/>
    </row>
    <row r="150" spans="1:23" s="604" customFormat="1" ht="13.5" customHeight="1">
      <c r="A150" s="1586"/>
      <c r="B150" s="596"/>
      <c r="C150" s="597"/>
      <c r="D150" s="599" t="s">
        <v>4386</v>
      </c>
      <c r="E150" s="599"/>
      <c r="F150" s="600">
        <f>(2*2*1.65)*0.5</f>
        <v>3.3</v>
      </c>
      <c r="G150" s="289"/>
      <c r="H150" s="601"/>
      <c r="I150" s="602"/>
      <c r="J150" s="3087"/>
      <c r="K150" s="3088"/>
      <c r="L150" s="3088"/>
      <c r="M150" s="3087"/>
      <c r="N150" s="1644"/>
      <c r="U150" s="605"/>
      <c r="W150" s="605"/>
    </row>
    <row r="151" spans="1:23" s="604" customFormat="1" ht="27" customHeight="1">
      <c r="A151" s="595"/>
      <c r="B151" s="596"/>
      <c r="C151" s="597"/>
      <c r="D151" s="597" t="s">
        <v>4323</v>
      </c>
      <c r="E151" s="597"/>
      <c r="F151" s="607"/>
      <c r="G151" s="289"/>
      <c r="H151" s="601"/>
      <c r="I151" s="602"/>
      <c r="J151" s="606"/>
      <c r="U151" s="605"/>
      <c r="W151" s="605"/>
    </row>
    <row r="152" spans="1:23" s="604" customFormat="1" ht="27" customHeight="1">
      <c r="A152" s="608">
        <v>11</v>
      </c>
      <c r="B152" s="557" t="s">
        <v>135</v>
      </c>
      <c r="C152" s="557">
        <v>132312222</v>
      </c>
      <c r="D152" s="557" t="s">
        <v>4387</v>
      </c>
      <c r="E152" s="557" t="s">
        <v>146</v>
      </c>
      <c r="F152" s="3073">
        <f>ROUND(SUM(F154:F214),3)</f>
        <v>27.442</v>
      </c>
      <c r="G152" s="288"/>
      <c r="H152" s="568">
        <f t="shared" ref="H152" si="4">ROUND(F152*G152,2)</f>
        <v>0</v>
      </c>
      <c r="I152" s="613" t="s">
        <v>137</v>
      </c>
      <c r="J152" s="715"/>
      <c r="U152" s="605"/>
      <c r="W152" s="605"/>
    </row>
    <row r="153" spans="1:23" s="604" customFormat="1" ht="13.5" customHeight="1">
      <c r="A153" s="595"/>
      <c r="B153" s="596"/>
      <c r="C153" s="597"/>
      <c r="D153" s="719" t="s">
        <v>4388</v>
      </c>
      <c r="E153" s="599"/>
      <c r="F153" s="600"/>
      <c r="G153" s="289"/>
      <c r="H153" s="601"/>
      <c r="I153" s="602"/>
      <c r="J153" s="606"/>
      <c r="Q153" s="3080"/>
      <c r="R153" s="3080"/>
      <c r="U153" s="605"/>
      <c r="W153" s="605"/>
    </row>
    <row r="154" spans="1:23" s="604" customFormat="1" ht="13.5" customHeight="1">
      <c r="A154" s="595"/>
      <c r="B154" s="596"/>
      <c r="C154" s="597"/>
      <c r="D154" s="599" t="s">
        <v>4389</v>
      </c>
      <c r="E154" s="599"/>
      <c r="F154" s="600">
        <f>(5.2*1.2*1.65)*0.05</f>
        <v>0.51480000000000004</v>
      </c>
      <c r="G154" s="289"/>
      <c r="H154" s="2733"/>
      <c r="I154" s="602"/>
      <c r="J154" s="606"/>
      <c r="L154" s="2584"/>
      <c r="M154" s="2584"/>
      <c r="Q154" s="2585"/>
      <c r="R154" s="2585"/>
      <c r="U154" s="605"/>
      <c r="W154" s="605"/>
    </row>
    <row r="155" spans="1:23" s="604" customFormat="1" ht="13.5" customHeight="1">
      <c r="A155" s="595"/>
      <c r="B155" s="596"/>
      <c r="C155" s="597"/>
      <c r="D155" s="599" t="s">
        <v>4390</v>
      </c>
      <c r="E155" s="599"/>
      <c r="F155" s="600">
        <f>(1*1.2*1.15)*0.05</f>
        <v>6.8999999999999992E-2</v>
      </c>
      <c r="G155" s="289"/>
      <c r="H155" s="2733"/>
      <c r="I155" s="602"/>
      <c r="J155" s="606"/>
      <c r="L155" s="2584"/>
      <c r="M155" s="2584"/>
      <c r="Q155" s="2585"/>
      <c r="R155" s="2585"/>
      <c r="U155" s="605"/>
      <c r="W155" s="605"/>
    </row>
    <row r="156" spans="1:23" s="604" customFormat="1" ht="13.5" customHeight="1">
      <c r="A156" s="595"/>
      <c r="B156" s="596"/>
      <c r="C156" s="597"/>
      <c r="D156" s="599" t="s">
        <v>4391</v>
      </c>
      <c r="E156" s="599"/>
      <c r="F156" s="600">
        <f>(4.2*1.2*1.15)*0.05</f>
        <v>0.2898</v>
      </c>
      <c r="G156" s="289"/>
      <c r="H156" s="2733"/>
      <c r="I156" s="602"/>
      <c r="J156" s="606"/>
      <c r="L156" s="2584"/>
      <c r="M156" s="2584"/>
      <c r="Q156" s="2585"/>
      <c r="R156" s="2585"/>
      <c r="U156" s="605"/>
      <c r="W156" s="605"/>
    </row>
    <row r="157" spans="1:23" s="604" customFormat="1" ht="13.5" customHeight="1">
      <c r="A157" s="595"/>
      <c r="B157" s="596"/>
      <c r="C157" s="597"/>
      <c r="D157" s="719" t="s">
        <v>4392</v>
      </c>
      <c r="E157" s="599"/>
      <c r="F157" s="600"/>
      <c r="G157" s="289"/>
      <c r="H157" s="2733"/>
      <c r="I157" s="602"/>
      <c r="J157" s="3082"/>
      <c r="L157" s="2584"/>
      <c r="M157" s="2584"/>
      <c r="Q157" s="2585"/>
      <c r="R157" s="2585"/>
      <c r="U157" s="605"/>
      <c r="W157" s="605"/>
    </row>
    <row r="158" spans="1:23" s="604" customFormat="1" ht="13.5" customHeight="1">
      <c r="A158" s="595"/>
      <c r="B158" s="596"/>
      <c r="C158" s="597"/>
      <c r="D158" s="599" t="s">
        <v>4393</v>
      </c>
      <c r="E158" s="599"/>
      <c r="F158" s="600">
        <f>(2.9*1.2*1.35)*0.05</f>
        <v>0.23490000000000003</v>
      </c>
      <c r="G158" s="289"/>
      <c r="H158" s="2733"/>
      <c r="I158" s="602"/>
      <c r="J158" s="2660"/>
      <c r="K158" s="2661"/>
      <c r="L158" s="3083"/>
      <c r="M158" s="3083"/>
      <c r="Q158" s="2585"/>
      <c r="R158" s="2585"/>
      <c r="U158" s="605"/>
      <c r="W158" s="605"/>
    </row>
    <row r="159" spans="1:23" s="604" customFormat="1" ht="13.5" customHeight="1">
      <c r="A159" s="595"/>
      <c r="B159" s="596"/>
      <c r="C159" s="597"/>
      <c r="D159" s="599" t="s">
        <v>4394</v>
      </c>
      <c r="E159" s="599"/>
      <c r="F159" s="600">
        <f>(19.3*1.2*1.25)*0.05</f>
        <v>1.4475</v>
      </c>
      <c r="G159" s="289"/>
      <c r="H159" s="2733"/>
      <c r="I159" s="602"/>
      <c r="J159" s="2660"/>
      <c r="K159" s="2661"/>
      <c r="L159" s="3083"/>
      <c r="M159" s="3083"/>
      <c r="Q159" s="2585"/>
      <c r="R159" s="2585"/>
      <c r="U159" s="605"/>
      <c r="W159" s="605"/>
    </row>
    <row r="160" spans="1:23" s="604" customFormat="1" ht="13.5" customHeight="1">
      <c r="A160" s="595"/>
      <c r="B160" s="596"/>
      <c r="C160" s="597"/>
      <c r="D160" s="599" t="s">
        <v>4395</v>
      </c>
      <c r="E160" s="599"/>
      <c r="F160" s="600">
        <f>(4.9*1.2*1.1)*0.05</f>
        <v>0.32340000000000002</v>
      </c>
      <c r="G160" s="289"/>
      <c r="H160" s="2733"/>
      <c r="I160" s="602"/>
      <c r="J160" s="2660"/>
      <c r="K160" s="2661"/>
      <c r="L160" s="3084"/>
      <c r="M160" s="3083"/>
      <c r="Q160" s="2585"/>
      <c r="R160" s="2585"/>
      <c r="U160" s="605"/>
      <c r="W160" s="605"/>
    </row>
    <row r="161" spans="1:23" s="604" customFormat="1" ht="13.5" customHeight="1">
      <c r="A161" s="595"/>
      <c r="B161" s="596"/>
      <c r="C161" s="597"/>
      <c r="D161" s="599" t="s">
        <v>4396</v>
      </c>
      <c r="E161" s="599"/>
      <c r="F161" s="600">
        <f>(10.4*1.2*1.15)*0.05</f>
        <v>0.71760000000000002</v>
      </c>
      <c r="G161" s="289"/>
      <c r="H161" s="2733"/>
      <c r="I161" s="602"/>
      <c r="J161" s="2660"/>
      <c r="K161" s="2661"/>
      <c r="L161" s="3083"/>
      <c r="M161" s="3083"/>
      <c r="Q161" s="2585"/>
      <c r="R161" s="2585"/>
      <c r="U161" s="605"/>
      <c r="W161" s="605"/>
    </row>
    <row r="162" spans="1:23" s="604" customFormat="1" ht="13.5" customHeight="1">
      <c r="A162" s="595"/>
      <c r="B162" s="596"/>
      <c r="C162" s="597"/>
      <c r="D162" s="599" t="s">
        <v>4397</v>
      </c>
      <c r="E162" s="599"/>
      <c r="F162" s="600">
        <f>(8.7*1.2*1.15)*0.05</f>
        <v>0.60029999999999994</v>
      </c>
      <c r="G162" s="289"/>
      <c r="H162" s="2733"/>
      <c r="I162" s="602"/>
      <c r="J162" s="606"/>
      <c r="L162" s="2584"/>
      <c r="M162" s="2584"/>
      <c r="Q162" s="2585"/>
      <c r="R162" s="2585"/>
      <c r="U162" s="605"/>
      <c r="W162" s="605"/>
    </row>
    <row r="163" spans="1:23" s="604" customFormat="1" ht="13.5" customHeight="1">
      <c r="A163" s="595"/>
      <c r="B163" s="596"/>
      <c r="C163" s="597"/>
      <c r="D163" s="599" t="s">
        <v>4398</v>
      </c>
      <c r="E163" s="599"/>
      <c r="F163" s="600">
        <f>(8.8*1.2*1.4)*0.05</f>
        <v>0.73919999999999997</v>
      </c>
      <c r="G163" s="289"/>
      <c r="H163" s="2733"/>
      <c r="I163" s="602"/>
      <c r="J163" s="2660"/>
      <c r="K163" s="2681"/>
      <c r="L163" s="2584"/>
      <c r="M163" s="2584"/>
      <c r="Q163" s="2585"/>
      <c r="R163" s="2585"/>
      <c r="U163" s="605"/>
      <c r="W163" s="605"/>
    </row>
    <row r="164" spans="1:23" s="604" customFormat="1" ht="13.5" customHeight="1">
      <c r="A164" s="595"/>
      <c r="B164" s="596"/>
      <c r="C164" s="597"/>
      <c r="D164" s="599" t="s">
        <v>4399</v>
      </c>
      <c r="E164" s="599"/>
      <c r="F164" s="600">
        <f>(5*1.2*1.8)*0.05</f>
        <v>0.54</v>
      </c>
      <c r="G164" s="289"/>
      <c r="H164" s="2733"/>
      <c r="I164" s="602"/>
      <c r="J164" s="3085"/>
      <c r="K164" s="3086"/>
      <c r="L164" s="2584"/>
      <c r="M164" s="2584"/>
      <c r="Q164" s="2585"/>
      <c r="R164" s="2585"/>
      <c r="U164" s="605"/>
      <c r="W164" s="605"/>
    </row>
    <row r="165" spans="1:23" s="604" customFormat="1" ht="13.5" customHeight="1">
      <c r="A165" s="595"/>
      <c r="B165" s="596"/>
      <c r="C165" s="597"/>
      <c r="D165" s="599" t="s">
        <v>4400</v>
      </c>
      <c r="E165" s="599"/>
      <c r="F165" s="600">
        <f>(18.4*1.2*1.75)*0.05</f>
        <v>1.9320000000000002</v>
      </c>
      <c r="G165" s="289"/>
      <c r="H165" s="2733"/>
      <c r="I165" s="602"/>
      <c r="J165" s="3085"/>
      <c r="K165" s="3086"/>
      <c r="L165" s="2584"/>
      <c r="M165" s="2584"/>
      <c r="Q165" s="2585"/>
      <c r="R165" s="2585"/>
      <c r="U165" s="605"/>
      <c r="W165" s="605"/>
    </row>
    <row r="166" spans="1:23" s="604" customFormat="1" ht="13.5" customHeight="1">
      <c r="A166" s="595"/>
      <c r="B166" s="596"/>
      <c r="C166" s="597"/>
      <c r="D166" s="599" t="s">
        <v>4401</v>
      </c>
      <c r="E166" s="599"/>
      <c r="F166" s="600">
        <f>(7.6*1.2*1.5)*0.05</f>
        <v>0.68400000000000005</v>
      </c>
      <c r="G166" s="289"/>
      <c r="H166" s="2733"/>
      <c r="I166" s="602"/>
      <c r="J166" s="3085"/>
      <c r="K166" s="3086"/>
      <c r="L166" s="2584"/>
      <c r="M166" s="2584"/>
      <c r="Q166" s="2585"/>
      <c r="R166" s="2585"/>
      <c r="U166" s="605"/>
      <c r="W166" s="605"/>
    </row>
    <row r="167" spans="1:23" s="604" customFormat="1" ht="13.5" customHeight="1">
      <c r="A167" s="595"/>
      <c r="B167" s="596"/>
      <c r="C167" s="597"/>
      <c r="D167" s="599" t="s">
        <v>4402</v>
      </c>
      <c r="E167" s="599"/>
      <c r="F167" s="600">
        <f>(1.9*1.2*1.4)*0.05</f>
        <v>0.15959999999999999</v>
      </c>
      <c r="G167" s="289"/>
      <c r="H167" s="2733"/>
      <c r="I167" s="602"/>
      <c r="J167" s="3085"/>
      <c r="K167" s="3086"/>
      <c r="L167" s="2584"/>
      <c r="M167" s="2584"/>
      <c r="Q167" s="2585"/>
      <c r="R167" s="2585"/>
      <c r="U167" s="605"/>
      <c r="W167" s="605"/>
    </row>
    <row r="168" spans="1:23" s="604" customFormat="1" ht="13.5" customHeight="1">
      <c r="A168" s="595"/>
      <c r="B168" s="596"/>
      <c r="C168" s="597"/>
      <c r="D168" s="599" t="s">
        <v>4403</v>
      </c>
      <c r="E168" s="599"/>
      <c r="F168" s="600">
        <f>(4.8*1.2*1.4)*0.05</f>
        <v>0.4032</v>
      </c>
      <c r="G168" s="289"/>
      <c r="H168" s="2733"/>
      <c r="I168" s="602"/>
      <c r="J168" s="3085"/>
      <c r="K168" s="3086"/>
      <c r="L168" s="2584"/>
      <c r="M168" s="2584"/>
      <c r="Q168" s="2585"/>
      <c r="R168" s="2585"/>
      <c r="U168" s="605"/>
      <c r="W168" s="605"/>
    </row>
    <row r="169" spans="1:23" s="604" customFormat="1" ht="13.5" customHeight="1">
      <c r="A169" s="595"/>
      <c r="B169" s="596"/>
      <c r="C169" s="597"/>
      <c r="D169" s="599" t="s">
        <v>4404</v>
      </c>
      <c r="E169" s="599"/>
      <c r="F169" s="600">
        <f>(1.7*1.2*1.4)*0.05</f>
        <v>0.14280000000000001</v>
      </c>
      <c r="G169" s="289"/>
      <c r="H169" s="2733"/>
      <c r="I169" s="602"/>
      <c r="J169" s="606"/>
      <c r="L169" s="2584"/>
      <c r="M169" s="2584"/>
      <c r="Q169" s="2585"/>
      <c r="R169" s="2585"/>
      <c r="U169" s="605"/>
      <c r="W169" s="605"/>
    </row>
    <row r="170" spans="1:23" s="604" customFormat="1" ht="13.5" customHeight="1">
      <c r="A170" s="595"/>
      <c r="B170" s="596"/>
      <c r="C170" s="597"/>
      <c r="D170" s="599" t="s">
        <v>4405</v>
      </c>
      <c r="E170" s="599"/>
      <c r="F170" s="600">
        <f>(5*1.2*1.5)*0.05</f>
        <v>0.45</v>
      </c>
      <c r="G170" s="289"/>
      <c r="H170" s="2733"/>
      <c r="I170" s="602"/>
      <c r="J170" s="606"/>
      <c r="L170" s="2584"/>
      <c r="M170" s="2584"/>
      <c r="Q170" s="2585"/>
      <c r="R170" s="2585"/>
      <c r="U170" s="605"/>
      <c r="W170" s="605"/>
    </row>
    <row r="171" spans="1:23" s="604" customFormat="1" ht="13.5" customHeight="1">
      <c r="A171" s="595"/>
      <c r="B171" s="596"/>
      <c r="C171" s="597"/>
      <c r="D171" s="599" t="s">
        <v>4406</v>
      </c>
      <c r="E171" s="599"/>
      <c r="F171" s="600">
        <f>(21.4*1.2*1.35)*0.05</f>
        <v>1.7334000000000001</v>
      </c>
      <c r="G171" s="289"/>
      <c r="H171" s="2733"/>
      <c r="I171" s="602"/>
      <c r="J171" s="606"/>
      <c r="L171" s="2584"/>
      <c r="M171" s="2584"/>
      <c r="Q171" s="2585"/>
      <c r="R171" s="2585"/>
      <c r="U171" s="605"/>
      <c r="W171" s="605"/>
    </row>
    <row r="172" spans="1:23" s="604" customFormat="1" ht="13.5" customHeight="1">
      <c r="A172" s="595"/>
      <c r="B172" s="596"/>
      <c r="C172" s="597"/>
      <c r="D172" s="599" t="s">
        <v>4407</v>
      </c>
      <c r="E172" s="599"/>
      <c r="F172" s="600">
        <f>(3.6*1.2*1.15)*0.05</f>
        <v>0.24840000000000001</v>
      </c>
      <c r="G172" s="289"/>
      <c r="H172" s="2733"/>
      <c r="I172" s="602"/>
      <c r="J172" s="3082"/>
      <c r="L172" s="2584"/>
      <c r="M172" s="2584"/>
      <c r="Q172" s="2585"/>
      <c r="R172" s="2585"/>
      <c r="U172" s="605"/>
      <c r="W172" s="605"/>
    </row>
    <row r="173" spans="1:23" s="604" customFormat="1" ht="13.5" customHeight="1">
      <c r="A173" s="595"/>
      <c r="B173" s="596"/>
      <c r="C173" s="597"/>
      <c r="D173" s="719" t="s">
        <v>4408</v>
      </c>
      <c r="E173" s="599"/>
      <c r="F173" s="600"/>
      <c r="G173" s="289"/>
      <c r="H173" s="2733"/>
      <c r="I173" s="602"/>
      <c r="J173" s="606"/>
      <c r="L173" s="2584"/>
      <c r="M173" s="2584"/>
      <c r="Q173" s="2585"/>
      <c r="R173" s="2585"/>
      <c r="U173" s="605"/>
      <c r="W173" s="605"/>
    </row>
    <row r="174" spans="1:23" s="604" customFormat="1" ht="13.5" customHeight="1">
      <c r="A174" s="595"/>
      <c r="B174" s="596"/>
      <c r="C174" s="597"/>
      <c r="D174" s="599" t="s">
        <v>4409</v>
      </c>
      <c r="E174" s="599"/>
      <c r="F174" s="600">
        <f>(1.5*1.2*1.15)*0.05</f>
        <v>0.10349999999999999</v>
      </c>
      <c r="G174" s="289"/>
      <c r="H174" s="2733"/>
      <c r="I174" s="602"/>
      <c r="J174" s="606"/>
      <c r="L174" s="2584"/>
      <c r="M174" s="2584"/>
      <c r="Q174" s="2585"/>
      <c r="R174" s="2585"/>
      <c r="U174" s="605"/>
      <c r="W174" s="605"/>
    </row>
    <row r="175" spans="1:23" s="604" customFormat="1" ht="13.5" customHeight="1">
      <c r="A175" s="595"/>
      <c r="B175" s="596"/>
      <c r="C175" s="597"/>
      <c r="D175" s="599" t="s">
        <v>4410</v>
      </c>
      <c r="E175" s="599"/>
      <c r="F175" s="600">
        <f>(18.2*1.2*1.3)*0.05</f>
        <v>1.4196</v>
      </c>
      <c r="G175" s="289"/>
      <c r="H175" s="2733"/>
      <c r="I175" s="602"/>
      <c r="J175" s="606"/>
      <c r="L175" s="2584"/>
      <c r="M175" s="2584"/>
      <c r="Q175" s="2585"/>
      <c r="R175" s="2585"/>
      <c r="U175" s="605"/>
      <c r="W175" s="605"/>
    </row>
    <row r="176" spans="1:23" s="604" customFormat="1" ht="13.5" customHeight="1">
      <c r="A176" s="595"/>
      <c r="B176" s="596"/>
      <c r="C176" s="597"/>
      <c r="D176" s="599" t="s">
        <v>4411</v>
      </c>
      <c r="E176" s="599"/>
      <c r="F176" s="600">
        <f>(5.8*1.2*1.4)*0.05</f>
        <v>0.48720000000000002</v>
      </c>
      <c r="G176" s="289"/>
      <c r="H176" s="2733"/>
      <c r="I176" s="602"/>
      <c r="J176" s="606"/>
      <c r="L176" s="2584"/>
      <c r="M176" s="2584"/>
      <c r="Q176" s="2585"/>
      <c r="R176" s="2585"/>
      <c r="U176" s="605"/>
      <c r="W176" s="605"/>
    </row>
    <row r="177" spans="1:23" s="604" customFormat="1" ht="13.5" customHeight="1">
      <c r="A177" s="595"/>
      <c r="B177" s="596"/>
      <c r="C177" s="597"/>
      <c r="D177" s="599" t="s">
        <v>4412</v>
      </c>
      <c r="E177" s="599"/>
      <c r="F177" s="600">
        <f>(15.1*1.2*1.2)*0.05</f>
        <v>1.0871999999999999</v>
      </c>
      <c r="G177" s="289"/>
      <c r="H177" s="2733"/>
      <c r="I177" s="602"/>
      <c r="J177" s="606"/>
      <c r="L177" s="2584"/>
      <c r="M177" s="2584"/>
      <c r="Q177" s="2585"/>
      <c r="R177" s="2585"/>
      <c r="U177" s="605"/>
      <c r="W177" s="605"/>
    </row>
    <row r="178" spans="1:23" s="604" customFormat="1" ht="13.5" customHeight="1">
      <c r="A178" s="595"/>
      <c r="B178" s="596"/>
      <c r="C178" s="597"/>
      <c r="D178" s="599" t="s">
        <v>4413</v>
      </c>
      <c r="E178" s="599"/>
      <c r="F178" s="600">
        <f>(9.5*1.2*1.25)*0.05</f>
        <v>0.71250000000000002</v>
      </c>
      <c r="G178" s="289"/>
      <c r="H178" s="2733"/>
      <c r="I178" s="602"/>
      <c r="J178" s="606"/>
      <c r="L178" s="2584"/>
      <c r="M178" s="2584"/>
      <c r="Q178" s="2585"/>
      <c r="R178" s="2585"/>
      <c r="U178" s="605"/>
      <c r="W178" s="605"/>
    </row>
    <row r="179" spans="1:23" s="604" customFormat="1" ht="13.5" customHeight="1">
      <c r="A179" s="595"/>
      <c r="B179" s="596"/>
      <c r="C179" s="597"/>
      <c r="D179" s="599" t="s">
        <v>4414</v>
      </c>
      <c r="E179" s="599"/>
      <c r="F179" s="600">
        <f>(3.9*1.2*1.6)*0.05</f>
        <v>0.37440000000000001</v>
      </c>
      <c r="G179" s="289"/>
      <c r="H179" s="2733"/>
      <c r="I179" s="602"/>
      <c r="J179" s="606"/>
      <c r="L179" s="2584"/>
      <c r="M179" s="2584"/>
      <c r="Q179" s="2585"/>
      <c r="R179" s="2585"/>
      <c r="U179" s="605"/>
      <c r="W179" s="605"/>
    </row>
    <row r="180" spans="1:23" s="604" customFormat="1" ht="27" customHeight="1">
      <c r="A180" s="595"/>
      <c r="B180" s="596"/>
      <c r="C180" s="597"/>
      <c r="D180" s="599" t="s">
        <v>4415</v>
      </c>
      <c r="E180" s="599"/>
      <c r="F180" s="600">
        <f>(11.4*1.2*1.65)*0.05</f>
        <v>1.1286</v>
      </c>
      <c r="G180" s="289"/>
      <c r="H180" s="2733"/>
      <c r="I180" s="602"/>
      <c r="J180" s="606"/>
      <c r="L180" s="2584"/>
      <c r="M180" s="2584"/>
      <c r="Q180" s="2585"/>
      <c r="R180" s="2585"/>
      <c r="U180" s="605"/>
      <c r="W180" s="605"/>
    </row>
    <row r="181" spans="1:23" s="604" customFormat="1" ht="13.5" customHeight="1">
      <c r="A181" s="595"/>
      <c r="B181" s="596"/>
      <c r="C181" s="597"/>
      <c r="D181" s="599" t="s">
        <v>4416</v>
      </c>
      <c r="E181" s="599"/>
      <c r="F181" s="600">
        <f>(8.4*1.2*1.75)*0.05</f>
        <v>0.88200000000000012</v>
      </c>
      <c r="G181" s="289"/>
      <c r="H181" s="2733"/>
      <c r="I181" s="602"/>
      <c r="J181" s="606"/>
      <c r="L181" s="2584"/>
      <c r="M181" s="2584"/>
      <c r="Q181" s="2585"/>
      <c r="R181" s="2585"/>
      <c r="U181" s="605"/>
      <c r="W181" s="605"/>
    </row>
    <row r="182" spans="1:23" s="604" customFormat="1" ht="13.5" customHeight="1">
      <c r="A182" s="595"/>
      <c r="B182" s="596"/>
      <c r="C182" s="597"/>
      <c r="D182" s="599" t="s">
        <v>4417</v>
      </c>
      <c r="E182" s="599"/>
      <c r="F182" s="600">
        <f>(1*1.2*1.8)*0.05</f>
        <v>0.10800000000000001</v>
      </c>
      <c r="G182" s="289"/>
      <c r="H182" s="2733"/>
      <c r="I182" s="602"/>
      <c r="J182" s="606"/>
      <c r="L182" s="2584"/>
      <c r="M182" s="2584"/>
      <c r="Q182" s="2585"/>
      <c r="R182" s="2585"/>
      <c r="U182" s="605"/>
      <c r="W182" s="605"/>
    </row>
    <row r="183" spans="1:23" s="604" customFormat="1" ht="13.5" customHeight="1">
      <c r="A183" s="595"/>
      <c r="B183" s="596"/>
      <c r="C183" s="597"/>
      <c r="D183" s="599" t="s">
        <v>4418</v>
      </c>
      <c r="E183" s="599"/>
      <c r="F183" s="600">
        <f>(7.8*1.2*1.6)*0.05</f>
        <v>0.74880000000000002</v>
      </c>
      <c r="G183" s="289"/>
      <c r="H183" s="2733"/>
      <c r="I183" s="602"/>
      <c r="J183" s="606"/>
      <c r="L183" s="2584"/>
      <c r="M183" s="2584"/>
      <c r="Q183" s="2585"/>
      <c r="R183" s="2585"/>
      <c r="U183" s="605"/>
      <c r="W183" s="605"/>
    </row>
    <row r="184" spans="1:23" s="604" customFormat="1" ht="27" customHeight="1">
      <c r="A184" s="595"/>
      <c r="B184" s="596"/>
      <c r="C184" s="597"/>
      <c r="D184" s="599" t="s">
        <v>4419</v>
      </c>
      <c r="E184" s="599"/>
      <c r="F184" s="600">
        <f>(19.7*1.2*1.35)*0.05</f>
        <v>1.5956999999999999</v>
      </c>
      <c r="G184" s="289"/>
      <c r="H184" s="2733"/>
      <c r="I184" s="602"/>
      <c r="J184" s="606"/>
      <c r="L184" s="2584"/>
      <c r="M184" s="2584"/>
      <c r="Q184" s="2585"/>
      <c r="R184" s="2585"/>
      <c r="U184" s="605"/>
      <c r="W184" s="605"/>
    </row>
    <row r="185" spans="1:23" s="604" customFormat="1" ht="27" customHeight="1">
      <c r="A185" s="595"/>
      <c r="B185" s="596"/>
      <c r="C185" s="597"/>
      <c r="D185" s="599" t="s">
        <v>4420</v>
      </c>
      <c r="E185" s="599"/>
      <c r="F185" s="600">
        <f>(25*1.2*1.35)*0.05</f>
        <v>2.0249999999999999</v>
      </c>
      <c r="G185" s="289"/>
      <c r="H185" s="2733"/>
      <c r="I185" s="602"/>
      <c r="J185" s="606"/>
      <c r="L185" s="2584"/>
      <c r="M185" s="2584"/>
      <c r="Q185" s="2585"/>
      <c r="R185" s="2585"/>
      <c r="U185" s="605"/>
      <c r="W185" s="605"/>
    </row>
    <row r="186" spans="1:23" s="604" customFormat="1" ht="13.5" customHeight="1">
      <c r="A186" s="595"/>
      <c r="B186" s="596"/>
      <c r="C186" s="597"/>
      <c r="D186" s="599" t="s">
        <v>4421</v>
      </c>
      <c r="E186" s="599"/>
      <c r="F186" s="600">
        <f>(2.1*1.2*1.35)*0.05</f>
        <v>0.17010000000000003</v>
      </c>
      <c r="G186" s="289"/>
      <c r="H186" s="2733"/>
      <c r="I186" s="602"/>
      <c r="J186" s="606"/>
      <c r="L186" s="2584"/>
      <c r="M186" s="2584"/>
      <c r="Q186" s="2585"/>
      <c r="R186" s="2585"/>
      <c r="U186" s="605"/>
      <c r="W186" s="605"/>
    </row>
    <row r="187" spans="1:23" s="604" customFormat="1" ht="27" customHeight="1">
      <c r="A187" s="595"/>
      <c r="B187" s="596"/>
      <c r="C187" s="597"/>
      <c r="D187" s="599" t="s">
        <v>4422</v>
      </c>
      <c r="E187" s="599"/>
      <c r="F187" s="600">
        <f>(2.5*1.2*1.35)*0.05</f>
        <v>0.20250000000000004</v>
      </c>
      <c r="G187" s="289"/>
      <c r="H187" s="2733"/>
      <c r="I187" s="602"/>
      <c r="J187" s="606"/>
      <c r="L187" s="2584"/>
      <c r="M187" s="2584"/>
      <c r="Q187" s="2585"/>
      <c r="R187" s="2585"/>
      <c r="U187" s="605"/>
      <c r="W187" s="605"/>
    </row>
    <row r="188" spans="1:23" s="604" customFormat="1" ht="13.5" customHeight="1">
      <c r="A188" s="595"/>
      <c r="B188" s="596"/>
      <c r="C188" s="597"/>
      <c r="D188" s="599" t="s">
        <v>4423</v>
      </c>
      <c r="E188" s="599"/>
      <c r="F188" s="600">
        <f>(4.6*1.2*1.65)*0.05</f>
        <v>0.45539999999999997</v>
      </c>
      <c r="G188" s="289"/>
      <c r="H188" s="2733"/>
      <c r="I188" s="602"/>
      <c r="J188" s="606"/>
      <c r="L188" s="2584"/>
      <c r="M188" s="2584"/>
      <c r="Q188" s="2585"/>
      <c r="R188" s="2585"/>
      <c r="U188" s="605"/>
      <c r="W188" s="605"/>
    </row>
    <row r="189" spans="1:23" s="604" customFormat="1" ht="27" customHeight="1">
      <c r="A189" s="595"/>
      <c r="B189" s="596"/>
      <c r="C189" s="597"/>
      <c r="D189" s="599" t="s">
        <v>4424</v>
      </c>
      <c r="E189" s="599"/>
      <c r="F189" s="600">
        <f>(6.2*1.2*1)*0.05</f>
        <v>0.372</v>
      </c>
      <c r="G189" s="289"/>
      <c r="H189" s="2733"/>
      <c r="I189" s="602"/>
      <c r="J189" s="606"/>
      <c r="L189" s="2584"/>
      <c r="M189" s="2584"/>
      <c r="Q189" s="2585"/>
      <c r="R189" s="2585"/>
      <c r="U189" s="605"/>
      <c r="W189" s="605"/>
    </row>
    <row r="190" spans="1:23" s="604" customFormat="1" ht="13.5" customHeight="1">
      <c r="A190" s="595"/>
      <c r="B190" s="596"/>
      <c r="C190" s="597"/>
      <c r="D190" s="599" t="s">
        <v>4425</v>
      </c>
      <c r="E190" s="599"/>
      <c r="F190" s="600">
        <f>(3.2*1.2*1.35)*0.05</f>
        <v>0.25920000000000004</v>
      </c>
      <c r="G190" s="289"/>
      <c r="H190" s="2733"/>
      <c r="I190" s="602"/>
      <c r="J190" s="3082"/>
      <c r="L190" s="2584"/>
      <c r="M190" s="2584"/>
      <c r="Q190" s="2585"/>
      <c r="R190" s="2585"/>
      <c r="U190" s="605"/>
      <c r="W190" s="605"/>
    </row>
    <row r="191" spans="1:23" s="604" customFormat="1" ht="13.5" customHeight="1">
      <c r="A191" s="595"/>
      <c r="B191" s="596"/>
      <c r="C191" s="597"/>
      <c r="D191" s="719" t="s">
        <v>4426</v>
      </c>
      <c r="E191" s="599"/>
      <c r="F191" s="600"/>
      <c r="G191" s="289"/>
      <c r="H191" s="601"/>
      <c r="I191" s="602"/>
      <c r="U191" s="605"/>
      <c r="W191" s="605"/>
    </row>
    <row r="192" spans="1:23" s="604" customFormat="1" ht="13.5" customHeight="1">
      <c r="A192" s="595"/>
      <c r="B192" s="596"/>
      <c r="C192" s="597"/>
      <c r="D192" s="599" t="s">
        <v>4427</v>
      </c>
      <c r="E192" s="599"/>
      <c r="F192" s="600">
        <f>(1.6*1.6*1.35)*0.05</f>
        <v>0.17280000000000006</v>
      </c>
      <c r="G192" s="289"/>
      <c r="H192" s="601"/>
      <c r="I192" s="602"/>
      <c r="J192" s="606"/>
      <c r="U192" s="605"/>
      <c r="W192" s="605"/>
    </row>
    <row r="193" spans="1:23" s="604" customFormat="1" ht="13.5" customHeight="1">
      <c r="A193" s="595"/>
      <c r="B193" s="596"/>
      <c r="C193" s="597"/>
      <c r="D193" s="599" t="s">
        <v>4428</v>
      </c>
      <c r="E193" s="599"/>
      <c r="F193" s="600">
        <f>(1.6*1.6*1.6)*0.05</f>
        <v>0.20480000000000007</v>
      </c>
      <c r="G193" s="289"/>
      <c r="H193" s="601"/>
      <c r="I193" s="602"/>
      <c r="J193" s="606"/>
      <c r="U193" s="605"/>
      <c r="W193" s="605"/>
    </row>
    <row r="194" spans="1:23" s="604" customFormat="1" ht="13.5" customHeight="1">
      <c r="A194" s="595"/>
      <c r="B194" s="596"/>
      <c r="C194" s="597"/>
      <c r="D194" s="599" t="s">
        <v>4429</v>
      </c>
      <c r="E194" s="599"/>
      <c r="F194" s="600">
        <f>(1.6*1.6*1.9)*0.05</f>
        <v>0.24320000000000006</v>
      </c>
      <c r="G194" s="289"/>
      <c r="H194" s="601"/>
      <c r="I194" s="602"/>
      <c r="J194" s="606"/>
      <c r="U194" s="605"/>
      <c r="W194" s="605"/>
    </row>
    <row r="195" spans="1:23" s="604" customFormat="1" ht="13.5" customHeight="1">
      <c r="A195" s="595"/>
      <c r="B195" s="596"/>
      <c r="C195" s="597"/>
      <c r="D195" s="599" t="s">
        <v>4430</v>
      </c>
      <c r="E195" s="599"/>
      <c r="F195" s="600">
        <f>(1.6*1.6*1.65)*0.05</f>
        <v>0.21120000000000003</v>
      </c>
      <c r="G195" s="289"/>
      <c r="H195" s="601"/>
      <c r="I195" s="602"/>
      <c r="J195" s="606"/>
      <c r="U195" s="605"/>
      <c r="W195" s="605"/>
    </row>
    <row r="196" spans="1:23" s="604" customFormat="1" ht="13.5" customHeight="1">
      <c r="A196" s="595"/>
      <c r="B196" s="596"/>
      <c r="C196" s="597"/>
      <c r="D196" s="599" t="s">
        <v>4431</v>
      </c>
      <c r="E196" s="599"/>
      <c r="F196" s="600">
        <f>(1.6*1.6*1.15)*0.05</f>
        <v>0.14720000000000003</v>
      </c>
      <c r="G196" s="289"/>
      <c r="H196" s="601"/>
      <c r="I196" s="602"/>
      <c r="J196" s="606"/>
      <c r="U196" s="605"/>
      <c r="W196" s="605"/>
    </row>
    <row r="197" spans="1:23" s="604" customFormat="1" ht="13.5" customHeight="1">
      <c r="A197" s="595"/>
      <c r="B197" s="596"/>
      <c r="C197" s="597"/>
      <c r="D197" s="599" t="s">
        <v>4432</v>
      </c>
      <c r="E197" s="599"/>
      <c r="F197" s="600">
        <f>(1.6*1.6*1.15)*0.05</f>
        <v>0.14720000000000003</v>
      </c>
      <c r="G197" s="289"/>
      <c r="H197" s="601"/>
      <c r="I197" s="602"/>
      <c r="J197" s="606"/>
      <c r="U197" s="605"/>
      <c r="W197" s="605"/>
    </row>
    <row r="198" spans="1:23" s="604" customFormat="1" ht="13.5" customHeight="1">
      <c r="A198" s="595"/>
      <c r="B198" s="596"/>
      <c r="C198" s="597"/>
      <c r="D198" s="599" t="s">
        <v>4433</v>
      </c>
      <c r="E198" s="599"/>
      <c r="F198" s="600">
        <f>(1.6*1.6*1.1)*0.05</f>
        <v>0.14080000000000004</v>
      </c>
      <c r="G198" s="289"/>
      <c r="H198" s="601"/>
      <c r="I198" s="602"/>
      <c r="J198" s="606"/>
      <c r="U198" s="605"/>
      <c r="W198" s="605"/>
    </row>
    <row r="199" spans="1:23" s="604" customFormat="1" ht="13.5" customHeight="1">
      <c r="A199" s="595"/>
      <c r="B199" s="596"/>
      <c r="C199" s="597"/>
      <c r="D199" s="599" t="s">
        <v>4434</v>
      </c>
      <c r="E199" s="599"/>
      <c r="F199" s="600">
        <f>(1.6*1.6*1.35)*0.05</f>
        <v>0.17280000000000006</v>
      </c>
      <c r="G199" s="289"/>
      <c r="H199" s="601"/>
      <c r="I199" s="602"/>
      <c r="J199" s="606"/>
      <c r="U199" s="605"/>
      <c r="W199" s="605"/>
    </row>
    <row r="200" spans="1:23" s="604" customFormat="1" ht="13.5" customHeight="1">
      <c r="A200" s="595"/>
      <c r="B200" s="596"/>
      <c r="C200" s="597"/>
      <c r="D200" s="599" t="s">
        <v>4435</v>
      </c>
      <c r="E200" s="599"/>
      <c r="F200" s="600">
        <f>(1.6*1.6*1.35)*0.05</f>
        <v>0.17280000000000006</v>
      </c>
      <c r="G200" s="289"/>
      <c r="H200" s="601"/>
      <c r="I200" s="602"/>
      <c r="J200" s="606"/>
      <c r="U200" s="605"/>
      <c r="W200" s="605"/>
    </row>
    <row r="201" spans="1:23" s="604" customFormat="1" ht="27" customHeight="1">
      <c r="A201" s="595"/>
      <c r="B201" s="596"/>
      <c r="C201" s="597"/>
      <c r="D201" s="599" t="s">
        <v>4436</v>
      </c>
      <c r="E201" s="599"/>
      <c r="F201" s="600">
        <f>(1.6*1.6*1.15)*0.05</f>
        <v>0.14720000000000003</v>
      </c>
      <c r="G201" s="289"/>
      <c r="H201" s="601"/>
      <c r="I201" s="602"/>
      <c r="J201" s="606"/>
      <c r="U201" s="605"/>
      <c r="W201" s="605"/>
    </row>
    <row r="202" spans="1:23" s="604" customFormat="1" ht="13.5" customHeight="1">
      <c r="A202" s="595"/>
      <c r="B202" s="596"/>
      <c r="C202" s="597"/>
      <c r="D202" s="599" t="s">
        <v>4437</v>
      </c>
      <c r="E202" s="599"/>
      <c r="F202" s="600">
        <f>(1.6*1.6*1.8)*0.05</f>
        <v>0.23040000000000008</v>
      </c>
      <c r="G202" s="289"/>
      <c r="H202" s="601"/>
      <c r="I202" s="602"/>
      <c r="J202" s="606"/>
      <c r="U202" s="605"/>
      <c r="W202" s="605"/>
    </row>
    <row r="203" spans="1:23" s="604" customFormat="1" ht="13.5" customHeight="1">
      <c r="A203" s="595"/>
      <c r="B203" s="596"/>
      <c r="C203" s="597"/>
      <c r="D203" s="599" t="s">
        <v>4438</v>
      </c>
      <c r="E203" s="599"/>
      <c r="F203" s="600">
        <f>(1.6*1.6*1.65)*0.05</f>
        <v>0.21120000000000003</v>
      </c>
      <c r="G203" s="289"/>
      <c r="H203" s="601"/>
      <c r="I203" s="602"/>
      <c r="J203" s="606"/>
      <c r="U203" s="605"/>
      <c r="W203" s="605"/>
    </row>
    <row r="204" spans="1:23" s="604" customFormat="1" ht="13.5" customHeight="1">
      <c r="A204" s="595"/>
      <c r="B204" s="596"/>
      <c r="C204" s="597"/>
      <c r="D204" s="599" t="s">
        <v>4439</v>
      </c>
      <c r="E204" s="599"/>
      <c r="F204" s="600">
        <f>(1.6*1.6*1.65)*0.05</f>
        <v>0.21120000000000003</v>
      </c>
      <c r="G204" s="289"/>
      <c r="H204" s="601"/>
      <c r="I204" s="602"/>
      <c r="J204" s="606"/>
      <c r="U204" s="605"/>
      <c r="W204" s="605"/>
    </row>
    <row r="205" spans="1:23" s="604" customFormat="1" ht="13.5" customHeight="1">
      <c r="A205" s="595"/>
      <c r="B205" s="596"/>
      <c r="C205" s="597"/>
      <c r="D205" s="599" t="s">
        <v>4440</v>
      </c>
      <c r="E205" s="599"/>
      <c r="F205" s="600">
        <f>(1.6*1.6*1.5)*0.05</f>
        <v>0.19200000000000006</v>
      </c>
      <c r="G205" s="289"/>
      <c r="H205" s="601"/>
      <c r="I205" s="602"/>
      <c r="J205" s="606"/>
      <c r="U205" s="605"/>
      <c r="W205" s="605"/>
    </row>
    <row r="206" spans="1:23" s="604" customFormat="1" ht="13.5" customHeight="1">
      <c r="A206" s="595"/>
      <c r="B206" s="596"/>
      <c r="C206" s="597"/>
      <c r="D206" s="599" t="s">
        <v>4441</v>
      </c>
      <c r="E206" s="599"/>
      <c r="F206" s="600">
        <f>(1.6*1.6*1)*0.05</f>
        <v>0.12800000000000003</v>
      </c>
      <c r="G206" s="289"/>
      <c r="H206" s="601"/>
      <c r="I206" s="602"/>
      <c r="J206" s="606"/>
      <c r="U206" s="605"/>
      <c r="W206" s="605"/>
    </row>
    <row r="207" spans="1:23" s="604" customFormat="1" ht="13.5" customHeight="1">
      <c r="A207" s="595"/>
      <c r="B207" s="596"/>
      <c r="C207" s="597"/>
      <c r="D207" s="599" t="s">
        <v>4442</v>
      </c>
      <c r="E207" s="599"/>
      <c r="F207" s="600">
        <f>(1.6*1.6*1.35)*0.05</f>
        <v>0.17280000000000006</v>
      </c>
      <c r="G207" s="289"/>
      <c r="H207" s="601"/>
      <c r="I207" s="602"/>
      <c r="J207" s="606"/>
      <c r="U207" s="605"/>
      <c r="W207" s="605"/>
    </row>
    <row r="208" spans="1:23" s="604" customFormat="1" ht="13.5" customHeight="1">
      <c r="A208" s="595"/>
      <c r="B208" s="596"/>
      <c r="C208" s="597"/>
      <c r="D208" s="599" t="s">
        <v>4443</v>
      </c>
      <c r="E208" s="599"/>
      <c r="F208" s="600">
        <f>(1.6*1.6*1.4)*0.05</f>
        <v>0.17920000000000003</v>
      </c>
      <c r="G208" s="289"/>
      <c r="H208" s="601"/>
      <c r="I208" s="602"/>
      <c r="J208" s="606"/>
      <c r="U208" s="605"/>
      <c r="W208" s="605"/>
    </row>
    <row r="209" spans="1:23" s="604" customFormat="1" ht="13.5" customHeight="1">
      <c r="A209" s="595"/>
      <c r="B209" s="596"/>
      <c r="C209" s="597"/>
      <c r="D209" s="599" t="s">
        <v>4444</v>
      </c>
      <c r="E209" s="599"/>
      <c r="F209" s="600">
        <f>(1.6*1.6*1.15)*0.05</f>
        <v>0.14720000000000003</v>
      </c>
      <c r="G209" s="289"/>
      <c r="H209" s="601"/>
      <c r="I209" s="602"/>
      <c r="J209" s="606"/>
      <c r="U209" s="605"/>
      <c r="W209" s="605"/>
    </row>
    <row r="210" spans="1:23" s="604" customFormat="1" ht="13.5" customHeight="1">
      <c r="A210" s="595"/>
      <c r="B210" s="596"/>
      <c r="C210" s="597"/>
      <c r="D210" s="599" t="s">
        <v>4445</v>
      </c>
      <c r="E210" s="599"/>
      <c r="F210" s="600">
        <f>(1.6*1.6*1.35)*0.05</f>
        <v>0.17280000000000006</v>
      </c>
      <c r="G210" s="289"/>
      <c r="H210" s="601"/>
      <c r="I210" s="602"/>
      <c r="J210" s="606"/>
      <c r="U210" s="605"/>
      <c r="W210" s="605"/>
    </row>
    <row r="211" spans="1:23" s="604" customFormat="1" ht="13.5" customHeight="1">
      <c r="A211" s="595"/>
      <c r="B211" s="596"/>
      <c r="C211" s="597"/>
      <c r="D211" s="599" t="s">
        <v>4446</v>
      </c>
      <c r="E211" s="599"/>
      <c r="F211" s="600">
        <f>(1.6*1.6*1.35)*0.05</f>
        <v>0.17280000000000006</v>
      </c>
      <c r="G211" s="289"/>
      <c r="H211" s="601"/>
      <c r="I211" s="602"/>
      <c r="J211" s="606"/>
      <c r="U211" s="605"/>
      <c r="W211" s="605"/>
    </row>
    <row r="212" spans="1:23" s="604" customFormat="1" ht="13.5" customHeight="1">
      <c r="A212" s="595"/>
      <c r="B212" s="596"/>
      <c r="C212" s="597"/>
      <c r="D212" s="599" t="s">
        <v>4447</v>
      </c>
      <c r="E212" s="599"/>
      <c r="F212" s="600">
        <f>(1.6*1.6*1.35)*0.05</f>
        <v>0.17280000000000006</v>
      </c>
      <c r="G212" s="289"/>
      <c r="H212" s="601"/>
      <c r="I212" s="602"/>
      <c r="J212" s="606"/>
      <c r="U212" s="605"/>
      <c r="W212" s="605"/>
    </row>
    <row r="213" spans="1:23" s="604" customFormat="1" ht="13.5" customHeight="1">
      <c r="A213" s="1586"/>
      <c r="B213" s="596"/>
      <c r="C213" s="597"/>
      <c r="D213" s="719" t="s">
        <v>4448</v>
      </c>
      <c r="E213" s="599"/>
      <c r="F213" s="600"/>
      <c r="G213" s="289"/>
      <c r="H213" s="601"/>
      <c r="I213" s="602"/>
      <c r="J213" s="3087"/>
      <c r="K213" s="3088"/>
      <c r="L213" s="3088"/>
      <c r="M213" s="3087"/>
      <c r="N213" s="1644"/>
      <c r="U213" s="605"/>
      <c r="W213" s="605"/>
    </row>
    <row r="214" spans="1:23" s="604" customFormat="1" ht="13.5" customHeight="1">
      <c r="A214" s="1586"/>
      <c r="B214" s="596"/>
      <c r="C214" s="597"/>
      <c r="D214" s="599" t="s">
        <v>4449</v>
      </c>
      <c r="E214" s="599"/>
      <c r="F214" s="600">
        <f>(2*2*1.65)*0.05</f>
        <v>0.33</v>
      </c>
      <c r="G214" s="289"/>
      <c r="H214" s="601"/>
      <c r="I214" s="602"/>
      <c r="J214" s="3087"/>
      <c r="K214" s="3088"/>
      <c r="L214" s="3088"/>
      <c r="M214" s="3087"/>
      <c r="N214" s="1644"/>
      <c r="U214" s="605"/>
      <c r="W214" s="605"/>
    </row>
    <row r="215" spans="1:23" s="604" customFormat="1" ht="27" customHeight="1">
      <c r="A215" s="595"/>
      <c r="B215" s="596"/>
      <c r="C215" s="597"/>
      <c r="D215" s="597" t="s">
        <v>4323</v>
      </c>
      <c r="E215" s="597"/>
      <c r="F215" s="607"/>
      <c r="G215" s="289"/>
      <c r="H215" s="601"/>
      <c r="I215" s="602"/>
      <c r="J215" s="606"/>
      <c r="U215" s="605"/>
      <c r="W215" s="605"/>
    </row>
    <row r="216" spans="1:23" s="604" customFormat="1" ht="27" customHeight="1">
      <c r="A216" s="608">
        <v>12</v>
      </c>
      <c r="B216" s="557" t="s">
        <v>135</v>
      </c>
      <c r="C216" s="557">
        <v>132354204</v>
      </c>
      <c r="D216" s="557" t="s">
        <v>4450</v>
      </c>
      <c r="E216" s="557" t="s">
        <v>146</v>
      </c>
      <c r="F216" s="3073">
        <f>ROUND(SUM(F218:F278),3)</f>
        <v>164.65199999999999</v>
      </c>
      <c r="G216" s="288"/>
      <c r="H216" s="568">
        <f t="shared" ref="H216" si="5">ROUND(F216*G216,2)</f>
        <v>0</v>
      </c>
      <c r="I216" s="613" t="s">
        <v>137</v>
      </c>
      <c r="J216" s="715"/>
      <c r="U216" s="605"/>
      <c r="W216" s="605"/>
    </row>
    <row r="217" spans="1:23" s="604" customFormat="1" ht="13.5" customHeight="1">
      <c r="A217" s="595"/>
      <c r="B217" s="596"/>
      <c r="C217" s="597"/>
      <c r="D217" s="719" t="s">
        <v>4451</v>
      </c>
      <c r="E217" s="599"/>
      <c r="F217" s="600"/>
      <c r="G217" s="289"/>
      <c r="H217" s="601"/>
      <c r="I217" s="602"/>
      <c r="J217" s="606"/>
      <c r="Q217" s="3080"/>
      <c r="R217" s="3080"/>
      <c r="U217" s="605"/>
      <c r="W217" s="605"/>
    </row>
    <row r="218" spans="1:23" s="604" customFormat="1" ht="13.5" customHeight="1">
      <c r="A218" s="595"/>
      <c r="B218" s="596"/>
      <c r="C218" s="597"/>
      <c r="D218" s="599" t="s">
        <v>4452</v>
      </c>
      <c r="E218" s="599"/>
      <c r="F218" s="600">
        <f>(5.2*1.2*1.65)*0.3</f>
        <v>3.0887999999999995</v>
      </c>
      <c r="G218" s="289"/>
      <c r="H218" s="2733"/>
      <c r="I218" s="602"/>
      <c r="J218" s="606"/>
      <c r="L218" s="2584"/>
      <c r="M218" s="2584"/>
      <c r="Q218" s="2585"/>
      <c r="R218" s="2585"/>
      <c r="U218" s="605"/>
      <c r="W218" s="605"/>
    </row>
    <row r="219" spans="1:23" s="604" customFormat="1" ht="13.5" customHeight="1">
      <c r="A219" s="595"/>
      <c r="B219" s="596"/>
      <c r="C219" s="597"/>
      <c r="D219" s="599" t="s">
        <v>4453</v>
      </c>
      <c r="E219" s="599"/>
      <c r="F219" s="600">
        <f>(1*1.2*1.15)*0.3</f>
        <v>0.41399999999999998</v>
      </c>
      <c r="G219" s="289"/>
      <c r="H219" s="2733"/>
      <c r="I219" s="602"/>
      <c r="J219" s="606"/>
      <c r="L219" s="2584"/>
      <c r="M219" s="2584"/>
      <c r="Q219" s="2585"/>
      <c r="R219" s="2585"/>
      <c r="U219" s="605"/>
      <c r="W219" s="605"/>
    </row>
    <row r="220" spans="1:23" s="604" customFormat="1" ht="13.5" customHeight="1">
      <c r="A220" s="595"/>
      <c r="B220" s="596"/>
      <c r="C220" s="597"/>
      <c r="D220" s="599" t="s">
        <v>4454</v>
      </c>
      <c r="E220" s="599"/>
      <c r="F220" s="600">
        <f>(4.2*1.2*1.15)*0.3</f>
        <v>1.7387999999999997</v>
      </c>
      <c r="G220" s="289"/>
      <c r="H220" s="2733"/>
      <c r="I220" s="602"/>
      <c r="J220" s="606"/>
      <c r="L220" s="2584"/>
      <c r="M220" s="2584"/>
      <c r="Q220" s="2585"/>
      <c r="R220" s="2585"/>
      <c r="U220" s="605"/>
      <c r="W220" s="605"/>
    </row>
    <row r="221" spans="1:23" s="604" customFormat="1" ht="13.5" customHeight="1">
      <c r="A221" s="595"/>
      <c r="B221" s="596"/>
      <c r="C221" s="597"/>
      <c r="D221" s="719" t="s">
        <v>4455</v>
      </c>
      <c r="E221" s="599"/>
      <c r="F221" s="600"/>
      <c r="G221" s="289"/>
      <c r="H221" s="2733"/>
      <c r="I221" s="602"/>
      <c r="J221" s="3082"/>
      <c r="L221" s="2584"/>
      <c r="M221" s="2584"/>
      <c r="Q221" s="2585"/>
      <c r="R221" s="2585"/>
      <c r="U221" s="605"/>
      <c r="W221" s="605"/>
    </row>
    <row r="222" spans="1:23" s="604" customFormat="1" ht="13.5" customHeight="1">
      <c r="A222" s="595"/>
      <c r="B222" s="596"/>
      <c r="C222" s="597"/>
      <c r="D222" s="599" t="s">
        <v>4456</v>
      </c>
      <c r="E222" s="599"/>
      <c r="F222" s="600">
        <f>(2.9*1.2*1.35)*0.3</f>
        <v>1.4094</v>
      </c>
      <c r="G222" s="289"/>
      <c r="H222" s="2733"/>
      <c r="I222" s="602"/>
      <c r="J222" s="2660"/>
      <c r="K222" s="2661"/>
      <c r="L222" s="3083"/>
      <c r="M222" s="3083"/>
      <c r="Q222" s="2585"/>
      <c r="R222" s="2585"/>
      <c r="U222" s="605"/>
      <c r="W222" s="605"/>
    </row>
    <row r="223" spans="1:23" s="604" customFormat="1" ht="13.5" customHeight="1">
      <c r="A223" s="595"/>
      <c r="B223" s="596"/>
      <c r="C223" s="597"/>
      <c r="D223" s="599" t="s">
        <v>4457</v>
      </c>
      <c r="E223" s="599"/>
      <c r="F223" s="600">
        <f>(19.3*1.2*1.25)*0.3</f>
        <v>8.6849999999999987</v>
      </c>
      <c r="G223" s="289"/>
      <c r="H223" s="2733"/>
      <c r="I223" s="602"/>
      <c r="J223" s="2660"/>
      <c r="K223" s="2661"/>
      <c r="L223" s="3083"/>
      <c r="M223" s="3083"/>
      <c r="Q223" s="2585"/>
      <c r="R223" s="2585"/>
      <c r="U223" s="605"/>
      <c r="W223" s="605"/>
    </row>
    <row r="224" spans="1:23" s="604" customFormat="1" ht="13.5" customHeight="1">
      <c r="A224" s="595"/>
      <c r="B224" s="596"/>
      <c r="C224" s="597"/>
      <c r="D224" s="599" t="s">
        <v>4458</v>
      </c>
      <c r="E224" s="599"/>
      <c r="F224" s="600">
        <f>(4.9*1.2*1.1)*0.3</f>
        <v>1.9403999999999999</v>
      </c>
      <c r="G224" s="289"/>
      <c r="H224" s="2733"/>
      <c r="I224" s="602"/>
      <c r="J224" s="2660"/>
      <c r="K224" s="2661"/>
      <c r="L224" s="3084"/>
      <c r="M224" s="3083"/>
      <c r="Q224" s="2585"/>
      <c r="R224" s="2585"/>
      <c r="U224" s="605"/>
      <c r="W224" s="605"/>
    </row>
    <row r="225" spans="1:23" s="604" customFormat="1" ht="13.5" customHeight="1">
      <c r="A225" s="595"/>
      <c r="B225" s="596"/>
      <c r="C225" s="597"/>
      <c r="D225" s="599" t="s">
        <v>4459</v>
      </c>
      <c r="E225" s="599"/>
      <c r="F225" s="600">
        <f>(10.4*1.2*1.15)*0.3</f>
        <v>4.3055999999999992</v>
      </c>
      <c r="G225" s="289"/>
      <c r="H225" s="2733"/>
      <c r="I225" s="602"/>
      <c r="J225" s="2660"/>
      <c r="K225" s="2661"/>
      <c r="L225" s="3083"/>
      <c r="M225" s="3083"/>
      <c r="Q225" s="2585"/>
      <c r="R225" s="2585"/>
      <c r="U225" s="605"/>
      <c r="W225" s="605"/>
    </row>
    <row r="226" spans="1:23" s="604" customFormat="1" ht="13.5" customHeight="1">
      <c r="A226" s="595"/>
      <c r="B226" s="596"/>
      <c r="C226" s="597"/>
      <c r="D226" s="599" t="s">
        <v>4460</v>
      </c>
      <c r="E226" s="599"/>
      <c r="F226" s="600">
        <f>(8.7*1.2*1.15)*0.3</f>
        <v>3.6017999999999994</v>
      </c>
      <c r="G226" s="289"/>
      <c r="H226" s="2733"/>
      <c r="I226" s="602"/>
      <c r="J226" s="606"/>
      <c r="L226" s="2584"/>
      <c r="M226" s="2584"/>
      <c r="Q226" s="2585"/>
      <c r="R226" s="2585"/>
      <c r="U226" s="605"/>
      <c r="W226" s="605"/>
    </row>
    <row r="227" spans="1:23" s="604" customFormat="1" ht="13.5" customHeight="1">
      <c r="A227" s="595"/>
      <c r="B227" s="596"/>
      <c r="C227" s="597"/>
      <c r="D227" s="599" t="s">
        <v>4461</v>
      </c>
      <c r="E227" s="599"/>
      <c r="F227" s="600">
        <f>(8.8*1.2*1.4)*0.3</f>
        <v>4.4351999999999991</v>
      </c>
      <c r="G227" s="289"/>
      <c r="H227" s="2733"/>
      <c r="I227" s="602"/>
      <c r="J227" s="2660"/>
      <c r="K227" s="2681"/>
      <c r="L227" s="2584"/>
      <c r="M227" s="2584"/>
      <c r="Q227" s="2585"/>
      <c r="R227" s="2585"/>
      <c r="U227" s="605"/>
      <c r="W227" s="605"/>
    </row>
    <row r="228" spans="1:23" s="604" customFormat="1" ht="13.5" customHeight="1">
      <c r="A228" s="595"/>
      <c r="B228" s="596"/>
      <c r="C228" s="597"/>
      <c r="D228" s="599" t="s">
        <v>4462</v>
      </c>
      <c r="E228" s="599"/>
      <c r="F228" s="600">
        <f>(5*1.2*1.8)*0.3</f>
        <v>3.24</v>
      </c>
      <c r="G228" s="289"/>
      <c r="H228" s="2733"/>
      <c r="I228" s="602"/>
      <c r="J228" s="3085"/>
      <c r="K228" s="3086"/>
      <c r="L228" s="2584"/>
      <c r="M228" s="2584"/>
      <c r="Q228" s="2585"/>
      <c r="R228" s="2585"/>
      <c r="U228" s="605"/>
      <c r="W228" s="605"/>
    </row>
    <row r="229" spans="1:23" s="604" customFormat="1" ht="13.5" customHeight="1">
      <c r="A229" s="595"/>
      <c r="B229" s="596"/>
      <c r="C229" s="597"/>
      <c r="D229" s="599" t="s">
        <v>4463</v>
      </c>
      <c r="E229" s="599"/>
      <c r="F229" s="600">
        <f>(18.4*1.2*1.75)*0.3</f>
        <v>11.592000000000001</v>
      </c>
      <c r="G229" s="289"/>
      <c r="H229" s="2733"/>
      <c r="I229" s="602"/>
      <c r="J229" s="3085"/>
      <c r="K229" s="3086"/>
      <c r="L229" s="2584"/>
      <c r="M229" s="2584"/>
      <c r="Q229" s="2585"/>
      <c r="R229" s="2585"/>
      <c r="U229" s="605"/>
      <c r="W229" s="605"/>
    </row>
    <row r="230" spans="1:23" s="604" customFormat="1" ht="13.5" customHeight="1">
      <c r="A230" s="595"/>
      <c r="B230" s="596"/>
      <c r="C230" s="597"/>
      <c r="D230" s="599" t="s">
        <v>4464</v>
      </c>
      <c r="E230" s="599"/>
      <c r="F230" s="600">
        <f>(7.6*1.2*1.5)*0.3</f>
        <v>4.1040000000000001</v>
      </c>
      <c r="G230" s="289"/>
      <c r="H230" s="2733"/>
      <c r="I230" s="602"/>
      <c r="J230" s="3085"/>
      <c r="K230" s="3086"/>
      <c r="L230" s="2584"/>
      <c r="M230" s="2584"/>
      <c r="Q230" s="2585"/>
      <c r="R230" s="2585"/>
      <c r="U230" s="605"/>
      <c r="W230" s="605"/>
    </row>
    <row r="231" spans="1:23" s="604" customFormat="1" ht="13.5" customHeight="1">
      <c r="A231" s="595"/>
      <c r="B231" s="596"/>
      <c r="C231" s="597"/>
      <c r="D231" s="599" t="s">
        <v>4465</v>
      </c>
      <c r="E231" s="599"/>
      <c r="F231" s="600">
        <f>(1.9*1.2*1.4)*0.3</f>
        <v>0.9575999999999999</v>
      </c>
      <c r="G231" s="289"/>
      <c r="H231" s="2733"/>
      <c r="I231" s="602"/>
      <c r="J231" s="3085"/>
      <c r="K231" s="3086"/>
      <c r="L231" s="2584"/>
      <c r="M231" s="2584"/>
      <c r="Q231" s="2585"/>
      <c r="R231" s="2585"/>
      <c r="U231" s="605"/>
      <c r="W231" s="605"/>
    </row>
    <row r="232" spans="1:23" s="604" customFormat="1" ht="13.5" customHeight="1">
      <c r="A232" s="595"/>
      <c r="B232" s="596"/>
      <c r="C232" s="597"/>
      <c r="D232" s="599" t="s">
        <v>4466</v>
      </c>
      <c r="E232" s="599"/>
      <c r="F232" s="600">
        <f>(4.8*1.2*1.4)*0.3</f>
        <v>2.4192</v>
      </c>
      <c r="G232" s="289"/>
      <c r="H232" s="2733"/>
      <c r="I232" s="602"/>
      <c r="J232" s="3085"/>
      <c r="K232" s="3086"/>
      <c r="L232" s="2584"/>
      <c r="M232" s="2584"/>
      <c r="Q232" s="2585"/>
      <c r="R232" s="2585"/>
      <c r="U232" s="605"/>
      <c r="W232" s="605"/>
    </row>
    <row r="233" spans="1:23" s="604" customFormat="1" ht="13.5" customHeight="1">
      <c r="A233" s="595"/>
      <c r="B233" s="596"/>
      <c r="C233" s="597"/>
      <c r="D233" s="599" t="s">
        <v>4467</v>
      </c>
      <c r="E233" s="599"/>
      <c r="F233" s="600">
        <f>(1.7*1.2*1.4)*0.3</f>
        <v>0.8567999999999999</v>
      </c>
      <c r="G233" s="289"/>
      <c r="H233" s="2733"/>
      <c r="I233" s="602"/>
      <c r="J233" s="606"/>
      <c r="L233" s="2584"/>
      <c r="M233" s="2584"/>
      <c r="Q233" s="2585"/>
      <c r="R233" s="2585"/>
      <c r="U233" s="605"/>
      <c r="W233" s="605"/>
    </row>
    <row r="234" spans="1:23" s="604" customFormat="1" ht="13.5" customHeight="1">
      <c r="A234" s="595"/>
      <c r="B234" s="596"/>
      <c r="C234" s="597"/>
      <c r="D234" s="599" t="s">
        <v>4468</v>
      </c>
      <c r="E234" s="599"/>
      <c r="F234" s="600">
        <f>(5*1.2*1.5)*0.3</f>
        <v>2.6999999999999997</v>
      </c>
      <c r="G234" s="289"/>
      <c r="H234" s="2733"/>
      <c r="I234" s="602"/>
      <c r="J234" s="606"/>
      <c r="L234" s="2584"/>
      <c r="M234" s="2584"/>
      <c r="Q234" s="2585"/>
      <c r="R234" s="2585"/>
      <c r="U234" s="605"/>
      <c r="W234" s="605"/>
    </row>
    <row r="235" spans="1:23" s="604" customFormat="1" ht="13.5" customHeight="1">
      <c r="A235" s="595"/>
      <c r="B235" s="596"/>
      <c r="C235" s="597"/>
      <c r="D235" s="599" t="s">
        <v>4469</v>
      </c>
      <c r="E235" s="599"/>
      <c r="F235" s="600">
        <f>(21.4*1.2*1.35)*0.3</f>
        <v>10.400399999999999</v>
      </c>
      <c r="G235" s="289"/>
      <c r="H235" s="2733"/>
      <c r="I235" s="602"/>
      <c r="J235" s="606"/>
      <c r="L235" s="2584"/>
      <c r="M235" s="2584"/>
      <c r="Q235" s="2585"/>
      <c r="R235" s="2585"/>
      <c r="U235" s="605"/>
      <c r="W235" s="605"/>
    </row>
    <row r="236" spans="1:23" s="604" customFormat="1" ht="13.5" customHeight="1">
      <c r="A236" s="595"/>
      <c r="B236" s="596"/>
      <c r="C236" s="597"/>
      <c r="D236" s="599" t="s">
        <v>4470</v>
      </c>
      <c r="E236" s="599"/>
      <c r="F236" s="600">
        <f>(3.6*1.2*1.15)*0.3</f>
        <v>1.4903999999999999</v>
      </c>
      <c r="G236" s="289"/>
      <c r="H236" s="2733"/>
      <c r="I236" s="602"/>
      <c r="J236" s="3082"/>
      <c r="L236" s="2584"/>
      <c r="M236" s="2584"/>
      <c r="Q236" s="2585"/>
      <c r="R236" s="2585"/>
      <c r="U236" s="605"/>
      <c r="W236" s="605"/>
    </row>
    <row r="237" spans="1:23" s="604" customFormat="1" ht="13.5" customHeight="1">
      <c r="A237" s="595"/>
      <c r="B237" s="596"/>
      <c r="C237" s="597"/>
      <c r="D237" s="719" t="s">
        <v>4471</v>
      </c>
      <c r="E237" s="599"/>
      <c r="F237" s="600"/>
      <c r="G237" s="289"/>
      <c r="H237" s="2733"/>
      <c r="I237" s="602"/>
      <c r="J237" s="606"/>
      <c r="L237" s="2584"/>
      <c r="M237" s="2584"/>
      <c r="Q237" s="2585"/>
      <c r="R237" s="2585"/>
      <c r="U237" s="605"/>
      <c r="W237" s="605"/>
    </row>
    <row r="238" spans="1:23" s="604" customFormat="1" ht="13.5" customHeight="1">
      <c r="A238" s="595"/>
      <c r="B238" s="596"/>
      <c r="C238" s="597"/>
      <c r="D238" s="599" t="s">
        <v>4472</v>
      </c>
      <c r="E238" s="599"/>
      <c r="F238" s="600">
        <f>(1.5*1.2*1.15)*0.3</f>
        <v>0.62099999999999989</v>
      </c>
      <c r="G238" s="289"/>
      <c r="H238" s="2733"/>
      <c r="I238" s="602"/>
      <c r="J238" s="606"/>
      <c r="L238" s="2584"/>
      <c r="M238" s="2584"/>
      <c r="Q238" s="2585"/>
      <c r="R238" s="2585"/>
      <c r="U238" s="605"/>
      <c r="W238" s="605"/>
    </row>
    <row r="239" spans="1:23" s="604" customFormat="1" ht="13.5" customHeight="1">
      <c r="A239" s="595"/>
      <c r="B239" s="596"/>
      <c r="C239" s="597"/>
      <c r="D239" s="599" t="s">
        <v>4473</v>
      </c>
      <c r="E239" s="599"/>
      <c r="F239" s="600">
        <f>(18.2*1.2*1.3)*0.3</f>
        <v>8.5175999999999998</v>
      </c>
      <c r="G239" s="289"/>
      <c r="H239" s="2733"/>
      <c r="I239" s="602"/>
      <c r="J239" s="606"/>
      <c r="L239" s="2584"/>
      <c r="M239" s="2584"/>
      <c r="Q239" s="2585"/>
      <c r="R239" s="2585"/>
      <c r="U239" s="605"/>
      <c r="W239" s="605"/>
    </row>
    <row r="240" spans="1:23" s="604" customFormat="1" ht="13.5" customHeight="1">
      <c r="A240" s="595"/>
      <c r="B240" s="596"/>
      <c r="C240" s="597"/>
      <c r="D240" s="599" t="s">
        <v>4474</v>
      </c>
      <c r="E240" s="599"/>
      <c r="F240" s="600">
        <f>(5.8*1.2*1.4)*0.3</f>
        <v>2.9232</v>
      </c>
      <c r="G240" s="289"/>
      <c r="H240" s="2733"/>
      <c r="I240" s="602"/>
      <c r="J240" s="606"/>
      <c r="L240" s="2584"/>
      <c r="M240" s="2584"/>
      <c r="Q240" s="2585"/>
      <c r="R240" s="2585"/>
      <c r="U240" s="605"/>
      <c r="W240" s="605"/>
    </row>
    <row r="241" spans="1:23" s="604" customFormat="1" ht="13.5" customHeight="1">
      <c r="A241" s="595"/>
      <c r="B241" s="596"/>
      <c r="C241" s="597"/>
      <c r="D241" s="599" t="s">
        <v>4475</v>
      </c>
      <c r="E241" s="599"/>
      <c r="F241" s="600">
        <f>(15.1*1.2*1.2)*0.3</f>
        <v>6.5231999999999983</v>
      </c>
      <c r="G241" s="289"/>
      <c r="H241" s="2733"/>
      <c r="I241" s="602"/>
      <c r="J241" s="606"/>
      <c r="L241" s="2584"/>
      <c r="M241" s="2584"/>
      <c r="Q241" s="2585"/>
      <c r="R241" s="2585"/>
      <c r="U241" s="605"/>
      <c r="W241" s="605"/>
    </row>
    <row r="242" spans="1:23" s="604" customFormat="1" ht="13.5" customHeight="1">
      <c r="A242" s="595"/>
      <c r="B242" s="596"/>
      <c r="C242" s="597"/>
      <c r="D242" s="599" t="s">
        <v>4476</v>
      </c>
      <c r="E242" s="599"/>
      <c r="F242" s="600">
        <f>(9.5*1.2*1.25)*0.3</f>
        <v>4.2749999999999995</v>
      </c>
      <c r="G242" s="289"/>
      <c r="H242" s="2733"/>
      <c r="I242" s="602"/>
      <c r="J242" s="606"/>
      <c r="L242" s="2584"/>
      <c r="M242" s="2584"/>
      <c r="Q242" s="2585"/>
      <c r="R242" s="2585"/>
      <c r="U242" s="605"/>
      <c r="W242" s="605"/>
    </row>
    <row r="243" spans="1:23" s="604" customFormat="1" ht="13.5" customHeight="1">
      <c r="A243" s="595"/>
      <c r="B243" s="596"/>
      <c r="C243" s="597"/>
      <c r="D243" s="599" t="s">
        <v>4477</v>
      </c>
      <c r="E243" s="599"/>
      <c r="F243" s="600">
        <f>(3.9*1.2*1.6)*0.3</f>
        <v>2.2464</v>
      </c>
      <c r="G243" s="289"/>
      <c r="H243" s="2733"/>
      <c r="I243" s="602"/>
      <c r="J243" s="606"/>
      <c r="L243" s="2584"/>
      <c r="M243" s="2584"/>
      <c r="Q243" s="2585"/>
      <c r="R243" s="2585"/>
      <c r="U243" s="605"/>
      <c r="W243" s="605"/>
    </row>
    <row r="244" spans="1:23" s="604" customFormat="1" ht="13.5" customHeight="1">
      <c r="A244" s="595"/>
      <c r="B244" s="596"/>
      <c r="C244" s="597"/>
      <c r="D244" s="599" t="s">
        <v>4478</v>
      </c>
      <c r="E244" s="599"/>
      <c r="F244" s="600">
        <f>(11.4*1.2*1.65)*0.3</f>
        <v>6.7715999999999994</v>
      </c>
      <c r="G244" s="289"/>
      <c r="H244" s="2733"/>
      <c r="I244" s="602"/>
      <c r="J244" s="606"/>
      <c r="L244" s="2584"/>
      <c r="M244" s="2584"/>
      <c r="Q244" s="2585"/>
      <c r="R244" s="2585"/>
      <c r="U244" s="605"/>
      <c r="W244" s="605"/>
    </row>
    <row r="245" spans="1:23" s="604" customFormat="1" ht="13.5" customHeight="1">
      <c r="A245" s="595"/>
      <c r="B245" s="596"/>
      <c r="C245" s="597"/>
      <c r="D245" s="599" t="s">
        <v>4479</v>
      </c>
      <c r="E245" s="599"/>
      <c r="F245" s="600">
        <f>(8.4*1.2*1.75)*0.3</f>
        <v>5.2919999999999998</v>
      </c>
      <c r="G245" s="289"/>
      <c r="H245" s="2733"/>
      <c r="I245" s="602"/>
      <c r="J245" s="606"/>
      <c r="L245" s="2584"/>
      <c r="M245" s="2584"/>
      <c r="Q245" s="2585"/>
      <c r="R245" s="2585"/>
      <c r="U245" s="605"/>
      <c r="W245" s="605"/>
    </row>
    <row r="246" spans="1:23" s="604" customFormat="1" ht="13.5" customHeight="1">
      <c r="A246" s="595"/>
      <c r="B246" s="596"/>
      <c r="C246" s="597"/>
      <c r="D246" s="599" t="s">
        <v>4480</v>
      </c>
      <c r="E246" s="599"/>
      <c r="F246" s="600">
        <f>(1*1.2*1.8)*0.3</f>
        <v>0.64800000000000002</v>
      </c>
      <c r="G246" s="289"/>
      <c r="H246" s="2733"/>
      <c r="I246" s="602"/>
      <c r="J246" s="606"/>
      <c r="L246" s="2584"/>
      <c r="M246" s="2584"/>
      <c r="Q246" s="2585"/>
      <c r="R246" s="2585"/>
      <c r="U246" s="605"/>
      <c r="W246" s="605"/>
    </row>
    <row r="247" spans="1:23" s="604" customFormat="1" ht="13.5" customHeight="1">
      <c r="A247" s="595"/>
      <c r="B247" s="596"/>
      <c r="C247" s="597"/>
      <c r="D247" s="599" t="s">
        <v>4481</v>
      </c>
      <c r="E247" s="599"/>
      <c r="F247" s="600">
        <f>(7.8*1.2*1.6)*0.3</f>
        <v>4.4927999999999999</v>
      </c>
      <c r="G247" s="289"/>
      <c r="H247" s="2733"/>
      <c r="I247" s="602"/>
      <c r="J247" s="606"/>
      <c r="L247" s="2584"/>
      <c r="M247" s="2584"/>
      <c r="Q247" s="2585"/>
      <c r="R247" s="2585"/>
      <c r="U247" s="605"/>
      <c r="W247" s="605"/>
    </row>
    <row r="248" spans="1:23" s="604" customFormat="1" ht="13.5" customHeight="1">
      <c r="A248" s="595"/>
      <c r="B248" s="596"/>
      <c r="C248" s="597"/>
      <c r="D248" s="599" t="s">
        <v>4482</v>
      </c>
      <c r="E248" s="599"/>
      <c r="F248" s="600">
        <f>(19.7*1.2*1.35)*0.3</f>
        <v>9.5741999999999994</v>
      </c>
      <c r="G248" s="289"/>
      <c r="H248" s="2733"/>
      <c r="I248" s="602"/>
      <c r="J248" s="606"/>
      <c r="L248" s="2584"/>
      <c r="M248" s="2584"/>
      <c r="Q248" s="2585"/>
      <c r="R248" s="2585"/>
      <c r="U248" s="605"/>
      <c r="W248" s="605"/>
    </row>
    <row r="249" spans="1:23" s="604" customFormat="1" ht="13.5" customHeight="1">
      <c r="A249" s="595"/>
      <c r="B249" s="596"/>
      <c r="C249" s="597"/>
      <c r="D249" s="599" t="s">
        <v>4483</v>
      </c>
      <c r="E249" s="599"/>
      <c r="F249" s="600">
        <f>(25*1.2*1.35)*0.3</f>
        <v>12.15</v>
      </c>
      <c r="G249" s="289"/>
      <c r="H249" s="2733"/>
      <c r="I249" s="602"/>
      <c r="J249" s="606"/>
      <c r="L249" s="2584"/>
      <c r="M249" s="2584"/>
      <c r="Q249" s="2585"/>
      <c r="R249" s="2585"/>
      <c r="U249" s="605"/>
      <c r="W249" s="605"/>
    </row>
    <row r="250" spans="1:23" s="604" customFormat="1" ht="13.5" customHeight="1">
      <c r="A250" s="595"/>
      <c r="B250" s="596"/>
      <c r="C250" s="597"/>
      <c r="D250" s="599" t="s">
        <v>4484</v>
      </c>
      <c r="E250" s="599"/>
      <c r="F250" s="600">
        <f>(2.1*1.2*1.35)*0.3</f>
        <v>1.0206</v>
      </c>
      <c r="G250" s="289"/>
      <c r="H250" s="2733"/>
      <c r="I250" s="602"/>
      <c r="J250" s="606"/>
      <c r="L250" s="2584"/>
      <c r="M250" s="2584"/>
      <c r="Q250" s="2585"/>
      <c r="R250" s="2585"/>
      <c r="U250" s="605"/>
      <c r="W250" s="605"/>
    </row>
    <row r="251" spans="1:23" s="604" customFormat="1" ht="27" customHeight="1">
      <c r="A251" s="595"/>
      <c r="B251" s="596"/>
      <c r="C251" s="597"/>
      <c r="D251" s="599" t="s">
        <v>4485</v>
      </c>
      <c r="E251" s="599"/>
      <c r="F251" s="600">
        <f>(2.5*1.2*1.35)*0.3</f>
        <v>1.2150000000000001</v>
      </c>
      <c r="G251" s="289"/>
      <c r="H251" s="2733"/>
      <c r="I251" s="602"/>
      <c r="J251" s="606"/>
      <c r="L251" s="2584"/>
      <c r="M251" s="2584"/>
      <c r="Q251" s="2585"/>
      <c r="R251" s="2585"/>
      <c r="U251" s="605"/>
      <c r="W251" s="605"/>
    </row>
    <row r="252" spans="1:23" s="604" customFormat="1" ht="13.5" customHeight="1">
      <c r="A252" s="595"/>
      <c r="B252" s="596"/>
      <c r="C252" s="597"/>
      <c r="D252" s="599" t="s">
        <v>4486</v>
      </c>
      <c r="E252" s="599"/>
      <c r="F252" s="600">
        <f>(4.6*1.2*1.65)*0.3</f>
        <v>2.7323999999999997</v>
      </c>
      <c r="G252" s="289"/>
      <c r="H252" s="2733"/>
      <c r="I252" s="602"/>
      <c r="J252" s="606"/>
      <c r="L252" s="2584"/>
      <c r="M252" s="2584"/>
      <c r="Q252" s="2585"/>
      <c r="R252" s="2585"/>
      <c r="U252" s="605"/>
      <c r="W252" s="605"/>
    </row>
    <row r="253" spans="1:23" s="604" customFormat="1" ht="27" customHeight="1">
      <c r="A253" s="595"/>
      <c r="B253" s="596"/>
      <c r="C253" s="597"/>
      <c r="D253" s="599" t="s">
        <v>4487</v>
      </c>
      <c r="E253" s="599"/>
      <c r="F253" s="600">
        <f>(6.2*1.2*1)*0.3</f>
        <v>2.2319999999999998</v>
      </c>
      <c r="G253" s="289"/>
      <c r="H253" s="2733"/>
      <c r="I253" s="602"/>
      <c r="J253" s="606"/>
      <c r="L253" s="2584"/>
      <c r="M253" s="2584"/>
      <c r="Q253" s="2585"/>
      <c r="R253" s="2585"/>
      <c r="U253" s="605"/>
      <c r="W253" s="605"/>
    </row>
    <row r="254" spans="1:23" s="604" customFormat="1" ht="13.5" customHeight="1">
      <c r="A254" s="595"/>
      <c r="B254" s="596"/>
      <c r="C254" s="597"/>
      <c r="D254" s="599" t="s">
        <v>4488</v>
      </c>
      <c r="E254" s="599"/>
      <c r="F254" s="600">
        <f>(3.2*1.2*1.35)*0.3</f>
        <v>1.5551999999999999</v>
      </c>
      <c r="G254" s="289"/>
      <c r="H254" s="2733"/>
      <c r="I254" s="602"/>
      <c r="J254" s="3082"/>
      <c r="L254" s="2584"/>
      <c r="M254" s="2584"/>
      <c r="Q254" s="2585"/>
      <c r="R254" s="2585"/>
      <c r="U254" s="605"/>
      <c r="W254" s="605"/>
    </row>
    <row r="255" spans="1:23" s="604" customFormat="1" ht="13.5" customHeight="1">
      <c r="A255" s="595"/>
      <c r="B255" s="596"/>
      <c r="C255" s="597"/>
      <c r="D255" s="719" t="s">
        <v>4489</v>
      </c>
      <c r="E255" s="599"/>
      <c r="F255" s="600"/>
      <c r="G255" s="289"/>
      <c r="H255" s="601"/>
      <c r="I255" s="602"/>
      <c r="U255" s="605"/>
      <c r="W255" s="605"/>
    </row>
    <row r="256" spans="1:23" s="604" customFormat="1" ht="13.5" customHeight="1">
      <c r="A256" s="595"/>
      <c r="B256" s="596"/>
      <c r="C256" s="597"/>
      <c r="D256" s="599" t="s">
        <v>4490</v>
      </c>
      <c r="E256" s="599"/>
      <c r="F256" s="600">
        <f>(1.6*1.6*1.35)*0.3</f>
        <v>1.0368000000000002</v>
      </c>
      <c r="G256" s="289"/>
      <c r="H256" s="601"/>
      <c r="I256" s="602"/>
      <c r="J256" s="606"/>
      <c r="U256" s="605"/>
      <c r="W256" s="605"/>
    </row>
    <row r="257" spans="1:23" s="604" customFormat="1" ht="13.5" customHeight="1">
      <c r="A257" s="595"/>
      <c r="B257" s="596"/>
      <c r="C257" s="597"/>
      <c r="D257" s="599" t="s">
        <v>4491</v>
      </c>
      <c r="E257" s="599"/>
      <c r="F257" s="600">
        <f>(1.6*1.6*1.6)*0.3</f>
        <v>1.2288000000000003</v>
      </c>
      <c r="G257" s="289"/>
      <c r="H257" s="601"/>
      <c r="I257" s="602"/>
      <c r="J257" s="606"/>
      <c r="U257" s="605"/>
      <c r="W257" s="605"/>
    </row>
    <row r="258" spans="1:23" s="604" customFormat="1" ht="13.5" customHeight="1">
      <c r="A258" s="595"/>
      <c r="B258" s="596"/>
      <c r="C258" s="597"/>
      <c r="D258" s="599" t="s">
        <v>4492</v>
      </c>
      <c r="E258" s="599"/>
      <c r="F258" s="600">
        <f>(1.6*1.6*1.9)*0.3</f>
        <v>1.4592000000000003</v>
      </c>
      <c r="G258" s="289"/>
      <c r="H258" s="601"/>
      <c r="I258" s="602"/>
      <c r="J258" s="606"/>
      <c r="U258" s="605"/>
      <c r="W258" s="605"/>
    </row>
    <row r="259" spans="1:23" s="604" customFormat="1" ht="13.5" customHeight="1">
      <c r="A259" s="595"/>
      <c r="B259" s="596"/>
      <c r="C259" s="597"/>
      <c r="D259" s="599" t="s">
        <v>4493</v>
      </c>
      <c r="E259" s="599"/>
      <c r="F259" s="600">
        <f>(1.6*1.6*1.65)*0.3</f>
        <v>1.2672000000000001</v>
      </c>
      <c r="G259" s="289"/>
      <c r="H259" s="601"/>
      <c r="I259" s="602"/>
      <c r="J259" s="606"/>
      <c r="U259" s="605"/>
      <c r="W259" s="605"/>
    </row>
    <row r="260" spans="1:23" s="604" customFormat="1" ht="13.5" customHeight="1">
      <c r="A260" s="595"/>
      <c r="B260" s="596"/>
      <c r="C260" s="597"/>
      <c r="D260" s="599" t="s">
        <v>4494</v>
      </c>
      <c r="E260" s="599"/>
      <c r="F260" s="600">
        <f>(1.6*1.6*1.15)*0.3</f>
        <v>0.8832000000000001</v>
      </c>
      <c r="G260" s="289"/>
      <c r="H260" s="601"/>
      <c r="I260" s="602"/>
      <c r="J260" s="606"/>
      <c r="U260" s="605"/>
      <c r="W260" s="605"/>
    </row>
    <row r="261" spans="1:23" s="604" customFormat="1" ht="13.5" customHeight="1">
      <c r="A261" s="595"/>
      <c r="B261" s="596"/>
      <c r="C261" s="597"/>
      <c r="D261" s="599" t="s">
        <v>4495</v>
      </c>
      <c r="E261" s="599"/>
      <c r="F261" s="600">
        <f>(1.6*1.6*1.15)*0.3</f>
        <v>0.8832000000000001</v>
      </c>
      <c r="G261" s="289"/>
      <c r="H261" s="601"/>
      <c r="I261" s="602"/>
      <c r="J261" s="606"/>
      <c r="U261" s="605"/>
      <c r="W261" s="605"/>
    </row>
    <row r="262" spans="1:23" s="604" customFormat="1" ht="13.5" customHeight="1">
      <c r="A262" s="595"/>
      <c r="B262" s="596"/>
      <c r="C262" s="597"/>
      <c r="D262" s="599" t="s">
        <v>4496</v>
      </c>
      <c r="E262" s="599"/>
      <c r="F262" s="600">
        <f>(1.6*1.6*1.1)*0.3</f>
        <v>0.84480000000000022</v>
      </c>
      <c r="G262" s="289"/>
      <c r="H262" s="601"/>
      <c r="I262" s="602"/>
      <c r="J262" s="606"/>
      <c r="U262" s="605"/>
      <c r="W262" s="605"/>
    </row>
    <row r="263" spans="1:23" s="604" customFormat="1" ht="13.5" customHeight="1">
      <c r="A263" s="595"/>
      <c r="B263" s="596"/>
      <c r="C263" s="597"/>
      <c r="D263" s="599" t="s">
        <v>4497</v>
      </c>
      <c r="E263" s="599"/>
      <c r="F263" s="600">
        <f>(1.6*1.6*1.35)*0.3</f>
        <v>1.0368000000000002</v>
      </c>
      <c r="G263" s="289"/>
      <c r="H263" s="601"/>
      <c r="I263" s="602"/>
      <c r="J263" s="606"/>
      <c r="U263" s="605"/>
      <c r="W263" s="605"/>
    </row>
    <row r="264" spans="1:23" s="604" customFormat="1" ht="13.5" customHeight="1">
      <c r="A264" s="595"/>
      <c r="B264" s="596"/>
      <c r="C264" s="597"/>
      <c r="D264" s="599" t="s">
        <v>4498</v>
      </c>
      <c r="E264" s="599"/>
      <c r="F264" s="600">
        <f>(1.6*1.6*1.35)*0.3</f>
        <v>1.0368000000000002</v>
      </c>
      <c r="G264" s="289"/>
      <c r="H264" s="601"/>
      <c r="I264" s="602"/>
      <c r="J264" s="606"/>
      <c r="U264" s="605"/>
      <c r="W264" s="605"/>
    </row>
    <row r="265" spans="1:23" s="604" customFormat="1" ht="13.5" customHeight="1">
      <c r="A265" s="595"/>
      <c r="B265" s="596"/>
      <c r="C265" s="597"/>
      <c r="D265" s="599" t="s">
        <v>4499</v>
      </c>
      <c r="E265" s="599"/>
      <c r="F265" s="600">
        <f>(1.6*1.6*1.15)*0.3</f>
        <v>0.8832000000000001</v>
      </c>
      <c r="G265" s="289"/>
      <c r="H265" s="601"/>
      <c r="I265" s="602"/>
      <c r="J265" s="606"/>
      <c r="U265" s="605"/>
      <c r="W265" s="605"/>
    </row>
    <row r="266" spans="1:23" s="604" customFormat="1" ht="13.5" customHeight="1">
      <c r="A266" s="595"/>
      <c r="B266" s="596"/>
      <c r="C266" s="597"/>
      <c r="D266" s="599" t="s">
        <v>4500</v>
      </c>
      <c r="E266" s="599"/>
      <c r="F266" s="600">
        <f>(1.6*1.6*1.8)*0.3</f>
        <v>1.3824000000000003</v>
      </c>
      <c r="G266" s="289"/>
      <c r="H266" s="601"/>
      <c r="I266" s="602"/>
      <c r="J266" s="606"/>
      <c r="U266" s="605"/>
      <c r="W266" s="605"/>
    </row>
    <row r="267" spans="1:23" s="604" customFormat="1" ht="13.5" customHeight="1">
      <c r="A267" s="595"/>
      <c r="B267" s="596"/>
      <c r="C267" s="597"/>
      <c r="D267" s="599" t="s">
        <v>4501</v>
      </c>
      <c r="E267" s="599"/>
      <c r="F267" s="600">
        <f>(1.6*1.6*1.65)*0.3</f>
        <v>1.2672000000000001</v>
      </c>
      <c r="G267" s="289"/>
      <c r="H267" s="601"/>
      <c r="I267" s="602"/>
      <c r="J267" s="606"/>
      <c r="U267" s="605"/>
      <c r="W267" s="605"/>
    </row>
    <row r="268" spans="1:23" s="604" customFormat="1" ht="13.5" customHeight="1">
      <c r="A268" s="595"/>
      <c r="B268" s="596"/>
      <c r="C268" s="597"/>
      <c r="D268" s="599" t="s">
        <v>4502</v>
      </c>
      <c r="E268" s="599"/>
      <c r="F268" s="600">
        <f>(1.6*1.6*1.65)*0.3</f>
        <v>1.2672000000000001</v>
      </c>
      <c r="G268" s="289"/>
      <c r="H268" s="601"/>
      <c r="I268" s="602"/>
      <c r="J268" s="606"/>
      <c r="U268" s="605"/>
      <c r="W268" s="605"/>
    </row>
    <row r="269" spans="1:23" s="604" customFormat="1" ht="13.5" customHeight="1">
      <c r="A269" s="595"/>
      <c r="B269" s="596"/>
      <c r="C269" s="597"/>
      <c r="D269" s="599" t="s">
        <v>4503</v>
      </c>
      <c r="E269" s="599"/>
      <c r="F269" s="600">
        <f>(1.6*1.6*1.5)*0.3</f>
        <v>1.1520000000000001</v>
      </c>
      <c r="G269" s="289"/>
      <c r="H269" s="601"/>
      <c r="I269" s="602"/>
      <c r="J269" s="606"/>
      <c r="U269" s="605"/>
      <c r="W269" s="605"/>
    </row>
    <row r="270" spans="1:23" s="604" customFormat="1" ht="13.5" customHeight="1">
      <c r="A270" s="595"/>
      <c r="B270" s="596"/>
      <c r="C270" s="597"/>
      <c r="D270" s="599" t="s">
        <v>4504</v>
      </c>
      <c r="E270" s="599"/>
      <c r="F270" s="600">
        <f>(1.6*1.6*1)*0.3</f>
        <v>0.76800000000000013</v>
      </c>
      <c r="G270" s="289"/>
      <c r="H270" s="601"/>
      <c r="I270" s="602"/>
      <c r="J270" s="606"/>
      <c r="U270" s="605"/>
      <c r="W270" s="605"/>
    </row>
    <row r="271" spans="1:23" s="604" customFormat="1" ht="13.5" customHeight="1">
      <c r="A271" s="595"/>
      <c r="B271" s="596"/>
      <c r="C271" s="597"/>
      <c r="D271" s="599" t="s">
        <v>4505</v>
      </c>
      <c r="E271" s="599"/>
      <c r="F271" s="600">
        <f>(1.6*1.6*1.35)*0.3</f>
        <v>1.0368000000000002</v>
      </c>
      <c r="G271" s="289"/>
      <c r="H271" s="601"/>
      <c r="I271" s="602"/>
      <c r="J271" s="606"/>
      <c r="U271" s="605"/>
      <c r="W271" s="605"/>
    </row>
    <row r="272" spans="1:23" s="604" customFormat="1" ht="13.5" customHeight="1">
      <c r="A272" s="595"/>
      <c r="B272" s="596"/>
      <c r="C272" s="597"/>
      <c r="D272" s="599" t="s">
        <v>4506</v>
      </c>
      <c r="E272" s="599"/>
      <c r="F272" s="600">
        <f>(1.6*1.6*1.4)*0.3</f>
        <v>1.0752000000000002</v>
      </c>
      <c r="G272" s="289"/>
      <c r="H272" s="601"/>
      <c r="I272" s="602"/>
      <c r="J272" s="606"/>
      <c r="U272" s="605"/>
      <c r="W272" s="605"/>
    </row>
    <row r="273" spans="1:23" s="604" customFormat="1" ht="13.5" customHeight="1">
      <c r="A273" s="595"/>
      <c r="B273" s="596"/>
      <c r="C273" s="597"/>
      <c r="D273" s="599" t="s">
        <v>4507</v>
      </c>
      <c r="E273" s="599"/>
      <c r="F273" s="600">
        <f>(1.6*1.6*1.15)*0.3</f>
        <v>0.8832000000000001</v>
      </c>
      <c r="G273" s="289"/>
      <c r="H273" s="601"/>
      <c r="I273" s="602"/>
      <c r="J273" s="606"/>
      <c r="U273" s="605"/>
      <c r="W273" s="605"/>
    </row>
    <row r="274" spans="1:23" s="604" customFormat="1" ht="13.5" customHeight="1">
      <c r="A274" s="595"/>
      <c r="B274" s="596"/>
      <c r="C274" s="597"/>
      <c r="D274" s="599" t="s">
        <v>4508</v>
      </c>
      <c r="E274" s="599"/>
      <c r="F274" s="600">
        <f>(1.6*1.6*1.35)*0.3</f>
        <v>1.0368000000000002</v>
      </c>
      <c r="G274" s="289"/>
      <c r="H274" s="601"/>
      <c r="I274" s="602"/>
      <c r="J274" s="606"/>
      <c r="U274" s="605"/>
      <c r="W274" s="605"/>
    </row>
    <row r="275" spans="1:23" s="604" customFormat="1" ht="13.5" customHeight="1">
      <c r="A275" s="595"/>
      <c r="B275" s="596"/>
      <c r="C275" s="597"/>
      <c r="D275" s="599" t="s">
        <v>4509</v>
      </c>
      <c r="E275" s="599"/>
      <c r="F275" s="600">
        <f>(1.6*1.6*1.35)*0.3</f>
        <v>1.0368000000000002</v>
      </c>
      <c r="G275" s="289"/>
      <c r="H275" s="601"/>
      <c r="I275" s="602"/>
      <c r="J275" s="606"/>
      <c r="U275" s="605"/>
      <c r="W275" s="605"/>
    </row>
    <row r="276" spans="1:23" s="604" customFormat="1" ht="13.5" customHeight="1">
      <c r="A276" s="595"/>
      <c r="B276" s="596"/>
      <c r="C276" s="597"/>
      <c r="D276" s="599" t="s">
        <v>4510</v>
      </c>
      <c r="E276" s="599"/>
      <c r="F276" s="600">
        <f>(1.6*1.6*1.35)*0.3</f>
        <v>1.0368000000000002</v>
      </c>
      <c r="G276" s="289"/>
      <c r="H276" s="601"/>
      <c r="I276" s="602"/>
      <c r="J276" s="606"/>
      <c r="U276" s="605"/>
      <c r="W276" s="605"/>
    </row>
    <row r="277" spans="1:23" s="604" customFormat="1" ht="13.5" customHeight="1">
      <c r="A277" s="1586"/>
      <c r="B277" s="596"/>
      <c r="C277" s="597"/>
      <c r="D277" s="719" t="s">
        <v>4511</v>
      </c>
      <c r="E277" s="599"/>
      <c r="F277" s="600"/>
      <c r="G277" s="289"/>
      <c r="H277" s="601"/>
      <c r="I277" s="602"/>
      <c r="J277" s="3087"/>
      <c r="K277" s="3088"/>
      <c r="L277" s="3088"/>
      <c r="M277" s="3087"/>
      <c r="N277" s="1644"/>
      <c r="U277" s="605"/>
      <c r="W277" s="605"/>
    </row>
    <row r="278" spans="1:23" s="604" customFormat="1" ht="13.5" customHeight="1">
      <c r="A278" s="1586"/>
      <c r="B278" s="596"/>
      <c r="C278" s="597"/>
      <c r="D278" s="599" t="s">
        <v>4512</v>
      </c>
      <c r="E278" s="599"/>
      <c r="F278" s="600">
        <f>(2*2*1.65)*0.3</f>
        <v>1.9799999999999998</v>
      </c>
      <c r="G278" s="289"/>
      <c r="H278" s="601"/>
      <c r="I278" s="602"/>
      <c r="J278" s="3087"/>
      <c r="K278" s="3088"/>
      <c r="L278" s="3088"/>
      <c r="M278" s="3087"/>
      <c r="N278" s="1644"/>
      <c r="U278" s="605"/>
      <c r="W278" s="605"/>
    </row>
    <row r="279" spans="1:23" s="604" customFormat="1" ht="27" customHeight="1">
      <c r="A279" s="595"/>
      <c r="B279" s="596"/>
      <c r="C279" s="597"/>
      <c r="D279" s="597" t="s">
        <v>4323</v>
      </c>
      <c r="E279" s="597"/>
      <c r="F279" s="607"/>
      <c r="G279" s="289"/>
      <c r="H279" s="601"/>
      <c r="I279" s="602"/>
      <c r="J279" s="606"/>
      <c r="U279" s="605"/>
      <c r="W279" s="605"/>
    </row>
    <row r="280" spans="1:23" s="604" customFormat="1" ht="27" customHeight="1">
      <c r="A280" s="608">
        <v>13</v>
      </c>
      <c r="B280" s="557" t="s">
        <v>135</v>
      </c>
      <c r="C280" s="557">
        <v>132454202</v>
      </c>
      <c r="D280" s="557" t="s">
        <v>4513</v>
      </c>
      <c r="E280" s="557" t="s">
        <v>146</v>
      </c>
      <c r="F280" s="3073">
        <f>ROUND(SUM(F282:F342),3)</f>
        <v>27.442</v>
      </c>
      <c r="G280" s="288"/>
      <c r="H280" s="568">
        <f t="shared" ref="H280" si="6">ROUND(F280*G280,2)</f>
        <v>0</v>
      </c>
      <c r="I280" s="613" t="s">
        <v>137</v>
      </c>
      <c r="J280" s="715"/>
      <c r="U280" s="605"/>
      <c r="W280" s="605"/>
    </row>
    <row r="281" spans="1:23" s="604" customFormat="1" ht="13.5" customHeight="1">
      <c r="A281" s="595"/>
      <c r="B281" s="596"/>
      <c r="C281" s="597"/>
      <c r="D281" s="719" t="s">
        <v>4388</v>
      </c>
      <c r="E281" s="599"/>
      <c r="F281" s="600"/>
      <c r="G281" s="289"/>
      <c r="H281" s="601"/>
      <c r="I281" s="602"/>
      <c r="J281" s="606"/>
      <c r="Q281" s="3080"/>
      <c r="R281" s="3080"/>
      <c r="U281" s="605"/>
      <c r="W281" s="605"/>
    </row>
    <row r="282" spans="1:23" s="604" customFormat="1" ht="13.5" customHeight="1">
      <c r="A282" s="595"/>
      <c r="B282" s="596"/>
      <c r="C282" s="597"/>
      <c r="D282" s="599" t="s">
        <v>4389</v>
      </c>
      <c r="E282" s="599"/>
      <c r="F282" s="600">
        <f>(5.2*1.2*1.65)*0.05</f>
        <v>0.51480000000000004</v>
      </c>
      <c r="G282" s="289"/>
      <c r="H282" s="2733"/>
      <c r="I282" s="602"/>
      <c r="J282" s="606"/>
      <c r="L282" s="2584"/>
      <c r="M282" s="2584"/>
      <c r="Q282" s="2585"/>
      <c r="R282" s="2585"/>
      <c r="U282" s="605"/>
      <c r="W282" s="605"/>
    </row>
    <row r="283" spans="1:23" s="604" customFormat="1" ht="13.5" customHeight="1">
      <c r="A283" s="595"/>
      <c r="B283" s="596"/>
      <c r="C283" s="597"/>
      <c r="D283" s="599" t="s">
        <v>4390</v>
      </c>
      <c r="E283" s="599"/>
      <c r="F283" s="600">
        <f>(1*1.2*1.15)*0.05</f>
        <v>6.8999999999999992E-2</v>
      </c>
      <c r="G283" s="289"/>
      <c r="H283" s="2733"/>
      <c r="I283" s="602"/>
      <c r="J283" s="606"/>
      <c r="L283" s="2584"/>
      <c r="M283" s="2584"/>
      <c r="Q283" s="2585"/>
      <c r="R283" s="2585"/>
      <c r="U283" s="605"/>
      <c r="W283" s="605"/>
    </row>
    <row r="284" spans="1:23" s="604" customFormat="1" ht="13.5" customHeight="1">
      <c r="A284" s="595"/>
      <c r="B284" s="596"/>
      <c r="C284" s="597"/>
      <c r="D284" s="599" t="s">
        <v>4391</v>
      </c>
      <c r="E284" s="599"/>
      <c r="F284" s="600">
        <f>(4.2*1.2*1.15)*0.05</f>
        <v>0.2898</v>
      </c>
      <c r="G284" s="289"/>
      <c r="H284" s="2733"/>
      <c r="I284" s="602"/>
      <c r="J284" s="606"/>
      <c r="L284" s="2584"/>
      <c r="M284" s="2584"/>
      <c r="Q284" s="2585"/>
      <c r="R284" s="2585"/>
      <c r="U284" s="605"/>
      <c r="W284" s="605"/>
    </row>
    <row r="285" spans="1:23" s="604" customFormat="1" ht="13.5" customHeight="1">
      <c r="A285" s="595"/>
      <c r="B285" s="596"/>
      <c r="C285" s="597"/>
      <c r="D285" s="719" t="s">
        <v>4392</v>
      </c>
      <c r="E285" s="599"/>
      <c r="F285" s="600"/>
      <c r="G285" s="289"/>
      <c r="H285" s="2733"/>
      <c r="I285" s="602"/>
      <c r="J285" s="3082"/>
      <c r="L285" s="2584"/>
      <c r="M285" s="2584"/>
      <c r="Q285" s="2585"/>
      <c r="R285" s="2585"/>
      <c r="U285" s="605"/>
      <c r="W285" s="605"/>
    </row>
    <row r="286" spans="1:23" s="604" customFormat="1" ht="13.5" customHeight="1">
      <c r="A286" s="595"/>
      <c r="B286" s="596"/>
      <c r="C286" s="597"/>
      <c r="D286" s="599" t="s">
        <v>4393</v>
      </c>
      <c r="E286" s="599"/>
      <c r="F286" s="600">
        <f>(2.9*1.2*1.35)*0.05</f>
        <v>0.23490000000000003</v>
      </c>
      <c r="G286" s="289"/>
      <c r="H286" s="2733"/>
      <c r="I286" s="602"/>
      <c r="J286" s="2660"/>
      <c r="K286" s="2661"/>
      <c r="L286" s="3083"/>
      <c r="M286" s="3083"/>
      <c r="Q286" s="2585"/>
      <c r="R286" s="2585"/>
      <c r="U286" s="605"/>
      <c r="W286" s="605"/>
    </row>
    <row r="287" spans="1:23" s="604" customFormat="1" ht="13.5" customHeight="1">
      <c r="A287" s="595"/>
      <c r="B287" s="596"/>
      <c r="C287" s="597"/>
      <c r="D287" s="599" t="s">
        <v>4394</v>
      </c>
      <c r="E287" s="599"/>
      <c r="F287" s="600">
        <f>(19.3*1.2*1.25)*0.05</f>
        <v>1.4475</v>
      </c>
      <c r="G287" s="289"/>
      <c r="H287" s="2733"/>
      <c r="I287" s="602"/>
      <c r="J287" s="2660"/>
      <c r="K287" s="2661"/>
      <c r="L287" s="3083"/>
      <c r="M287" s="3083"/>
      <c r="Q287" s="2585"/>
      <c r="R287" s="2585"/>
      <c r="U287" s="605"/>
      <c r="W287" s="605"/>
    </row>
    <row r="288" spans="1:23" s="604" customFormat="1" ht="13.5" customHeight="1">
      <c r="A288" s="595"/>
      <c r="B288" s="596"/>
      <c r="C288" s="597"/>
      <c r="D288" s="599" t="s">
        <v>4395</v>
      </c>
      <c r="E288" s="599"/>
      <c r="F288" s="600">
        <f>(4.9*1.2*1.1)*0.05</f>
        <v>0.32340000000000002</v>
      </c>
      <c r="G288" s="289"/>
      <c r="H288" s="2733"/>
      <c r="I288" s="602"/>
      <c r="J288" s="2660"/>
      <c r="K288" s="2661"/>
      <c r="L288" s="3084"/>
      <c r="M288" s="3083"/>
      <c r="Q288" s="2585"/>
      <c r="R288" s="2585"/>
      <c r="U288" s="605"/>
      <c r="W288" s="605"/>
    </row>
    <row r="289" spans="1:23" s="604" customFormat="1" ht="13.5" customHeight="1">
      <c r="A289" s="595"/>
      <c r="B289" s="596"/>
      <c r="C289" s="597"/>
      <c r="D289" s="599" t="s">
        <v>4396</v>
      </c>
      <c r="E289" s="599"/>
      <c r="F289" s="600">
        <f>(10.4*1.2*1.15)*0.05</f>
        <v>0.71760000000000002</v>
      </c>
      <c r="G289" s="289"/>
      <c r="H289" s="2733"/>
      <c r="I289" s="602"/>
      <c r="J289" s="2660"/>
      <c r="K289" s="2661"/>
      <c r="L289" s="3083"/>
      <c r="M289" s="3083"/>
      <c r="Q289" s="2585"/>
      <c r="R289" s="2585"/>
      <c r="U289" s="605"/>
      <c r="W289" s="605"/>
    </row>
    <row r="290" spans="1:23" s="604" customFormat="1" ht="13.5" customHeight="1">
      <c r="A290" s="595"/>
      <c r="B290" s="596"/>
      <c r="C290" s="597"/>
      <c r="D290" s="599" t="s">
        <v>4397</v>
      </c>
      <c r="E290" s="599"/>
      <c r="F290" s="600">
        <f>(8.7*1.2*1.15)*0.05</f>
        <v>0.60029999999999994</v>
      </c>
      <c r="G290" s="289"/>
      <c r="H290" s="2733"/>
      <c r="I290" s="602"/>
      <c r="J290" s="606"/>
      <c r="L290" s="2584"/>
      <c r="M290" s="2584"/>
      <c r="Q290" s="2585"/>
      <c r="R290" s="2585"/>
      <c r="U290" s="605"/>
      <c r="W290" s="605"/>
    </row>
    <row r="291" spans="1:23" s="604" customFormat="1" ht="13.5" customHeight="1">
      <c r="A291" s="595"/>
      <c r="B291" s="596"/>
      <c r="C291" s="597"/>
      <c r="D291" s="599" t="s">
        <v>4398</v>
      </c>
      <c r="E291" s="599"/>
      <c r="F291" s="600">
        <f>(8.8*1.2*1.4)*0.05</f>
        <v>0.73919999999999997</v>
      </c>
      <c r="G291" s="289"/>
      <c r="H291" s="2733"/>
      <c r="I291" s="602"/>
      <c r="J291" s="2660"/>
      <c r="K291" s="2681"/>
      <c r="L291" s="2584"/>
      <c r="M291" s="2584"/>
      <c r="Q291" s="2585"/>
      <c r="R291" s="2585"/>
      <c r="U291" s="605"/>
      <c r="W291" s="605"/>
    </row>
    <row r="292" spans="1:23" s="604" customFormat="1" ht="13.5" customHeight="1">
      <c r="A292" s="595"/>
      <c r="B292" s="596"/>
      <c r="C292" s="597"/>
      <c r="D292" s="599" t="s">
        <v>4399</v>
      </c>
      <c r="E292" s="599"/>
      <c r="F292" s="600">
        <f>(5*1.2*1.8)*0.05</f>
        <v>0.54</v>
      </c>
      <c r="G292" s="289"/>
      <c r="H292" s="2733"/>
      <c r="I292" s="602"/>
      <c r="J292" s="3085"/>
      <c r="K292" s="3086"/>
      <c r="L292" s="2584"/>
      <c r="M292" s="2584"/>
      <c r="Q292" s="2585"/>
      <c r="R292" s="2585"/>
      <c r="U292" s="605"/>
      <c r="W292" s="605"/>
    </row>
    <row r="293" spans="1:23" s="604" customFormat="1" ht="13.5" customHeight="1">
      <c r="A293" s="595"/>
      <c r="B293" s="596"/>
      <c r="C293" s="597"/>
      <c r="D293" s="599" t="s">
        <v>4400</v>
      </c>
      <c r="E293" s="599"/>
      <c r="F293" s="600">
        <f>(18.4*1.2*1.75)*0.05</f>
        <v>1.9320000000000002</v>
      </c>
      <c r="G293" s="289"/>
      <c r="H293" s="2733"/>
      <c r="I293" s="602"/>
      <c r="J293" s="3085"/>
      <c r="K293" s="3086"/>
      <c r="L293" s="2584"/>
      <c r="M293" s="2584"/>
      <c r="Q293" s="2585"/>
      <c r="R293" s="2585"/>
      <c r="U293" s="605"/>
      <c r="W293" s="605"/>
    </row>
    <row r="294" spans="1:23" s="604" customFormat="1" ht="13.5" customHeight="1">
      <c r="A294" s="595"/>
      <c r="B294" s="596"/>
      <c r="C294" s="597"/>
      <c r="D294" s="599" t="s">
        <v>4401</v>
      </c>
      <c r="E294" s="599"/>
      <c r="F294" s="600">
        <f>(7.6*1.2*1.5)*0.05</f>
        <v>0.68400000000000005</v>
      </c>
      <c r="G294" s="289"/>
      <c r="H294" s="2733"/>
      <c r="I294" s="602"/>
      <c r="J294" s="3085"/>
      <c r="K294" s="3086"/>
      <c r="L294" s="2584"/>
      <c r="M294" s="2584"/>
      <c r="Q294" s="2585"/>
      <c r="R294" s="2585"/>
      <c r="U294" s="605"/>
      <c r="W294" s="605"/>
    </row>
    <row r="295" spans="1:23" s="604" customFormat="1" ht="13.5" customHeight="1">
      <c r="A295" s="595"/>
      <c r="B295" s="596"/>
      <c r="C295" s="597"/>
      <c r="D295" s="599" t="s">
        <v>4402</v>
      </c>
      <c r="E295" s="599"/>
      <c r="F295" s="600">
        <f>(1.9*1.2*1.4)*0.05</f>
        <v>0.15959999999999999</v>
      </c>
      <c r="G295" s="289"/>
      <c r="H295" s="2733"/>
      <c r="I295" s="602"/>
      <c r="J295" s="3085"/>
      <c r="K295" s="3086"/>
      <c r="L295" s="2584"/>
      <c r="M295" s="2584"/>
      <c r="Q295" s="2585"/>
      <c r="R295" s="2585"/>
      <c r="U295" s="605"/>
      <c r="W295" s="605"/>
    </row>
    <row r="296" spans="1:23" s="604" customFormat="1" ht="13.5" customHeight="1">
      <c r="A296" s="595"/>
      <c r="B296" s="596"/>
      <c r="C296" s="597"/>
      <c r="D296" s="599" t="s">
        <v>4403</v>
      </c>
      <c r="E296" s="599"/>
      <c r="F296" s="600">
        <f>(4.8*1.2*1.4)*0.05</f>
        <v>0.4032</v>
      </c>
      <c r="G296" s="289"/>
      <c r="H296" s="2733"/>
      <c r="I296" s="602"/>
      <c r="J296" s="3085"/>
      <c r="K296" s="3086"/>
      <c r="L296" s="2584"/>
      <c r="M296" s="2584"/>
      <c r="Q296" s="2585"/>
      <c r="R296" s="2585"/>
      <c r="U296" s="605"/>
      <c r="W296" s="605"/>
    </row>
    <row r="297" spans="1:23" s="604" customFormat="1" ht="13.5" customHeight="1">
      <c r="A297" s="595"/>
      <c r="B297" s="596"/>
      <c r="C297" s="597"/>
      <c r="D297" s="599" t="s">
        <v>4404</v>
      </c>
      <c r="E297" s="599"/>
      <c r="F297" s="600">
        <f>(1.7*1.2*1.4)*0.05</f>
        <v>0.14280000000000001</v>
      </c>
      <c r="G297" s="289"/>
      <c r="H297" s="2733"/>
      <c r="I297" s="602"/>
      <c r="J297" s="606"/>
      <c r="L297" s="2584"/>
      <c r="M297" s="2584"/>
      <c r="Q297" s="2585"/>
      <c r="R297" s="2585"/>
      <c r="U297" s="605"/>
      <c r="W297" s="605"/>
    </row>
    <row r="298" spans="1:23" s="604" customFormat="1" ht="13.5" customHeight="1">
      <c r="A298" s="595"/>
      <c r="B298" s="596"/>
      <c r="C298" s="597"/>
      <c r="D298" s="599" t="s">
        <v>4405</v>
      </c>
      <c r="E298" s="599"/>
      <c r="F298" s="600">
        <f>(5*1.2*1.5)*0.05</f>
        <v>0.45</v>
      </c>
      <c r="G298" s="289"/>
      <c r="H298" s="2733"/>
      <c r="I298" s="602"/>
      <c r="J298" s="606"/>
      <c r="L298" s="2584"/>
      <c r="M298" s="2584"/>
      <c r="Q298" s="2585"/>
      <c r="R298" s="2585"/>
      <c r="U298" s="605"/>
      <c r="W298" s="605"/>
    </row>
    <row r="299" spans="1:23" s="604" customFormat="1" ht="13.5" customHeight="1">
      <c r="A299" s="595"/>
      <c r="B299" s="596"/>
      <c r="C299" s="597"/>
      <c r="D299" s="599" t="s">
        <v>4406</v>
      </c>
      <c r="E299" s="599"/>
      <c r="F299" s="600">
        <f>(21.4*1.2*1.35)*0.05</f>
        <v>1.7334000000000001</v>
      </c>
      <c r="G299" s="289"/>
      <c r="H299" s="2733"/>
      <c r="I299" s="602"/>
      <c r="J299" s="606"/>
      <c r="L299" s="2584"/>
      <c r="M299" s="2584"/>
      <c r="Q299" s="2585"/>
      <c r="R299" s="2585"/>
      <c r="U299" s="605"/>
      <c r="W299" s="605"/>
    </row>
    <row r="300" spans="1:23" s="604" customFormat="1" ht="13.5" customHeight="1">
      <c r="A300" s="595"/>
      <c r="B300" s="596"/>
      <c r="C300" s="597"/>
      <c r="D300" s="599" t="s">
        <v>4407</v>
      </c>
      <c r="E300" s="599"/>
      <c r="F300" s="600">
        <f>(3.6*1.2*1.15)*0.05</f>
        <v>0.24840000000000001</v>
      </c>
      <c r="G300" s="289"/>
      <c r="H300" s="2733"/>
      <c r="I300" s="602"/>
      <c r="J300" s="3082"/>
      <c r="L300" s="2584"/>
      <c r="M300" s="2584"/>
      <c r="Q300" s="2585"/>
      <c r="R300" s="2585"/>
      <c r="U300" s="605"/>
      <c r="W300" s="605"/>
    </row>
    <row r="301" spans="1:23" s="604" customFormat="1" ht="13.5" customHeight="1">
      <c r="A301" s="595"/>
      <c r="B301" s="596"/>
      <c r="C301" s="597"/>
      <c r="D301" s="719" t="s">
        <v>4408</v>
      </c>
      <c r="E301" s="599"/>
      <c r="F301" s="600"/>
      <c r="G301" s="289"/>
      <c r="H301" s="2733"/>
      <c r="I301" s="602"/>
      <c r="J301" s="606"/>
      <c r="L301" s="2584"/>
      <c r="M301" s="2584"/>
      <c r="Q301" s="2585"/>
      <c r="R301" s="2585"/>
      <c r="U301" s="605"/>
      <c r="W301" s="605"/>
    </row>
    <row r="302" spans="1:23" s="604" customFormat="1" ht="13.5" customHeight="1">
      <c r="A302" s="595"/>
      <c r="B302" s="596"/>
      <c r="C302" s="597"/>
      <c r="D302" s="599" t="s">
        <v>4409</v>
      </c>
      <c r="E302" s="599"/>
      <c r="F302" s="600">
        <f>(1.5*1.2*1.15)*0.05</f>
        <v>0.10349999999999999</v>
      </c>
      <c r="G302" s="289"/>
      <c r="H302" s="2733"/>
      <c r="I302" s="602"/>
      <c r="J302" s="606"/>
      <c r="L302" s="2584"/>
      <c r="M302" s="2584"/>
      <c r="Q302" s="2585"/>
      <c r="R302" s="2585"/>
      <c r="U302" s="605"/>
      <c r="W302" s="605"/>
    </row>
    <row r="303" spans="1:23" s="604" customFormat="1" ht="13.5" customHeight="1">
      <c r="A303" s="595"/>
      <c r="B303" s="596"/>
      <c r="C303" s="597"/>
      <c r="D303" s="599" t="s">
        <v>4410</v>
      </c>
      <c r="E303" s="599"/>
      <c r="F303" s="600">
        <f>(18.2*1.2*1.3)*0.05</f>
        <v>1.4196</v>
      </c>
      <c r="G303" s="289"/>
      <c r="H303" s="2733"/>
      <c r="I303" s="602"/>
      <c r="J303" s="606"/>
      <c r="L303" s="2584"/>
      <c r="M303" s="2584"/>
      <c r="Q303" s="2585"/>
      <c r="R303" s="2585"/>
      <c r="U303" s="605"/>
      <c r="W303" s="605"/>
    </row>
    <row r="304" spans="1:23" s="604" customFormat="1" ht="13.5" customHeight="1">
      <c r="A304" s="595"/>
      <c r="B304" s="596"/>
      <c r="C304" s="597"/>
      <c r="D304" s="599" t="s">
        <v>4411</v>
      </c>
      <c r="E304" s="599"/>
      <c r="F304" s="600">
        <f>(5.8*1.2*1.4)*0.05</f>
        <v>0.48720000000000002</v>
      </c>
      <c r="G304" s="289"/>
      <c r="H304" s="2733"/>
      <c r="I304" s="602"/>
      <c r="J304" s="606"/>
      <c r="L304" s="2584"/>
      <c r="M304" s="2584"/>
      <c r="Q304" s="2585"/>
      <c r="R304" s="2585"/>
      <c r="U304" s="605"/>
      <c r="W304" s="605"/>
    </row>
    <row r="305" spans="1:23" s="604" customFormat="1" ht="13.5" customHeight="1">
      <c r="A305" s="595"/>
      <c r="B305" s="596"/>
      <c r="C305" s="597"/>
      <c r="D305" s="599" t="s">
        <v>4412</v>
      </c>
      <c r="E305" s="599"/>
      <c r="F305" s="600">
        <f>(15.1*1.2*1.2)*0.05</f>
        <v>1.0871999999999999</v>
      </c>
      <c r="G305" s="289"/>
      <c r="H305" s="2733"/>
      <c r="I305" s="602"/>
      <c r="J305" s="606"/>
      <c r="L305" s="2584"/>
      <c r="M305" s="2584"/>
      <c r="Q305" s="2585"/>
      <c r="R305" s="2585"/>
      <c r="U305" s="605"/>
      <c r="W305" s="605"/>
    </row>
    <row r="306" spans="1:23" s="604" customFormat="1" ht="13.5" customHeight="1">
      <c r="A306" s="595"/>
      <c r="B306" s="596"/>
      <c r="C306" s="597"/>
      <c r="D306" s="599" t="s">
        <v>4413</v>
      </c>
      <c r="E306" s="599"/>
      <c r="F306" s="600">
        <f>(9.5*1.2*1.25)*0.05</f>
        <v>0.71250000000000002</v>
      </c>
      <c r="G306" s="289"/>
      <c r="H306" s="2733"/>
      <c r="I306" s="602"/>
      <c r="J306" s="606"/>
      <c r="L306" s="2584"/>
      <c r="M306" s="2584"/>
      <c r="Q306" s="2585"/>
      <c r="R306" s="2585"/>
      <c r="U306" s="605"/>
      <c r="W306" s="605"/>
    </row>
    <row r="307" spans="1:23" s="604" customFormat="1" ht="13.5" customHeight="1">
      <c r="A307" s="595"/>
      <c r="B307" s="596"/>
      <c r="C307" s="597"/>
      <c r="D307" s="599" t="s">
        <v>4414</v>
      </c>
      <c r="E307" s="599"/>
      <c r="F307" s="600">
        <f>(3.9*1.2*1.6)*0.05</f>
        <v>0.37440000000000001</v>
      </c>
      <c r="G307" s="289"/>
      <c r="H307" s="2733"/>
      <c r="I307" s="602"/>
      <c r="J307" s="606"/>
      <c r="L307" s="2584"/>
      <c r="M307" s="2584"/>
      <c r="Q307" s="2585"/>
      <c r="R307" s="2585"/>
      <c r="U307" s="605"/>
      <c r="W307" s="605"/>
    </row>
    <row r="308" spans="1:23" s="604" customFormat="1" ht="27" customHeight="1">
      <c r="A308" s="595"/>
      <c r="B308" s="596"/>
      <c r="C308" s="597"/>
      <c r="D308" s="599" t="s">
        <v>4415</v>
      </c>
      <c r="E308" s="599"/>
      <c r="F308" s="600">
        <f>(11.4*1.2*1.65)*0.05</f>
        <v>1.1286</v>
      </c>
      <c r="G308" s="289"/>
      <c r="H308" s="2733"/>
      <c r="I308" s="602"/>
      <c r="J308" s="606"/>
      <c r="L308" s="2584"/>
      <c r="M308" s="2584"/>
      <c r="Q308" s="2585"/>
      <c r="R308" s="2585"/>
      <c r="U308" s="605"/>
      <c r="W308" s="605"/>
    </row>
    <row r="309" spans="1:23" s="604" customFormat="1" ht="13.5" customHeight="1">
      <c r="A309" s="595"/>
      <c r="B309" s="596"/>
      <c r="C309" s="597"/>
      <c r="D309" s="599" t="s">
        <v>4416</v>
      </c>
      <c r="E309" s="599"/>
      <c r="F309" s="600">
        <f>(8.4*1.2*1.75)*0.05</f>
        <v>0.88200000000000012</v>
      </c>
      <c r="G309" s="289"/>
      <c r="H309" s="2733"/>
      <c r="I309" s="602"/>
      <c r="J309" s="606"/>
      <c r="L309" s="2584"/>
      <c r="M309" s="2584"/>
      <c r="Q309" s="2585"/>
      <c r="R309" s="2585"/>
      <c r="U309" s="605"/>
      <c r="W309" s="605"/>
    </row>
    <row r="310" spans="1:23" s="604" customFormat="1" ht="13.5" customHeight="1">
      <c r="A310" s="595"/>
      <c r="B310" s="596"/>
      <c r="C310" s="597"/>
      <c r="D310" s="599" t="s">
        <v>4417</v>
      </c>
      <c r="E310" s="599"/>
      <c r="F310" s="600">
        <f>(1*1.2*1.8)*0.05</f>
        <v>0.10800000000000001</v>
      </c>
      <c r="G310" s="289"/>
      <c r="H310" s="2733"/>
      <c r="I310" s="602"/>
      <c r="J310" s="606"/>
      <c r="L310" s="2584"/>
      <c r="M310" s="2584"/>
      <c r="Q310" s="2585"/>
      <c r="R310" s="2585"/>
      <c r="U310" s="605"/>
      <c r="W310" s="605"/>
    </row>
    <row r="311" spans="1:23" s="604" customFormat="1" ht="13.5" customHeight="1">
      <c r="A311" s="595"/>
      <c r="B311" s="596"/>
      <c r="C311" s="597"/>
      <c r="D311" s="599" t="s">
        <v>4418</v>
      </c>
      <c r="E311" s="599"/>
      <c r="F311" s="600">
        <f>(7.8*1.2*1.6)*0.05</f>
        <v>0.74880000000000002</v>
      </c>
      <c r="G311" s="289"/>
      <c r="H311" s="2733"/>
      <c r="I311" s="602"/>
      <c r="J311" s="606"/>
      <c r="L311" s="2584"/>
      <c r="M311" s="2584"/>
      <c r="Q311" s="2585"/>
      <c r="R311" s="2585"/>
      <c r="U311" s="605"/>
      <c r="W311" s="605"/>
    </row>
    <row r="312" spans="1:23" s="604" customFormat="1" ht="27" customHeight="1">
      <c r="A312" s="595"/>
      <c r="B312" s="596"/>
      <c r="C312" s="597"/>
      <c r="D312" s="599" t="s">
        <v>4419</v>
      </c>
      <c r="E312" s="599"/>
      <c r="F312" s="600">
        <f>(19.7*1.2*1.35)*0.05</f>
        <v>1.5956999999999999</v>
      </c>
      <c r="G312" s="289"/>
      <c r="H312" s="2733"/>
      <c r="I312" s="602"/>
      <c r="J312" s="606"/>
      <c r="L312" s="2584"/>
      <c r="M312" s="2584"/>
      <c r="Q312" s="2585"/>
      <c r="R312" s="2585"/>
      <c r="U312" s="605"/>
      <c r="W312" s="605"/>
    </row>
    <row r="313" spans="1:23" s="604" customFormat="1" ht="27" customHeight="1">
      <c r="A313" s="595"/>
      <c r="B313" s="596"/>
      <c r="C313" s="597"/>
      <c r="D313" s="599" t="s">
        <v>4420</v>
      </c>
      <c r="E313" s="599"/>
      <c r="F313" s="600">
        <f>(25*1.2*1.35)*0.05</f>
        <v>2.0249999999999999</v>
      </c>
      <c r="G313" s="289"/>
      <c r="H313" s="2733"/>
      <c r="I313" s="602"/>
      <c r="J313" s="606"/>
      <c r="L313" s="2584"/>
      <c r="M313" s="2584"/>
      <c r="Q313" s="2585"/>
      <c r="R313" s="2585"/>
      <c r="U313" s="605"/>
      <c r="W313" s="605"/>
    </row>
    <row r="314" spans="1:23" s="604" customFormat="1" ht="13.5" customHeight="1">
      <c r="A314" s="595"/>
      <c r="B314" s="596"/>
      <c r="C314" s="597"/>
      <c r="D314" s="599" t="s">
        <v>4421</v>
      </c>
      <c r="E314" s="599"/>
      <c r="F314" s="600">
        <f>(2.1*1.2*1.35)*0.05</f>
        <v>0.17010000000000003</v>
      </c>
      <c r="G314" s="289"/>
      <c r="H314" s="2733"/>
      <c r="I314" s="602"/>
      <c r="J314" s="606"/>
      <c r="L314" s="2584"/>
      <c r="M314" s="2584"/>
      <c r="Q314" s="2585"/>
      <c r="R314" s="2585"/>
      <c r="U314" s="605"/>
      <c r="W314" s="605"/>
    </row>
    <row r="315" spans="1:23" s="604" customFormat="1" ht="27" customHeight="1">
      <c r="A315" s="595"/>
      <c r="B315" s="596"/>
      <c r="C315" s="597"/>
      <c r="D315" s="599" t="s">
        <v>4422</v>
      </c>
      <c r="E315" s="599"/>
      <c r="F315" s="600">
        <f>(2.5*1.2*1.35)*0.05</f>
        <v>0.20250000000000004</v>
      </c>
      <c r="G315" s="289"/>
      <c r="H315" s="2733"/>
      <c r="I315" s="602"/>
      <c r="J315" s="606"/>
      <c r="L315" s="2584"/>
      <c r="M315" s="2584"/>
      <c r="Q315" s="2585"/>
      <c r="R315" s="2585"/>
      <c r="U315" s="605"/>
      <c r="W315" s="605"/>
    </row>
    <row r="316" spans="1:23" s="604" customFormat="1" ht="13.5" customHeight="1">
      <c r="A316" s="595"/>
      <c r="B316" s="596"/>
      <c r="C316" s="597"/>
      <c r="D316" s="599" t="s">
        <v>4423</v>
      </c>
      <c r="E316" s="599"/>
      <c r="F316" s="600">
        <f>(4.6*1.2*1.65)*0.05</f>
        <v>0.45539999999999997</v>
      </c>
      <c r="G316" s="289"/>
      <c r="H316" s="2733"/>
      <c r="I316" s="602"/>
      <c r="J316" s="606"/>
      <c r="L316" s="2584"/>
      <c r="M316" s="2584"/>
      <c r="Q316" s="2585"/>
      <c r="R316" s="2585"/>
      <c r="U316" s="605"/>
      <c r="W316" s="605"/>
    </row>
    <row r="317" spans="1:23" s="604" customFormat="1" ht="27" customHeight="1">
      <c r="A317" s="595"/>
      <c r="B317" s="596"/>
      <c r="C317" s="597"/>
      <c r="D317" s="599" t="s">
        <v>4424</v>
      </c>
      <c r="E317" s="599"/>
      <c r="F317" s="600">
        <f>(6.2*1.2*1)*0.05</f>
        <v>0.372</v>
      </c>
      <c r="G317" s="289"/>
      <c r="H317" s="2733"/>
      <c r="I317" s="602"/>
      <c r="J317" s="606"/>
      <c r="L317" s="2584"/>
      <c r="M317" s="2584"/>
      <c r="Q317" s="2585"/>
      <c r="R317" s="2585"/>
      <c r="U317" s="605"/>
      <c r="W317" s="605"/>
    </row>
    <row r="318" spans="1:23" s="604" customFormat="1" ht="13.5" customHeight="1">
      <c r="A318" s="595"/>
      <c r="B318" s="596"/>
      <c r="C318" s="597"/>
      <c r="D318" s="599" t="s">
        <v>4425</v>
      </c>
      <c r="E318" s="599"/>
      <c r="F318" s="600">
        <f>(3.2*1.2*1.35)*0.05</f>
        <v>0.25920000000000004</v>
      </c>
      <c r="G318" s="289"/>
      <c r="H318" s="2733"/>
      <c r="I318" s="602"/>
      <c r="J318" s="3082"/>
      <c r="L318" s="2584"/>
      <c r="M318" s="2584"/>
      <c r="Q318" s="2585"/>
      <c r="R318" s="2585"/>
      <c r="U318" s="605"/>
      <c r="W318" s="605"/>
    </row>
    <row r="319" spans="1:23" s="604" customFormat="1" ht="13.5" customHeight="1">
      <c r="A319" s="595"/>
      <c r="B319" s="596"/>
      <c r="C319" s="597"/>
      <c r="D319" s="719" t="s">
        <v>4426</v>
      </c>
      <c r="E319" s="599"/>
      <c r="F319" s="600"/>
      <c r="G319" s="289"/>
      <c r="H319" s="601"/>
      <c r="I319" s="602"/>
      <c r="U319" s="605"/>
      <c r="W319" s="605"/>
    </row>
    <row r="320" spans="1:23" s="604" customFormat="1" ht="13.5" customHeight="1">
      <c r="A320" s="595"/>
      <c r="B320" s="596"/>
      <c r="C320" s="597"/>
      <c r="D320" s="599" t="s">
        <v>4427</v>
      </c>
      <c r="E320" s="599"/>
      <c r="F320" s="600">
        <f>(1.6*1.6*1.35)*0.05</f>
        <v>0.17280000000000006</v>
      </c>
      <c r="G320" s="289"/>
      <c r="H320" s="601"/>
      <c r="I320" s="602"/>
      <c r="J320" s="606"/>
      <c r="U320" s="605"/>
      <c r="W320" s="605"/>
    </row>
    <row r="321" spans="1:23" s="604" customFormat="1" ht="13.5" customHeight="1">
      <c r="A321" s="595"/>
      <c r="B321" s="596"/>
      <c r="C321" s="597"/>
      <c r="D321" s="599" t="s">
        <v>4428</v>
      </c>
      <c r="E321" s="599"/>
      <c r="F321" s="600">
        <f>(1.6*1.6*1.6)*0.05</f>
        <v>0.20480000000000007</v>
      </c>
      <c r="G321" s="289"/>
      <c r="H321" s="601"/>
      <c r="I321" s="602"/>
      <c r="J321" s="606"/>
      <c r="U321" s="605"/>
      <c r="W321" s="605"/>
    </row>
    <row r="322" spans="1:23" s="604" customFormat="1" ht="13.5" customHeight="1">
      <c r="A322" s="595"/>
      <c r="B322" s="596"/>
      <c r="C322" s="597"/>
      <c r="D322" s="599" t="s">
        <v>4429</v>
      </c>
      <c r="E322" s="599"/>
      <c r="F322" s="600">
        <f>(1.6*1.6*1.9)*0.05</f>
        <v>0.24320000000000006</v>
      </c>
      <c r="G322" s="289"/>
      <c r="H322" s="601"/>
      <c r="I322" s="602"/>
      <c r="J322" s="606"/>
      <c r="U322" s="605"/>
      <c r="W322" s="605"/>
    </row>
    <row r="323" spans="1:23" s="604" customFormat="1" ht="13.5" customHeight="1">
      <c r="A323" s="595"/>
      <c r="B323" s="596"/>
      <c r="C323" s="597"/>
      <c r="D323" s="599" t="s">
        <v>4430</v>
      </c>
      <c r="E323" s="599"/>
      <c r="F323" s="600">
        <f>(1.6*1.6*1.65)*0.05</f>
        <v>0.21120000000000003</v>
      </c>
      <c r="G323" s="289"/>
      <c r="H323" s="601"/>
      <c r="I323" s="602"/>
      <c r="J323" s="606"/>
      <c r="U323" s="605"/>
      <c r="W323" s="605"/>
    </row>
    <row r="324" spans="1:23" s="604" customFormat="1" ht="13.5" customHeight="1">
      <c r="A324" s="595"/>
      <c r="B324" s="596"/>
      <c r="C324" s="597"/>
      <c r="D324" s="599" t="s">
        <v>4431</v>
      </c>
      <c r="E324" s="599"/>
      <c r="F324" s="600">
        <f>(1.6*1.6*1.15)*0.05</f>
        <v>0.14720000000000003</v>
      </c>
      <c r="G324" s="289"/>
      <c r="H324" s="601"/>
      <c r="I324" s="602"/>
      <c r="J324" s="606"/>
      <c r="U324" s="605"/>
      <c r="W324" s="605"/>
    </row>
    <row r="325" spans="1:23" s="604" customFormat="1" ht="13.5" customHeight="1">
      <c r="A325" s="595"/>
      <c r="B325" s="596"/>
      <c r="C325" s="597"/>
      <c r="D325" s="599" t="s">
        <v>4432</v>
      </c>
      <c r="E325" s="599"/>
      <c r="F325" s="600">
        <f>(1.6*1.6*1.15)*0.05</f>
        <v>0.14720000000000003</v>
      </c>
      <c r="G325" s="289"/>
      <c r="H325" s="601"/>
      <c r="I325" s="602"/>
      <c r="J325" s="606"/>
      <c r="U325" s="605"/>
      <c r="W325" s="605"/>
    </row>
    <row r="326" spans="1:23" s="604" customFormat="1" ht="13.5" customHeight="1">
      <c r="A326" s="595"/>
      <c r="B326" s="596"/>
      <c r="C326" s="597"/>
      <c r="D326" s="599" t="s">
        <v>4433</v>
      </c>
      <c r="E326" s="599"/>
      <c r="F326" s="600">
        <f>(1.6*1.6*1.1)*0.05</f>
        <v>0.14080000000000004</v>
      </c>
      <c r="G326" s="289"/>
      <c r="H326" s="601"/>
      <c r="I326" s="602"/>
      <c r="J326" s="606"/>
      <c r="U326" s="605"/>
      <c r="W326" s="605"/>
    </row>
    <row r="327" spans="1:23" s="604" customFormat="1" ht="13.5" customHeight="1">
      <c r="A327" s="595"/>
      <c r="B327" s="596"/>
      <c r="C327" s="597"/>
      <c r="D327" s="599" t="s">
        <v>4434</v>
      </c>
      <c r="E327" s="599"/>
      <c r="F327" s="600">
        <f>(1.6*1.6*1.35)*0.05</f>
        <v>0.17280000000000006</v>
      </c>
      <c r="G327" s="289"/>
      <c r="H327" s="601"/>
      <c r="I327" s="602"/>
      <c r="J327" s="606"/>
      <c r="U327" s="605"/>
      <c r="W327" s="605"/>
    </row>
    <row r="328" spans="1:23" s="604" customFormat="1" ht="13.5" customHeight="1">
      <c r="A328" s="595"/>
      <c r="B328" s="596"/>
      <c r="C328" s="597"/>
      <c r="D328" s="599" t="s">
        <v>4435</v>
      </c>
      <c r="E328" s="599"/>
      <c r="F328" s="600">
        <f>(1.6*1.6*1.35)*0.05</f>
        <v>0.17280000000000006</v>
      </c>
      <c r="G328" s="289"/>
      <c r="H328" s="601"/>
      <c r="I328" s="602"/>
      <c r="J328" s="606"/>
      <c r="U328" s="605"/>
      <c r="W328" s="605"/>
    </row>
    <row r="329" spans="1:23" s="604" customFormat="1" ht="27" customHeight="1">
      <c r="A329" s="595"/>
      <c r="B329" s="596"/>
      <c r="C329" s="597"/>
      <c r="D329" s="599" t="s">
        <v>4436</v>
      </c>
      <c r="E329" s="599"/>
      <c r="F329" s="600">
        <f>(1.6*1.6*1.15)*0.05</f>
        <v>0.14720000000000003</v>
      </c>
      <c r="G329" s="289"/>
      <c r="H329" s="601"/>
      <c r="I329" s="602"/>
      <c r="J329" s="606"/>
      <c r="U329" s="605"/>
      <c r="W329" s="605"/>
    </row>
    <row r="330" spans="1:23" s="604" customFormat="1" ht="13.5" customHeight="1">
      <c r="A330" s="595"/>
      <c r="B330" s="596"/>
      <c r="C330" s="597"/>
      <c r="D330" s="599" t="s">
        <v>4437</v>
      </c>
      <c r="E330" s="599"/>
      <c r="F330" s="600">
        <f>(1.6*1.6*1.8)*0.05</f>
        <v>0.23040000000000008</v>
      </c>
      <c r="G330" s="289"/>
      <c r="H330" s="601"/>
      <c r="I330" s="602"/>
      <c r="J330" s="606"/>
      <c r="U330" s="605"/>
      <c r="W330" s="605"/>
    </row>
    <row r="331" spans="1:23" s="604" customFormat="1" ht="13.5" customHeight="1">
      <c r="A331" s="595"/>
      <c r="B331" s="596"/>
      <c r="C331" s="597"/>
      <c r="D331" s="599" t="s">
        <v>4438</v>
      </c>
      <c r="E331" s="599"/>
      <c r="F331" s="600">
        <f>(1.6*1.6*1.65)*0.05</f>
        <v>0.21120000000000003</v>
      </c>
      <c r="G331" s="289"/>
      <c r="H331" s="601"/>
      <c r="I331" s="602"/>
      <c r="J331" s="606"/>
      <c r="U331" s="605"/>
      <c r="W331" s="605"/>
    </row>
    <row r="332" spans="1:23" s="604" customFormat="1" ht="13.5" customHeight="1">
      <c r="A332" s="595"/>
      <c r="B332" s="596"/>
      <c r="C332" s="597"/>
      <c r="D332" s="599" t="s">
        <v>4439</v>
      </c>
      <c r="E332" s="599"/>
      <c r="F332" s="600">
        <f>(1.6*1.6*1.65)*0.05</f>
        <v>0.21120000000000003</v>
      </c>
      <c r="G332" s="289"/>
      <c r="H332" s="601"/>
      <c r="I332" s="602"/>
      <c r="J332" s="606"/>
      <c r="U332" s="605"/>
      <c r="W332" s="605"/>
    </row>
    <row r="333" spans="1:23" s="604" customFormat="1" ht="13.5" customHeight="1">
      <c r="A333" s="595"/>
      <c r="B333" s="596"/>
      <c r="C333" s="597"/>
      <c r="D333" s="599" t="s">
        <v>4440</v>
      </c>
      <c r="E333" s="599"/>
      <c r="F333" s="600">
        <f>(1.6*1.6*1.5)*0.05</f>
        <v>0.19200000000000006</v>
      </c>
      <c r="G333" s="289"/>
      <c r="H333" s="601"/>
      <c r="I333" s="602"/>
      <c r="J333" s="606"/>
      <c r="U333" s="605"/>
      <c r="W333" s="605"/>
    </row>
    <row r="334" spans="1:23" s="604" customFormat="1" ht="13.5" customHeight="1">
      <c r="A334" s="595"/>
      <c r="B334" s="596"/>
      <c r="C334" s="597"/>
      <c r="D334" s="599" t="s">
        <v>4441</v>
      </c>
      <c r="E334" s="599"/>
      <c r="F334" s="600">
        <f>(1.6*1.6*1)*0.05</f>
        <v>0.12800000000000003</v>
      </c>
      <c r="G334" s="289"/>
      <c r="H334" s="601"/>
      <c r="I334" s="602"/>
      <c r="J334" s="606"/>
      <c r="U334" s="605"/>
      <c r="W334" s="605"/>
    </row>
    <row r="335" spans="1:23" s="604" customFormat="1" ht="13.5" customHeight="1">
      <c r="A335" s="595"/>
      <c r="B335" s="596"/>
      <c r="C335" s="597"/>
      <c r="D335" s="599" t="s">
        <v>4442</v>
      </c>
      <c r="E335" s="599"/>
      <c r="F335" s="600">
        <f>(1.6*1.6*1.35)*0.05</f>
        <v>0.17280000000000006</v>
      </c>
      <c r="G335" s="289"/>
      <c r="H335" s="601"/>
      <c r="I335" s="602"/>
      <c r="J335" s="606"/>
      <c r="U335" s="605"/>
      <c r="W335" s="605"/>
    </row>
    <row r="336" spans="1:23" s="604" customFormat="1" ht="13.5" customHeight="1">
      <c r="A336" s="595"/>
      <c r="B336" s="596"/>
      <c r="C336" s="597"/>
      <c r="D336" s="599" t="s">
        <v>4443</v>
      </c>
      <c r="E336" s="599"/>
      <c r="F336" s="600">
        <f>(1.6*1.6*1.4)*0.05</f>
        <v>0.17920000000000003</v>
      </c>
      <c r="G336" s="289"/>
      <c r="H336" s="601"/>
      <c r="I336" s="602"/>
      <c r="J336" s="606"/>
      <c r="U336" s="605"/>
      <c r="W336" s="605"/>
    </row>
    <row r="337" spans="1:255" s="604" customFormat="1" ht="13.5" customHeight="1">
      <c r="A337" s="595"/>
      <c r="B337" s="596"/>
      <c r="C337" s="597"/>
      <c r="D337" s="599" t="s">
        <v>4444</v>
      </c>
      <c r="E337" s="599"/>
      <c r="F337" s="600">
        <f>(1.6*1.6*1.15)*0.05</f>
        <v>0.14720000000000003</v>
      </c>
      <c r="G337" s="289"/>
      <c r="H337" s="601"/>
      <c r="I337" s="602"/>
      <c r="J337" s="606"/>
      <c r="U337" s="605"/>
      <c r="W337" s="605"/>
    </row>
    <row r="338" spans="1:255" s="604" customFormat="1" ht="13.5" customHeight="1">
      <c r="A338" s="595"/>
      <c r="B338" s="596"/>
      <c r="C338" s="597"/>
      <c r="D338" s="599" t="s">
        <v>4445</v>
      </c>
      <c r="E338" s="599"/>
      <c r="F338" s="600">
        <f>(1.6*1.6*1.35)*0.05</f>
        <v>0.17280000000000006</v>
      </c>
      <c r="G338" s="289"/>
      <c r="H338" s="601"/>
      <c r="I338" s="602"/>
      <c r="J338" s="606"/>
      <c r="U338" s="605"/>
      <c r="W338" s="605"/>
    </row>
    <row r="339" spans="1:255" s="604" customFormat="1" ht="13.5" customHeight="1">
      <c r="A339" s="595"/>
      <c r="B339" s="596"/>
      <c r="C339" s="597"/>
      <c r="D339" s="599" t="s">
        <v>4446</v>
      </c>
      <c r="E339" s="599"/>
      <c r="F339" s="600">
        <f>(1.6*1.6*1.35)*0.05</f>
        <v>0.17280000000000006</v>
      </c>
      <c r="G339" s="289"/>
      <c r="H339" s="601"/>
      <c r="I339" s="602"/>
      <c r="J339" s="606"/>
      <c r="U339" s="605"/>
      <c r="W339" s="605"/>
    </row>
    <row r="340" spans="1:255" s="604" customFormat="1" ht="13.5" customHeight="1">
      <c r="A340" s="595"/>
      <c r="B340" s="596"/>
      <c r="C340" s="597"/>
      <c r="D340" s="599" t="s">
        <v>4447</v>
      </c>
      <c r="E340" s="599"/>
      <c r="F340" s="600">
        <f>(1.6*1.6*1.35)*0.05</f>
        <v>0.17280000000000006</v>
      </c>
      <c r="G340" s="289"/>
      <c r="H340" s="601"/>
      <c r="I340" s="602"/>
      <c r="J340" s="606"/>
      <c r="U340" s="605"/>
      <c r="W340" s="605"/>
    </row>
    <row r="341" spans="1:255" s="604" customFormat="1" ht="13.5" customHeight="1">
      <c r="A341" s="1586"/>
      <c r="B341" s="596"/>
      <c r="C341" s="597"/>
      <c r="D341" s="719" t="s">
        <v>4448</v>
      </c>
      <c r="E341" s="599"/>
      <c r="F341" s="600"/>
      <c r="G341" s="289"/>
      <c r="H341" s="601"/>
      <c r="I341" s="602"/>
      <c r="J341" s="3087"/>
      <c r="K341" s="3088"/>
      <c r="L341" s="3088"/>
      <c r="M341" s="3087"/>
      <c r="N341" s="1644"/>
      <c r="U341" s="605"/>
      <c r="W341" s="605"/>
    </row>
    <row r="342" spans="1:255" s="604" customFormat="1" ht="13.5" customHeight="1">
      <c r="A342" s="1586"/>
      <c r="B342" s="596"/>
      <c r="C342" s="597"/>
      <c r="D342" s="599" t="s">
        <v>4449</v>
      </c>
      <c r="E342" s="599"/>
      <c r="F342" s="600">
        <f>(2*2*1.65)*0.05</f>
        <v>0.33</v>
      </c>
      <c r="G342" s="289"/>
      <c r="H342" s="601"/>
      <c r="I342" s="602"/>
      <c r="J342" s="3087"/>
      <c r="K342" s="3088"/>
      <c r="L342" s="3088"/>
      <c r="M342" s="3087"/>
      <c r="N342" s="1644"/>
      <c r="U342" s="605"/>
      <c r="W342" s="605"/>
    </row>
    <row r="343" spans="1:255" s="604" customFormat="1" ht="27" customHeight="1">
      <c r="A343" s="595"/>
      <c r="B343" s="596"/>
      <c r="C343" s="597"/>
      <c r="D343" s="597" t="s">
        <v>4323</v>
      </c>
      <c r="E343" s="597"/>
      <c r="F343" s="607"/>
      <c r="G343" s="289"/>
      <c r="H343" s="601"/>
      <c r="I343" s="602"/>
      <c r="J343" s="606"/>
      <c r="U343" s="605"/>
      <c r="W343" s="605"/>
    </row>
    <row r="344" spans="1:255" s="612" customFormat="1" ht="13.5" customHeight="1">
      <c r="A344" s="608">
        <v>14</v>
      </c>
      <c r="B344" s="557" t="s">
        <v>135</v>
      </c>
      <c r="C344" s="557">
        <v>139001101</v>
      </c>
      <c r="D344" s="557" t="s">
        <v>160</v>
      </c>
      <c r="E344" s="557" t="s">
        <v>146</v>
      </c>
      <c r="F344" s="573">
        <f>ROUND(SUM(F345),3)</f>
        <v>27.442</v>
      </c>
      <c r="G344" s="288"/>
      <c r="H344" s="568">
        <f t="shared" ref="H344:H346" si="7">ROUND(F344*G344,2)</f>
        <v>0</v>
      </c>
      <c r="I344" s="613" t="s">
        <v>137</v>
      </c>
    </row>
    <row r="345" spans="1:255" s="612" customFormat="1" ht="13.5" customHeight="1">
      <c r="A345" s="608"/>
      <c r="B345" s="557"/>
      <c r="C345" s="599"/>
      <c r="D345" s="599" t="s">
        <v>4514</v>
      </c>
      <c r="E345" s="599"/>
      <c r="F345" s="600">
        <f>((54.884+274.42)+(27.442+164.652)+(27.442))*0.05</f>
        <v>27.442000000000004</v>
      </c>
      <c r="G345" s="290"/>
      <c r="H345" s="614"/>
      <c r="I345" s="613"/>
    </row>
    <row r="346" spans="1:255" s="888" customFormat="1" ht="13.5" customHeight="1">
      <c r="A346" s="3089">
        <v>15</v>
      </c>
      <c r="B346" s="3090" t="s">
        <v>135</v>
      </c>
      <c r="C346" s="3090">
        <v>151101101</v>
      </c>
      <c r="D346" s="3090" t="s">
        <v>2371</v>
      </c>
      <c r="E346" s="3090" t="s">
        <v>163</v>
      </c>
      <c r="F346" s="3091">
        <f>ROUND(SUM(F349:F409),3)</f>
        <v>783.55200000000002</v>
      </c>
      <c r="G346" s="288"/>
      <c r="H346" s="568">
        <f t="shared" si="7"/>
        <v>0</v>
      </c>
      <c r="I346" s="613" t="s">
        <v>137</v>
      </c>
      <c r="J346" s="3092"/>
      <c r="BN346" s="2657"/>
      <c r="BO346" s="2657"/>
      <c r="BP346" s="2657"/>
      <c r="BQ346" s="2657"/>
      <c r="BR346" s="2657"/>
      <c r="BS346" s="2657"/>
      <c r="BT346" s="2657"/>
      <c r="BU346" s="2657"/>
      <c r="BV346" s="2657"/>
      <c r="BW346" s="2657"/>
      <c r="BX346" s="2657"/>
      <c r="BY346" s="2657"/>
      <c r="BZ346" s="2657"/>
      <c r="CA346" s="2657"/>
      <c r="CB346" s="2657"/>
      <c r="CC346" s="2657"/>
      <c r="CD346" s="2657"/>
      <c r="CE346" s="2657"/>
      <c r="CF346" s="2657"/>
      <c r="CG346" s="2657"/>
      <c r="CH346" s="2657"/>
      <c r="CI346" s="2657"/>
      <c r="CJ346" s="2657"/>
      <c r="CK346" s="2657"/>
      <c r="CL346" s="2657"/>
      <c r="CM346" s="2657"/>
      <c r="CN346" s="2657"/>
      <c r="CO346" s="2657"/>
      <c r="CP346" s="2657"/>
      <c r="CQ346" s="2657"/>
      <c r="CR346" s="2657"/>
      <c r="CS346" s="2657"/>
      <c r="CT346" s="2657"/>
      <c r="CU346" s="2657"/>
      <c r="CV346" s="2657"/>
      <c r="CW346" s="2657"/>
      <c r="CX346" s="2657"/>
      <c r="CY346" s="2657"/>
      <c r="CZ346" s="2657"/>
      <c r="DA346" s="2657"/>
      <c r="DB346" s="2657"/>
      <c r="DC346" s="2657"/>
      <c r="DD346" s="2657"/>
      <c r="DE346" s="2657"/>
      <c r="DF346" s="2657"/>
      <c r="DG346" s="2657"/>
      <c r="DH346" s="2657"/>
      <c r="DI346" s="2657"/>
      <c r="DJ346" s="2657"/>
      <c r="DK346" s="2657"/>
      <c r="DL346" s="2657"/>
      <c r="DM346" s="2657"/>
      <c r="DN346" s="2657"/>
      <c r="DO346" s="2657"/>
      <c r="DP346" s="2657"/>
      <c r="DQ346" s="2657"/>
      <c r="DR346" s="2657"/>
      <c r="DS346" s="2657"/>
      <c r="DT346" s="2657"/>
      <c r="DU346" s="2657"/>
      <c r="DV346" s="2657"/>
      <c r="DW346" s="2657"/>
      <c r="DX346" s="2657"/>
      <c r="DY346" s="2657"/>
      <c r="DZ346" s="2657"/>
      <c r="EA346" s="2657"/>
      <c r="EB346" s="2657"/>
      <c r="EC346" s="2657"/>
      <c r="ED346" s="2657"/>
      <c r="EE346" s="2657"/>
      <c r="EF346" s="2657"/>
      <c r="EG346" s="2657"/>
      <c r="EH346" s="2657"/>
      <c r="EI346" s="2657"/>
      <c r="EJ346" s="2657"/>
      <c r="EK346" s="2657"/>
      <c r="EL346" s="2657"/>
      <c r="EM346" s="2657"/>
      <c r="EN346" s="2657"/>
      <c r="EO346" s="2657"/>
      <c r="EP346" s="2657"/>
      <c r="EQ346" s="2657"/>
      <c r="ER346" s="2657"/>
      <c r="ES346" s="2657"/>
      <c r="ET346" s="2657"/>
      <c r="EU346" s="2657"/>
      <c r="EV346" s="2657"/>
      <c r="EW346" s="2657"/>
      <c r="EX346" s="2657"/>
      <c r="EY346" s="2657"/>
      <c r="EZ346" s="2657"/>
      <c r="FA346" s="2657"/>
      <c r="FB346" s="2657"/>
      <c r="FC346" s="2657"/>
      <c r="FD346" s="2657"/>
      <c r="FE346" s="2657"/>
      <c r="FF346" s="2657"/>
      <c r="FG346" s="2657"/>
      <c r="FH346" s="2657"/>
      <c r="FI346" s="2657"/>
      <c r="FJ346" s="2657"/>
      <c r="FK346" s="2657"/>
      <c r="FL346" s="2657"/>
      <c r="FM346" s="2657"/>
      <c r="FN346" s="2657"/>
      <c r="FO346" s="2657"/>
      <c r="FP346" s="2657"/>
      <c r="FQ346" s="2657"/>
      <c r="FR346" s="2657"/>
      <c r="FS346" s="2657"/>
      <c r="FT346" s="2657"/>
      <c r="FU346" s="2657"/>
      <c r="FV346" s="2657"/>
      <c r="FW346" s="2657"/>
      <c r="FX346" s="2657"/>
      <c r="FY346" s="2657"/>
      <c r="FZ346" s="2657"/>
      <c r="GA346" s="2657"/>
      <c r="GB346" s="2657"/>
      <c r="GC346" s="2657"/>
      <c r="GD346" s="2657"/>
      <c r="GE346" s="2657"/>
      <c r="GF346" s="2657"/>
      <c r="GG346" s="2657"/>
      <c r="GH346" s="2657"/>
      <c r="GI346" s="2657"/>
      <c r="GJ346" s="2657"/>
      <c r="GK346" s="2657"/>
      <c r="GL346" s="2657"/>
      <c r="GM346" s="2657"/>
      <c r="GN346" s="2657"/>
      <c r="GO346" s="2657"/>
      <c r="GP346" s="2657"/>
      <c r="GQ346" s="2657"/>
      <c r="GR346" s="2657"/>
      <c r="GS346" s="2657"/>
      <c r="GT346" s="2657"/>
      <c r="GU346" s="2657"/>
      <c r="GV346" s="2657"/>
      <c r="GW346" s="2657"/>
      <c r="GX346" s="2657"/>
      <c r="GY346" s="2657"/>
      <c r="GZ346" s="2657"/>
      <c r="HA346" s="2657"/>
      <c r="HB346" s="2657"/>
      <c r="HC346" s="2657"/>
      <c r="HD346" s="2657"/>
      <c r="HE346" s="2657"/>
      <c r="HF346" s="2657"/>
      <c r="HG346" s="2657"/>
      <c r="HH346" s="2657"/>
      <c r="HI346" s="2657"/>
      <c r="HJ346" s="2657"/>
      <c r="HK346" s="2657"/>
      <c r="HL346" s="2657"/>
      <c r="HM346" s="2657"/>
      <c r="HN346" s="2657"/>
      <c r="HO346" s="2657"/>
      <c r="HP346" s="2657"/>
      <c r="HQ346" s="2657"/>
      <c r="HR346" s="2657"/>
      <c r="HS346" s="2657"/>
      <c r="HT346" s="2657"/>
      <c r="HU346" s="2657"/>
      <c r="HV346" s="2657"/>
      <c r="HW346" s="2657"/>
      <c r="HX346" s="2657"/>
      <c r="HY346" s="2657"/>
      <c r="HZ346" s="2657"/>
      <c r="IA346" s="2657"/>
      <c r="IB346" s="2657"/>
      <c r="IC346" s="2657"/>
      <c r="ID346" s="2657"/>
      <c r="IE346" s="2657"/>
      <c r="IF346" s="2657"/>
      <c r="IG346" s="2657"/>
      <c r="IH346" s="2657"/>
      <c r="II346" s="2657"/>
      <c r="IJ346" s="2657"/>
      <c r="IK346" s="2657"/>
      <c r="IL346" s="2657"/>
      <c r="IM346" s="2657"/>
      <c r="IN346" s="2657"/>
      <c r="IO346" s="2657"/>
      <c r="IP346" s="2657"/>
      <c r="IQ346" s="2657"/>
      <c r="IR346" s="2657"/>
      <c r="IS346" s="2657"/>
      <c r="IT346" s="2657"/>
      <c r="IU346" s="2657"/>
    </row>
    <row r="347" spans="1:255" s="604" customFormat="1" ht="13.5" customHeight="1">
      <c r="A347" s="595"/>
      <c r="B347" s="596"/>
      <c r="C347" s="597"/>
      <c r="D347" s="719" t="s">
        <v>4515</v>
      </c>
      <c r="E347" s="599"/>
      <c r="F347" s="600"/>
      <c r="G347" s="289"/>
      <c r="H347" s="601"/>
      <c r="I347" s="602"/>
      <c r="J347" s="606"/>
      <c r="U347" s="605"/>
      <c r="W347" s="605"/>
    </row>
    <row r="348" spans="1:255" s="604" customFormat="1" ht="13.5" customHeight="1">
      <c r="A348" s="595"/>
      <c r="B348" s="596"/>
      <c r="C348" s="597"/>
      <c r="D348" s="719" t="s">
        <v>4515</v>
      </c>
      <c r="E348" s="599"/>
      <c r="F348" s="600"/>
      <c r="G348" s="289"/>
      <c r="H348" s="601"/>
      <c r="I348" s="602"/>
      <c r="J348" s="606"/>
      <c r="Q348" s="3080"/>
      <c r="R348" s="3080"/>
      <c r="U348" s="605"/>
      <c r="W348" s="605"/>
    </row>
    <row r="349" spans="1:255" s="604" customFormat="1" ht="13.5" customHeight="1">
      <c r="A349" s="595"/>
      <c r="B349" s="596"/>
      <c r="C349" s="597"/>
      <c r="D349" s="599" t="s">
        <v>4516</v>
      </c>
      <c r="E349" s="599"/>
      <c r="F349" s="600">
        <f>((5.2*1.65)*2)*0.8</f>
        <v>13.728000000000002</v>
      </c>
      <c r="G349" s="289"/>
      <c r="H349" s="2733"/>
      <c r="I349" s="602"/>
      <c r="J349" s="606"/>
      <c r="L349" s="2584"/>
      <c r="M349" s="2584"/>
      <c r="Q349" s="2585"/>
      <c r="R349" s="2585"/>
      <c r="U349" s="605"/>
      <c r="W349" s="605"/>
    </row>
    <row r="350" spans="1:255" s="604" customFormat="1" ht="13.5" customHeight="1">
      <c r="A350" s="595"/>
      <c r="B350" s="596"/>
      <c r="C350" s="597"/>
      <c r="D350" s="599" t="s">
        <v>4517</v>
      </c>
      <c r="E350" s="599"/>
      <c r="F350" s="600">
        <f>((1*1.15)*2)*0.8</f>
        <v>1.8399999999999999</v>
      </c>
      <c r="G350" s="289"/>
      <c r="H350" s="2733"/>
      <c r="I350" s="602"/>
      <c r="J350" s="606"/>
      <c r="L350" s="2584"/>
      <c r="M350" s="2584"/>
      <c r="Q350" s="2585"/>
      <c r="R350" s="2585"/>
      <c r="U350" s="605"/>
      <c r="W350" s="605"/>
    </row>
    <row r="351" spans="1:255" s="604" customFormat="1" ht="13.5" customHeight="1">
      <c r="A351" s="595"/>
      <c r="B351" s="596"/>
      <c r="C351" s="597"/>
      <c r="D351" s="599" t="s">
        <v>4518</v>
      </c>
      <c r="E351" s="599"/>
      <c r="F351" s="600">
        <f>((4.2*1.15)*2)*0.8</f>
        <v>7.7280000000000006</v>
      </c>
      <c r="G351" s="289"/>
      <c r="H351" s="2733"/>
      <c r="I351" s="602"/>
      <c r="J351" s="606"/>
      <c r="L351" s="2584"/>
      <c r="M351" s="2584"/>
      <c r="Q351" s="2585"/>
      <c r="R351" s="2585"/>
      <c r="U351" s="605"/>
      <c r="W351" s="605"/>
    </row>
    <row r="352" spans="1:255" s="604" customFormat="1" ht="13.5" customHeight="1">
      <c r="A352" s="595"/>
      <c r="B352" s="596"/>
      <c r="C352" s="597"/>
      <c r="D352" s="719" t="s">
        <v>4519</v>
      </c>
      <c r="E352" s="599"/>
      <c r="F352" s="600"/>
      <c r="G352" s="289"/>
      <c r="H352" s="2733"/>
      <c r="I352" s="602"/>
      <c r="J352" s="3082"/>
      <c r="L352" s="2584"/>
      <c r="M352" s="2584"/>
      <c r="Q352" s="2585"/>
      <c r="R352" s="2585"/>
      <c r="U352" s="605"/>
      <c r="W352" s="605"/>
    </row>
    <row r="353" spans="1:23" s="604" customFormat="1" ht="13.5" customHeight="1">
      <c r="A353" s="595"/>
      <c r="B353" s="596"/>
      <c r="C353" s="597"/>
      <c r="D353" s="599" t="s">
        <v>4520</v>
      </c>
      <c r="E353" s="599"/>
      <c r="F353" s="600">
        <f>((2.9*1.35)*2)*0.8</f>
        <v>6.2640000000000002</v>
      </c>
      <c r="G353" s="289"/>
      <c r="H353" s="2733"/>
      <c r="I353" s="602"/>
      <c r="J353" s="2660"/>
      <c r="K353" s="2661"/>
      <c r="L353" s="3083"/>
      <c r="M353" s="3083"/>
      <c r="Q353" s="2585"/>
      <c r="R353" s="2585"/>
      <c r="U353" s="605"/>
      <c r="W353" s="605"/>
    </row>
    <row r="354" spans="1:23" s="604" customFormat="1" ht="13.5" customHeight="1">
      <c r="A354" s="595"/>
      <c r="B354" s="596"/>
      <c r="C354" s="597"/>
      <c r="D354" s="599" t="s">
        <v>4521</v>
      </c>
      <c r="E354" s="599"/>
      <c r="F354" s="600">
        <f>((19.3*1.25)*2)*0.8</f>
        <v>38.6</v>
      </c>
      <c r="G354" s="289"/>
      <c r="H354" s="2733"/>
      <c r="I354" s="602"/>
      <c r="J354" s="2660"/>
      <c r="K354" s="2661"/>
      <c r="L354" s="3083"/>
      <c r="M354" s="3083"/>
      <c r="Q354" s="2585"/>
      <c r="R354" s="2585"/>
      <c r="U354" s="605"/>
      <c r="W354" s="605"/>
    </row>
    <row r="355" spans="1:23" s="604" customFormat="1" ht="13.5" customHeight="1">
      <c r="A355" s="595"/>
      <c r="B355" s="596"/>
      <c r="C355" s="597"/>
      <c r="D355" s="599" t="s">
        <v>4522</v>
      </c>
      <c r="E355" s="599"/>
      <c r="F355" s="600">
        <f>((4.9*1.1)*2)*0.8</f>
        <v>8.6240000000000006</v>
      </c>
      <c r="G355" s="289"/>
      <c r="H355" s="2733"/>
      <c r="I355" s="602"/>
      <c r="J355" s="2660"/>
      <c r="K355" s="2661"/>
      <c r="L355" s="3084"/>
      <c r="M355" s="3083"/>
      <c r="Q355" s="2585"/>
      <c r="R355" s="2585"/>
      <c r="U355" s="605"/>
      <c r="W355" s="605"/>
    </row>
    <row r="356" spans="1:23" s="604" customFormat="1" ht="13.5" customHeight="1">
      <c r="A356" s="595"/>
      <c r="B356" s="596"/>
      <c r="C356" s="597"/>
      <c r="D356" s="599" t="s">
        <v>4523</v>
      </c>
      <c r="E356" s="599"/>
      <c r="F356" s="600">
        <f>((10.4*1.15)*2)*0.8</f>
        <v>19.135999999999999</v>
      </c>
      <c r="G356" s="289"/>
      <c r="H356" s="2733"/>
      <c r="I356" s="602"/>
      <c r="J356" s="2660"/>
      <c r="K356" s="2661"/>
      <c r="L356" s="3083"/>
      <c r="M356" s="3083"/>
      <c r="Q356" s="2585"/>
      <c r="R356" s="2585"/>
      <c r="U356" s="605"/>
      <c r="W356" s="605"/>
    </row>
    <row r="357" spans="1:23" s="604" customFormat="1" ht="13.5" customHeight="1">
      <c r="A357" s="595"/>
      <c r="B357" s="596"/>
      <c r="C357" s="597"/>
      <c r="D357" s="599" t="s">
        <v>4524</v>
      </c>
      <c r="E357" s="599"/>
      <c r="F357" s="600">
        <f>((8.7*1.15)*2)*0.8</f>
        <v>16.007999999999999</v>
      </c>
      <c r="G357" s="289"/>
      <c r="H357" s="2733"/>
      <c r="I357" s="602"/>
      <c r="J357" s="606"/>
      <c r="L357" s="2584"/>
      <c r="M357" s="2584"/>
      <c r="Q357" s="2585"/>
      <c r="R357" s="2585"/>
      <c r="U357" s="605"/>
      <c r="W357" s="605"/>
    </row>
    <row r="358" spans="1:23" s="604" customFormat="1" ht="13.5" customHeight="1">
      <c r="A358" s="595"/>
      <c r="B358" s="596"/>
      <c r="C358" s="597"/>
      <c r="D358" s="599" t="s">
        <v>4525</v>
      </c>
      <c r="E358" s="599"/>
      <c r="F358" s="600">
        <f>((8.8*1.4)*2)*0.8</f>
        <v>19.712000000000003</v>
      </c>
      <c r="G358" s="289"/>
      <c r="H358" s="2733"/>
      <c r="I358" s="602"/>
      <c r="J358" s="2660"/>
      <c r="K358" s="2681"/>
      <c r="L358" s="2584"/>
      <c r="M358" s="2584"/>
      <c r="Q358" s="2585"/>
      <c r="R358" s="2585"/>
      <c r="U358" s="605"/>
      <c r="W358" s="605"/>
    </row>
    <row r="359" spans="1:23" s="604" customFormat="1" ht="13.5" customHeight="1">
      <c r="A359" s="595"/>
      <c r="B359" s="596"/>
      <c r="C359" s="597"/>
      <c r="D359" s="599" t="s">
        <v>4526</v>
      </c>
      <c r="E359" s="599"/>
      <c r="F359" s="600">
        <f>((5*1.8)*2)*0.8</f>
        <v>14.4</v>
      </c>
      <c r="G359" s="289"/>
      <c r="H359" s="2733"/>
      <c r="I359" s="602"/>
      <c r="J359" s="3085"/>
      <c r="K359" s="3086"/>
      <c r="L359" s="2584"/>
      <c r="M359" s="2584"/>
      <c r="Q359" s="2585"/>
      <c r="R359" s="2585"/>
      <c r="U359" s="605"/>
      <c r="W359" s="605"/>
    </row>
    <row r="360" spans="1:23" s="604" customFormat="1" ht="13.5" customHeight="1">
      <c r="A360" s="595"/>
      <c r="B360" s="596"/>
      <c r="C360" s="597"/>
      <c r="D360" s="599" t="s">
        <v>4527</v>
      </c>
      <c r="E360" s="599"/>
      <c r="F360" s="600">
        <f>((18.4*1.75)*2)*0.8</f>
        <v>51.519999999999996</v>
      </c>
      <c r="G360" s="289"/>
      <c r="H360" s="2733"/>
      <c r="I360" s="602"/>
      <c r="J360" s="3085"/>
      <c r="K360" s="3086"/>
      <c r="L360" s="2584"/>
      <c r="M360" s="2584"/>
      <c r="Q360" s="2585"/>
      <c r="R360" s="2585"/>
      <c r="U360" s="605"/>
      <c r="W360" s="605"/>
    </row>
    <row r="361" spans="1:23" s="604" customFormat="1" ht="13.5" customHeight="1">
      <c r="A361" s="595"/>
      <c r="B361" s="596"/>
      <c r="C361" s="597"/>
      <c r="D361" s="599" t="s">
        <v>4528</v>
      </c>
      <c r="E361" s="599"/>
      <c r="F361" s="600">
        <f>((7.6*1.5)*2)*0.8</f>
        <v>18.239999999999998</v>
      </c>
      <c r="G361" s="289"/>
      <c r="H361" s="2733"/>
      <c r="I361" s="602"/>
      <c r="J361" s="3085"/>
      <c r="K361" s="3086"/>
      <c r="L361" s="2584"/>
      <c r="M361" s="2584"/>
      <c r="Q361" s="2585"/>
      <c r="R361" s="2585"/>
      <c r="U361" s="605"/>
      <c r="W361" s="605"/>
    </row>
    <row r="362" spans="1:23" s="604" customFormat="1" ht="13.5" customHeight="1">
      <c r="A362" s="595"/>
      <c r="B362" s="596"/>
      <c r="C362" s="597"/>
      <c r="D362" s="599" t="s">
        <v>4529</v>
      </c>
      <c r="E362" s="599"/>
      <c r="F362" s="600">
        <f>((1.9*1.4)*2)*0.8</f>
        <v>4.2559999999999993</v>
      </c>
      <c r="G362" s="289"/>
      <c r="H362" s="2733"/>
      <c r="I362" s="602"/>
      <c r="J362" s="3085"/>
      <c r="K362" s="3086"/>
      <c r="L362" s="2584"/>
      <c r="M362" s="2584"/>
      <c r="Q362" s="2585"/>
      <c r="R362" s="2585"/>
      <c r="U362" s="605"/>
      <c r="W362" s="605"/>
    </row>
    <row r="363" spans="1:23" s="604" customFormat="1" ht="13.5" customHeight="1">
      <c r="A363" s="595"/>
      <c r="B363" s="596"/>
      <c r="C363" s="597"/>
      <c r="D363" s="599" t="s">
        <v>4530</v>
      </c>
      <c r="E363" s="599"/>
      <c r="F363" s="600">
        <f>((4.8*1.4)*2)*0.8</f>
        <v>10.752000000000001</v>
      </c>
      <c r="G363" s="289"/>
      <c r="H363" s="2733"/>
      <c r="I363" s="602"/>
      <c r="J363" s="3085"/>
      <c r="K363" s="3086"/>
      <c r="L363" s="2584"/>
      <c r="M363" s="2584"/>
      <c r="Q363" s="2585"/>
      <c r="R363" s="2585"/>
      <c r="U363" s="605"/>
      <c r="W363" s="605"/>
    </row>
    <row r="364" spans="1:23" s="604" customFormat="1" ht="13.5" customHeight="1">
      <c r="A364" s="595"/>
      <c r="B364" s="596"/>
      <c r="C364" s="597"/>
      <c r="D364" s="599" t="s">
        <v>4531</v>
      </c>
      <c r="E364" s="599"/>
      <c r="F364" s="600">
        <f>((1.7*1.4)*2)*0.8</f>
        <v>3.8079999999999998</v>
      </c>
      <c r="G364" s="289"/>
      <c r="H364" s="2733"/>
      <c r="I364" s="602"/>
      <c r="J364" s="606"/>
      <c r="L364" s="2584"/>
      <c r="M364" s="2584"/>
      <c r="Q364" s="2585"/>
      <c r="R364" s="2585"/>
      <c r="U364" s="605"/>
      <c r="W364" s="605"/>
    </row>
    <row r="365" spans="1:23" s="604" customFormat="1" ht="13.5" customHeight="1">
      <c r="A365" s="595"/>
      <c r="B365" s="596"/>
      <c r="C365" s="597"/>
      <c r="D365" s="599" t="s">
        <v>4532</v>
      </c>
      <c r="E365" s="599"/>
      <c r="F365" s="600">
        <f>((5*1.5)*2)*0.8</f>
        <v>12</v>
      </c>
      <c r="G365" s="289"/>
      <c r="H365" s="2733"/>
      <c r="I365" s="602"/>
      <c r="J365" s="606"/>
      <c r="L365" s="2584"/>
      <c r="M365" s="2584"/>
      <c r="Q365" s="2585"/>
      <c r="R365" s="2585"/>
      <c r="U365" s="605"/>
      <c r="W365" s="605"/>
    </row>
    <row r="366" spans="1:23" s="604" customFormat="1" ht="13.5" customHeight="1">
      <c r="A366" s="595"/>
      <c r="B366" s="596"/>
      <c r="C366" s="597"/>
      <c r="D366" s="599" t="s">
        <v>4533</v>
      </c>
      <c r="E366" s="599"/>
      <c r="F366" s="600">
        <f>((21.4*1.35)*2)*0.8</f>
        <v>46.224000000000004</v>
      </c>
      <c r="G366" s="289"/>
      <c r="H366" s="2733"/>
      <c r="I366" s="602"/>
      <c r="J366" s="606"/>
      <c r="L366" s="2584"/>
      <c r="M366" s="2584"/>
      <c r="Q366" s="2585"/>
      <c r="R366" s="2585"/>
      <c r="U366" s="605"/>
      <c r="W366" s="605"/>
    </row>
    <row r="367" spans="1:23" s="604" customFormat="1" ht="13.5" customHeight="1">
      <c r="A367" s="595"/>
      <c r="B367" s="596"/>
      <c r="C367" s="597"/>
      <c r="D367" s="599" t="s">
        <v>4534</v>
      </c>
      <c r="E367" s="599"/>
      <c r="F367" s="600">
        <f>((3.6*1.15)*2)*0.8</f>
        <v>6.6239999999999997</v>
      </c>
      <c r="G367" s="289"/>
      <c r="H367" s="2733"/>
      <c r="I367" s="602"/>
      <c r="J367" s="3082"/>
      <c r="L367" s="2584"/>
      <c r="M367" s="2584"/>
      <c r="Q367" s="2585"/>
      <c r="R367" s="2585"/>
      <c r="U367" s="605"/>
      <c r="W367" s="605"/>
    </row>
    <row r="368" spans="1:23" s="604" customFormat="1" ht="13.5" customHeight="1">
      <c r="A368" s="595"/>
      <c r="B368" s="596"/>
      <c r="C368" s="597"/>
      <c r="D368" s="719" t="s">
        <v>4535</v>
      </c>
      <c r="E368" s="599"/>
      <c r="F368" s="600"/>
      <c r="G368" s="289"/>
      <c r="H368" s="2733"/>
      <c r="I368" s="602"/>
      <c r="J368" s="606"/>
      <c r="L368" s="2584"/>
      <c r="M368" s="2584"/>
      <c r="Q368" s="2585"/>
      <c r="R368" s="2585"/>
      <c r="U368" s="605"/>
      <c r="W368" s="605"/>
    </row>
    <row r="369" spans="1:23" s="604" customFormat="1" ht="13.5" customHeight="1">
      <c r="A369" s="595"/>
      <c r="B369" s="596"/>
      <c r="C369" s="597"/>
      <c r="D369" s="599" t="s">
        <v>4536</v>
      </c>
      <c r="E369" s="599"/>
      <c r="F369" s="600">
        <f>((1.5*1.15)*2)*0.8</f>
        <v>2.76</v>
      </c>
      <c r="G369" s="289"/>
      <c r="H369" s="2733"/>
      <c r="I369" s="602"/>
      <c r="J369" s="606"/>
      <c r="L369" s="2584"/>
      <c r="M369" s="2584"/>
      <c r="Q369" s="2585"/>
      <c r="R369" s="2585"/>
      <c r="U369" s="605"/>
      <c r="W369" s="605"/>
    </row>
    <row r="370" spans="1:23" s="604" customFormat="1" ht="13.5" customHeight="1">
      <c r="A370" s="595"/>
      <c r="B370" s="596"/>
      <c r="C370" s="597"/>
      <c r="D370" s="599" t="s">
        <v>4537</v>
      </c>
      <c r="E370" s="599"/>
      <c r="F370" s="600">
        <f>((18.2*1.3)*2)*0.8</f>
        <v>37.856000000000002</v>
      </c>
      <c r="G370" s="289"/>
      <c r="H370" s="2733"/>
      <c r="I370" s="602"/>
      <c r="J370" s="606"/>
      <c r="L370" s="2584"/>
      <c r="M370" s="2584"/>
      <c r="Q370" s="2585"/>
      <c r="R370" s="2585"/>
      <c r="U370" s="605"/>
      <c r="W370" s="605"/>
    </row>
    <row r="371" spans="1:23" s="604" customFormat="1" ht="13.5" customHeight="1">
      <c r="A371" s="595"/>
      <c r="B371" s="596"/>
      <c r="C371" s="597"/>
      <c r="D371" s="599" t="s">
        <v>4538</v>
      </c>
      <c r="E371" s="599"/>
      <c r="F371" s="600">
        <f>((5.8*1.4)*2)*0.8</f>
        <v>12.991999999999999</v>
      </c>
      <c r="G371" s="289"/>
      <c r="H371" s="2733"/>
      <c r="I371" s="602"/>
      <c r="J371" s="606"/>
      <c r="L371" s="2584"/>
      <c r="M371" s="2584"/>
      <c r="Q371" s="2585"/>
      <c r="R371" s="2585"/>
      <c r="U371" s="605"/>
      <c r="W371" s="605"/>
    </row>
    <row r="372" spans="1:23" s="604" customFormat="1" ht="13.5" customHeight="1">
      <c r="A372" s="595"/>
      <c r="B372" s="596"/>
      <c r="C372" s="597"/>
      <c r="D372" s="599" t="s">
        <v>4539</v>
      </c>
      <c r="E372" s="599"/>
      <c r="F372" s="600">
        <f>((15.1*1.2)*2)*0.8</f>
        <v>28.991999999999997</v>
      </c>
      <c r="G372" s="289"/>
      <c r="H372" s="2733"/>
      <c r="I372" s="602"/>
      <c r="J372" s="606"/>
      <c r="L372" s="2584"/>
      <c r="M372" s="2584"/>
      <c r="Q372" s="2585"/>
      <c r="R372" s="2585"/>
      <c r="U372" s="605"/>
      <c r="W372" s="605"/>
    </row>
    <row r="373" spans="1:23" s="604" customFormat="1" ht="13.5" customHeight="1">
      <c r="A373" s="595"/>
      <c r="B373" s="596"/>
      <c r="C373" s="597"/>
      <c r="D373" s="599" t="s">
        <v>4540</v>
      </c>
      <c r="E373" s="599"/>
      <c r="F373" s="600">
        <f>((9.5*1.25)*2)*0.8</f>
        <v>19</v>
      </c>
      <c r="G373" s="289"/>
      <c r="H373" s="2733"/>
      <c r="I373" s="602"/>
      <c r="J373" s="606"/>
      <c r="L373" s="2584"/>
      <c r="M373" s="2584"/>
      <c r="Q373" s="2585"/>
      <c r="R373" s="2585"/>
      <c r="U373" s="605"/>
      <c r="W373" s="605"/>
    </row>
    <row r="374" spans="1:23" s="604" customFormat="1" ht="13.5" customHeight="1">
      <c r="A374" s="595"/>
      <c r="B374" s="596"/>
      <c r="C374" s="597"/>
      <c r="D374" s="599" t="s">
        <v>4541</v>
      </c>
      <c r="E374" s="599"/>
      <c r="F374" s="600">
        <f>((3.9*1.6)*2)*0.8</f>
        <v>9.9840000000000018</v>
      </c>
      <c r="G374" s="289"/>
      <c r="H374" s="2733"/>
      <c r="I374" s="602"/>
      <c r="J374" s="606"/>
      <c r="L374" s="2584"/>
      <c r="M374" s="2584"/>
      <c r="Q374" s="2585"/>
      <c r="R374" s="2585"/>
      <c r="U374" s="605"/>
      <c r="W374" s="605"/>
    </row>
    <row r="375" spans="1:23" s="604" customFormat="1" ht="13.5" customHeight="1">
      <c r="A375" s="595"/>
      <c r="B375" s="596"/>
      <c r="C375" s="597"/>
      <c r="D375" s="599" t="s">
        <v>4542</v>
      </c>
      <c r="E375" s="599"/>
      <c r="F375" s="600">
        <f>((11.4*1.65)*2)*0.8</f>
        <v>30.096</v>
      </c>
      <c r="G375" s="289"/>
      <c r="H375" s="2733"/>
      <c r="I375" s="602"/>
      <c r="J375" s="606"/>
      <c r="L375" s="2584"/>
      <c r="M375" s="2584"/>
      <c r="Q375" s="2585"/>
      <c r="R375" s="2585"/>
      <c r="U375" s="605"/>
      <c r="W375" s="605"/>
    </row>
    <row r="376" spans="1:23" s="604" customFormat="1" ht="13.5" customHeight="1">
      <c r="A376" s="595"/>
      <c r="B376" s="596"/>
      <c r="C376" s="597"/>
      <c r="D376" s="599" t="s">
        <v>4543</v>
      </c>
      <c r="E376" s="599"/>
      <c r="F376" s="600">
        <f>((8.4*1.75)*2)*0.8</f>
        <v>23.520000000000003</v>
      </c>
      <c r="G376" s="289"/>
      <c r="H376" s="2733"/>
      <c r="I376" s="602"/>
      <c r="J376" s="606"/>
      <c r="L376" s="2584"/>
      <c r="M376" s="2584"/>
      <c r="Q376" s="2585"/>
      <c r="R376" s="2585"/>
      <c r="U376" s="605"/>
      <c r="W376" s="605"/>
    </row>
    <row r="377" spans="1:23" s="604" customFormat="1" ht="13.5" customHeight="1">
      <c r="A377" s="595"/>
      <c r="B377" s="596"/>
      <c r="C377" s="597"/>
      <c r="D377" s="599" t="s">
        <v>4544</v>
      </c>
      <c r="E377" s="599"/>
      <c r="F377" s="600">
        <f>((1*1.8)*2)*0.8</f>
        <v>2.8800000000000003</v>
      </c>
      <c r="G377" s="289"/>
      <c r="H377" s="2733"/>
      <c r="I377" s="602"/>
      <c r="J377" s="606"/>
      <c r="L377" s="2584"/>
      <c r="M377" s="2584"/>
      <c r="Q377" s="2585"/>
      <c r="R377" s="2585"/>
      <c r="U377" s="605"/>
      <c r="W377" s="605"/>
    </row>
    <row r="378" spans="1:23" s="604" customFormat="1" ht="13.5" customHeight="1">
      <c r="A378" s="595"/>
      <c r="B378" s="596"/>
      <c r="C378" s="597"/>
      <c r="D378" s="599" t="s">
        <v>4545</v>
      </c>
      <c r="E378" s="599"/>
      <c r="F378" s="600">
        <f>((7.8*1.6)*2)*0.8</f>
        <v>19.968000000000004</v>
      </c>
      <c r="G378" s="289"/>
      <c r="H378" s="2733"/>
      <c r="I378" s="602"/>
      <c r="J378" s="606"/>
      <c r="L378" s="2584"/>
      <c r="M378" s="2584"/>
      <c r="Q378" s="2585"/>
      <c r="R378" s="2585"/>
      <c r="U378" s="605"/>
      <c r="W378" s="605"/>
    </row>
    <row r="379" spans="1:23" s="604" customFormat="1" ht="13.5" customHeight="1">
      <c r="A379" s="595"/>
      <c r="B379" s="596"/>
      <c r="C379" s="597"/>
      <c r="D379" s="599" t="s">
        <v>4546</v>
      </c>
      <c r="E379" s="599"/>
      <c r="F379" s="600">
        <f>((19.7*1.35)*2)*0.8</f>
        <v>42.552000000000007</v>
      </c>
      <c r="G379" s="289"/>
      <c r="H379" s="2733"/>
      <c r="I379" s="602"/>
      <c r="J379" s="606"/>
      <c r="L379" s="2584"/>
      <c r="M379" s="2584"/>
      <c r="Q379" s="2585"/>
      <c r="R379" s="2585"/>
      <c r="U379" s="605"/>
      <c r="W379" s="605"/>
    </row>
    <row r="380" spans="1:23" s="604" customFormat="1" ht="13.5" customHeight="1">
      <c r="A380" s="595"/>
      <c r="B380" s="596"/>
      <c r="C380" s="597"/>
      <c r="D380" s="599" t="s">
        <v>4547</v>
      </c>
      <c r="E380" s="599"/>
      <c r="F380" s="600">
        <f>((25*1.35)*2)*0.8</f>
        <v>54</v>
      </c>
      <c r="G380" s="289"/>
      <c r="H380" s="2733"/>
      <c r="I380" s="602"/>
      <c r="J380" s="606"/>
      <c r="L380" s="2584"/>
      <c r="M380" s="2584"/>
      <c r="Q380" s="2585"/>
      <c r="R380" s="2585"/>
      <c r="U380" s="605"/>
      <c r="W380" s="605"/>
    </row>
    <row r="381" spans="1:23" s="604" customFormat="1" ht="13.5" customHeight="1">
      <c r="A381" s="595"/>
      <c r="B381" s="596"/>
      <c r="C381" s="597"/>
      <c r="D381" s="599" t="s">
        <v>4548</v>
      </c>
      <c r="E381" s="599"/>
      <c r="F381" s="600">
        <f>((2.1*1.35)*2)*0.8</f>
        <v>4.5360000000000005</v>
      </c>
      <c r="G381" s="289"/>
      <c r="H381" s="2733"/>
      <c r="I381" s="602"/>
      <c r="J381" s="606"/>
      <c r="L381" s="2584"/>
      <c r="M381" s="2584"/>
      <c r="Q381" s="2585"/>
      <c r="R381" s="2585"/>
      <c r="U381" s="605"/>
      <c r="W381" s="605"/>
    </row>
    <row r="382" spans="1:23" s="604" customFormat="1" ht="27" customHeight="1">
      <c r="A382" s="595"/>
      <c r="B382" s="596"/>
      <c r="C382" s="597"/>
      <c r="D382" s="599" t="s">
        <v>4549</v>
      </c>
      <c r="E382" s="599"/>
      <c r="F382" s="600">
        <f>((2.5*1.35)*2)*0.8</f>
        <v>5.4</v>
      </c>
      <c r="G382" s="289"/>
      <c r="H382" s="2733"/>
      <c r="I382" s="602"/>
      <c r="J382" s="606"/>
      <c r="L382" s="2584"/>
      <c r="M382" s="2584"/>
      <c r="Q382" s="2585"/>
      <c r="R382" s="2585"/>
      <c r="U382" s="605"/>
      <c r="W382" s="605"/>
    </row>
    <row r="383" spans="1:23" s="604" customFormat="1" ht="13.5" customHeight="1">
      <c r="A383" s="595"/>
      <c r="B383" s="596"/>
      <c r="C383" s="597"/>
      <c r="D383" s="599" t="s">
        <v>4550</v>
      </c>
      <c r="E383" s="599"/>
      <c r="F383" s="600">
        <f>((4.6*1.65)*2)*0.8</f>
        <v>12.143999999999998</v>
      </c>
      <c r="G383" s="289"/>
      <c r="H383" s="2733"/>
      <c r="I383" s="602"/>
      <c r="J383" s="606"/>
      <c r="L383" s="2584"/>
      <c r="M383" s="2584"/>
      <c r="Q383" s="2585"/>
      <c r="R383" s="2585"/>
      <c r="U383" s="605"/>
      <c r="W383" s="605"/>
    </row>
    <row r="384" spans="1:23" s="604" customFormat="1" ht="13.5" customHeight="1">
      <c r="A384" s="595"/>
      <c r="B384" s="596"/>
      <c r="C384" s="597"/>
      <c r="D384" s="599" t="s">
        <v>4551</v>
      </c>
      <c r="E384" s="599"/>
      <c r="F384" s="600">
        <f>((6.2*1)*2)*0.8</f>
        <v>9.9200000000000017</v>
      </c>
      <c r="G384" s="289"/>
      <c r="H384" s="2733"/>
      <c r="I384" s="602"/>
      <c r="J384" s="606"/>
      <c r="L384" s="2584"/>
      <c r="M384" s="2584"/>
      <c r="Q384" s="2585"/>
      <c r="R384" s="2585"/>
      <c r="U384" s="605"/>
      <c r="W384" s="605"/>
    </row>
    <row r="385" spans="1:23" s="604" customFormat="1" ht="13.5" customHeight="1">
      <c r="A385" s="595"/>
      <c r="B385" s="596"/>
      <c r="C385" s="597"/>
      <c r="D385" s="599" t="s">
        <v>4552</v>
      </c>
      <c r="E385" s="599"/>
      <c r="F385" s="600">
        <f>((3.2*1.35)*2)*0.8</f>
        <v>6.9120000000000008</v>
      </c>
      <c r="G385" s="289"/>
      <c r="H385" s="2733"/>
      <c r="I385" s="602"/>
      <c r="J385" s="3082"/>
      <c r="L385" s="2584"/>
      <c r="M385" s="2584"/>
      <c r="Q385" s="2585"/>
      <c r="R385" s="2585"/>
      <c r="U385" s="605"/>
      <c r="W385" s="605"/>
    </row>
    <row r="386" spans="1:23" s="604" customFormat="1" ht="13.5" customHeight="1">
      <c r="A386" s="1586"/>
      <c r="B386" s="596"/>
      <c r="C386" s="597"/>
      <c r="D386" s="719" t="s">
        <v>4553</v>
      </c>
      <c r="E386" s="599"/>
      <c r="F386" s="600"/>
      <c r="G386" s="289"/>
      <c r="H386" s="601"/>
      <c r="I386" s="602"/>
      <c r="J386" s="3087"/>
      <c r="K386" s="3088"/>
      <c r="L386" s="3088"/>
      <c r="M386" s="3087"/>
      <c r="N386" s="1644"/>
      <c r="U386" s="605"/>
      <c r="W386" s="605"/>
    </row>
    <row r="387" spans="1:23" s="604" customFormat="1" ht="13.5" customHeight="1">
      <c r="A387" s="1586"/>
      <c r="B387" s="596"/>
      <c r="C387" s="597"/>
      <c r="D387" s="599" t="s">
        <v>4554</v>
      </c>
      <c r="E387" s="599"/>
      <c r="F387" s="600">
        <f>((2*1.65)*4)*0.8</f>
        <v>10.56</v>
      </c>
      <c r="G387" s="289"/>
      <c r="H387" s="601"/>
      <c r="I387" s="602"/>
      <c r="J387" s="3087"/>
      <c r="K387" s="3088"/>
      <c r="L387" s="3088"/>
      <c r="M387" s="3087"/>
      <c r="N387" s="1644"/>
      <c r="U387" s="605"/>
      <c r="W387" s="605"/>
    </row>
    <row r="388" spans="1:23" s="604" customFormat="1" ht="13.5" customHeight="1">
      <c r="A388" s="595"/>
      <c r="B388" s="596"/>
      <c r="C388" s="597"/>
      <c r="D388" s="719" t="s">
        <v>4555</v>
      </c>
      <c r="E388" s="599"/>
      <c r="F388" s="600"/>
      <c r="G388" s="289"/>
      <c r="H388" s="601"/>
      <c r="I388" s="602"/>
      <c r="U388" s="605"/>
      <c r="W388" s="605"/>
    </row>
    <row r="389" spans="1:23" s="604" customFormat="1" ht="13.5" customHeight="1">
      <c r="A389" s="595"/>
      <c r="B389" s="596"/>
      <c r="C389" s="597"/>
      <c r="D389" s="599" t="s">
        <v>4556</v>
      </c>
      <c r="E389" s="599"/>
      <c r="F389" s="600">
        <f>((1.6*1.35)*4)*0.8</f>
        <v>6.9120000000000008</v>
      </c>
      <c r="G389" s="289"/>
      <c r="H389" s="601"/>
      <c r="I389" s="602"/>
      <c r="J389" s="606"/>
      <c r="U389" s="605"/>
      <c r="W389" s="605"/>
    </row>
    <row r="390" spans="1:23" s="604" customFormat="1" ht="13.5" customHeight="1">
      <c r="A390" s="595"/>
      <c r="B390" s="596"/>
      <c r="C390" s="597"/>
      <c r="D390" s="599" t="s">
        <v>4557</v>
      </c>
      <c r="E390" s="599"/>
      <c r="F390" s="600">
        <f>((1.6*1.6)*4)*0.8</f>
        <v>8.1920000000000019</v>
      </c>
      <c r="G390" s="289"/>
      <c r="H390" s="601"/>
      <c r="I390" s="602"/>
      <c r="J390" s="606"/>
      <c r="U390" s="605"/>
      <c r="W390" s="605"/>
    </row>
    <row r="391" spans="1:23" s="604" customFormat="1" ht="13.5" customHeight="1">
      <c r="A391" s="595"/>
      <c r="B391" s="596"/>
      <c r="C391" s="597"/>
      <c r="D391" s="599" t="s">
        <v>4558</v>
      </c>
      <c r="E391" s="599"/>
      <c r="F391" s="600">
        <f>((1.6*1.9)*4)*0.8</f>
        <v>9.7280000000000015</v>
      </c>
      <c r="G391" s="289"/>
      <c r="H391" s="601"/>
      <c r="I391" s="602"/>
      <c r="J391" s="606"/>
      <c r="U391" s="605"/>
      <c r="W391" s="605"/>
    </row>
    <row r="392" spans="1:23" s="604" customFormat="1" ht="13.5" customHeight="1">
      <c r="A392" s="595"/>
      <c r="B392" s="596"/>
      <c r="C392" s="597"/>
      <c r="D392" s="599" t="s">
        <v>4559</v>
      </c>
      <c r="E392" s="599"/>
      <c r="F392" s="600">
        <f>((1.6*1.65)*4)*0.8</f>
        <v>8.4480000000000004</v>
      </c>
      <c r="G392" s="289"/>
      <c r="H392" s="601"/>
      <c r="I392" s="602"/>
      <c r="J392" s="606"/>
      <c r="U392" s="605"/>
      <c r="W392" s="605"/>
    </row>
    <row r="393" spans="1:23" s="604" customFormat="1" ht="13.5" customHeight="1">
      <c r="A393" s="595"/>
      <c r="B393" s="596"/>
      <c r="C393" s="597"/>
      <c r="D393" s="599" t="s">
        <v>4560</v>
      </c>
      <c r="E393" s="599"/>
      <c r="F393" s="600">
        <f>((1.6*1.15)*4)*0.8</f>
        <v>5.8879999999999999</v>
      </c>
      <c r="G393" s="289"/>
      <c r="H393" s="601"/>
      <c r="I393" s="602"/>
      <c r="J393" s="606"/>
      <c r="U393" s="605"/>
      <c r="W393" s="605"/>
    </row>
    <row r="394" spans="1:23" s="604" customFormat="1" ht="13.5" customHeight="1">
      <c r="A394" s="595"/>
      <c r="B394" s="596"/>
      <c r="C394" s="597"/>
      <c r="D394" s="599" t="s">
        <v>4561</v>
      </c>
      <c r="E394" s="599"/>
      <c r="F394" s="600">
        <f>((1.6*1.15)*4)*0.8</f>
        <v>5.8879999999999999</v>
      </c>
      <c r="G394" s="289"/>
      <c r="H394" s="601"/>
      <c r="I394" s="602"/>
      <c r="J394" s="606"/>
      <c r="U394" s="605"/>
      <c r="W394" s="605"/>
    </row>
    <row r="395" spans="1:23" s="604" customFormat="1" ht="13.5" customHeight="1">
      <c r="A395" s="595"/>
      <c r="B395" s="596"/>
      <c r="C395" s="597"/>
      <c r="D395" s="599" t="s">
        <v>4562</v>
      </c>
      <c r="E395" s="599"/>
      <c r="F395" s="600">
        <f>((1.6*1.1)*4)*0.8</f>
        <v>5.6320000000000014</v>
      </c>
      <c r="G395" s="289"/>
      <c r="H395" s="601"/>
      <c r="I395" s="602"/>
      <c r="J395" s="606"/>
      <c r="U395" s="605"/>
      <c r="W395" s="605"/>
    </row>
    <row r="396" spans="1:23" s="604" customFormat="1" ht="13.5" customHeight="1">
      <c r="A396" s="595"/>
      <c r="B396" s="596"/>
      <c r="C396" s="597"/>
      <c r="D396" s="599" t="s">
        <v>4563</v>
      </c>
      <c r="E396" s="599"/>
      <c r="F396" s="600">
        <f>((1.6*1.35)*4)*0.8</f>
        <v>6.9120000000000008</v>
      </c>
      <c r="G396" s="289"/>
      <c r="H396" s="601"/>
      <c r="I396" s="602"/>
      <c r="J396" s="606"/>
      <c r="U396" s="605"/>
      <c r="W396" s="605"/>
    </row>
    <row r="397" spans="1:23" s="604" customFormat="1" ht="13.5" customHeight="1">
      <c r="A397" s="595"/>
      <c r="B397" s="596"/>
      <c r="C397" s="597"/>
      <c r="D397" s="599" t="s">
        <v>4564</v>
      </c>
      <c r="E397" s="599"/>
      <c r="F397" s="600">
        <f>((1.6*1.35)*4)*0.8</f>
        <v>6.9120000000000008</v>
      </c>
      <c r="G397" s="289"/>
      <c r="H397" s="601"/>
      <c r="I397" s="602"/>
      <c r="J397" s="606"/>
      <c r="U397" s="605"/>
      <c r="W397" s="605"/>
    </row>
    <row r="398" spans="1:23" s="604" customFormat="1" ht="13.5" customHeight="1">
      <c r="A398" s="595"/>
      <c r="B398" s="596"/>
      <c r="C398" s="597"/>
      <c r="D398" s="599" t="s">
        <v>4565</v>
      </c>
      <c r="E398" s="599"/>
      <c r="F398" s="600">
        <f>((1.6*1.15)*4)*0.8</f>
        <v>5.8879999999999999</v>
      </c>
      <c r="G398" s="289"/>
      <c r="H398" s="601"/>
      <c r="I398" s="602"/>
      <c r="J398" s="606"/>
      <c r="U398" s="605"/>
      <c r="W398" s="605"/>
    </row>
    <row r="399" spans="1:23" s="604" customFormat="1" ht="13.5" customHeight="1">
      <c r="A399" s="595"/>
      <c r="B399" s="596"/>
      <c r="C399" s="597"/>
      <c r="D399" s="599" t="s">
        <v>4566</v>
      </c>
      <c r="E399" s="599"/>
      <c r="F399" s="600">
        <f>((1.6*1.8)*4)*0.8</f>
        <v>9.2160000000000011</v>
      </c>
      <c r="G399" s="289"/>
      <c r="H399" s="601"/>
      <c r="I399" s="602"/>
      <c r="J399" s="606"/>
      <c r="U399" s="605"/>
      <c r="W399" s="605"/>
    </row>
    <row r="400" spans="1:23" s="604" customFormat="1" ht="13.5" customHeight="1">
      <c r="A400" s="595"/>
      <c r="B400" s="596"/>
      <c r="C400" s="597"/>
      <c r="D400" s="599" t="s">
        <v>4567</v>
      </c>
      <c r="E400" s="599"/>
      <c r="F400" s="600">
        <f>((1.6*1.65)*4)*0.8</f>
        <v>8.4480000000000004</v>
      </c>
      <c r="G400" s="289"/>
      <c r="H400" s="601"/>
      <c r="I400" s="602"/>
      <c r="J400" s="606"/>
      <c r="U400" s="605"/>
      <c r="W400" s="605"/>
    </row>
    <row r="401" spans="1:23" s="604" customFormat="1" ht="13.5" customHeight="1">
      <c r="A401" s="595"/>
      <c r="B401" s="596"/>
      <c r="C401" s="597"/>
      <c r="D401" s="599" t="s">
        <v>4568</v>
      </c>
      <c r="E401" s="599"/>
      <c r="F401" s="600">
        <f>((1.6*1.65)*4)*0.8</f>
        <v>8.4480000000000004</v>
      </c>
      <c r="G401" s="289"/>
      <c r="H401" s="601"/>
      <c r="I401" s="602"/>
      <c r="J401" s="606"/>
      <c r="U401" s="605"/>
      <c r="W401" s="605"/>
    </row>
    <row r="402" spans="1:23" s="604" customFormat="1" ht="13.5" customHeight="1">
      <c r="A402" s="595"/>
      <c r="B402" s="596"/>
      <c r="C402" s="597"/>
      <c r="D402" s="599" t="s">
        <v>4569</v>
      </c>
      <c r="E402" s="599"/>
      <c r="F402" s="600">
        <f>((1.6*1.5)*4)*0.8</f>
        <v>7.6800000000000015</v>
      </c>
      <c r="G402" s="289"/>
      <c r="H402" s="601"/>
      <c r="I402" s="602"/>
      <c r="J402" s="606"/>
      <c r="U402" s="605"/>
      <c r="W402" s="605"/>
    </row>
    <row r="403" spans="1:23" s="604" customFormat="1" ht="13.5" customHeight="1">
      <c r="A403" s="595"/>
      <c r="B403" s="596"/>
      <c r="C403" s="597"/>
      <c r="D403" s="599" t="s">
        <v>4570</v>
      </c>
      <c r="E403" s="599"/>
      <c r="F403" s="600">
        <f>((1.6*1)*4)*0.8</f>
        <v>5.120000000000001</v>
      </c>
      <c r="G403" s="289"/>
      <c r="H403" s="601"/>
      <c r="I403" s="602"/>
      <c r="J403" s="606"/>
      <c r="U403" s="605"/>
      <c r="W403" s="605"/>
    </row>
    <row r="404" spans="1:23" s="604" customFormat="1" ht="13.5" customHeight="1">
      <c r="A404" s="595"/>
      <c r="B404" s="596"/>
      <c r="C404" s="597"/>
      <c r="D404" s="599" t="s">
        <v>4571</v>
      </c>
      <c r="E404" s="599"/>
      <c r="F404" s="600">
        <f>((1.6*1.35)*4)*0.8</f>
        <v>6.9120000000000008</v>
      </c>
      <c r="G404" s="289"/>
      <c r="H404" s="601"/>
      <c r="I404" s="602"/>
      <c r="J404" s="606"/>
      <c r="U404" s="605"/>
      <c r="W404" s="605"/>
    </row>
    <row r="405" spans="1:23" s="604" customFormat="1" ht="13.5" customHeight="1">
      <c r="A405" s="595"/>
      <c r="B405" s="596"/>
      <c r="C405" s="597"/>
      <c r="D405" s="599" t="s">
        <v>4572</v>
      </c>
      <c r="E405" s="599"/>
      <c r="F405" s="600">
        <f>((1.6*1.4)*4)*0.8</f>
        <v>7.1679999999999993</v>
      </c>
      <c r="G405" s="289"/>
      <c r="H405" s="601"/>
      <c r="I405" s="602"/>
      <c r="J405" s="606"/>
      <c r="U405" s="605"/>
      <c r="W405" s="605"/>
    </row>
    <row r="406" spans="1:23" s="604" customFormat="1" ht="13.5" customHeight="1">
      <c r="A406" s="595"/>
      <c r="B406" s="596"/>
      <c r="C406" s="597"/>
      <c r="D406" s="599" t="s">
        <v>4573</v>
      </c>
      <c r="E406" s="599"/>
      <c r="F406" s="600">
        <f>((1.6*1.15)*4)*0.8</f>
        <v>5.8879999999999999</v>
      </c>
      <c r="G406" s="289"/>
      <c r="H406" s="601"/>
      <c r="I406" s="602"/>
      <c r="J406" s="606"/>
      <c r="U406" s="605"/>
      <c r="W406" s="605"/>
    </row>
    <row r="407" spans="1:23" s="604" customFormat="1" ht="13.5" customHeight="1">
      <c r="A407" s="595"/>
      <c r="B407" s="596"/>
      <c r="C407" s="597"/>
      <c r="D407" s="599" t="s">
        <v>4574</v>
      </c>
      <c r="E407" s="599"/>
      <c r="F407" s="600">
        <f>((1.6*1.35)*4)*0.8</f>
        <v>6.9120000000000008</v>
      </c>
      <c r="G407" s="289"/>
      <c r="H407" s="601"/>
      <c r="I407" s="602"/>
      <c r="J407" s="606"/>
      <c r="U407" s="605"/>
      <c r="W407" s="605"/>
    </row>
    <row r="408" spans="1:23" s="604" customFormat="1" ht="13.5" customHeight="1">
      <c r="A408" s="595"/>
      <c r="B408" s="596"/>
      <c r="C408" s="597"/>
      <c r="D408" s="599" t="s">
        <v>4575</v>
      </c>
      <c r="E408" s="599"/>
      <c r="F408" s="600">
        <f>((1.6*1.35)*4)*0.8</f>
        <v>6.9120000000000008</v>
      </c>
      <c r="G408" s="289"/>
      <c r="H408" s="601"/>
      <c r="I408" s="602"/>
      <c r="J408" s="606"/>
      <c r="U408" s="605"/>
      <c r="W408" s="605"/>
    </row>
    <row r="409" spans="1:23" s="604" customFormat="1" ht="13.5" customHeight="1">
      <c r="A409" s="595"/>
      <c r="B409" s="596"/>
      <c r="C409" s="597"/>
      <c r="D409" s="599" t="s">
        <v>4576</v>
      </c>
      <c r="E409" s="599"/>
      <c r="F409" s="600">
        <f>((1.6*1.35)*4)*0.8</f>
        <v>6.9120000000000008</v>
      </c>
      <c r="G409" s="289"/>
      <c r="H409" s="601"/>
      <c r="I409" s="602"/>
      <c r="J409" s="606"/>
      <c r="U409" s="605"/>
      <c r="W409" s="605"/>
    </row>
    <row r="410" spans="1:23" s="888" customFormat="1" ht="13.5" customHeight="1">
      <c r="A410" s="2664" t="s">
        <v>1199</v>
      </c>
      <c r="B410" s="2665" t="s">
        <v>135</v>
      </c>
      <c r="C410" s="2666">
        <v>151101111</v>
      </c>
      <c r="D410" s="2666" t="s">
        <v>2378</v>
      </c>
      <c r="E410" s="2666" t="s">
        <v>163</v>
      </c>
      <c r="F410" s="3091">
        <f>F346</f>
        <v>783.55200000000002</v>
      </c>
      <c r="G410" s="287"/>
      <c r="H410" s="568">
        <f t="shared" ref="H410:H411" si="8">ROUND(F410*G410,2)</f>
        <v>0</v>
      </c>
      <c r="I410" s="613" t="s">
        <v>137</v>
      </c>
      <c r="J410" s="2668"/>
    </row>
    <row r="411" spans="1:23" s="888" customFormat="1" ht="13.5" customHeight="1">
      <c r="A411" s="2664" t="s">
        <v>883</v>
      </c>
      <c r="B411" s="2665" t="s">
        <v>135</v>
      </c>
      <c r="C411" s="2666">
        <v>171152501</v>
      </c>
      <c r="D411" s="2666" t="s">
        <v>162</v>
      </c>
      <c r="E411" s="2666" t="s">
        <v>163</v>
      </c>
      <c r="F411" s="3091">
        <f>ROUND(SUM(F412:F413),3)</f>
        <v>57.76</v>
      </c>
      <c r="G411" s="287"/>
      <c r="H411" s="568">
        <f t="shared" si="8"/>
        <v>0</v>
      </c>
      <c r="I411" s="613" t="s">
        <v>137</v>
      </c>
      <c r="J411" s="2668"/>
    </row>
    <row r="412" spans="1:23" s="888" customFormat="1" ht="13.5" customHeight="1">
      <c r="A412" s="2664"/>
      <c r="B412" s="2665"/>
      <c r="C412" s="2666"/>
      <c r="D412" s="777" t="s">
        <v>4577</v>
      </c>
      <c r="E412" s="2666"/>
      <c r="F412" s="779">
        <f>(1.6*1.6)*21</f>
        <v>53.760000000000012</v>
      </c>
      <c r="G412" s="287"/>
      <c r="H412" s="2667"/>
      <c r="I412" s="2670"/>
      <c r="J412" s="2671"/>
    </row>
    <row r="413" spans="1:23" s="888" customFormat="1" ht="13.5" customHeight="1">
      <c r="A413" s="2664"/>
      <c r="B413" s="2665"/>
      <c r="C413" s="2666"/>
      <c r="D413" s="777" t="s">
        <v>4578</v>
      </c>
      <c r="E413" s="2666"/>
      <c r="F413" s="779">
        <f>(2*2)*1</f>
        <v>4</v>
      </c>
      <c r="G413" s="291"/>
      <c r="H413" s="2718"/>
      <c r="I413" s="2670"/>
      <c r="J413" s="3087"/>
      <c r="K413" s="3088"/>
      <c r="L413" s="3088"/>
      <c r="M413" s="3087"/>
      <c r="N413" s="1644"/>
      <c r="O413" s="612"/>
    </row>
    <row r="414" spans="1:23" s="612" customFormat="1" ht="13.5" customHeight="1">
      <c r="A414" s="608">
        <v>18</v>
      </c>
      <c r="B414" s="557" t="s">
        <v>135</v>
      </c>
      <c r="C414" s="557">
        <v>174151101</v>
      </c>
      <c r="D414" s="557" t="s">
        <v>4579</v>
      </c>
      <c r="E414" s="557" t="s">
        <v>146</v>
      </c>
      <c r="F414" s="3091">
        <f>ROUND(SUM(F416:F496),3)</f>
        <v>346.18099999999998</v>
      </c>
      <c r="G414" s="288"/>
      <c r="H414" s="568">
        <f t="shared" ref="H414" si="9">ROUND(F414*G414,2)</f>
        <v>0</v>
      </c>
      <c r="I414" s="613" t="s">
        <v>137</v>
      </c>
      <c r="J414" s="637"/>
    </row>
    <row r="415" spans="1:23" s="604" customFormat="1" ht="13.5" customHeight="1">
      <c r="A415" s="595"/>
      <c r="B415" s="596"/>
      <c r="C415" s="597"/>
      <c r="D415" s="719" t="s">
        <v>4580</v>
      </c>
      <c r="E415" s="599"/>
      <c r="F415" s="600"/>
      <c r="G415" s="289"/>
      <c r="H415" s="601"/>
      <c r="I415" s="602"/>
      <c r="J415" s="3093"/>
      <c r="Q415" s="3080"/>
      <c r="R415" s="3080"/>
      <c r="U415" s="605"/>
      <c r="W415" s="605"/>
    </row>
    <row r="416" spans="1:23" s="604" customFormat="1" ht="27" customHeight="1">
      <c r="A416" s="595"/>
      <c r="B416" s="596"/>
      <c r="C416" s="597"/>
      <c r="D416" s="599" t="s">
        <v>4581</v>
      </c>
      <c r="E416" s="599"/>
      <c r="F416" s="600">
        <f>(4.7*1.2)*(1.65-0.15-0.4)</f>
        <v>6.2039999999999997</v>
      </c>
      <c r="G416" s="289"/>
      <c r="H416" s="2733"/>
      <c r="I416" s="602"/>
      <c r="J416" s="3081"/>
      <c r="L416" s="2584"/>
      <c r="M416" s="2584"/>
      <c r="Q416" s="2585"/>
      <c r="R416" s="2585"/>
      <c r="U416" s="605"/>
      <c r="W416" s="605"/>
    </row>
    <row r="417" spans="1:23" s="604" customFormat="1" ht="27" customHeight="1">
      <c r="A417" s="595"/>
      <c r="B417" s="596"/>
      <c r="C417" s="597"/>
      <c r="D417" s="599" t="s">
        <v>4582</v>
      </c>
      <c r="E417" s="599"/>
      <c r="F417" s="600">
        <f>(0.5*1.2)*(1.15-0.15-0.4)</f>
        <v>0.35999999999999993</v>
      </c>
      <c r="G417" s="289"/>
      <c r="H417" s="2733"/>
      <c r="I417" s="602"/>
      <c r="J417" s="606"/>
      <c r="L417" s="2584"/>
      <c r="M417" s="2584"/>
      <c r="Q417" s="2585"/>
      <c r="R417" s="2585"/>
      <c r="U417" s="605"/>
      <c r="W417" s="605"/>
    </row>
    <row r="418" spans="1:23" s="604" customFormat="1" ht="27" customHeight="1">
      <c r="A418" s="595"/>
      <c r="B418" s="596"/>
      <c r="C418" s="597"/>
      <c r="D418" s="599" t="s">
        <v>4583</v>
      </c>
      <c r="E418" s="599"/>
      <c r="F418" s="600">
        <f>(4.2*1.2)*(1.15-0.15-0.4)</f>
        <v>3.0239999999999991</v>
      </c>
      <c r="G418" s="289"/>
      <c r="H418" s="2733"/>
      <c r="I418" s="602"/>
      <c r="J418" s="606"/>
      <c r="L418" s="2584"/>
      <c r="M418" s="2584"/>
      <c r="Q418" s="2585"/>
      <c r="R418" s="2585"/>
      <c r="U418" s="605"/>
      <c r="W418" s="605"/>
    </row>
    <row r="419" spans="1:23" s="604" customFormat="1" ht="13.5" customHeight="1">
      <c r="A419" s="595"/>
      <c r="B419" s="596"/>
      <c r="C419" s="597"/>
      <c r="D419" s="719" t="s">
        <v>4584</v>
      </c>
      <c r="E419" s="599"/>
      <c r="F419" s="600"/>
      <c r="G419" s="289"/>
      <c r="H419" s="2733"/>
      <c r="I419" s="602"/>
      <c r="J419" s="3082"/>
      <c r="L419" s="2584"/>
      <c r="M419" s="2584"/>
      <c r="Q419" s="2585"/>
      <c r="R419" s="2585"/>
      <c r="U419" s="605"/>
      <c r="W419" s="605"/>
    </row>
    <row r="420" spans="1:23" s="604" customFormat="1" ht="27" customHeight="1">
      <c r="A420" s="595"/>
      <c r="B420" s="596"/>
      <c r="C420" s="597"/>
      <c r="D420" s="599" t="s">
        <v>4585</v>
      </c>
      <c r="E420" s="599"/>
      <c r="F420" s="600">
        <f>(1.4*1.2)*(1.25-0.15-0.4)</f>
        <v>1.1760000000000002</v>
      </c>
      <c r="G420" s="289"/>
      <c r="H420" s="2733"/>
      <c r="I420" s="602"/>
      <c r="J420" s="2660"/>
      <c r="K420" s="2661"/>
      <c r="L420" s="3083"/>
      <c r="M420" s="3083"/>
      <c r="Q420" s="2585"/>
      <c r="R420" s="2585"/>
      <c r="U420" s="605"/>
      <c r="W420" s="605"/>
    </row>
    <row r="421" spans="1:23" s="604" customFormat="1" ht="27" customHeight="1">
      <c r="A421" s="595"/>
      <c r="B421" s="596"/>
      <c r="C421" s="597"/>
      <c r="D421" s="599" t="s">
        <v>4586</v>
      </c>
      <c r="E421" s="599"/>
      <c r="F421" s="600">
        <f>(3.6*1.2)*(1.1-0.15-0.4)</f>
        <v>2.3760000000000003</v>
      </c>
      <c r="G421" s="289"/>
      <c r="H421" s="2733"/>
      <c r="I421" s="602"/>
      <c r="J421" s="2660"/>
      <c r="K421" s="2661"/>
      <c r="L421" s="3084"/>
      <c r="M421" s="3083"/>
      <c r="Q421" s="2585"/>
      <c r="R421" s="2585"/>
      <c r="U421" s="605"/>
      <c r="W421" s="605"/>
    </row>
    <row r="422" spans="1:23" s="604" customFormat="1" ht="27" customHeight="1">
      <c r="A422" s="595"/>
      <c r="B422" s="596"/>
      <c r="C422" s="597"/>
      <c r="D422" s="599" t="s">
        <v>4587</v>
      </c>
      <c r="E422" s="599"/>
      <c r="F422" s="600">
        <f>(10.4*1.2)*(1.15-0.15-0.4)</f>
        <v>7.4879999999999987</v>
      </c>
      <c r="G422" s="289"/>
      <c r="H422" s="2733"/>
      <c r="I422" s="602"/>
      <c r="J422" s="2660"/>
      <c r="K422" s="2661"/>
      <c r="L422" s="3083"/>
      <c r="M422" s="3083"/>
      <c r="Q422" s="2585"/>
      <c r="R422" s="2585"/>
      <c r="U422" s="605"/>
      <c r="W422" s="605"/>
    </row>
    <row r="423" spans="1:23" s="604" customFormat="1" ht="27" customHeight="1">
      <c r="A423" s="595"/>
      <c r="B423" s="596"/>
      <c r="C423" s="597"/>
      <c r="D423" s="599" t="s">
        <v>4588</v>
      </c>
      <c r="E423" s="599"/>
      <c r="F423" s="600">
        <f>(8.7*1.2)*(1.15-0.15-0.4)</f>
        <v>6.2639999999999985</v>
      </c>
      <c r="G423" s="289"/>
      <c r="H423" s="2733"/>
      <c r="I423" s="602"/>
      <c r="J423" s="606"/>
      <c r="L423" s="2584"/>
      <c r="M423" s="2584"/>
      <c r="Q423" s="2585"/>
      <c r="R423" s="2585"/>
      <c r="U423" s="605"/>
      <c r="W423" s="605"/>
    </row>
    <row r="424" spans="1:23" s="604" customFormat="1" ht="27" customHeight="1">
      <c r="A424" s="595"/>
      <c r="B424" s="596"/>
      <c r="C424" s="597"/>
      <c r="D424" s="599" t="s">
        <v>4589</v>
      </c>
      <c r="E424" s="599"/>
      <c r="F424" s="600">
        <f>(8.8*1.2)*(1.4-0.15-0.4)</f>
        <v>8.9760000000000009</v>
      </c>
      <c r="G424" s="289"/>
      <c r="H424" s="2733"/>
      <c r="I424" s="602"/>
      <c r="J424" s="2660"/>
      <c r="K424" s="2681"/>
      <c r="L424" s="2584"/>
      <c r="M424" s="2584"/>
      <c r="Q424" s="2585"/>
      <c r="R424" s="2585"/>
      <c r="U424" s="605"/>
      <c r="W424" s="605"/>
    </row>
    <row r="425" spans="1:23" s="604" customFormat="1" ht="27" customHeight="1">
      <c r="A425" s="595"/>
      <c r="B425" s="596"/>
      <c r="C425" s="597"/>
      <c r="D425" s="599" t="s">
        <v>4590</v>
      </c>
      <c r="E425" s="599"/>
      <c r="F425" s="600">
        <f>(5*1.2)*(1.8-0.15-0.4)</f>
        <v>7.5</v>
      </c>
      <c r="G425" s="289"/>
      <c r="H425" s="2733"/>
      <c r="I425" s="602"/>
      <c r="J425" s="3085"/>
      <c r="K425" s="3086"/>
      <c r="L425" s="2584"/>
      <c r="M425" s="2584"/>
      <c r="Q425" s="2585"/>
      <c r="R425" s="2585"/>
      <c r="U425" s="605"/>
      <c r="W425" s="605"/>
    </row>
    <row r="426" spans="1:23" s="604" customFormat="1" ht="27" customHeight="1">
      <c r="A426" s="595"/>
      <c r="B426" s="596"/>
      <c r="C426" s="597"/>
      <c r="D426" s="599" t="s">
        <v>4591</v>
      </c>
      <c r="E426" s="599"/>
      <c r="F426" s="600">
        <f>(18.4*1.2)*(1.75-0.15-0.4)</f>
        <v>26.496000000000002</v>
      </c>
      <c r="G426" s="289"/>
      <c r="H426" s="2733"/>
      <c r="I426" s="602"/>
      <c r="J426" s="3085"/>
      <c r="K426" s="3086"/>
      <c r="L426" s="2584"/>
      <c r="M426" s="2584"/>
      <c r="Q426" s="2585"/>
      <c r="R426" s="2585"/>
      <c r="U426" s="605"/>
      <c r="W426" s="605"/>
    </row>
    <row r="427" spans="1:23" s="604" customFormat="1" ht="27" customHeight="1">
      <c r="A427" s="595"/>
      <c r="B427" s="596"/>
      <c r="C427" s="597"/>
      <c r="D427" s="599" t="s">
        <v>4592</v>
      </c>
      <c r="E427" s="599"/>
      <c r="F427" s="600">
        <f>(3.8*1.2)*(1.5-0.15-0.4)</f>
        <v>4.3319999999999999</v>
      </c>
      <c r="G427" s="289"/>
      <c r="H427" s="2733"/>
      <c r="I427" s="602"/>
      <c r="J427" s="3085"/>
      <c r="K427" s="3086"/>
      <c r="L427" s="2584"/>
      <c r="M427" s="2584"/>
      <c r="Q427" s="2585"/>
      <c r="R427" s="2585"/>
      <c r="U427" s="605"/>
      <c r="W427" s="605"/>
    </row>
    <row r="428" spans="1:23" s="604" customFormat="1" ht="27" customHeight="1">
      <c r="A428" s="595"/>
      <c r="B428" s="596"/>
      <c r="C428" s="597"/>
      <c r="D428" s="599" t="s">
        <v>4593</v>
      </c>
      <c r="E428" s="599"/>
      <c r="F428" s="600">
        <f>(1.1*1.2)*(1.4-0.15-0.4)</f>
        <v>1.1220000000000001</v>
      </c>
      <c r="G428" s="289"/>
      <c r="H428" s="2733"/>
      <c r="I428" s="602"/>
      <c r="J428" s="3085"/>
      <c r="K428" s="3086"/>
      <c r="L428" s="2584"/>
      <c r="M428" s="2584"/>
      <c r="Q428" s="2585"/>
      <c r="R428" s="2585"/>
      <c r="U428" s="605"/>
      <c r="W428" s="605"/>
    </row>
    <row r="429" spans="1:23" s="604" customFormat="1" ht="27" customHeight="1">
      <c r="A429" s="595"/>
      <c r="B429" s="596"/>
      <c r="C429" s="597"/>
      <c r="D429" s="599" t="s">
        <v>4594</v>
      </c>
      <c r="E429" s="599"/>
      <c r="F429" s="600">
        <f>(4.8*1.2)*(1.4-0.15-0.4)</f>
        <v>4.8959999999999999</v>
      </c>
      <c r="G429" s="289"/>
      <c r="H429" s="2733"/>
      <c r="I429" s="602"/>
      <c r="J429" s="3085"/>
      <c r="K429" s="3086"/>
      <c r="L429" s="2584"/>
      <c r="M429" s="2584"/>
      <c r="Q429" s="2585"/>
      <c r="R429" s="2585"/>
      <c r="U429" s="605"/>
      <c r="W429" s="605"/>
    </row>
    <row r="430" spans="1:23" s="604" customFormat="1" ht="27" customHeight="1">
      <c r="A430" s="595"/>
      <c r="B430" s="596"/>
      <c r="C430" s="597"/>
      <c r="D430" s="599" t="s">
        <v>4595</v>
      </c>
      <c r="E430" s="599"/>
      <c r="F430" s="600">
        <f>(1.7*1.2)*(1.4-0.15-0.4)</f>
        <v>1.734</v>
      </c>
      <c r="G430" s="289"/>
      <c r="H430" s="2733"/>
      <c r="I430" s="602"/>
      <c r="J430" s="606"/>
      <c r="L430" s="2584"/>
      <c r="M430" s="2584"/>
      <c r="Q430" s="2585"/>
      <c r="R430" s="2585"/>
      <c r="U430" s="605"/>
      <c r="W430" s="605"/>
    </row>
    <row r="431" spans="1:23" s="604" customFormat="1" ht="27" customHeight="1">
      <c r="A431" s="595"/>
      <c r="B431" s="596"/>
      <c r="C431" s="597"/>
      <c r="D431" s="599" t="s">
        <v>4596</v>
      </c>
      <c r="E431" s="599"/>
      <c r="F431" s="600">
        <f>(0.9*1.2)*(1.5-0.15-0.4)</f>
        <v>1.0260000000000002</v>
      </c>
      <c r="G431" s="289"/>
      <c r="H431" s="2733"/>
      <c r="I431" s="602"/>
      <c r="J431" s="606"/>
      <c r="L431" s="2584"/>
      <c r="M431" s="2584"/>
      <c r="Q431" s="2585"/>
      <c r="R431" s="2585"/>
      <c r="U431" s="605"/>
      <c r="W431" s="605"/>
    </row>
    <row r="432" spans="1:23" s="604" customFormat="1" ht="27" customHeight="1">
      <c r="A432" s="595"/>
      <c r="B432" s="596"/>
      <c r="C432" s="597"/>
      <c r="D432" s="599" t="s">
        <v>4597</v>
      </c>
      <c r="E432" s="599"/>
      <c r="F432" s="600">
        <f>(16.3*1.2)*(1.35-0.15-0.4)</f>
        <v>15.648000000000001</v>
      </c>
      <c r="G432" s="289"/>
      <c r="H432" s="2733"/>
      <c r="I432" s="602"/>
      <c r="J432" s="606"/>
      <c r="L432" s="2584"/>
      <c r="M432" s="2584"/>
      <c r="Q432" s="2585"/>
      <c r="R432" s="2585"/>
      <c r="U432" s="605"/>
      <c r="W432" s="605"/>
    </row>
    <row r="433" spans="1:23" s="604" customFormat="1" ht="27" customHeight="1">
      <c r="A433" s="595"/>
      <c r="B433" s="596"/>
      <c r="C433" s="597"/>
      <c r="D433" s="599" t="s">
        <v>4598</v>
      </c>
      <c r="E433" s="599"/>
      <c r="F433" s="600">
        <f>(3.1*1.2)*(1.15-0.15-0.4)</f>
        <v>2.2319999999999993</v>
      </c>
      <c r="G433" s="289"/>
      <c r="H433" s="2733"/>
      <c r="I433" s="602"/>
      <c r="J433" s="3082"/>
      <c r="L433" s="2584"/>
      <c r="M433" s="2584"/>
      <c r="Q433" s="2585"/>
      <c r="R433" s="2585"/>
      <c r="U433" s="605"/>
      <c r="W433" s="605"/>
    </row>
    <row r="434" spans="1:23" s="604" customFormat="1" ht="13.5" customHeight="1">
      <c r="A434" s="595"/>
      <c r="B434" s="596"/>
      <c r="C434" s="597"/>
      <c r="D434" s="719" t="s">
        <v>4599</v>
      </c>
      <c r="E434" s="599"/>
      <c r="F434" s="600"/>
      <c r="G434" s="289"/>
      <c r="H434" s="2733"/>
      <c r="I434" s="602"/>
      <c r="J434" s="606"/>
      <c r="L434" s="2584"/>
      <c r="M434" s="2584"/>
      <c r="Q434" s="2585"/>
      <c r="R434" s="2585"/>
      <c r="U434" s="605"/>
      <c r="W434" s="605"/>
    </row>
    <row r="435" spans="1:23" s="604" customFormat="1" ht="27" customHeight="1">
      <c r="A435" s="595"/>
      <c r="B435" s="596"/>
      <c r="C435" s="597"/>
      <c r="D435" s="599" t="s">
        <v>4600</v>
      </c>
      <c r="E435" s="599"/>
      <c r="F435" s="600">
        <f>(3.9*1.2)*(1.4-0.15-0.4)</f>
        <v>3.9779999999999998</v>
      </c>
      <c r="G435" s="289"/>
      <c r="H435" s="2733"/>
      <c r="I435" s="602"/>
      <c r="J435" s="606"/>
      <c r="L435" s="2584"/>
      <c r="M435" s="2584"/>
      <c r="Q435" s="2585"/>
      <c r="R435" s="2585"/>
      <c r="U435" s="605"/>
      <c r="W435" s="605"/>
    </row>
    <row r="436" spans="1:23" s="604" customFormat="1" ht="27" customHeight="1">
      <c r="A436" s="595"/>
      <c r="B436" s="596"/>
      <c r="C436" s="597"/>
      <c r="D436" s="599" t="s">
        <v>4601</v>
      </c>
      <c r="E436" s="599"/>
      <c r="F436" s="600">
        <f>(15.1*1.2)*(1.2-0.15-0.4)</f>
        <v>11.777999999999999</v>
      </c>
      <c r="G436" s="289"/>
      <c r="H436" s="2733"/>
      <c r="I436" s="602"/>
      <c r="J436" s="606"/>
      <c r="L436" s="2584"/>
      <c r="M436" s="2584"/>
      <c r="Q436" s="2585"/>
      <c r="R436" s="2585"/>
      <c r="U436" s="605"/>
      <c r="W436" s="605"/>
    </row>
    <row r="437" spans="1:23" s="604" customFormat="1" ht="27" customHeight="1">
      <c r="A437" s="595"/>
      <c r="B437" s="596"/>
      <c r="C437" s="597"/>
      <c r="D437" s="599" t="s">
        <v>4602</v>
      </c>
      <c r="E437" s="599"/>
      <c r="F437" s="600">
        <f>(9.5*1.2)*(1.25-0.15-0.4)</f>
        <v>7.9800000000000013</v>
      </c>
      <c r="G437" s="289"/>
      <c r="H437" s="2733"/>
      <c r="I437" s="602"/>
      <c r="J437" s="606"/>
      <c r="L437" s="2584"/>
      <c r="M437" s="2584"/>
      <c r="Q437" s="2585"/>
      <c r="R437" s="2585"/>
      <c r="U437" s="605"/>
      <c r="W437" s="605"/>
    </row>
    <row r="438" spans="1:23" s="604" customFormat="1" ht="27" customHeight="1">
      <c r="A438" s="595"/>
      <c r="B438" s="596"/>
      <c r="C438" s="597"/>
      <c r="D438" s="599" t="s">
        <v>4603</v>
      </c>
      <c r="E438" s="599"/>
      <c r="F438" s="600">
        <f>(3.9*1.2)*(1.6-0.15-0.4)</f>
        <v>4.9140000000000006</v>
      </c>
      <c r="G438" s="289"/>
      <c r="H438" s="2733"/>
      <c r="I438" s="602"/>
      <c r="J438" s="606"/>
      <c r="L438" s="2584"/>
      <c r="M438" s="2584"/>
      <c r="Q438" s="2585"/>
      <c r="R438" s="2585"/>
      <c r="U438" s="605"/>
      <c r="W438" s="605"/>
    </row>
    <row r="439" spans="1:23" s="604" customFormat="1" ht="27" customHeight="1">
      <c r="A439" s="595"/>
      <c r="B439" s="596"/>
      <c r="C439" s="597"/>
      <c r="D439" s="599" t="s">
        <v>4604</v>
      </c>
      <c r="E439" s="599"/>
      <c r="F439" s="600">
        <f>(11.4*1.2)*(1.65-0.15-0.4)</f>
        <v>15.048</v>
      </c>
      <c r="G439" s="289"/>
      <c r="H439" s="2733"/>
      <c r="I439" s="602"/>
      <c r="J439" s="606"/>
      <c r="L439" s="2584"/>
      <c r="M439" s="2584"/>
      <c r="Q439" s="2585"/>
      <c r="R439" s="2585"/>
      <c r="U439" s="605"/>
      <c r="W439" s="605"/>
    </row>
    <row r="440" spans="1:23" s="604" customFormat="1" ht="27" customHeight="1">
      <c r="A440" s="595"/>
      <c r="B440" s="596"/>
      <c r="C440" s="597"/>
      <c r="D440" s="599" t="s">
        <v>4605</v>
      </c>
      <c r="E440" s="599"/>
      <c r="F440" s="600">
        <f>(8.4*1.2)*(1.75-0.15-0.4)</f>
        <v>12.096000000000002</v>
      </c>
      <c r="G440" s="289"/>
      <c r="H440" s="2733"/>
      <c r="I440" s="602"/>
      <c r="J440" s="606"/>
      <c r="L440" s="2584"/>
      <c r="M440" s="2584"/>
      <c r="Q440" s="2585"/>
      <c r="R440" s="2585"/>
      <c r="U440" s="605"/>
      <c r="W440" s="605"/>
    </row>
    <row r="441" spans="1:23" s="604" customFormat="1" ht="27" customHeight="1">
      <c r="A441" s="595"/>
      <c r="B441" s="596"/>
      <c r="C441" s="597"/>
      <c r="D441" s="599" t="s">
        <v>4606</v>
      </c>
      <c r="E441" s="599"/>
      <c r="F441" s="600">
        <f>(1*1.2)*(1.8-0.15-0.4)</f>
        <v>1.5</v>
      </c>
      <c r="G441" s="289"/>
      <c r="H441" s="2733"/>
      <c r="I441" s="602"/>
      <c r="J441" s="606"/>
      <c r="L441" s="2584"/>
      <c r="M441" s="2584"/>
      <c r="Q441" s="2585"/>
      <c r="R441" s="2585"/>
      <c r="U441" s="605"/>
      <c r="W441" s="605"/>
    </row>
    <row r="442" spans="1:23" s="604" customFormat="1" ht="27" customHeight="1">
      <c r="A442" s="595"/>
      <c r="B442" s="596"/>
      <c r="C442" s="597"/>
      <c r="D442" s="599" t="s">
        <v>4607</v>
      </c>
      <c r="E442" s="599"/>
      <c r="F442" s="600">
        <f>(2.7*1.2)*(1.6-0.15-0.4)</f>
        <v>3.402000000000001</v>
      </c>
      <c r="G442" s="289"/>
      <c r="H442" s="2733"/>
      <c r="I442" s="602"/>
      <c r="J442" s="606"/>
      <c r="L442" s="2584"/>
      <c r="M442" s="2584"/>
      <c r="Q442" s="2585"/>
      <c r="R442" s="2585"/>
      <c r="U442" s="605"/>
      <c r="W442" s="605"/>
    </row>
    <row r="443" spans="1:23" s="604" customFormat="1" ht="27" customHeight="1">
      <c r="A443" s="595"/>
      <c r="B443" s="596"/>
      <c r="C443" s="597"/>
      <c r="D443" s="599" t="s">
        <v>4608</v>
      </c>
      <c r="E443" s="599"/>
      <c r="F443" s="600">
        <f>(17.1*1.2)*(1.35-0.15-0.4)</f>
        <v>16.416000000000004</v>
      </c>
      <c r="G443" s="289"/>
      <c r="H443" s="2733"/>
      <c r="I443" s="602"/>
      <c r="J443" s="606"/>
      <c r="L443" s="2584"/>
      <c r="M443" s="2584"/>
      <c r="Q443" s="2585"/>
      <c r="R443" s="2585"/>
      <c r="U443" s="605"/>
      <c r="W443" s="605"/>
    </row>
    <row r="444" spans="1:23" s="604" customFormat="1" ht="27" customHeight="1">
      <c r="A444" s="595"/>
      <c r="B444" s="596"/>
      <c r="C444" s="597"/>
      <c r="D444" s="599" t="s">
        <v>4609</v>
      </c>
      <c r="E444" s="599"/>
      <c r="F444" s="600">
        <f>(25*1.2)*(1.35-0.15-0.4)</f>
        <v>24.000000000000004</v>
      </c>
      <c r="G444" s="289"/>
      <c r="H444" s="2733"/>
      <c r="I444" s="602"/>
      <c r="J444" s="606"/>
      <c r="L444" s="2584"/>
      <c r="M444" s="2584"/>
      <c r="Q444" s="2585"/>
      <c r="R444" s="2585"/>
      <c r="U444" s="605"/>
      <c r="W444" s="605"/>
    </row>
    <row r="445" spans="1:23" s="604" customFormat="1" ht="27" customHeight="1">
      <c r="A445" s="595"/>
      <c r="B445" s="596"/>
      <c r="C445" s="597"/>
      <c r="D445" s="599" t="s">
        <v>4610</v>
      </c>
      <c r="E445" s="599"/>
      <c r="F445" s="600">
        <f>(1*1.2)*(1.35-0.15-0.4)</f>
        <v>0.96000000000000019</v>
      </c>
      <c r="G445" s="289"/>
      <c r="H445" s="2733"/>
      <c r="I445" s="602"/>
      <c r="J445" s="606"/>
      <c r="L445" s="2584"/>
      <c r="M445" s="2584"/>
      <c r="Q445" s="2585"/>
      <c r="R445" s="2585"/>
      <c r="U445" s="605"/>
      <c r="W445" s="605"/>
    </row>
    <row r="446" spans="1:23" s="604" customFormat="1" ht="27" customHeight="1">
      <c r="A446" s="595"/>
      <c r="B446" s="596"/>
      <c r="C446" s="597"/>
      <c r="D446" s="599" t="s">
        <v>4611</v>
      </c>
      <c r="E446" s="599"/>
      <c r="F446" s="600">
        <f>(1.4*1.2)*(1.35-0.15-0.4)</f>
        <v>1.3440000000000003</v>
      </c>
      <c r="G446" s="289"/>
      <c r="H446" s="2733"/>
      <c r="I446" s="602"/>
      <c r="J446" s="606"/>
      <c r="L446" s="2584"/>
      <c r="M446" s="2584"/>
      <c r="Q446" s="2585"/>
      <c r="R446" s="2585"/>
      <c r="U446" s="605"/>
      <c r="W446" s="605"/>
    </row>
    <row r="447" spans="1:23" s="604" customFormat="1" ht="27" customHeight="1">
      <c r="A447" s="595"/>
      <c r="B447" s="596"/>
      <c r="C447" s="597"/>
      <c r="D447" s="599" t="s">
        <v>4612</v>
      </c>
      <c r="E447" s="599"/>
      <c r="F447" s="600">
        <f>(4.1*1.2)*(1.65-0.15-0.4)</f>
        <v>5.411999999999999</v>
      </c>
      <c r="G447" s="289"/>
      <c r="H447" s="2733"/>
      <c r="I447" s="602"/>
      <c r="J447" s="606"/>
      <c r="L447" s="2584"/>
      <c r="M447" s="2584"/>
      <c r="Q447" s="2585"/>
      <c r="R447" s="2585"/>
      <c r="U447" s="605"/>
      <c r="W447" s="605"/>
    </row>
    <row r="448" spans="1:23" s="604" customFormat="1" ht="27" customHeight="1">
      <c r="A448" s="595"/>
      <c r="B448" s="596"/>
      <c r="C448" s="597"/>
      <c r="D448" s="599" t="s">
        <v>4613</v>
      </c>
      <c r="E448" s="599"/>
      <c r="F448" s="600">
        <f>(5.7*1.2)*(1-0.15-0.4)</f>
        <v>3.0779999999999998</v>
      </c>
      <c r="G448" s="289"/>
      <c r="H448" s="2733"/>
      <c r="I448" s="602"/>
      <c r="J448" s="606"/>
      <c r="L448" s="2584"/>
      <c r="M448" s="2584"/>
      <c r="Q448" s="2585"/>
      <c r="R448" s="2585"/>
      <c r="U448" s="605"/>
      <c r="W448" s="605"/>
    </row>
    <row r="449" spans="1:23" s="604" customFormat="1" ht="27" customHeight="1">
      <c r="A449" s="595"/>
      <c r="B449" s="596"/>
      <c r="C449" s="597"/>
      <c r="D449" s="599" t="s">
        <v>4614</v>
      </c>
      <c r="E449" s="599"/>
      <c r="F449" s="600">
        <f>(2.7*1.2)*(1.35-0.15-0.4)</f>
        <v>2.5920000000000005</v>
      </c>
      <c r="G449" s="289"/>
      <c r="H449" s="2733"/>
      <c r="I449" s="602"/>
      <c r="J449" s="3082"/>
      <c r="L449" s="2584"/>
      <c r="M449" s="2584"/>
      <c r="Q449" s="2585"/>
      <c r="R449" s="2585"/>
      <c r="U449" s="605"/>
      <c r="W449" s="605"/>
    </row>
    <row r="450" spans="1:23" s="604" customFormat="1" ht="13.5" customHeight="1">
      <c r="A450" s="595"/>
      <c r="B450" s="596"/>
      <c r="C450" s="597"/>
      <c r="D450" s="719" t="s">
        <v>4615</v>
      </c>
      <c r="E450" s="599"/>
      <c r="F450" s="600"/>
      <c r="G450" s="289"/>
      <c r="H450" s="601"/>
      <c r="I450" s="602"/>
      <c r="J450" s="3093"/>
      <c r="Q450" s="3080"/>
      <c r="R450" s="3080"/>
      <c r="U450" s="605"/>
      <c r="W450" s="605"/>
    </row>
    <row r="451" spans="1:23" s="604" customFormat="1" ht="27" customHeight="1">
      <c r="A451" s="595"/>
      <c r="B451" s="596"/>
      <c r="C451" s="597"/>
      <c r="D451" s="599" t="s">
        <v>4616</v>
      </c>
      <c r="E451" s="599"/>
      <c r="F451" s="600">
        <f>((5.2-4.7)*1.2)*(1.65-0.15-0.4)</f>
        <v>0.66</v>
      </c>
      <c r="G451" s="289"/>
      <c r="H451" s="2733"/>
      <c r="I451" s="602"/>
      <c r="J451" s="3081"/>
      <c r="L451" s="2584"/>
      <c r="M451" s="2584"/>
      <c r="Q451" s="2585"/>
      <c r="R451" s="2585"/>
      <c r="U451" s="605"/>
      <c r="W451" s="605"/>
    </row>
    <row r="452" spans="1:23" s="604" customFormat="1" ht="27" customHeight="1">
      <c r="A452" s="595"/>
      <c r="B452" s="596"/>
      <c r="C452" s="597"/>
      <c r="D452" s="599" t="s">
        <v>4617</v>
      </c>
      <c r="E452" s="599"/>
      <c r="F452" s="600">
        <f>((1-0.5)*1.2)*(1.15-0.15-0.4)</f>
        <v>0.35999999999999993</v>
      </c>
      <c r="G452" s="289"/>
      <c r="H452" s="2733"/>
      <c r="I452" s="602"/>
      <c r="J452" s="606"/>
      <c r="L452" s="2584"/>
      <c r="M452" s="2584"/>
      <c r="Q452" s="2585"/>
      <c r="R452" s="2585"/>
      <c r="U452" s="605"/>
      <c r="W452" s="605"/>
    </row>
    <row r="453" spans="1:23" s="604" customFormat="1" ht="13.5" customHeight="1">
      <c r="A453" s="595"/>
      <c r="B453" s="596"/>
      <c r="C453" s="597"/>
      <c r="D453" s="719" t="s">
        <v>4618</v>
      </c>
      <c r="E453" s="599"/>
      <c r="F453" s="600"/>
      <c r="G453" s="289"/>
      <c r="H453" s="2733"/>
      <c r="I453" s="602"/>
      <c r="J453" s="3082"/>
      <c r="L453" s="2584"/>
      <c r="M453" s="2584"/>
      <c r="Q453" s="2585"/>
      <c r="R453" s="2585"/>
      <c r="U453" s="605"/>
      <c r="W453" s="605"/>
    </row>
    <row r="454" spans="1:23" s="604" customFormat="1" ht="27" customHeight="1">
      <c r="A454" s="595"/>
      <c r="B454" s="596"/>
      <c r="C454" s="597"/>
      <c r="D454" s="599" t="s">
        <v>4619</v>
      </c>
      <c r="E454" s="599"/>
      <c r="F454" s="600">
        <f>(2.9*1.2)*(1.35-0.15-0.4)</f>
        <v>2.7840000000000007</v>
      </c>
      <c r="G454" s="289"/>
      <c r="H454" s="2733"/>
      <c r="I454" s="602"/>
      <c r="J454" s="2660"/>
      <c r="K454" s="2661"/>
      <c r="L454" s="3083"/>
      <c r="M454" s="3083"/>
      <c r="Q454" s="2585"/>
      <c r="R454" s="2585"/>
      <c r="U454" s="605"/>
      <c r="W454" s="605"/>
    </row>
    <row r="455" spans="1:23" s="604" customFormat="1" ht="27" customHeight="1">
      <c r="A455" s="595"/>
      <c r="B455" s="596"/>
      <c r="C455" s="597"/>
      <c r="D455" s="599" t="s">
        <v>4620</v>
      </c>
      <c r="E455" s="599"/>
      <c r="F455" s="600">
        <f>((19.3-1.4)*1.2)*(1.25-0.15-0.4)</f>
        <v>15.036000000000001</v>
      </c>
      <c r="G455" s="289"/>
      <c r="H455" s="2733"/>
      <c r="I455" s="602"/>
      <c r="J455" s="2660"/>
      <c r="K455" s="2661"/>
      <c r="L455" s="3083"/>
      <c r="M455" s="3083"/>
      <c r="Q455" s="2585"/>
      <c r="R455" s="2585"/>
      <c r="U455" s="605"/>
      <c r="W455" s="605"/>
    </row>
    <row r="456" spans="1:23" s="604" customFormat="1" ht="27" customHeight="1">
      <c r="A456" s="595"/>
      <c r="B456" s="596"/>
      <c r="C456" s="597"/>
      <c r="D456" s="599" t="s">
        <v>4621</v>
      </c>
      <c r="E456" s="599"/>
      <c r="F456" s="600">
        <f>((4.9-3.6)*1.2)*(1.1-0.15-0.4)</f>
        <v>0.85800000000000021</v>
      </c>
      <c r="G456" s="289"/>
      <c r="H456" s="2733"/>
      <c r="I456" s="602"/>
      <c r="J456" s="2660"/>
      <c r="K456" s="2661"/>
      <c r="L456" s="3084"/>
      <c r="M456" s="3083"/>
      <c r="Q456" s="2585"/>
      <c r="R456" s="2585"/>
      <c r="U456" s="605"/>
      <c r="W456" s="605"/>
    </row>
    <row r="457" spans="1:23" s="604" customFormat="1" ht="27" customHeight="1">
      <c r="A457" s="595"/>
      <c r="B457" s="596"/>
      <c r="C457" s="597"/>
      <c r="D457" s="599" t="s">
        <v>4622</v>
      </c>
      <c r="E457" s="599"/>
      <c r="F457" s="600">
        <f>((7.6-3.8)*1.2)*(1.5-0.15-0.4)</f>
        <v>4.3319999999999999</v>
      </c>
      <c r="G457" s="289"/>
      <c r="H457" s="2733"/>
      <c r="I457" s="602"/>
      <c r="J457" s="3085"/>
      <c r="K457" s="3086"/>
      <c r="L457" s="2584"/>
      <c r="M457" s="2584"/>
      <c r="Q457" s="2585"/>
      <c r="R457" s="2585"/>
      <c r="U457" s="605"/>
      <c r="W457" s="605"/>
    </row>
    <row r="458" spans="1:23" s="604" customFormat="1" ht="27" customHeight="1">
      <c r="A458" s="595"/>
      <c r="B458" s="596"/>
      <c r="C458" s="597"/>
      <c r="D458" s="599" t="s">
        <v>4623</v>
      </c>
      <c r="E458" s="599"/>
      <c r="F458" s="600">
        <f>((1.9-1.1)*1.2)*(1.4-0.15-0.4)</f>
        <v>0.81599999999999973</v>
      </c>
      <c r="G458" s="289"/>
      <c r="H458" s="2733"/>
      <c r="I458" s="602"/>
      <c r="J458" s="3085"/>
      <c r="K458" s="3086"/>
      <c r="L458" s="2584"/>
      <c r="M458" s="2584"/>
      <c r="Q458" s="2585"/>
      <c r="R458" s="2585"/>
      <c r="U458" s="605"/>
      <c r="W458" s="605"/>
    </row>
    <row r="459" spans="1:23" s="604" customFormat="1" ht="27" customHeight="1">
      <c r="A459" s="595"/>
      <c r="B459" s="596"/>
      <c r="C459" s="597"/>
      <c r="D459" s="599" t="s">
        <v>4624</v>
      </c>
      <c r="E459" s="599"/>
      <c r="F459" s="600">
        <f>((5-0.9)*1.2)*(1.5-0.15-0.4)</f>
        <v>4.6739999999999995</v>
      </c>
      <c r="G459" s="289"/>
      <c r="H459" s="2733"/>
      <c r="I459" s="602"/>
      <c r="J459" s="606"/>
      <c r="L459" s="2584"/>
      <c r="M459" s="2584"/>
      <c r="Q459" s="2585"/>
      <c r="R459" s="2585"/>
      <c r="U459" s="605"/>
      <c r="W459" s="605"/>
    </row>
    <row r="460" spans="1:23" s="604" customFormat="1" ht="27" customHeight="1">
      <c r="A460" s="595"/>
      <c r="B460" s="596"/>
      <c r="C460" s="597"/>
      <c r="D460" s="599" t="s">
        <v>4625</v>
      </c>
      <c r="E460" s="599"/>
      <c r="F460" s="600">
        <f>((21.4-16.3)*1.2)*(1.35-0.15-0.4)</f>
        <v>4.895999999999999</v>
      </c>
      <c r="G460" s="289"/>
      <c r="H460" s="2733"/>
      <c r="I460" s="602"/>
      <c r="J460" s="606"/>
      <c r="L460" s="2584"/>
      <c r="M460" s="2584"/>
      <c r="Q460" s="2585"/>
      <c r="R460" s="2585"/>
      <c r="U460" s="605"/>
      <c r="W460" s="605"/>
    </row>
    <row r="461" spans="1:23" s="604" customFormat="1" ht="27" customHeight="1">
      <c r="A461" s="595"/>
      <c r="B461" s="596"/>
      <c r="C461" s="597"/>
      <c r="D461" s="599" t="s">
        <v>4626</v>
      </c>
      <c r="E461" s="599"/>
      <c r="F461" s="600">
        <f>((3.6-3.1)*1.2)*(1.15-0.15-0.4)</f>
        <v>0.35999999999999993</v>
      </c>
      <c r="G461" s="289"/>
      <c r="H461" s="2733"/>
      <c r="I461" s="602"/>
      <c r="J461" s="3082"/>
      <c r="L461" s="2584"/>
      <c r="M461" s="2584"/>
      <c r="Q461" s="2585"/>
      <c r="R461" s="2585"/>
      <c r="U461" s="605"/>
      <c r="W461" s="605"/>
    </row>
    <row r="462" spans="1:23" s="604" customFormat="1" ht="13.5" customHeight="1">
      <c r="A462" s="595"/>
      <c r="B462" s="596"/>
      <c r="C462" s="597"/>
      <c r="D462" s="719" t="s">
        <v>4627</v>
      </c>
      <c r="E462" s="599"/>
      <c r="F462" s="600"/>
      <c r="G462" s="289"/>
      <c r="H462" s="2733"/>
      <c r="I462" s="602"/>
      <c r="J462" s="606"/>
      <c r="L462" s="2584"/>
      <c r="M462" s="2584"/>
      <c r="Q462" s="2585"/>
      <c r="R462" s="2585"/>
      <c r="U462" s="605"/>
      <c r="W462" s="605"/>
    </row>
    <row r="463" spans="1:23" s="604" customFormat="1" ht="27" customHeight="1">
      <c r="A463" s="595"/>
      <c r="B463" s="596"/>
      <c r="C463" s="597"/>
      <c r="D463" s="599" t="s">
        <v>4628</v>
      </c>
      <c r="E463" s="599"/>
      <c r="F463" s="600">
        <f>(1.5*1.2)*(1.15-0.15-0.4)</f>
        <v>1.0799999999999996</v>
      </c>
      <c r="G463" s="289"/>
      <c r="H463" s="2733"/>
      <c r="I463" s="602"/>
      <c r="J463" s="606"/>
      <c r="L463" s="2584"/>
      <c r="M463" s="2584"/>
      <c r="Q463" s="2585"/>
      <c r="R463" s="2585"/>
      <c r="U463" s="605"/>
      <c r="W463" s="605"/>
    </row>
    <row r="464" spans="1:23" s="604" customFormat="1" ht="27" customHeight="1">
      <c r="A464" s="595"/>
      <c r="B464" s="596"/>
      <c r="C464" s="597"/>
      <c r="D464" s="599" t="s">
        <v>4629</v>
      </c>
      <c r="E464" s="599"/>
      <c r="F464" s="600">
        <f>(18.2*1.2)*(1.3-0.15-0.4)</f>
        <v>16.380000000000003</v>
      </c>
      <c r="G464" s="289"/>
      <c r="H464" s="2733"/>
      <c r="I464" s="602"/>
      <c r="J464" s="606"/>
      <c r="L464" s="2584"/>
      <c r="M464" s="2584"/>
      <c r="Q464" s="2585"/>
      <c r="R464" s="2585"/>
      <c r="U464" s="605"/>
      <c r="W464" s="605"/>
    </row>
    <row r="465" spans="1:23" s="604" customFormat="1" ht="27" customHeight="1">
      <c r="A465" s="595"/>
      <c r="B465" s="596"/>
      <c r="C465" s="597"/>
      <c r="D465" s="599" t="s">
        <v>4630</v>
      </c>
      <c r="E465" s="599"/>
      <c r="F465" s="600">
        <f>((5.8-3.9)*1.2)*(1.4-0.15-0.4)</f>
        <v>1.9379999999999997</v>
      </c>
      <c r="G465" s="289"/>
      <c r="H465" s="2733"/>
      <c r="I465" s="602"/>
      <c r="J465" s="606"/>
      <c r="L465" s="2584"/>
      <c r="M465" s="2584"/>
      <c r="Q465" s="2585"/>
      <c r="R465" s="2585"/>
      <c r="U465" s="605"/>
      <c r="W465" s="605"/>
    </row>
    <row r="466" spans="1:23" s="604" customFormat="1" ht="27" customHeight="1">
      <c r="A466" s="595"/>
      <c r="B466" s="596"/>
      <c r="C466" s="597"/>
      <c r="D466" s="599" t="s">
        <v>4631</v>
      </c>
      <c r="E466" s="599"/>
      <c r="F466" s="600">
        <f>((7.8-2.7)*1.2)*(1.6-0.15-0.4)</f>
        <v>6.426000000000001</v>
      </c>
      <c r="G466" s="289"/>
      <c r="H466" s="2733"/>
      <c r="I466" s="602"/>
      <c r="J466" s="606"/>
      <c r="L466" s="2584"/>
      <c r="M466" s="2584"/>
      <c r="Q466" s="2585"/>
      <c r="R466" s="2585"/>
      <c r="U466" s="605"/>
      <c r="W466" s="605"/>
    </row>
    <row r="467" spans="1:23" s="604" customFormat="1" ht="27" customHeight="1">
      <c r="A467" s="595"/>
      <c r="B467" s="596"/>
      <c r="C467" s="597"/>
      <c r="D467" s="599" t="s">
        <v>4632</v>
      </c>
      <c r="E467" s="599"/>
      <c r="F467" s="600">
        <f>((19.7-17.1)*1.2)*(1.35-0.15-0.4)</f>
        <v>2.4959999999999982</v>
      </c>
      <c r="G467" s="289"/>
      <c r="H467" s="2733"/>
      <c r="I467" s="602"/>
      <c r="J467" s="606"/>
      <c r="L467" s="2584"/>
      <c r="M467" s="2584"/>
      <c r="Q467" s="2585"/>
      <c r="R467" s="2585"/>
      <c r="U467" s="605"/>
      <c r="W467" s="605"/>
    </row>
    <row r="468" spans="1:23" s="604" customFormat="1" ht="27" customHeight="1">
      <c r="A468" s="595"/>
      <c r="B468" s="596"/>
      <c r="C468" s="597"/>
      <c r="D468" s="599" t="s">
        <v>4633</v>
      </c>
      <c r="E468" s="599"/>
      <c r="F468" s="600">
        <f>((2.1-1)*1.2)*(1.35-0.15-0.4)</f>
        <v>1.0560000000000003</v>
      </c>
      <c r="G468" s="289"/>
      <c r="H468" s="2733"/>
      <c r="I468" s="602"/>
      <c r="J468" s="606"/>
      <c r="L468" s="2584"/>
      <c r="M468" s="2584"/>
      <c r="Q468" s="2585"/>
      <c r="R468" s="2585"/>
      <c r="U468" s="605"/>
      <c r="W468" s="605"/>
    </row>
    <row r="469" spans="1:23" s="604" customFormat="1" ht="27" customHeight="1">
      <c r="A469" s="595"/>
      <c r="B469" s="596"/>
      <c r="C469" s="597"/>
      <c r="D469" s="599" t="s">
        <v>4634</v>
      </c>
      <c r="E469" s="599"/>
      <c r="F469" s="600">
        <f>((2.5-1.4)*1.2)*(1.35-0.15-0.4)</f>
        <v>1.0560000000000003</v>
      </c>
      <c r="G469" s="289"/>
      <c r="H469" s="2733"/>
      <c r="I469" s="602"/>
      <c r="J469" s="606"/>
      <c r="L469" s="2584"/>
      <c r="M469" s="2584"/>
      <c r="Q469" s="2585"/>
      <c r="R469" s="2585"/>
      <c r="U469" s="605"/>
      <c r="W469" s="605"/>
    </row>
    <row r="470" spans="1:23" s="604" customFormat="1" ht="27" customHeight="1">
      <c r="A470" s="595"/>
      <c r="B470" s="596"/>
      <c r="C470" s="597"/>
      <c r="D470" s="599" t="s">
        <v>4635</v>
      </c>
      <c r="E470" s="599"/>
      <c r="F470" s="600">
        <f>((4.6-4.1)*1.2)*(1.65-0.15-0.4)</f>
        <v>0.66</v>
      </c>
      <c r="G470" s="289"/>
      <c r="H470" s="2733"/>
      <c r="I470" s="602"/>
      <c r="J470" s="606"/>
      <c r="L470" s="2584"/>
      <c r="M470" s="2584"/>
      <c r="Q470" s="2585"/>
      <c r="R470" s="2585"/>
      <c r="U470" s="605"/>
      <c r="W470" s="605"/>
    </row>
    <row r="471" spans="1:23" s="604" customFormat="1" ht="27" customHeight="1">
      <c r="A471" s="595"/>
      <c r="B471" s="596"/>
      <c r="C471" s="597"/>
      <c r="D471" s="599" t="s">
        <v>4636</v>
      </c>
      <c r="E471" s="599"/>
      <c r="F471" s="600">
        <f>((6.2-5.7)*1.2)*(1-0.15-0.4)</f>
        <v>0.26999999999999996</v>
      </c>
      <c r="G471" s="289"/>
      <c r="H471" s="2733"/>
      <c r="I471" s="602"/>
      <c r="J471" s="606"/>
      <c r="L471" s="2584"/>
      <c r="M471" s="2584"/>
      <c r="Q471" s="2585"/>
      <c r="R471" s="2585"/>
      <c r="U471" s="605"/>
      <c r="W471" s="605"/>
    </row>
    <row r="472" spans="1:23" s="604" customFormat="1" ht="27" customHeight="1">
      <c r="A472" s="595"/>
      <c r="B472" s="596"/>
      <c r="C472" s="597"/>
      <c r="D472" s="599" t="s">
        <v>4637</v>
      </c>
      <c r="E472" s="599"/>
      <c r="F472" s="600">
        <f>((3.2-2.7)*1.2)*(1.35-0.15-0.4)</f>
        <v>0.48000000000000009</v>
      </c>
      <c r="G472" s="289"/>
      <c r="H472" s="2733"/>
      <c r="I472" s="602"/>
      <c r="J472" s="3082"/>
      <c r="L472" s="2584"/>
      <c r="M472" s="2584"/>
      <c r="Q472" s="2585"/>
      <c r="R472" s="2585"/>
      <c r="U472" s="605"/>
      <c r="W472" s="605"/>
    </row>
    <row r="473" spans="1:23" s="604" customFormat="1" ht="13.5" customHeight="1">
      <c r="A473" s="1586"/>
      <c r="B473" s="596"/>
      <c r="C473" s="597"/>
      <c r="D473" s="719" t="s">
        <v>4638</v>
      </c>
      <c r="E473" s="599"/>
      <c r="F473" s="600"/>
      <c r="G473" s="289"/>
      <c r="H473" s="601"/>
      <c r="I473" s="602"/>
      <c r="J473" s="3087"/>
      <c r="K473" s="3088"/>
      <c r="L473" s="3088"/>
      <c r="M473" s="3087"/>
      <c r="N473" s="1644"/>
      <c r="O473" s="3094"/>
      <c r="U473" s="605"/>
      <c r="W473" s="605"/>
    </row>
    <row r="474" spans="1:23" s="604" customFormat="1" ht="27" customHeight="1">
      <c r="A474" s="1586"/>
      <c r="B474" s="596"/>
      <c r="C474" s="597"/>
      <c r="D474" s="599" t="s">
        <v>4639</v>
      </c>
      <c r="E474" s="599"/>
      <c r="F474" s="600">
        <f>(2*2)*(1.65-0.2)-((3.141592654*0.5*0.5)*1.45)</f>
        <v>4.6611726629249999</v>
      </c>
      <c r="G474" s="289"/>
      <c r="H474" s="601"/>
      <c r="I474" s="602"/>
      <c r="J474" s="3095"/>
      <c r="K474" s="3088"/>
      <c r="L474" s="3088"/>
      <c r="M474" s="3087"/>
      <c r="N474" s="1644"/>
      <c r="U474" s="605"/>
      <c r="W474" s="605"/>
    </row>
    <row r="475" spans="1:23" s="604" customFormat="1" ht="13.5" customHeight="1">
      <c r="A475" s="595"/>
      <c r="B475" s="596"/>
      <c r="C475" s="597"/>
      <c r="D475" s="719" t="s">
        <v>4640</v>
      </c>
      <c r="E475" s="599"/>
      <c r="F475" s="600"/>
      <c r="G475" s="289"/>
      <c r="H475" s="601"/>
      <c r="I475" s="602"/>
      <c r="J475" s="3096"/>
      <c r="U475" s="605"/>
      <c r="W475" s="605"/>
    </row>
    <row r="476" spans="1:23" s="604" customFormat="1" ht="27" customHeight="1">
      <c r="A476" s="595"/>
      <c r="B476" s="596"/>
      <c r="C476" s="597"/>
      <c r="D476" s="599" t="s">
        <v>4641</v>
      </c>
      <c r="E476" s="599"/>
      <c r="F476" s="600">
        <f>(1.6*1.6)*(1.35-0.15)-((3.141592654*0.3*0.3)*1.2)</f>
        <v>2.7327079933680012</v>
      </c>
      <c r="G476" s="289"/>
      <c r="H476" s="601"/>
      <c r="I476" s="602"/>
      <c r="J476" s="3095"/>
      <c r="U476" s="605"/>
      <c r="W476" s="605"/>
    </row>
    <row r="477" spans="1:23" s="604" customFormat="1" ht="27" customHeight="1">
      <c r="A477" s="595"/>
      <c r="B477" s="596"/>
      <c r="C477" s="597"/>
      <c r="D477" s="599" t="s">
        <v>4642</v>
      </c>
      <c r="E477" s="599"/>
      <c r="F477" s="600">
        <f>(1.6*1.6)*(1.6-0.15)-((3.141592654*0.3*0.3)*1.45)</f>
        <v>3.302022158653001</v>
      </c>
      <c r="G477" s="289"/>
      <c r="H477" s="601"/>
      <c r="I477" s="602"/>
      <c r="J477" s="3095"/>
      <c r="U477" s="605"/>
      <c r="W477" s="605"/>
    </row>
    <row r="478" spans="1:23" s="604" customFormat="1" ht="27" customHeight="1">
      <c r="A478" s="595"/>
      <c r="B478" s="596"/>
      <c r="C478" s="597"/>
      <c r="D478" s="599" t="s">
        <v>4643</v>
      </c>
      <c r="E478" s="599"/>
      <c r="F478" s="600">
        <f>(1.6*1.6)*(1.9-0.15)-((3.141592654*0.3*0.3)*1.75)</f>
        <v>3.9851991569950007</v>
      </c>
      <c r="G478" s="289"/>
      <c r="H478" s="601"/>
      <c r="I478" s="602"/>
      <c r="J478" s="3095"/>
      <c r="U478" s="605"/>
      <c r="W478" s="605"/>
    </row>
    <row r="479" spans="1:23" s="604" customFormat="1" ht="27" customHeight="1">
      <c r="A479" s="595"/>
      <c r="B479" s="596"/>
      <c r="C479" s="597"/>
      <c r="D479" s="599" t="s">
        <v>4644</v>
      </c>
      <c r="E479" s="599"/>
      <c r="F479" s="600">
        <f>(1.6*1.6)*(1.65-0.15)-((3.141592654*0.3*0.3)*1.5)</f>
        <v>3.4158849917100009</v>
      </c>
      <c r="G479" s="289"/>
      <c r="H479" s="601"/>
      <c r="I479" s="602"/>
      <c r="J479" s="3095"/>
      <c r="U479" s="605"/>
      <c r="W479" s="605"/>
    </row>
    <row r="480" spans="1:23" s="604" customFormat="1" ht="27" customHeight="1">
      <c r="A480" s="595"/>
      <c r="B480" s="596"/>
      <c r="C480" s="597"/>
      <c r="D480" s="599" t="s">
        <v>4645</v>
      </c>
      <c r="E480" s="599"/>
      <c r="F480" s="600">
        <f>(1.6*1.6)*(1.15-0.15)-((3.141592654*0.3*0.3)*1)</f>
        <v>2.27725666114</v>
      </c>
      <c r="G480" s="289"/>
      <c r="H480" s="601"/>
      <c r="I480" s="602"/>
      <c r="J480" s="3095"/>
      <c r="U480" s="605"/>
      <c r="W480" s="605"/>
    </row>
    <row r="481" spans="1:23" s="604" customFormat="1" ht="27" customHeight="1">
      <c r="A481" s="595"/>
      <c r="B481" s="596"/>
      <c r="C481" s="597"/>
      <c r="D481" s="599" t="s">
        <v>4646</v>
      </c>
      <c r="E481" s="599"/>
      <c r="F481" s="600">
        <f>(1.6*1.6)*(1.15-0.15)-((3.141592654*0.3*0.3)*1)</f>
        <v>2.27725666114</v>
      </c>
      <c r="G481" s="289"/>
      <c r="H481" s="601"/>
      <c r="I481" s="602"/>
      <c r="J481" s="3095"/>
      <c r="U481" s="605"/>
      <c r="W481" s="605"/>
    </row>
    <row r="482" spans="1:23" s="604" customFormat="1" ht="27" customHeight="1">
      <c r="A482" s="595"/>
      <c r="B482" s="596"/>
      <c r="C482" s="597"/>
      <c r="D482" s="599" t="s">
        <v>4647</v>
      </c>
      <c r="E482" s="599"/>
      <c r="F482" s="600">
        <f>(1.6*1.6)*(1.1-0.15)-((3.141592654*0.3*0.3)*0.95)</f>
        <v>2.163393828083001</v>
      </c>
      <c r="G482" s="289"/>
      <c r="H482" s="601"/>
      <c r="I482" s="602"/>
      <c r="J482" s="3095"/>
      <c r="U482" s="605"/>
      <c r="W482" s="605"/>
    </row>
    <row r="483" spans="1:23" s="604" customFormat="1" ht="27" customHeight="1">
      <c r="A483" s="595"/>
      <c r="B483" s="596"/>
      <c r="C483" s="597"/>
      <c r="D483" s="599" t="s">
        <v>4648</v>
      </c>
      <c r="E483" s="599"/>
      <c r="F483" s="600">
        <f>(1.6*1.6)*(1.35-0.15)-((3.141592654*0.3*0.3)*1.2)</f>
        <v>2.7327079933680012</v>
      </c>
      <c r="G483" s="289"/>
      <c r="H483" s="601"/>
      <c r="I483" s="602"/>
      <c r="J483" s="3095"/>
      <c r="L483" s="3095"/>
      <c r="U483" s="605"/>
      <c r="W483" s="605"/>
    </row>
    <row r="484" spans="1:23" s="604" customFormat="1" ht="27" customHeight="1">
      <c r="A484" s="595"/>
      <c r="B484" s="596"/>
      <c r="C484" s="597"/>
      <c r="D484" s="599" t="s">
        <v>4649</v>
      </c>
      <c r="E484" s="599"/>
      <c r="F484" s="600">
        <f>(1.6*1.6)*(1.35-0.15)-((3.141592654*0.3*0.3)*1.2)</f>
        <v>2.7327079933680012</v>
      </c>
      <c r="G484" s="289"/>
      <c r="H484" s="601"/>
      <c r="I484" s="602"/>
      <c r="J484" s="3095"/>
      <c r="U484" s="605"/>
      <c r="W484" s="605"/>
    </row>
    <row r="485" spans="1:23" s="604" customFormat="1" ht="27" customHeight="1">
      <c r="A485" s="595"/>
      <c r="B485" s="596"/>
      <c r="C485" s="597"/>
      <c r="D485" s="599" t="s">
        <v>4650</v>
      </c>
      <c r="E485" s="599"/>
      <c r="F485" s="600">
        <f>(1.6*1.6)*(1.15-0.15)-((3.141592654*0.3*0.3)*1)</f>
        <v>2.27725666114</v>
      </c>
      <c r="G485" s="289"/>
      <c r="H485" s="601"/>
      <c r="I485" s="602"/>
      <c r="J485" s="3095"/>
      <c r="U485" s="605"/>
      <c r="W485" s="605"/>
    </row>
    <row r="486" spans="1:23" s="604" customFormat="1" ht="27" customHeight="1">
      <c r="A486" s="595"/>
      <c r="B486" s="596"/>
      <c r="C486" s="597"/>
      <c r="D486" s="599" t="s">
        <v>4651</v>
      </c>
      <c r="E486" s="599"/>
      <c r="F486" s="600">
        <f>(1.6*1.6)*(1.8-0.15)-((3.141592654*0.3*0.3)*1.65)</f>
        <v>3.7574734908810012</v>
      </c>
      <c r="G486" s="289"/>
      <c r="H486" s="601"/>
      <c r="I486" s="602"/>
      <c r="J486" s="3095"/>
      <c r="U486" s="605"/>
      <c r="W486" s="605"/>
    </row>
    <row r="487" spans="1:23" s="604" customFormat="1" ht="27" customHeight="1">
      <c r="A487" s="595"/>
      <c r="B487" s="596"/>
      <c r="C487" s="597"/>
      <c r="D487" s="599" t="s">
        <v>4652</v>
      </c>
      <c r="E487" s="599"/>
      <c r="F487" s="600">
        <f>(1.6*1.6)*(1.65-0.15)-((3.141592654*0.3*0.3)*1.5)</f>
        <v>3.4158849917100009</v>
      </c>
      <c r="G487" s="289"/>
      <c r="H487" s="601"/>
      <c r="I487" s="602"/>
      <c r="J487" s="3095"/>
      <c r="U487" s="605"/>
      <c r="W487" s="605"/>
    </row>
    <row r="488" spans="1:23" s="604" customFormat="1" ht="27" customHeight="1">
      <c r="A488" s="595"/>
      <c r="B488" s="596"/>
      <c r="C488" s="597"/>
      <c r="D488" s="599" t="s">
        <v>4653</v>
      </c>
      <c r="E488" s="599"/>
      <c r="F488" s="600">
        <f>(1.6*1.6)*(1.65-0.15)-((3.141592654*0.3*0.3)*1.5)</f>
        <v>3.4158849917100009</v>
      </c>
      <c r="G488" s="289"/>
      <c r="H488" s="601"/>
      <c r="I488" s="602"/>
      <c r="J488" s="3095"/>
      <c r="U488" s="605"/>
      <c r="W488" s="605"/>
    </row>
    <row r="489" spans="1:23" s="604" customFormat="1" ht="27" customHeight="1">
      <c r="A489" s="595"/>
      <c r="B489" s="596"/>
      <c r="C489" s="597"/>
      <c r="D489" s="599" t="s">
        <v>4654</v>
      </c>
      <c r="E489" s="599"/>
      <c r="F489" s="600">
        <f>(1.6*1.6)*(1.5-0.15)-((3.141592654*0.3*0.3)*1.35)</f>
        <v>3.0742964925390011</v>
      </c>
      <c r="G489" s="289"/>
      <c r="H489" s="601"/>
      <c r="I489" s="602"/>
      <c r="J489" s="3095"/>
      <c r="U489" s="605"/>
      <c r="W489" s="605"/>
    </row>
    <row r="490" spans="1:23" s="604" customFormat="1" ht="27" customHeight="1">
      <c r="A490" s="595"/>
      <c r="B490" s="596"/>
      <c r="C490" s="597"/>
      <c r="D490" s="599" t="s">
        <v>4655</v>
      </c>
      <c r="E490" s="599"/>
      <c r="F490" s="600">
        <f>(1.6*1.6)*(1-0.15)-((3.141592654*0.3*0.3)*0.85)</f>
        <v>1.9356681619690002</v>
      </c>
      <c r="G490" s="289"/>
      <c r="H490" s="601"/>
      <c r="I490" s="602"/>
      <c r="J490" s="3095"/>
      <c r="U490" s="605"/>
      <c r="W490" s="605"/>
    </row>
    <row r="491" spans="1:23" s="604" customFormat="1" ht="27" customHeight="1">
      <c r="A491" s="595"/>
      <c r="B491" s="596"/>
      <c r="C491" s="597"/>
      <c r="D491" s="599" t="s">
        <v>4656</v>
      </c>
      <c r="E491" s="599"/>
      <c r="F491" s="600">
        <f>(1.6*1.6)*(1.35-0.15)-((3.141592654*0.3*0.3)*1.2)</f>
        <v>2.7327079933680012</v>
      </c>
      <c r="G491" s="289"/>
      <c r="H491" s="601"/>
      <c r="I491" s="602"/>
      <c r="J491" s="3095"/>
      <c r="U491" s="605"/>
      <c r="W491" s="605"/>
    </row>
    <row r="492" spans="1:23" s="604" customFormat="1" ht="27" customHeight="1">
      <c r="A492" s="595"/>
      <c r="B492" s="596"/>
      <c r="C492" s="597"/>
      <c r="D492" s="599" t="s">
        <v>4657</v>
      </c>
      <c r="E492" s="599"/>
      <c r="F492" s="600">
        <f>(1.6*1.6)*(1.4-0.15)-((3.141592654*0.3*0.3)*1.25)</f>
        <v>2.8465708264250007</v>
      </c>
      <c r="G492" s="289"/>
      <c r="H492" s="601"/>
      <c r="I492" s="602"/>
      <c r="J492" s="3095"/>
      <c r="U492" s="605"/>
      <c r="W492" s="605"/>
    </row>
    <row r="493" spans="1:23" s="604" customFormat="1" ht="27" customHeight="1">
      <c r="A493" s="595"/>
      <c r="B493" s="596"/>
      <c r="C493" s="597"/>
      <c r="D493" s="599" t="s">
        <v>4658</v>
      </c>
      <c r="E493" s="599"/>
      <c r="F493" s="600">
        <f>(1.6*1.6)*(1.15-0.15)-((3.141592654*0.3*0.3)*1)</f>
        <v>2.27725666114</v>
      </c>
      <c r="G493" s="289"/>
      <c r="H493" s="601"/>
      <c r="I493" s="602"/>
      <c r="J493" s="3095"/>
      <c r="U493" s="605"/>
      <c r="W493" s="605"/>
    </row>
    <row r="494" spans="1:23" s="604" customFormat="1" ht="27" customHeight="1">
      <c r="A494" s="595"/>
      <c r="B494" s="596"/>
      <c r="C494" s="597"/>
      <c r="D494" s="599" t="s">
        <v>4659</v>
      </c>
      <c r="E494" s="599"/>
      <c r="F494" s="600">
        <f>(1.6*1.6)*(1.35-0.15)-((3.141592654*0.3*0.3)*1.2)</f>
        <v>2.7327079933680012</v>
      </c>
      <c r="G494" s="289"/>
      <c r="H494" s="601"/>
      <c r="I494" s="602"/>
      <c r="J494" s="3095"/>
      <c r="U494" s="605"/>
      <c r="W494" s="605"/>
    </row>
    <row r="495" spans="1:23" s="604" customFormat="1" ht="27" customHeight="1">
      <c r="A495" s="595"/>
      <c r="B495" s="596"/>
      <c r="C495" s="597"/>
      <c r="D495" s="599" t="s">
        <v>4660</v>
      </c>
      <c r="E495" s="599"/>
      <c r="F495" s="600">
        <f>(1.6*1.6)*(1.35-0.15)-((3.141592654*0.3*0.3)*1.2)</f>
        <v>2.7327079933680012</v>
      </c>
      <c r="G495" s="289"/>
      <c r="H495" s="601"/>
      <c r="I495" s="602"/>
      <c r="J495" s="3095"/>
      <c r="U495" s="605"/>
      <c r="W495" s="605"/>
    </row>
    <row r="496" spans="1:23" s="604" customFormat="1" ht="27" customHeight="1">
      <c r="A496" s="595"/>
      <c r="B496" s="596"/>
      <c r="C496" s="597"/>
      <c r="D496" s="599" t="s">
        <v>4661</v>
      </c>
      <c r="E496" s="599"/>
      <c r="F496" s="600">
        <f>(1.6*1.6)*(1.35-0.15)-((3.141592654*0.3*0.3)*1.2)</f>
        <v>2.7327079933680012</v>
      </c>
      <c r="G496" s="289"/>
      <c r="H496" s="601"/>
      <c r="I496" s="602"/>
      <c r="J496" s="3095"/>
      <c r="U496" s="605"/>
      <c r="W496" s="605"/>
    </row>
    <row r="497" spans="1:23" s="612" customFormat="1" ht="13.5" customHeight="1">
      <c r="A497" s="729">
        <v>19</v>
      </c>
      <c r="B497" s="730">
        <v>583</v>
      </c>
      <c r="C497" s="730">
        <v>58343930</v>
      </c>
      <c r="D497" s="730" t="s">
        <v>4662</v>
      </c>
      <c r="E497" s="730" t="s">
        <v>175</v>
      </c>
      <c r="F497" s="3097">
        <f>ROUND(SUM(F499:F522),3)</f>
        <v>142.55799999999999</v>
      </c>
      <c r="G497" s="292"/>
      <c r="H497" s="733">
        <f t="shared" ref="H497" si="10">ROUND(F497*G497,2)</f>
        <v>0</v>
      </c>
      <c r="I497" s="734" t="s">
        <v>137</v>
      </c>
    </row>
    <row r="498" spans="1:23" s="604" customFormat="1" ht="13.5" customHeight="1">
      <c r="A498" s="595"/>
      <c r="B498" s="596"/>
      <c r="C498" s="597"/>
      <c r="D498" s="738" t="s">
        <v>4615</v>
      </c>
      <c r="E498" s="739"/>
      <c r="F498" s="740"/>
      <c r="G498" s="289"/>
      <c r="H498" s="601"/>
      <c r="I498" s="602"/>
      <c r="J498" s="3093"/>
      <c r="Q498" s="3080"/>
      <c r="R498" s="3080"/>
      <c r="U498" s="605"/>
      <c r="W498" s="605"/>
    </row>
    <row r="499" spans="1:23" s="604" customFormat="1" ht="13.5" customHeight="1">
      <c r="A499" s="595"/>
      <c r="B499" s="596"/>
      <c r="C499" s="597"/>
      <c r="D499" s="739" t="s">
        <v>4663</v>
      </c>
      <c r="E499" s="739"/>
      <c r="F499" s="740">
        <f>(0.66)*2</f>
        <v>1.32</v>
      </c>
      <c r="G499" s="289"/>
      <c r="H499" s="2733"/>
      <c r="I499" s="602"/>
      <c r="J499" s="3081"/>
      <c r="L499" s="2584"/>
      <c r="M499" s="2584"/>
      <c r="Q499" s="2585"/>
      <c r="R499" s="2585"/>
      <c r="U499" s="605"/>
      <c r="W499" s="605"/>
    </row>
    <row r="500" spans="1:23" s="604" customFormat="1" ht="13.5" customHeight="1">
      <c r="A500" s="595"/>
      <c r="B500" s="596"/>
      <c r="C500" s="597"/>
      <c r="D500" s="739" t="s">
        <v>4664</v>
      </c>
      <c r="E500" s="739"/>
      <c r="F500" s="740">
        <f>(0.36)*2</f>
        <v>0.72</v>
      </c>
      <c r="G500" s="289"/>
      <c r="H500" s="2733"/>
      <c r="I500" s="602"/>
      <c r="J500" s="606"/>
      <c r="L500" s="2584"/>
      <c r="M500" s="2584"/>
      <c r="Q500" s="2585"/>
      <c r="R500" s="2585"/>
      <c r="U500" s="605"/>
      <c r="W500" s="605"/>
    </row>
    <row r="501" spans="1:23" s="604" customFormat="1" ht="13.5" customHeight="1">
      <c r="A501" s="595"/>
      <c r="B501" s="596"/>
      <c r="C501" s="597"/>
      <c r="D501" s="738" t="s">
        <v>4618</v>
      </c>
      <c r="E501" s="739"/>
      <c r="F501" s="740"/>
      <c r="G501" s="289"/>
      <c r="H501" s="2733"/>
      <c r="I501" s="602"/>
      <c r="J501" s="3082"/>
      <c r="L501" s="2584"/>
      <c r="M501" s="2584"/>
      <c r="Q501" s="2585"/>
      <c r="R501" s="2585"/>
      <c r="U501" s="605"/>
      <c r="W501" s="605"/>
    </row>
    <row r="502" spans="1:23" s="604" customFormat="1" ht="27" customHeight="1">
      <c r="A502" s="595"/>
      <c r="B502" s="596"/>
      <c r="C502" s="597"/>
      <c r="D502" s="739" t="s">
        <v>4665</v>
      </c>
      <c r="E502" s="739"/>
      <c r="F502" s="740">
        <f>(2.784)*2</f>
        <v>5.5679999999999996</v>
      </c>
      <c r="G502" s="289"/>
      <c r="H502" s="2733"/>
      <c r="I502" s="602"/>
      <c r="J502" s="2660"/>
      <c r="K502" s="2661"/>
      <c r="L502" s="3083"/>
      <c r="M502" s="3083"/>
      <c r="Q502" s="2585"/>
      <c r="R502" s="2585"/>
      <c r="U502" s="605"/>
      <c r="W502" s="605"/>
    </row>
    <row r="503" spans="1:23" s="604" customFormat="1" ht="27" customHeight="1">
      <c r="A503" s="595"/>
      <c r="B503" s="596"/>
      <c r="C503" s="597"/>
      <c r="D503" s="739" t="s">
        <v>4666</v>
      </c>
      <c r="E503" s="739"/>
      <c r="F503" s="740">
        <f>(15.036)*2</f>
        <v>30.071999999999999</v>
      </c>
      <c r="G503" s="289"/>
      <c r="H503" s="2733"/>
      <c r="I503" s="602"/>
      <c r="J503" s="2660"/>
      <c r="K503" s="2661"/>
      <c r="L503" s="3083"/>
      <c r="M503" s="3083"/>
      <c r="Q503" s="2585"/>
      <c r="R503" s="2585"/>
      <c r="U503" s="605"/>
      <c r="W503" s="605"/>
    </row>
    <row r="504" spans="1:23" s="604" customFormat="1" ht="13.5" customHeight="1">
      <c r="A504" s="595"/>
      <c r="B504" s="596"/>
      <c r="C504" s="597"/>
      <c r="D504" s="739" t="s">
        <v>4667</v>
      </c>
      <c r="E504" s="739"/>
      <c r="F504" s="740">
        <f>(0.858)*2</f>
        <v>1.716</v>
      </c>
      <c r="G504" s="289"/>
      <c r="H504" s="2733"/>
      <c r="I504" s="602"/>
      <c r="J504" s="2660"/>
      <c r="K504" s="2661"/>
      <c r="L504" s="3084"/>
      <c r="M504" s="3083"/>
      <c r="Q504" s="2585"/>
      <c r="R504" s="2585"/>
      <c r="U504" s="605"/>
      <c r="W504" s="605"/>
    </row>
    <row r="505" spans="1:23" s="604" customFormat="1" ht="27" customHeight="1">
      <c r="A505" s="595"/>
      <c r="B505" s="596"/>
      <c r="C505" s="597"/>
      <c r="D505" s="739" t="s">
        <v>4668</v>
      </c>
      <c r="E505" s="739"/>
      <c r="F505" s="740">
        <f>(4.332)*2</f>
        <v>8.6639999999999997</v>
      </c>
      <c r="G505" s="289"/>
      <c r="H505" s="2733"/>
      <c r="I505" s="602"/>
      <c r="J505" s="3085"/>
      <c r="K505" s="3086"/>
      <c r="L505" s="2584"/>
      <c r="M505" s="2584"/>
      <c r="Q505" s="2585"/>
      <c r="R505" s="2585"/>
      <c r="U505" s="605"/>
      <c r="W505" s="605"/>
    </row>
    <row r="506" spans="1:23" s="604" customFormat="1" ht="13.5" customHeight="1">
      <c r="A506" s="595"/>
      <c r="B506" s="596"/>
      <c r="C506" s="597"/>
      <c r="D506" s="739" t="s">
        <v>4669</v>
      </c>
      <c r="E506" s="739"/>
      <c r="F506" s="740">
        <f>(0.816)*2</f>
        <v>1.6319999999999999</v>
      </c>
      <c r="G506" s="289"/>
      <c r="H506" s="2733"/>
      <c r="I506" s="602"/>
      <c r="J506" s="3085"/>
      <c r="K506" s="3086"/>
      <c r="L506" s="2584"/>
      <c r="M506" s="2584"/>
      <c r="Q506" s="2585"/>
      <c r="R506" s="2585"/>
      <c r="U506" s="605"/>
      <c r="W506" s="605"/>
    </row>
    <row r="507" spans="1:23" s="604" customFormat="1" ht="27" customHeight="1">
      <c r="A507" s="595"/>
      <c r="B507" s="596"/>
      <c r="C507" s="597"/>
      <c r="D507" s="739" t="s">
        <v>4670</v>
      </c>
      <c r="E507" s="739"/>
      <c r="F507" s="740">
        <f>(4.674)*2</f>
        <v>9.3480000000000008</v>
      </c>
      <c r="G507" s="289"/>
      <c r="H507" s="2733"/>
      <c r="I507" s="602"/>
      <c r="J507" s="606"/>
      <c r="L507" s="2584"/>
      <c r="M507" s="2584"/>
      <c r="Q507" s="2585"/>
      <c r="R507" s="2585"/>
      <c r="U507" s="605"/>
      <c r="W507" s="605"/>
    </row>
    <row r="508" spans="1:23" s="604" customFormat="1" ht="27" customHeight="1">
      <c r="A508" s="595"/>
      <c r="B508" s="596"/>
      <c r="C508" s="597"/>
      <c r="D508" s="739" t="s">
        <v>4671</v>
      </c>
      <c r="E508" s="739"/>
      <c r="F508" s="740">
        <f>(4.896)*2</f>
        <v>9.7919999999999998</v>
      </c>
      <c r="G508" s="289"/>
      <c r="H508" s="2733"/>
      <c r="I508" s="602"/>
      <c r="J508" s="606"/>
      <c r="L508" s="2584"/>
      <c r="M508" s="2584"/>
      <c r="Q508" s="2585"/>
      <c r="R508" s="2585"/>
      <c r="U508" s="605"/>
      <c r="W508" s="605"/>
    </row>
    <row r="509" spans="1:23" s="604" customFormat="1" ht="13.5" customHeight="1">
      <c r="A509" s="595"/>
      <c r="B509" s="596"/>
      <c r="C509" s="597"/>
      <c r="D509" s="739" t="s">
        <v>4672</v>
      </c>
      <c r="E509" s="739"/>
      <c r="F509" s="740">
        <f>(0.36)*2</f>
        <v>0.72</v>
      </c>
      <c r="G509" s="289"/>
      <c r="H509" s="2733"/>
      <c r="I509" s="602"/>
      <c r="J509" s="3082"/>
      <c r="L509" s="2584"/>
      <c r="M509" s="2584"/>
      <c r="Q509" s="2585"/>
      <c r="R509" s="2585"/>
      <c r="U509" s="605"/>
      <c r="W509" s="605"/>
    </row>
    <row r="510" spans="1:23" s="604" customFormat="1" ht="13.5" customHeight="1">
      <c r="A510" s="595"/>
      <c r="B510" s="596"/>
      <c r="C510" s="597"/>
      <c r="D510" s="738" t="s">
        <v>4627</v>
      </c>
      <c r="E510" s="739"/>
      <c r="F510" s="740"/>
      <c r="G510" s="289"/>
      <c r="H510" s="2733"/>
      <c r="I510" s="602"/>
      <c r="J510" s="606"/>
      <c r="L510" s="2584"/>
      <c r="M510" s="2584"/>
      <c r="Q510" s="2585"/>
      <c r="R510" s="2585"/>
      <c r="U510" s="605"/>
      <c r="W510" s="605"/>
    </row>
    <row r="511" spans="1:23" s="604" customFormat="1" ht="13.5" customHeight="1">
      <c r="A511" s="595"/>
      <c r="B511" s="596"/>
      <c r="C511" s="597"/>
      <c r="D511" s="739" t="s">
        <v>4673</v>
      </c>
      <c r="E511" s="739"/>
      <c r="F511" s="740">
        <f>(1.08)*2</f>
        <v>2.16</v>
      </c>
      <c r="G511" s="289"/>
      <c r="H511" s="2733"/>
      <c r="I511" s="602"/>
      <c r="J511" s="606"/>
      <c r="L511" s="2584"/>
      <c r="M511" s="2584"/>
      <c r="Q511" s="2585"/>
      <c r="R511" s="2585"/>
      <c r="U511" s="605"/>
      <c r="W511" s="605"/>
    </row>
    <row r="512" spans="1:23" s="604" customFormat="1" ht="27" customHeight="1">
      <c r="A512" s="595"/>
      <c r="B512" s="596"/>
      <c r="C512" s="597"/>
      <c r="D512" s="739" t="s">
        <v>4674</v>
      </c>
      <c r="E512" s="739"/>
      <c r="F512" s="740">
        <f>(16.38)*2</f>
        <v>32.76</v>
      </c>
      <c r="G512" s="289"/>
      <c r="H512" s="2733"/>
      <c r="I512" s="602"/>
      <c r="J512" s="606"/>
      <c r="L512" s="2584"/>
      <c r="M512" s="2584"/>
      <c r="Q512" s="2585"/>
      <c r="R512" s="2585"/>
      <c r="U512" s="605"/>
      <c r="W512" s="605"/>
    </row>
    <row r="513" spans="1:23" s="604" customFormat="1" ht="27" customHeight="1">
      <c r="A513" s="595"/>
      <c r="B513" s="596"/>
      <c r="C513" s="597"/>
      <c r="D513" s="739" t="s">
        <v>4675</v>
      </c>
      <c r="E513" s="739"/>
      <c r="F513" s="740">
        <f>(1.938)*2</f>
        <v>3.8759999999999999</v>
      </c>
      <c r="G513" s="289"/>
      <c r="H513" s="2733"/>
      <c r="I513" s="602"/>
      <c r="J513" s="606"/>
      <c r="L513" s="2584"/>
      <c r="M513" s="2584"/>
      <c r="Q513" s="2585"/>
      <c r="R513" s="2585"/>
      <c r="U513" s="605"/>
      <c r="W513" s="605"/>
    </row>
    <row r="514" spans="1:23" s="604" customFormat="1" ht="27" customHeight="1">
      <c r="A514" s="595"/>
      <c r="B514" s="596"/>
      <c r="C514" s="597"/>
      <c r="D514" s="739" t="s">
        <v>4676</v>
      </c>
      <c r="E514" s="739"/>
      <c r="F514" s="740">
        <f>(6.426)*2</f>
        <v>12.852</v>
      </c>
      <c r="G514" s="289"/>
      <c r="H514" s="2733"/>
      <c r="I514" s="602"/>
      <c r="J514" s="606"/>
      <c r="L514" s="2584"/>
      <c r="M514" s="2584"/>
      <c r="Q514" s="2585"/>
      <c r="R514" s="2585"/>
      <c r="U514" s="605"/>
      <c r="W514" s="605"/>
    </row>
    <row r="515" spans="1:23" s="604" customFormat="1" ht="27" customHeight="1">
      <c r="A515" s="595"/>
      <c r="B515" s="596"/>
      <c r="C515" s="597"/>
      <c r="D515" s="739" t="s">
        <v>4677</v>
      </c>
      <c r="E515" s="739"/>
      <c r="F515" s="740">
        <f>(2.496)*2</f>
        <v>4.992</v>
      </c>
      <c r="G515" s="289"/>
      <c r="H515" s="2733"/>
      <c r="I515" s="602"/>
      <c r="J515" s="606"/>
      <c r="L515" s="2584"/>
      <c r="M515" s="2584"/>
      <c r="Q515" s="2585"/>
      <c r="R515" s="2585"/>
      <c r="U515" s="605"/>
      <c r="W515" s="605"/>
    </row>
    <row r="516" spans="1:23" s="604" customFormat="1" ht="13.5" customHeight="1">
      <c r="A516" s="595"/>
      <c r="B516" s="596"/>
      <c r="C516" s="597"/>
      <c r="D516" s="739" t="s">
        <v>4678</v>
      </c>
      <c r="E516" s="739"/>
      <c r="F516" s="740">
        <f>(1.056)*2</f>
        <v>2.1120000000000001</v>
      </c>
      <c r="G516" s="289"/>
      <c r="H516" s="2733"/>
      <c r="I516" s="602"/>
      <c r="J516" s="606"/>
      <c r="L516" s="2584"/>
      <c r="M516" s="2584"/>
      <c r="Q516" s="2585"/>
      <c r="R516" s="2585"/>
      <c r="U516" s="605"/>
      <c r="W516" s="605"/>
    </row>
    <row r="517" spans="1:23" s="604" customFormat="1" ht="27" customHeight="1">
      <c r="A517" s="595"/>
      <c r="B517" s="596"/>
      <c r="C517" s="597"/>
      <c r="D517" s="739" t="s">
        <v>4679</v>
      </c>
      <c r="E517" s="739"/>
      <c r="F517" s="740">
        <f>(1.056)*2</f>
        <v>2.1120000000000001</v>
      </c>
      <c r="G517" s="289"/>
      <c r="H517" s="2733"/>
      <c r="I517" s="602"/>
      <c r="J517" s="606"/>
      <c r="L517" s="2584"/>
      <c r="M517" s="2584"/>
      <c r="Q517" s="2585"/>
      <c r="R517" s="2585"/>
      <c r="U517" s="605"/>
      <c r="W517" s="605"/>
    </row>
    <row r="518" spans="1:23" s="604" customFormat="1" ht="13.5" customHeight="1">
      <c r="A518" s="595"/>
      <c r="B518" s="596"/>
      <c r="C518" s="597"/>
      <c r="D518" s="739" t="s">
        <v>4680</v>
      </c>
      <c r="E518" s="739"/>
      <c r="F518" s="740">
        <f>(0.66)*2</f>
        <v>1.32</v>
      </c>
      <c r="G518" s="289"/>
      <c r="H518" s="2733"/>
      <c r="I518" s="602"/>
      <c r="J518" s="606"/>
      <c r="L518" s="2584"/>
      <c r="M518" s="2584"/>
      <c r="Q518" s="2585"/>
      <c r="R518" s="2585"/>
      <c r="U518" s="605"/>
      <c r="W518" s="605"/>
    </row>
    <row r="519" spans="1:23" s="604" customFormat="1" ht="27" customHeight="1">
      <c r="A519" s="595"/>
      <c r="B519" s="596"/>
      <c r="C519" s="597"/>
      <c r="D519" s="739" t="s">
        <v>4681</v>
      </c>
      <c r="E519" s="739"/>
      <c r="F519" s="740">
        <f>(0.27)*2</f>
        <v>0.54</v>
      </c>
      <c r="G519" s="289"/>
      <c r="H519" s="2733"/>
      <c r="I519" s="602"/>
      <c r="J519" s="606"/>
      <c r="L519" s="2584"/>
      <c r="M519" s="2584"/>
      <c r="Q519" s="2585"/>
      <c r="R519" s="2585"/>
      <c r="U519" s="605"/>
      <c r="W519" s="605"/>
    </row>
    <row r="520" spans="1:23" s="604" customFormat="1" ht="13.5" customHeight="1">
      <c r="A520" s="595"/>
      <c r="B520" s="596"/>
      <c r="C520" s="597"/>
      <c r="D520" s="739" t="s">
        <v>4682</v>
      </c>
      <c r="E520" s="739"/>
      <c r="F520" s="740">
        <f>(0.48)*2</f>
        <v>0.96</v>
      </c>
      <c r="G520" s="289"/>
      <c r="H520" s="2733"/>
      <c r="I520" s="602"/>
      <c r="J520" s="3082"/>
      <c r="L520" s="2584"/>
      <c r="M520" s="2584"/>
      <c r="Q520" s="2585"/>
      <c r="R520" s="2585"/>
      <c r="U520" s="605"/>
      <c r="W520" s="605"/>
    </row>
    <row r="521" spans="1:23" s="604" customFormat="1" ht="13.5" customHeight="1">
      <c r="A521" s="2813"/>
      <c r="B521" s="2675"/>
      <c r="C521" s="2676"/>
      <c r="D521" s="738" t="s">
        <v>4638</v>
      </c>
      <c r="E521" s="739"/>
      <c r="F521" s="740"/>
      <c r="G521" s="293"/>
      <c r="H521" s="2677"/>
      <c r="I521" s="2678"/>
      <c r="J521" s="3087"/>
      <c r="K521" s="3088"/>
      <c r="L521" s="3088"/>
      <c r="M521" s="3087"/>
      <c r="N521" s="1644"/>
      <c r="O521" s="3094"/>
      <c r="U521" s="605"/>
      <c r="W521" s="605"/>
    </row>
    <row r="522" spans="1:23" s="604" customFormat="1" ht="13.5" customHeight="1">
      <c r="A522" s="2813"/>
      <c r="B522" s="2675"/>
      <c r="C522" s="2676"/>
      <c r="D522" s="739" t="s">
        <v>4683</v>
      </c>
      <c r="E522" s="739"/>
      <c r="F522" s="740">
        <f>(4.661)*2</f>
        <v>9.3219999999999992</v>
      </c>
      <c r="G522" s="293"/>
      <c r="H522" s="2677"/>
      <c r="I522" s="2678"/>
      <c r="J522" s="3095"/>
      <c r="K522" s="3088"/>
      <c r="L522" s="3088"/>
      <c r="M522" s="3087"/>
      <c r="N522" s="1644"/>
      <c r="U522" s="605"/>
      <c r="W522" s="605"/>
    </row>
    <row r="523" spans="1:23" s="612" customFormat="1" ht="13.5" customHeight="1">
      <c r="A523" s="729">
        <v>20</v>
      </c>
      <c r="B523" s="730">
        <v>583</v>
      </c>
      <c r="C523" s="730">
        <v>58337302</v>
      </c>
      <c r="D523" s="730" t="s">
        <v>4684</v>
      </c>
      <c r="E523" s="730" t="s">
        <v>175</v>
      </c>
      <c r="F523" s="3097">
        <f>ROUND(SUM(F525:F545),3)</f>
        <v>119.182</v>
      </c>
      <c r="G523" s="292"/>
      <c r="H523" s="733">
        <f t="shared" ref="H523" si="11">ROUND(F523*G523,2)</f>
        <v>0</v>
      </c>
      <c r="I523" s="734" t="s">
        <v>137</v>
      </c>
    </row>
    <row r="524" spans="1:23" s="604" customFormat="1" ht="13.5" customHeight="1">
      <c r="A524" s="2674"/>
      <c r="B524" s="2675"/>
      <c r="C524" s="2676"/>
      <c r="D524" s="738" t="s">
        <v>4640</v>
      </c>
      <c r="E524" s="739"/>
      <c r="F524" s="740"/>
      <c r="G524" s="293"/>
      <c r="H524" s="2677"/>
      <c r="I524" s="2678"/>
      <c r="J524" s="2679"/>
      <c r="U524" s="605"/>
      <c r="W524" s="605"/>
    </row>
    <row r="525" spans="1:23" s="3099" customFormat="1" ht="13.5" customHeight="1">
      <c r="A525" s="2674"/>
      <c r="B525" s="2675"/>
      <c r="C525" s="2676"/>
      <c r="D525" s="739" t="s">
        <v>4685</v>
      </c>
      <c r="E525" s="739"/>
      <c r="F525" s="740">
        <f>(2.733)*2</f>
        <v>5.4660000000000002</v>
      </c>
      <c r="G525" s="293"/>
      <c r="H525" s="2677"/>
      <c r="I525" s="2678"/>
      <c r="J525" s="3098"/>
      <c r="U525" s="3100"/>
      <c r="W525" s="3100"/>
    </row>
    <row r="526" spans="1:23" s="3099" customFormat="1" ht="13.5" customHeight="1">
      <c r="A526" s="2674"/>
      <c r="B526" s="2675"/>
      <c r="C526" s="2676"/>
      <c r="D526" s="739" t="s">
        <v>4686</v>
      </c>
      <c r="E526" s="739"/>
      <c r="F526" s="740">
        <f>(3.302)*2</f>
        <v>6.6040000000000001</v>
      </c>
      <c r="G526" s="293"/>
      <c r="H526" s="2677"/>
      <c r="I526" s="2678"/>
      <c r="J526" s="3098"/>
      <c r="U526" s="3100"/>
      <c r="W526" s="3100"/>
    </row>
    <row r="527" spans="1:23" s="3099" customFormat="1" ht="13.5" customHeight="1">
      <c r="A527" s="2674"/>
      <c r="B527" s="2675"/>
      <c r="C527" s="2676"/>
      <c r="D527" s="739" t="s">
        <v>4687</v>
      </c>
      <c r="E527" s="739"/>
      <c r="F527" s="740">
        <f>(3.985)*2</f>
        <v>7.97</v>
      </c>
      <c r="G527" s="293"/>
      <c r="H527" s="2677"/>
      <c r="I527" s="2678"/>
      <c r="J527" s="3098"/>
      <c r="U527" s="3100"/>
      <c r="W527" s="3100"/>
    </row>
    <row r="528" spans="1:23" s="3099" customFormat="1" ht="13.5" customHeight="1">
      <c r="A528" s="2674"/>
      <c r="B528" s="2675"/>
      <c r="C528" s="2676"/>
      <c r="D528" s="739" t="s">
        <v>4688</v>
      </c>
      <c r="E528" s="739"/>
      <c r="F528" s="740">
        <f>(3.416)*2</f>
        <v>6.8319999999999999</v>
      </c>
      <c r="G528" s="293"/>
      <c r="H528" s="2677"/>
      <c r="I528" s="2678"/>
      <c r="J528" s="3098"/>
      <c r="U528" s="3100"/>
      <c r="W528" s="3100"/>
    </row>
    <row r="529" spans="1:23" s="3099" customFormat="1" ht="13.5" customHeight="1">
      <c r="A529" s="2674"/>
      <c r="B529" s="2675"/>
      <c r="C529" s="2676"/>
      <c r="D529" s="739" t="s">
        <v>4689</v>
      </c>
      <c r="E529" s="739"/>
      <c r="F529" s="740">
        <f>(2.277)*2</f>
        <v>4.5540000000000003</v>
      </c>
      <c r="G529" s="293"/>
      <c r="H529" s="2677"/>
      <c r="I529" s="2678"/>
      <c r="J529" s="3098"/>
      <c r="U529" s="3100"/>
      <c r="W529" s="3100"/>
    </row>
    <row r="530" spans="1:23" s="3099" customFormat="1" ht="13.5" customHeight="1">
      <c r="A530" s="2674"/>
      <c r="B530" s="2675"/>
      <c r="C530" s="2676"/>
      <c r="D530" s="739" t="s">
        <v>4690</v>
      </c>
      <c r="E530" s="739"/>
      <c r="F530" s="740">
        <f>(2.277)*2</f>
        <v>4.5540000000000003</v>
      </c>
      <c r="G530" s="293"/>
      <c r="H530" s="2677"/>
      <c r="I530" s="2678"/>
      <c r="J530" s="3098"/>
      <c r="U530" s="3100"/>
      <c r="W530" s="3100"/>
    </row>
    <row r="531" spans="1:23" s="3099" customFormat="1" ht="13.5" customHeight="1">
      <c r="A531" s="2674"/>
      <c r="B531" s="2675"/>
      <c r="C531" s="2676"/>
      <c r="D531" s="739" t="s">
        <v>4691</v>
      </c>
      <c r="E531" s="739"/>
      <c r="F531" s="740">
        <f>(2.163)*2</f>
        <v>4.3259999999999996</v>
      </c>
      <c r="G531" s="293"/>
      <c r="H531" s="2677"/>
      <c r="I531" s="2678"/>
      <c r="J531" s="3098"/>
      <c r="U531" s="3100"/>
      <c r="W531" s="3100"/>
    </row>
    <row r="532" spans="1:23" s="3099" customFormat="1" ht="13.5" customHeight="1">
      <c r="A532" s="2674"/>
      <c r="B532" s="2675"/>
      <c r="C532" s="2676"/>
      <c r="D532" s="739" t="s">
        <v>4692</v>
      </c>
      <c r="E532" s="739"/>
      <c r="F532" s="740">
        <f>(2.733)*2</f>
        <v>5.4660000000000002</v>
      </c>
      <c r="G532" s="293"/>
      <c r="H532" s="2677"/>
      <c r="I532" s="2678"/>
      <c r="J532" s="3098"/>
      <c r="L532" s="3098"/>
      <c r="U532" s="3100"/>
      <c r="W532" s="3100"/>
    </row>
    <row r="533" spans="1:23" s="3099" customFormat="1" ht="13.5" customHeight="1">
      <c r="A533" s="2674"/>
      <c r="B533" s="2675"/>
      <c r="C533" s="2676"/>
      <c r="D533" s="739" t="s">
        <v>4693</v>
      </c>
      <c r="E533" s="739"/>
      <c r="F533" s="740">
        <f>(2.773)*2</f>
        <v>5.5460000000000003</v>
      </c>
      <c r="G533" s="293"/>
      <c r="H533" s="2677"/>
      <c r="I533" s="2678"/>
      <c r="J533" s="3098"/>
      <c r="U533" s="3100"/>
      <c r="W533" s="3100"/>
    </row>
    <row r="534" spans="1:23" s="3099" customFormat="1" ht="13.5" customHeight="1">
      <c r="A534" s="2674"/>
      <c r="B534" s="2675"/>
      <c r="C534" s="2676"/>
      <c r="D534" s="739" t="s">
        <v>4694</v>
      </c>
      <c r="E534" s="739"/>
      <c r="F534" s="740">
        <f>(2.277)*2</f>
        <v>4.5540000000000003</v>
      </c>
      <c r="G534" s="293"/>
      <c r="H534" s="2677"/>
      <c r="I534" s="2678"/>
      <c r="J534" s="3098"/>
      <c r="U534" s="3100"/>
      <c r="W534" s="3100"/>
    </row>
    <row r="535" spans="1:23" s="3099" customFormat="1" ht="13.5" customHeight="1">
      <c r="A535" s="2674"/>
      <c r="B535" s="2675"/>
      <c r="C535" s="2676"/>
      <c r="D535" s="739" t="s">
        <v>4695</v>
      </c>
      <c r="E535" s="739"/>
      <c r="F535" s="740">
        <f>(3.757)*2</f>
        <v>7.5140000000000002</v>
      </c>
      <c r="G535" s="293"/>
      <c r="H535" s="2677"/>
      <c r="I535" s="2678"/>
      <c r="J535" s="3098"/>
      <c r="U535" s="3100"/>
      <c r="W535" s="3100"/>
    </row>
    <row r="536" spans="1:23" s="3099" customFormat="1" ht="13.5" customHeight="1">
      <c r="A536" s="2674"/>
      <c r="B536" s="2675"/>
      <c r="C536" s="2676"/>
      <c r="D536" s="739" t="s">
        <v>4696</v>
      </c>
      <c r="E536" s="739"/>
      <c r="F536" s="740">
        <f>(3.416)*2</f>
        <v>6.8319999999999999</v>
      </c>
      <c r="G536" s="293"/>
      <c r="H536" s="2677"/>
      <c r="I536" s="2678"/>
      <c r="J536" s="3098"/>
      <c r="U536" s="3100"/>
      <c r="W536" s="3100"/>
    </row>
    <row r="537" spans="1:23" s="3099" customFormat="1" ht="13.5" customHeight="1">
      <c r="A537" s="2674"/>
      <c r="B537" s="2675"/>
      <c r="C537" s="2676"/>
      <c r="D537" s="739" t="s">
        <v>4697</v>
      </c>
      <c r="E537" s="739"/>
      <c r="F537" s="740">
        <f>(3.416)*2</f>
        <v>6.8319999999999999</v>
      </c>
      <c r="G537" s="293"/>
      <c r="H537" s="2677"/>
      <c r="I537" s="2678"/>
      <c r="J537" s="3098"/>
      <c r="U537" s="3100"/>
      <c r="W537" s="3100"/>
    </row>
    <row r="538" spans="1:23" s="3099" customFormat="1" ht="13.5" customHeight="1">
      <c r="A538" s="2674"/>
      <c r="B538" s="2675"/>
      <c r="C538" s="2676"/>
      <c r="D538" s="739" t="s">
        <v>4698</v>
      </c>
      <c r="E538" s="739"/>
      <c r="F538" s="740">
        <f>(3.074)*2</f>
        <v>6.1479999999999997</v>
      </c>
      <c r="G538" s="293"/>
      <c r="H538" s="2677"/>
      <c r="I538" s="2678"/>
      <c r="J538" s="3098"/>
      <c r="U538" s="3100"/>
      <c r="W538" s="3100"/>
    </row>
    <row r="539" spans="1:23" s="3099" customFormat="1" ht="13.5" customHeight="1">
      <c r="A539" s="2674"/>
      <c r="B539" s="2675"/>
      <c r="C539" s="2676"/>
      <c r="D539" s="739" t="s">
        <v>4699</v>
      </c>
      <c r="E539" s="739"/>
      <c r="F539" s="740">
        <f>(1.936)*2</f>
        <v>3.8719999999999999</v>
      </c>
      <c r="G539" s="293"/>
      <c r="H539" s="2677"/>
      <c r="I539" s="2678"/>
      <c r="J539" s="3098"/>
      <c r="U539" s="3100"/>
      <c r="W539" s="3100"/>
    </row>
    <row r="540" spans="1:23" s="3099" customFormat="1" ht="13.5" customHeight="1">
      <c r="A540" s="2674"/>
      <c r="B540" s="2675"/>
      <c r="C540" s="2676"/>
      <c r="D540" s="739" t="s">
        <v>4700</v>
      </c>
      <c r="E540" s="739"/>
      <c r="F540" s="740">
        <f>(2.733)*2</f>
        <v>5.4660000000000002</v>
      </c>
      <c r="G540" s="293"/>
      <c r="H540" s="2677"/>
      <c r="I540" s="2678"/>
      <c r="J540" s="3098"/>
      <c r="U540" s="3100"/>
      <c r="W540" s="3100"/>
    </row>
    <row r="541" spans="1:23" s="3099" customFormat="1" ht="13.5" customHeight="1">
      <c r="A541" s="2674"/>
      <c r="B541" s="2675"/>
      <c r="C541" s="2676"/>
      <c r="D541" s="739" t="s">
        <v>4701</v>
      </c>
      <c r="E541" s="739"/>
      <c r="F541" s="740">
        <f>(2.847)*2</f>
        <v>5.694</v>
      </c>
      <c r="G541" s="293"/>
      <c r="H541" s="2677"/>
      <c r="I541" s="2678"/>
      <c r="J541" s="3098"/>
      <c r="U541" s="3100"/>
      <c r="W541" s="3100"/>
    </row>
    <row r="542" spans="1:23" s="3099" customFormat="1" ht="13.5" customHeight="1">
      <c r="A542" s="2674"/>
      <c r="B542" s="2675"/>
      <c r="C542" s="2676"/>
      <c r="D542" s="739" t="s">
        <v>4702</v>
      </c>
      <c r="E542" s="739"/>
      <c r="F542" s="740">
        <f>(2.277)*2</f>
        <v>4.5540000000000003</v>
      </c>
      <c r="G542" s="293"/>
      <c r="H542" s="2677"/>
      <c r="I542" s="2678"/>
      <c r="J542" s="3098"/>
      <c r="U542" s="3100"/>
      <c r="W542" s="3100"/>
    </row>
    <row r="543" spans="1:23" s="3099" customFormat="1" ht="13.5" customHeight="1">
      <c r="A543" s="2674"/>
      <c r="B543" s="2675"/>
      <c r="C543" s="2676"/>
      <c r="D543" s="739" t="s">
        <v>4703</v>
      </c>
      <c r="E543" s="739"/>
      <c r="F543" s="740">
        <f>(2.733)*2</f>
        <v>5.4660000000000002</v>
      </c>
      <c r="G543" s="293"/>
      <c r="H543" s="2677"/>
      <c r="I543" s="2678"/>
      <c r="J543" s="3098"/>
      <c r="U543" s="3100"/>
      <c r="W543" s="3100"/>
    </row>
    <row r="544" spans="1:23" s="3099" customFormat="1" ht="13.5" customHeight="1">
      <c r="A544" s="2674"/>
      <c r="B544" s="2675"/>
      <c r="C544" s="2676"/>
      <c r="D544" s="739" t="s">
        <v>4704</v>
      </c>
      <c r="E544" s="739"/>
      <c r="F544" s="740">
        <f>(2.733)*2</f>
        <v>5.4660000000000002</v>
      </c>
      <c r="G544" s="293"/>
      <c r="H544" s="2677"/>
      <c r="I544" s="2678"/>
      <c r="J544" s="3098"/>
      <c r="U544" s="3100"/>
      <c r="W544" s="3100"/>
    </row>
    <row r="545" spans="1:23" s="3099" customFormat="1" ht="13.5" customHeight="1">
      <c r="A545" s="2674"/>
      <c r="B545" s="2675"/>
      <c r="C545" s="2676"/>
      <c r="D545" s="739" t="s">
        <v>4705</v>
      </c>
      <c r="E545" s="739"/>
      <c r="F545" s="740">
        <f>(2.733)*2</f>
        <v>5.4660000000000002</v>
      </c>
      <c r="G545" s="293"/>
      <c r="H545" s="2677"/>
      <c r="I545" s="2678"/>
      <c r="J545" s="3098"/>
      <c r="U545" s="3100"/>
      <c r="W545" s="3100"/>
    </row>
    <row r="546" spans="1:23" s="612" customFormat="1" ht="13.5" customHeight="1">
      <c r="A546" s="608">
        <v>21</v>
      </c>
      <c r="B546" s="557" t="s">
        <v>135</v>
      </c>
      <c r="C546" s="557">
        <v>175111101</v>
      </c>
      <c r="D546" s="557" t="s">
        <v>2392</v>
      </c>
      <c r="E546" s="557" t="s">
        <v>146</v>
      </c>
      <c r="F546" s="573">
        <f>ROUND(SUM(F548:F584),3)</f>
        <v>134.73599999999999</v>
      </c>
      <c r="G546" s="288"/>
      <c r="H546" s="568">
        <f t="shared" ref="H546" si="12">ROUND(F546*G546,2)</f>
        <v>0</v>
      </c>
      <c r="I546" s="613" t="s">
        <v>137</v>
      </c>
      <c r="J546" s="637"/>
    </row>
    <row r="547" spans="1:23" s="604" customFormat="1" ht="13.5" customHeight="1">
      <c r="A547" s="595"/>
      <c r="B547" s="596"/>
      <c r="C547" s="597"/>
      <c r="D547" s="719" t="s">
        <v>4706</v>
      </c>
      <c r="E547" s="599"/>
      <c r="F547" s="600"/>
      <c r="G547" s="289"/>
      <c r="H547" s="601"/>
      <c r="I547" s="602"/>
      <c r="J547" s="2679"/>
      <c r="Q547" s="3080"/>
      <c r="R547" s="3080"/>
      <c r="U547" s="605"/>
      <c r="W547" s="605"/>
    </row>
    <row r="548" spans="1:23" s="604" customFormat="1" ht="27" customHeight="1">
      <c r="A548" s="595"/>
      <c r="B548" s="596"/>
      <c r="C548" s="597"/>
      <c r="D548" s="599" t="s">
        <v>4707</v>
      </c>
      <c r="E548" s="599"/>
      <c r="F548" s="600">
        <f>(5.2*1.2)*0.4</f>
        <v>2.4960000000000004</v>
      </c>
      <c r="G548" s="289"/>
      <c r="H548" s="2733"/>
      <c r="I548" s="602"/>
      <c r="J548" s="3081"/>
      <c r="L548" s="2584"/>
      <c r="M548" s="2584"/>
      <c r="Q548" s="2585"/>
      <c r="R548" s="2585"/>
      <c r="U548" s="605"/>
      <c r="W548" s="605"/>
    </row>
    <row r="549" spans="1:23" s="604" customFormat="1" ht="27" customHeight="1">
      <c r="A549" s="595"/>
      <c r="B549" s="596"/>
      <c r="C549" s="597"/>
      <c r="D549" s="599" t="s">
        <v>4708</v>
      </c>
      <c r="E549" s="599"/>
      <c r="F549" s="600">
        <f>(1*1.2)*0.4</f>
        <v>0.48</v>
      </c>
      <c r="G549" s="289"/>
      <c r="H549" s="2733"/>
      <c r="I549" s="602"/>
      <c r="J549" s="606"/>
      <c r="L549" s="2584"/>
      <c r="M549" s="2584"/>
      <c r="Q549" s="2585"/>
      <c r="R549" s="2585"/>
      <c r="U549" s="605"/>
      <c r="W549" s="605"/>
    </row>
    <row r="550" spans="1:23" s="604" customFormat="1" ht="27" customHeight="1">
      <c r="A550" s="595"/>
      <c r="B550" s="596"/>
      <c r="C550" s="597"/>
      <c r="D550" s="599" t="s">
        <v>4709</v>
      </c>
      <c r="E550" s="599"/>
      <c r="F550" s="600">
        <f>(4.2*1.2)*0.4</f>
        <v>2.016</v>
      </c>
      <c r="G550" s="289"/>
      <c r="H550" s="2733"/>
      <c r="I550" s="602"/>
      <c r="J550" s="606"/>
      <c r="L550" s="2584"/>
      <c r="M550" s="2584"/>
      <c r="Q550" s="2585"/>
      <c r="R550" s="2585"/>
      <c r="U550" s="605"/>
      <c r="W550" s="605"/>
    </row>
    <row r="551" spans="1:23" s="604" customFormat="1" ht="13.5" customHeight="1">
      <c r="A551" s="595"/>
      <c r="B551" s="596"/>
      <c r="C551" s="597"/>
      <c r="D551" s="719" t="s">
        <v>4710</v>
      </c>
      <c r="E551" s="599"/>
      <c r="F551" s="600"/>
      <c r="G551" s="289"/>
      <c r="H551" s="2733"/>
      <c r="I551" s="602"/>
      <c r="J551" s="3082"/>
      <c r="L551" s="2584"/>
      <c r="M551" s="2584"/>
      <c r="Q551" s="2585"/>
      <c r="R551" s="2585"/>
      <c r="U551" s="605"/>
      <c r="W551" s="605"/>
    </row>
    <row r="552" spans="1:23" s="604" customFormat="1" ht="27" customHeight="1">
      <c r="A552" s="595"/>
      <c r="B552" s="596"/>
      <c r="C552" s="597"/>
      <c r="D552" s="599" t="s">
        <v>4711</v>
      </c>
      <c r="E552" s="599"/>
      <c r="F552" s="600">
        <f>(2.9*1.2)*0.4</f>
        <v>1.3920000000000001</v>
      </c>
      <c r="G552" s="289"/>
      <c r="H552" s="2733"/>
      <c r="I552" s="602"/>
      <c r="J552" s="2660"/>
      <c r="K552" s="2661"/>
      <c r="L552" s="3083"/>
      <c r="M552" s="3083"/>
      <c r="Q552" s="2585"/>
      <c r="R552" s="2585"/>
      <c r="U552" s="605"/>
      <c r="W552" s="605"/>
    </row>
    <row r="553" spans="1:23" s="604" customFormat="1" ht="27" customHeight="1">
      <c r="A553" s="595"/>
      <c r="B553" s="596"/>
      <c r="C553" s="597"/>
      <c r="D553" s="599" t="s">
        <v>4712</v>
      </c>
      <c r="E553" s="599"/>
      <c r="F553" s="600">
        <f>(19.3*1.2)*0.4</f>
        <v>9.2640000000000011</v>
      </c>
      <c r="G553" s="289"/>
      <c r="H553" s="2733"/>
      <c r="I553" s="602"/>
      <c r="J553" s="2660"/>
      <c r="K553" s="2661"/>
      <c r="L553" s="3083"/>
      <c r="M553" s="3083"/>
      <c r="Q553" s="2585"/>
      <c r="R553" s="2585"/>
      <c r="U553" s="605"/>
      <c r="W553" s="605"/>
    </row>
    <row r="554" spans="1:23" s="604" customFormat="1" ht="27" customHeight="1">
      <c r="A554" s="595"/>
      <c r="B554" s="596"/>
      <c r="C554" s="597"/>
      <c r="D554" s="599" t="s">
        <v>4713</v>
      </c>
      <c r="E554" s="599"/>
      <c r="F554" s="600">
        <f>(4.9*1.2)*0.4</f>
        <v>2.3519999999999999</v>
      </c>
      <c r="G554" s="289"/>
      <c r="H554" s="2733"/>
      <c r="I554" s="602"/>
      <c r="J554" s="2660"/>
      <c r="K554" s="2661"/>
      <c r="L554" s="3084"/>
      <c r="M554" s="3083"/>
      <c r="Q554" s="2585"/>
      <c r="R554" s="2585"/>
      <c r="U554" s="605"/>
      <c r="W554" s="605"/>
    </row>
    <row r="555" spans="1:23" s="604" customFormat="1" ht="27" customHeight="1">
      <c r="A555" s="595"/>
      <c r="B555" s="596"/>
      <c r="C555" s="597"/>
      <c r="D555" s="599" t="s">
        <v>4714</v>
      </c>
      <c r="E555" s="599"/>
      <c r="F555" s="600">
        <f>(10.4*1.2)*0.4</f>
        <v>4.9920000000000009</v>
      </c>
      <c r="G555" s="289"/>
      <c r="H555" s="2733"/>
      <c r="I555" s="602"/>
      <c r="J555" s="2660"/>
      <c r="K555" s="2661"/>
      <c r="L555" s="3083"/>
      <c r="M555" s="3083"/>
      <c r="Q555" s="2585"/>
      <c r="R555" s="2585"/>
      <c r="U555" s="605"/>
      <c r="W555" s="605"/>
    </row>
    <row r="556" spans="1:23" s="604" customFormat="1" ht="27" customHeight="1">
      <c r="A556" s="595"/>
      <c r="B556" s="596"/>
      <c r="C556" s="597"/>
      <c r="D556" s="599" t="s">
        <v>4715</v>
      </c>
      <c r="E556" s="599"/>
      <c r="F556" s="600">
        <f>(8.7*1.2)*0.4</f>
        <v>4.1760000000000002</v>
      </c>
      <c r="G556" s="289"/>
      <c r="H556" s="2733"/>
      <c r="I556" s="602"/>
      <c r="J556" s="606"/>
      <c r="L556" s="2584"/>
      <c r="M556" s="2584"/>
      <c r="Q556" s="2585"/>
      <c r="R556" s="2585"/>
      <c r="U556" s="605"/>
      <c r="W556" s="605"/>
    </row>
    <row r="557" spans="1:23" s="604" customFormat="1" ht="27" customHeight="1">
      <c r="A557" s="595"/>
      <c r="B557" s="596"/>
      <c r="C557" s="597"/>
      <c r="D557" s="599" t="s">
        <v>4716</v>
      </c>
      <c r="E557" s="599"/>
      <c r="F557" s="600">
        <f>(8.8*1.2)*0.4</f>
        <v>4.2240000000000002</v>
      </c>
      <c r="G557" s="289"/>
      <c r="H557" s="2733"/>
      <c r="I557" s="602"/>
      <c r="J557" s="2660"/>
      <c r="K557" s="2681"/>
      <c r="L557" s="2584"/>
      <c r="M557" s="2584"/>
      <c r="Q557" s="2585"/>
      <c r="R557" s="2585"/>
      <c r="U557" s="605"/>
      <c r="W557" s="605"/>
    </row>
    <row r="558" spans="1:23" s="604" customFormat="1" ht="27" customHeight="1">
      <c r="A558" s="595"/>
      <c r="B558" s="596"/>
      <c r="C558" s="597"/>
      <c r="D558" s="599" t="s">
        <v>4717</v>
      </c>
      <c r="E558" s="599"/>
      <c r="F558" s="600">
        <f>(5*1.2)*0.4</f>
        <v>2.4000000000000004</v>
      </c>
      <c r="G558" s="289"/>
      <c r="H558" s="2733"/>
      <c r="I558" s="602"/>
      <c r="J558" s="3085"/>
      <c r="K558" s="3086"/>
      <c r="L558" s="2584"/>
      <c r="M558" s="2584"/>
      <c r="Q558" s="2585"/>
      <c r="R558" s="2585"/>
      <c r="U558" s="605"/>
      <c r="W558" s="605"/>
    </row>
    <row r="559" spans="1:23" s="604" customFormat="1" ht="27" customHeight="1">
      <c r="A559" s="595"/>
      <c r="B559" s="596"/>
      <c r="C559" s="597"/>
      <c r="D559" s="599" t="s">
        <v>4718</v>
      </c>
      <c r="E559" s="599"/>
      <c r="F559" s="600">
        <f>(18.4*1.2)*0.4</f>
        <v>8.831999999999999</v>
      </c>
      <c r="G559" s="289"/>
      <c r="H559" s="2733"/>
      <c r="I559" s="602"/>
      <c r="J559" s="3085"/>
      <c r="K559" s="3086"/>
      <c r="L559" s="2584"/>
      <c r="M559" s="2584"/>
      <c r="Q559" s="2585"/>
      <c r="R559" s="2585"/>
      <c r="U559" s="605"/>
      <c r="W559" s="605"/>
    </row>
    <row r="560" spans="1:23" s="604" customFormat="1" ht="27" customHeight="1">
      <c r="A560" s="595"/>
      <c r="B560" s="596"/>
      <c r="C560" s="597"/>
      <c r="D560" s="599" t="s">
        <v>4719</v>
      </c>
      <c r="E560" s="599"/>
      <c r="F560" s="600">
        <f>(7.6*1.2)*0.4</f>
        <v>3.6479999999999997</v>
      </c>
      <c r="G560" s="289"/>
      <c r="H560" s="2733"/>
      <c r="I560" s="602"/>
      <c r="J560" s="3085"/>
      <c r="K560" s="3086"/>
      <c r="L560" s="2584"/>
      <c r="M560" s="2584"/>
      <c r="Q560" s="2585"/>
      <c r="R560" s="2585"/>
      <c r="U560" s="605"/>
      <c r="W560" s="605"/>
    </row>
    <row r="561" spans="1:23" s="604" customFormat="1" ht="27" customHeight="1">
      <c r="A561" s="595"/>
      <c r="B561" s="596"/>
      <c r="C561" s="597"/>
      <c r="D561" s="599" t="s">
        <v>4720</v>
      </c>
      <c r="E561" s="599"/>
      <c r="F561" s="600">
        <f>(1.9*1.2)*0.4</f>
        <v>0.91199999999999992</v>
      </c>
      <c r="G561" s="289"/>
      <c r="H561" s="2733"/>
      <c r="I561" s="602"/>
      <c r="J561" s="3085"/>
      <c r="K561" s="3086"/>
      <c r="L561" s="2584"/>
      <c r="M561" s="2584"/>
      <c r="Q561" s="2585"/>
      <c r="R561" s="2585"/>
      <c r="U561" s="605"/>
      <c r="W561" s="605"/>
    </row>
    <row r="562" spans="1:23" s="604" customFormat="1" ht="27" customHeight="1">
      <c r="A562" s="595"/>
      <c r="B562" s="596"/>
      <c r="C562" s="597"/>
      <c r="D562" s="599" t="s">
        <v>4721</v>
      </c>
      <c r="E562" s="599"/>
      <c r="F562" s="600">
        <f>(4.8*1.2)*0.4</f>
        <v>2.3039999999999998</v>
      </c>
      <c r="G562" s="289"/>
      <c r="H562" s="2733"/>
      <c r="I562" s="602"/>
      <c r="J562" s="3085"/>
      <c r="K562" s="3086"/>
      <c r="L562" s="2584"/>
      <c r="M562" s="2584"/>
      <c r="Q562" s="2585"/>
      <c r="R562" s="2585"/>
      <c r="U562" s="605"/>
      <c r="W562" s="605"/>
    </row>
    <row r="563" spans="1:23" s="604" customFormat="1" ht="27" customHeight="1">
      <c r="A563" s="595"/>
      <c r="B563" s="596"/>
      <c r="C563" s="597"/>
      <c r="D563" s="599" t="s">
        <v>4722</v>
      </c>
      <c r="E563" s="599"/>
      <c r="F563" s="600">
        <f>(1.7*1.2)*0.4</f>
        <v>0.81600000000000006</v>
      </c>
      <c r="G563" s="289"/>
      <c r="H563" s="2733"/>
      <c r="I563" s="602"/>
      <c r="J563" s="606"/>
      <c r="L563" s="2584"/>
      <c r="M563" s="2584"/>
      <c r="Q563" s="2585"/>
      <c r="R563" s="2585"/>
      <c r="U563" s="605"/>
      <c r="W563" s="605"/>
    </row>
    <row r="564" spans="1:23" s="604" customFormat="1" ht="27" customHeight="1">
      <c r="A564" s="595"/>
      <c r="B564" s="596"/>
      <c r="C564" s="597"/>
      <c r="D564" s="599" t="s">
        <v>4723</v>
      </c>
      <c r="E564" s="599"/>
      <c r="F564" s="600">
        <f>(5*1.2)*0.4</f>
        <v>2.4000000000000004</v>
      </c>
      <c r="G564" s="289"/>
      <c r="H564" s="2733"/>
      <c r="I564" s="602"/>
      <c r="J564" s="606"/>
      <c r="L564" s="2584"/>
      <c r="M564" s="2584"/>
      <c r="Q564" s="2585"/>
      <c r="R564" s="2585"/>
      <c r="U564" s="605"/>
      <c r="W564" s="605"/>
    </row>
    <row r="565" spans="1:23" s="604" customFormat="1" ht="27" customHeight="1">
      <c r="A565" s="595"/>
      <c r="B565" s="596"/>
      <c r="C565" s="597"/>
      <c r="D565" s="599" t="s">
        <v>4724</v>
      </c>
      <c r="E565" s="599"/>
      <c r="F565" s="600">
        <f>(21.4*1.2)*0.4</f>
        <v>10.271999999999998</v>
      </c>
      <c r="G565" s="289"/>
      <c r="H565" s="2733"/>
      <c r="I565" s="602"/>
      <c r="J565" s="606"/>
      <c r="L565" s="2584"/>
      <c r="M565" s="2584"/>
      <c r="Q565" s="2585"/>
      <c r="R565" s="2585"/>
      <c r="U565" s="605"/>
      <c r="W565" s="605"/>
    </row>
    <row r="566" spans="1:23" s="604" customFormat="1" ht="27" customHeight="1">
      <c r="A566" s="595"/>
      <c r="B566" s="596"/>
      <c r="C566" s="597"/>
      <c r="D566" s="599" t="s">
        <v>4725</v>
      </c>
      <c r="E566" s="599"/>
      <c r="F566" s="600">
        <f>(3.6*1.2)*0.4</f>
        <v>1.7280000000000002</v>
      </c>
      <c r="G566" s="289"/>
      <c r="H566" s="2733"/>
      <c r="I566" s="602"/>
      <c r="J566" s="3082"/>
      <c r="L566" s="2584"/>
      <c r="M566" s="2584"/>
      <c r="Q566" s="2585"/>
      <c r="R566" s="2585"/>
      <c r="U566" s="605"/>
      <c r="W566" s="605"/>
    </row>
    <row r="567" spans="1:23" s="604" customFormat="1" ht="13.5" customHeight="1">
      <c r="A567" s="595"/>
      <c r="B567" s="596"/>
      <c r="C567" s="597"/>
      <c r="D567" s="719" t="s">
        <v>4726</v>
      </c>
      <c r="E567" s="599"/>
      <c r="F567" s="600"/>
      <c r="G567" s="289"/>
      <c r="H567" s="2733"/>
      <c r="I567" s="602"/>
      <c r="J567" s="606"/>
      <c r="L567" s="2584"/>
      <c r="M567" s="2584"/>
      <c r="Q567" s="2585"/>
      <c r="R567" s="2585"/>
      <c r="U567" s="605"/>
      <c r="W567" s="605"/>
    </row>
    <row r="568" spans="1:23" s="604" customFormat="1" ht="27" customHeight="1">
      <c r="A568" s="595"/>
      <c r="B568" s="596"/>
      <c r="C568" s="597"/>
      <c r="D568" s="599" t="s">
        <v>4727</v>
      </c>
      <c r="E568" s="599"/>
      <c r="F568" s="600">
        <f>(1.5*1.2)*0.4</f>
        <v>0.72</v>
      </c>
      <c r="G568" s="289"/>
      <c r="H568" s="2733"/>
      <c r="I568" s="602"/>
      <c r="J568" s="606"/>
      <c r="L568" s="2584"/>
      <c r="M568" s="2584"/>
      <c r="Q568" s="2585"/>
      <c r="R568" s="2585"/>
      <c r="U568" s="605"/>
      <c r="W568" s="605"/>
    </row>
    <row r="569" spans="1:23" s="604" customFormat="1" ht="27" customHeight="1">
      <c r="A569" s="595"/>
      <c r="B569" s="596"/>
      <c r="C569" s="597"/>
      <c r="D569" s="599" t="s">
        <v>4728</v>
      </c>
      <c r="E569" s="599"/>
      <c r="F569" s="600">
        <f>(18.2*1.2)*0.4</f>
        <v>8.7360000000000007</v>
      </c>
      <c r="G569" s="289"/>
      <c r="H569" s="2733"/>
      <c r="I569" s="602"/>
      <c r="J569" s="606"/>
      <c r="L569" s="2584"/>
      <c r="M569" s="2584"/>
      <c r="Q569" s="2585"/>
      <c r="R569" s="2585"/>
      <c r="U569" s="605"/>
      <c r="W569" s="605"/>
    </row>
    <row r="570" spans="1:23" s="604" customFormat="1" ht="27" customHeight="1">
      <c r="A570" s="595"/>
      <c r="B570" s="596"/>
      <c r="C570" s="597"/>
      <c r="D570" s="599" t="s">
        <v>4729</v>
      </c>
      <c r="E570" s="599"/>
      <c r="F570" s="600">
        <f>(5.8*1.2)*0.4</f>
        <v>2.7840000000000003</v>
      </c>
      <c r="G570" s="289"/>
      <c r="H570" s="2733"/>
      <c r="I570" s="602"/>
      <c r="J570" s="606"/>
      <c r="L570" s="2584"/>
      <c r="M570" s="2584"/>
      <c r="Q570" s="2585"/>
      <c r="R570" s="2585"/>
      <c r="U570" s="605"/>
      <c r="W570" s="605"/>
    </row>
    <row r="571" spans="1:23" s="604" customFormat="1" ht="27" customHeight="1">
      <c r="A571" s="595"/>
      <c r="B571" s="596"/>
      <c r="C571" s="597"/>
      <c r="D571" s="599" t="s">
        <v>4730</v>
      </c>
      <c r="E571" s="599"/>
      <c r="F571" s="600">
        <f>(15.1*1.2)*0.4</f>
        <v>7.2479999999999993</v>
      </c>
      <c r="G571" s="289"/>
      <c r="H571" s="2733"/>
      <c r="I571" s="602"/>
      <c r="J571" s="606"/>
      <c r="L571" s="2584"/>
      <c r="M571" s="2584"/>
      <c r="Q571" s="2585"/>
      <c r="R571" s="2585"/>
      <c r="U571" s="605"/>
      <c r="W571" s="605"/>
    </row>
    <row r="572" spans="1:23" s="604" customFormat="1" ht="27" customHeight="1">
      <c r="A572" s="595"/>
      <c r="B572" s="596"/>
      <c r="C572" s="597"/>
      <c r="D572" s="599" t="s">
        <v>4731</v>
      </c>
      <c r="E572" s="599"/>
      <c r="F572" s="600">
        <f>(9.5*1.2)*0.4</f>
        <v>4.5600000000000005</v>
      </c>
      <c r="G572" s="289"/>
      <c r="H572" s="2733"/>
      <c r="I572" s="602"/>
      <c r="J572" s="606"/>
      <c r="L572" s="2584"/>
      <c r="M572" s="2584"/>
      <c r="Q572" s="2585"/>
      <c r="R572" s="2585"/>
      <c r="U572" s="605"/>
      <c r="W572" s="605"/>
    </row>
    <row r="573" spans="1:23" s="604" customFormat="1" ht="27" customHeight="1">
      <c r="A573" s="595"/>
      <c r="B573" s="596"/>
      <c r="C573" s="597"/>
      <c r="D573" s="599" t="s">
        <v>4732</v>
      </c>
      <c r="E573" s="599"/>
      <c r="F573" s="600">
        <f>(3.9*1.2)*0.4</f>
        <v>1.8719999999999999</v>
      </c>
      <c r="G573" s="289"/>
      <c r="H573" s="2733"/>
      <c r="I573" s="602"/>
      <c r="J573" s="606"/>
      <c r="L573" s="2584"/>
      <c r="M573" s="2584"/>
      <c r="Q573" s="2585"/>
      <c r="R573" s="2585"/>
      <c r="U573" s="605"/>
      <c r="W573" s="605"/>
    </row>
    <row r="574" spans="1:23" s="604" customFormat="1" ht="27" customHeight="1">
      <c r="A574" s="595"/>
      <c r="B574" s="596"/>
      <c r="C574" s="597"/>
      <c r="D574" s="599" t="s">
        <v>4733</v>
      </c>
      <c r="E574" s="599"/>
      <c r="F574" s="600">
        <f>(11.4*1.2)*0.4</f>
        <v>5.4720000000000004</v>
      </c>
      <c r="G574" s="289"/>
      <c r="H574" s="2733"/>
      <c r="I574" s="602"/>
      <c r="J574" s="606"/>
      <c r="L574" s="2584"/>
      <c r="M574" s="2584"/>
      <c r="Q574" s="2585"/>
      <c r="R574" s="2585"/>
      <c r="U574" s="605"/>
      <c r="W574" s="605"/>
    </row>
    <row r="575" spans="1:23" s="604" customFormat="1" ht="27" customHeight="1">
      <c r="A575" s="595"/>
      <c r="B575" s="596"/>
      <c r="C575" s="597"/>
      <c r="D575" s="599" t="s">
        <v>4734</v>
      </c>
      <c r="E575" s="599"/>
      <c r="F575" s="600">
        <f>(8.4*1.2)*0.4</f>
        <v>4.032</v>
      </c>
      <c r="G575" s="289"/>
      <c r="H575" s="2733"/>
      <c r="I575" s="602"/>
      <c r="J575" s="606"/>
      <c r="L575" s="2584"/>
      <c r="M575" s="2584"/>
      <c r="Q575" s="2585"/>
      <c r="R575" s="2585"/>
      <c r="U575" s="605"/>
      <c r="W575" s="605"/>
    </row>
    <row r="576" spans="1:23" s="604" customFormat="1" ht="27" customHeight="1">
      <c r="A576" s="595"/>
      <c r="B576" s="596"/>
      <c r="C576" s="597"/>
      <c r="D576" s="599" t="s">
        <v>4735</v>
      </c>
      <c r="E576" s="599"/>
      <c r="F576" s="600">
        <f>(1*1.2)*0.4</f>
        <v>0.48</v>
      </c>
      <c r="G576" s="289"/>
      <c r="H576" s="2733"/>
      <c r="I576" s="602"/>
      <c r="J576" s="606"/>
      <c r="L576" s="2584"/>
      <c r="M576" s="2584"/>
      <c r="Q576" s="2585"/>
      <c r="R576" s="2585"/>
      <c r="U576" s="605"/>
      <c r="W576" s="605"/>
    </row>
    <row r="577" spans="1:23" s="604" customFormat="1" ht="27" customHeight="1">
      <c r="A577" s="595"/>
      <c r="B577" s="596"/>
      <c r="C577" s="597"/>
      <c r="D577" s="599" t="s">
        <v>4736</v>
      </c>
      <c r="E577" s="599"/>
      <c r="F577" s="600">
        <f>(7.8*1.2)*0.4</f>
        <v>3.7439999999999998</v>
      </c>
      <c r="G577" s="289"/>
      <c r="H577" s="2733"/>
      <c r="I577" s="602"/>
      <c r="J577" s="606"/>
      <c r="L577" s="2584"/>
      <c r="M577" s="2584"/>
      <c r="Q577" s="2585"/>
      <c r="R577" s="2585"/>
      <c r="U577" s="605"/>
      <c r="W577" s="605"/>
    </row>
    <row r="578" spans="1:23" s="604" customFormat="1" ht="27" customHeight="1">
      <c r="A578" s="595"/>
      <c r="B578" s="596"/>
      <c r="C578" s="597"/>
      <c r="D578" s="599" t="s">
        <v>4737</v>
      </c>
      <c r="E578" s="599"/>
      <c r="F578" s="600">
        <f>(19.7*1.2)*0.4</f>
        <v>9.4559999999999995</v>
      </c>
      <c r="G578" s="289"/>
      <c r="H578" s="2733"/>
      <c r="I578" s="602"/>
      <c r="J578" s="606"/>
      <c r="L578" s="2584"/>
      <c r="M578" s="2584"/>
      <c r="Q578" s="2585"/>
      <c r="R578" s="2585"/>
      <c r="U578" s="605"/>
      <c r="W578" s="605"/>
    </row>
    <row r="579" spans="1:23" s="604" customFormat="1" ht="27" customHeight="1">
      <c r="A579" s="595"/>
      <c r="B579" s="596"/>
      <c r="C579" s="597"/>
      <c r="D579" s="599" t="s">
        <v>4738</v>
      </c>
      <c r="E579" s="599"/>
      <c r="F579" s="600">
        <f>(25*1.2)*0.4</f>
        <v>12</v>
      </c>
      <c r="G579" s="289"/>
      <c r="H579" s="2733"/>
      <c r="I579" s="602"/>
      <c r="J579" s="606"/>
      <c r="L579" s="2584"/>
      <c r="M579" s="2584"/>
      <c r="Q579" s="2585"/>
      <c r="R579" s="2585"/>
      <c r="U579" s="605"/>
      <c r="W579" s="605"/>
    </row>
    <row r="580" spans="1:23" s="604" customFormat="1" ht="27" customHeight="1">
      <c r="A580" s="595"/>
      <c r="B580" s="596"/>
      <c r="C580" s="597"/>
      <c r="D580" s="599" t="s">
        <v>4739</v>
      </c>
      <c r="E580" s="599"/>
      <c r="F580" s="600">
        <f>(2.1*1.2)*0.4</f>
        <v>1.008</v>
      </c>
      <c r="G580" s="289"/>
      <c r="H580" s="2733"/>
      <c r="I580" s="602"/>
      <c r="J580" s="606"/>
      <c r="L580" s="2584"/>
      <c r="M580" s="2584"/>
      <c r="Q580" s="2585"/>
      <c r="R580" s="2585"/>
      <c r="U580" s="605"/>
      <c r="W580" s="605"/>
    </row>
    <row r="581" spans="1:23" s="604" customFormat="1" ht="27" customHeight="1">
      <c r="A581" s="595"/>
      <c r="B581" s="596"/>
      <c r="C581" s="597"/>
      <c r="D581" s="599" t="s">
        <v>4740</v>
      </c>
      <c r="E581" s="599"/>
      <c r="F581" s="600">
        <f>(2.5*1.2)*0.4</f>
        <v>1.2000000000000002</v>
      </c>
      <c r="G581" s="289"/>
      <c r="H581" s="2733"/>
      <c r="I581" s="602"/>
      <c r="J581" s="606"/>
      <c r="L581" s="2584"/>
      <c r="M581" s="2584"/>
      <c r="Q581" s="2585"/>
      <c r="R581" s="2585"/>
      <c r="U581" s="605"/>
      <c r="W581" s="605"/>
    </row>
    <row r="582" spans="1:23" s="604" customFormat="1" ht="27" customHeight="1">
      <c r="A582" s="595"/>
      <c r="B582" s="596"/>
      <c r="C582" s="597"/>
      <c r="D582" s="599" t="s">
        <v>4741</v>
      </c>
      <c r="E582" s="599"/>
      <c r="F582" s="600">
        <f>(4.6*1.2)*0.4</f>
        <v>2.2079999999999997</v>
      </c>
      <c r="G582" s="289"/>
      <c r="H582" s="2733"/>
      <c r="I582" s="602"/>
      <c r="J582" s="606"/>
      <c r="L582" s="2584"/>
      <c r="M582" s="2584"/>
      <c r="Q582" s="2585"/>
      <c r="R582" s="2585"/>
      <c r="U582" s="605"/>
      <c r="W582" s="605"/>
    </row>
    <row r="583" spans="1:23" s="604" customFormat="1" ht="27" customHeight="1">
      <c r="A583" s="595"/>
      <c r="B583" s="596"/>
      <c r="C583" s="597"/>
      <c r="D583" s="599" t="s">
        <v>4742</v>
      </c>
      <c r="E583" s="599"/>
      <c r="F583" s="600">
        <f>(6.2*1.2)*0.4</f>
        <v>2.976</v>
      </c>
      <c r="G583" s="289"/>
      <c r="H583" s="2733"/>
      <c r="I583" s="602"/>
      <c r="J583" s="606"/>
      <c r="L583" s="2584"/>
      <c r="M583" s="2584"/>
      <c r="Q583" s="2585"/>
      <c r="R583" s="2585"/>
      <c r="U583" s="605"/>
      <c r="W583" s="605"/>
    </row>
    <row r="584" spans="1:23" s="604" customFormat="1" ht="27" customHeight="1">
      <c r="A584" s="595"/>
      <c r="B584" s="596"/>
      <c r="C584" s="597"/>
      <c r="D584" s="599" t="s">
        <v>4743</v>
      </c>
      <c r="E584" s="599"/>
      <c r="F584" s="600">
        <f>(3.2*1.2)*0.4</f>
        <v>1.536</v>
      </c>
      <c r="G584" s="289"/>
      <c r="H584" s="2733"/>
      <c r="I584" s="602"/>
      <c r="J584" s="3082"/>
      <c r="L584" s="2584"/>
      <c r="M584" s="2584"/>
      <c r="Q584" s="2585"/>
      <c r="R584" s="2585"/>
      <c r="U584" s="605"/>
      <c r="W584" s="605"/>
    </row>
    <row r="585" spans="1:23" s="612" customFormat="1" ht="13.5" customHeight="1">
      <c r="A585" s="729">
        <v>22</v>
      </c>
      <c r="B585" s="730">
        <v>583</v>
      </c>
      <c r="C585" s="730">
        <v>58343872</v>
      </c>
      <c r="D585" s="730" t="s">
        <v>2395</v>
      </c>
      <c r="E585" s="730" t="s">
        <v>175</v>
      </c>
      <c r="F585" s="731">
        <f>ROUND(SUM(F587:F623),3)</f>
        <v>269.47199999999998</v>
      </c>
      <c r="G585" s="292"/>
      <c r="H585" s="733">
        <f t="shared" ref="H585" si="13">ROUND(F585*G585,2)</f>
        <v>0</v>
      </c>
      <c r="I585" s="734" t="s">
        <v>137</v>
      </c>
    </row>
    <row r="586" spans="1:23" s="604" customFormat="1" ht="13.5" customHeight="1">
      <c r="A586" s="2674"/>
      <c r="B586" s="2675"/>
      <c r="C586" s="2676"/>
      <c r="D586" s="738" t="s">
        <v>4744</v>
      </c>
      <c r="E586" s="739"/>
      <c r="F586" s="740"/>
      <c r="G586" s="293"/>
      <c r="H586" s="2677"/>
      <c r="I586" s="2678"/>
      <c r="J586" s="2679"/>
      <c r="K586" s="1581"/>
      <c r="L586" s="1581"/>
      <c r="M586" s="1581"/>
      <c r="N586" s="1581"/>
      <c r="O586" s="1581"/>
      <c r="U586" s="605"/>
      <c r="W586" s="605"/>
    </row>
    <row r="587" spans="1:23" s="3099" customFormat="1" ht="27" customHeight="1">
      <c r="A587" s="2674"/>
      <c r="B587" s="2675"/>
      <c r="C587" s="2676"/>
      <c r="D587" s="739" t="s">
        <v>4745</v>
      </c>
      <c r="E587" s="739"/>
      <c r="F587" s="740">
        <f>(2.496)*2</f>
        <v>4.992</v>
      </c>
      <c r="G587" s="293"/>
      <c r="H587" s="3101"/>
      <c r="I587" s="2678"/>
      <c r="J587" s="3102"/>
      <c r="L587" s="3103"/>
      <c r="M587" s="3103"/>
      <c r="Q587" s="3104"/>
      <c r="R587" s="3104"/>
      <c r="U587" s="3100"/>
      <c r="W587" s="3100"/>
    </row>
    <row r="588" spans="1:23" s="3099" customFormat="1" ht="27" customHeight="1">
      <c r="A588" s="2674"/>
      <c r="B588" s="2675"/>
      <c r="C588" s="2676"/>
      <c r="D588" s="739" t="s">
        <v>4746</v>
      </c>
      <c r="E588" s="739"/>
      <c r="F588" s="740">
        <f>(0.48)*2</f>
        <v>0.96</v>
      </c>
      <c r="G588" s="293"/>
      <c r="H588" s="3101"/>
      <c r="I588" s="2678"/>
      <c r="J588" s="3105"/>
      <c r="L588" s="3103"/>
      <c r="M588" s="3103"/>
      <c r="Q588" s="3104"/>
      <c r="R588" s="3104"/>
      <c r="U588" s="3100"/>
      <c r="W588" s="3100"/>
    </row>
    <row r="589" spans="1:23" s="3099" customFormat="1" ht="27" customHeight="1">
      <c r="A589" s="2674"/>
      <c r="B589" s="2675"/>
      <c r="C589" s="2676"/>
      <c r="D589" s="739" t="s">
        <v>4747</v>
      </c>
      <c r="E589" s="739"/>
      <c r="F589" s="740">
        <f>(2.016)*2</f>
        <v>4.032</v>
      </c>
      <c r="G589" s="293"/>
      <c r="H589" s="3101"/>
      <c r="I589" s="2678"/>
      <c r="J589" s="3105"/>
      <c r="L589" s="3103"/>
      <c r="M589" s="3103"/>
      <c r="Q589" s="3104"/>
      <c r="R589" s="3104"/>
      <c r="U589" s="3100"/>
      <c r="W589" s="3100"/>
    </row>
    <row r="590" spans="1:23" s="604" customFormat="1" ht="13.5" customHeight="1">
      <c r="A590" s="595"/>
      <c r="B590" s="596"/>
      <c r="C590" s="597"/>
      <c r="D590" s="719" t="s">
        <v>4748</v>
      </c>
      <c r="E590" s="599"/>
      <c r="F590" s="600"/>
      <c r="G590" s="289"/>
      <c r="H590" s="601"/>
      <c r="I590" s="602"/>
      <c r="J590" s="2679"/>
      <c r="Q590" s="3080"/>
      <c r="R590" s="3080"/>
      <c r="U590" s="605"/>
      <c r="W590" s="605"/>
    </row>
    <row r="591" spans="1:23" s="3099" customFormat="1" ht="27" customHeight="1">
      <c r="A591" s="2674"/>
      <c r="B591" s="2675"/>
      <c r="C591" s="2676"/>
      <c r="D591" s="739" t="s">
        <v>4749</v>
      </c>
      <c r="E591" s="739"/>
      <c r="F591" s="740">
        <f>(1.392)*2</f>
        <v>2.7839999999999998</v>
      </c>
      <c r="G591" s="293"/>
      <c r="H591" s="3101"/>
      <c r="I591" s="2678"/>
      <c r="J591" s="3106"/>
      <c r="K591" s="3107"/>
      <c r="L591" s="3108"/>
      <c r="M591" s="3108"/>
      <c r="Q591" s="3104"/>
      <c r="R591" s="3104"/>
      <c r="U591" s="3100"/>
      <c r="W591" s="3100"/>
    </row>
    <row r="592" spans="1:23" s="3099" customFormat="1" ht="27" customHeight="1">
      <c r="A592" s="2674"/>
      <c r="B592" s="2675"/>
      <c r="C592" s="2676"/>
      <c r="D592" s="739" t="s">
        <v>4750</v>
      </c>
      <c r="E592" s="739"/>
      <c r="F592" s="740">
        <f>(9.264)*2</f>
        <v>18.527999999999999</v>
      </c>
      <c r="G592" s="293"/>
      <c r="H592" s="3101"/>
      <c r="I592" s="2678"/>
      <c r="J592" s="3106"/>
      <c r="K592" s="3107"/>
      <c r="L592" s="3108"/>
      <c r="M592" s="3108"/>
      <c r="Q592" s="3104"/>
      <c r="R592" s="3104"/>
      <c r="U592" s="3100"/>
      <c r="W592" s="3100"/>
    </row>
    <row r="593" spans="1:23" s="3099" customFormat="1" ht="13.5" customHeight="1">
      <c r="A593" s="2674"/>
      <c r="B593" s="2675"/>
      <c r="C593" s="2676"/>
      <c r="D593" s="739" t="s">
        <v>4751</v>
      </c>
      <c r="E593" s="739"/>
      <c r="F593" s="740">
        <f>(2.352)*2</f>
        <v>4.7039999999999997</v>
      </c>
      <c r="G593" s="293"/>
      <c r="H593" s="3101"/>
      <c r="I593" s="2678"/>
      <c r="J593" s="3106"/>
      <c r="K593" s="3107"/>
      <c r="L593" s="3109"/>
      <c r="M593" s="3108"/>
      <c r="Q593" s="3104"/>
      <c r="R593" s="3104"/>
      <c r="U593" s="3100"/>
      <c r="W593" s="3100"/>
    </row>
    <row r="594" spans="1:23" s="3099" customFormat="1" ht="27" customHeight="1">
      <c r="A594" s="2674"/>
      <c r="B594" s="2675"/>
      <c r="C594" s="2676"/>
      <c r="D594" s="739" t="s">
        <v>4752</v>
      </c>
      <c r="E594" s="739"/>
      <c r="F594" s="740">
        <f>(4.992)*2</f>
        <v>9.984</v>
      </c>
      <c r="G594" s="293"/>
      <c r="H594" s="3101"/>
      <c r="I594" s="2678"/>
      <c r="J594" s="3106"/>
      <c r="K594" s="3107"/>
      <c r="L594" s="3108"/>
      <c r="M594" s="3108"/>
      <c r="Q594" s="3104"/>
      <c r="R594" s="3104"/>
      <c r="U594" s="3100"/>
      <c r="W594" s="3100"/>
    </row>
    <row r="595" spans="1:23" s="3099" customFormat="1" ht="27" customHeight="1">
      <c r="A595" s="2674"/>
      <c r="B595" s="2675"/>
      <c r="C595" s="2676"/>
      <c r="D595" s="739" t="s">
        <v>4753</v>
      </c>
      <c r="E595" s="739"/>
      <c r="F595" s="740">
        <f>(4.176)*2</f>
        <v>8.3520000000000003</v>
      </c>
      <c r="G595" s="293"/>
      <c r="H595" s="3101"/>
      <c r="I595" s="2678"/>
      <c r="J595" s="3105"/>
      <c r="L595" s="3103"/>
      <c r="M595" s="3103"/>
      <c r="Q595" s="3104"/>
      <c r="R595" s="3104"/>
      <c r="U595" s="3100"/>
      <c r="W595" s="3100"/>
    </row>
    <row r="596" spans="1:23" s="3099" customFormat="1" ht="27" customHeight="1">
      <c r="A596" s="2674"/>
      <c r="B596" s="2675"/>
      <c r="C596" s="2676"/>
      <c r="D596" s="739" t="s">
        <v>4754</v>
      </c>
      <c r="E596" s="739"/>
      <c r="F596" s="740">
        <f>(4.224)*2</f>
        <v>8.4480000000000004</v>
      </c>
      <c r="G596" s="293"/>
      <c r="H596" s="3101"/>
      <c r="I596" s="2678"/>
      <c r="J596" s="3106"/>
      <c r="K596" s="3110"/>
      <c r="L596" s="3103"/>
      <c r="M596" s="3103"/>
      <c r="Q596" s="3104"/>
      <c r="R596" s="3104"/>
      <c r="U596" s="3100"/>
      <c r="W596" s="3100"/>
    </row>
    <row r="597" spans="1:23" s="3099" customFormat="1" ht="13.5" customHeight="1">
      <c r="A597" s="2674"/>
      <c r="B597" s="2675"/>
      <c r="C597" s="2676"/>
      <c r="D597" s="739" t="s">
        <v>4755</v>
      </c>
      <c r="E597" s="739"/>
      <c r="F597" s="740">
        <f>(2.4)*2</f>
        <v>4.8</v>
      </c>
      <c r="G597" s="293"/>
      <c r="H597" s="3101"/>
      <c r="I597" s="2678"/>
      <c r="J597" s="3111"/>
      <c r="K597" s="3112"/>
      <c r="L597" s="3103"/>
      <c r="M597" s="3103"/>
      <c r="Q597" s="3104"/>
      <c r="R597" s="3104"/>
      <c r="U597" s="3100"/>
      <c r="W597" s="3100"/>
    </row>
    <row r="598" spans="1:23" s="3099" customFormat="1" ht="27" customHeight="1">
      <c r="A598" s="2674"/>
      <c r="B598" s="2675"/>
      <c r="C598" s="2676"/>
      <c r="D598" s="739" t="s">
        <v>4756</v>
      </c>
      <c r="E598" s="739"/>
      <c r="F598" s="740">
        <f>(8.832)*2</f>
        <v>17.664000000000001</v>
      </c>
      <c r="G598" s="293"/>
      <c r="H598" s="3101"/>
      <c r="I598" s="2678"/>
      <c r="J598" s="3111"/>
      <c r="K598" s="3112"/>
      <c r="L598" s="3103"/>
      <c r="M598" s="3103"/>
      <c r="Q598" s="3104"/>
      <c r="R598" s="3104"/>
      <c r="U598" s="3100"/>
      <c r="W598" s="3100"/>
    </row>
    <row r="599" spans="1:23" s="3099" customFormat="1" ht="27" customHeight="1">
      <c r="A599" s="2674"/>
      <c r="B599" s="2675"/>
      <c r="C599" s="2676"/>
      <c r="D599" s="739" t="s">
        <v>4757</v>
      </c>
      <c r="E599" s="739"/>
      <c r="F599" s="740">
        <f>(3.648)*2</f>
        <v>7.2960000000000003</v>
      </c>
      <c r="G599" s="293"/>
      <c r="H599" s="3101"/>
      <c r="I599" s="2678"/>
      <c r="J599" s="3111"/>
      <c r="K599" s="3112"/>
      <c r="L599" s="3103"/>
      <c r="M599" s="3103"/>
      <c r="Q599" s="3104"/>
      <c r="R599" s="3104"/>
      <c r="U599" s="3100"/>
      <c r="W599" s="3100"/>
    </row>
    <row r="600" spans="1:23" s="3099" customFormat="1" ht="13.5" customHeight="1">
      <c r="A600" s="2674"/>
      <c r="B600" s="2675"/>
      <c r="C600" s="2676"/>
      <c r="D600" s="739" t="s">
        <v>4758</v>
      </c>
      <c r="E600" s="739"/>
      <c r="F600" s="740">
        <f>(0.912)*2</f>
        <v>1.8240000000000001</v>
      </c>
      <c r="G600" s="293"/>
      <c r="H600" s="3101"/>
      <c r="I600" s="2678"/>
      <c r="J600" s="3111"/>
      <c r="K600" s="3112"/>
      <c r="L600" s="3103"/>
      <c r="M600" s="3103"/>
      <c r="Q600" s="3104"/>
      <c r="R600" s="3104"/>
      <c r="U600" s="3100"/>
      <c r="W600" s="3100"/>
    </row>
    <row r="601" spans="1:23" s="3099" customFormat="1" ht="13.5" customHeight="1">
      <c r="A601" s="2674"/>
      <c r="B601" s="2675"/>
      <c r="C601" s="2676"/>
      <c r="D601" s="739" t="s">
        <v>4759</v>
      </c>
      <c r="E601" s="739"/>
      <c r="F601" s="740">
        <f>(2.304)*2</f>
        <v>4.6079999999999997</v>
      </c>
      <c r="G601" s="293"/>
      <c r="H601" s="3101"/>
      <c r="I601" s="2678"/>
      <c r="J601" s="3111"/>
      <c r="K601" s="3112"/>
      <c r="L601" s="3103"/>
      <c r="M601" s="3103"/>
      <c r="Q601" s="3104"/>
      <c r="R601" s="3104"/>
      <c r="U601" s="3100"/>
      <c r="W601" s="3100"/>
    </row>
    <row r="602" spans="1:23" s="3099" customFormat="1" ht="13.5" customHeight="1">
      <c r="A602" s="2674"/>
      <c r="B602" s="2675"/>
      <c r="C602" s="2676"/>
      <c r="D602" s="739" t="s">
        <v>4760</v>
      </c>
      <c r="E602" s="739"/>
      <c r="F602" s="740">
        <f>(0.816)*2</f>
        <v>1.6319999999999999</v>
      </c>
      <c r="G602" s="293"/>
      <c r="H602" s="3101"/>
      <c r="I602" s="2678"/>
      <c r="J602" s="3105"/>
      <c r="L602" s="3103"/>
      <c r="M602" s="3103"/>
      <c r="Q602" s="3104"/>
      <c r="R602" s="3104"/>
      <c r="U602" s="3100"/>
      <c r="W602" s="3100"/>
    </row>
    <row r="603" spans="1:23" s="3099" customFormat="1" ht="13.5" customHeight="1">
      <c r="A603" s="2674"/>
      <c r="B603" s="2675"/>
      <c r="C603" s="2676"/>
      <c r="D603" s="739" t="s">
        <v>4761</v>
      </c>
      <c r="E603" s="739"/>
      <c r="F603" s="740">
        <f>(2.4)*2</f>
        <v>4.8</v>
      </c>
      <c r="G603" s="293"/>
      <c r="H603" s="3101"/>
      <c r="I603" s="2678"/>
      <c r="J603" s="3105"/>
      <c r="L603" s="3103"/>
      <c r="M603" s="3103"/>
      <c r="Q603" s="3104"/>
      <c r="R603" s="3104"/>
      <c r="U603" s="3100"/>
      <c r="W603" s="3100"/>
    </row>
    <row r="604" spans="1:23" s="3099" customFormat="1" ht="27" customHeight="1">
      <c r="A604" s="2674"/>
      <c r="B604" s="2675"/>
      <c r="C604" s="2676"/>
      <c r="D604" s="739" t="s">
        <v>4762</v>
      </c>
      <c r="E604" s="739"/>
      <c r="F604" s="740">
        <f>(10.272)*2</f>
        <v>20.544</v>
      </c>
      <c r="G604" s="293"/>
      <c r="H604" s="3101"/>
      <c r="I604" s="2678"/>
      <c r="J604" s="3105"/>
      <c r="L604" s="3103"/>
      <c r="M604" s="3103"/>
      <c r="Q604" s="3104"/>
      <c r="R604" s="3104"/>
      <c r="U604" s="3100"/>
      <c r="W604" s="3100"/>
    </row>
    <row r="605" spans="1:23" s="3099" customFormat="1" ht="13.5" customHeight="1">
      <c r="A605" s="2674"/>
      <c r="B605" s="2675"/>
      <c r="C605" s="2676"/>
      <c r="D605" s="739" t="s">
        <v>4763</v>
      </c>
      <c r="E605" s="739"/>
      <c r="F605" s="740">
        <f>(1.728)*2</f>
        <v>3.456</v>
      </c>
      <c r="G605" s="293"/>
      <c r="H605" s="3101"/>
      <c r="I605" s="2678"/>
      <c r="J605" s="3113"/>
      <c r="L605" s="3103"/>
      <c r="M605" s="3103"/>
      <c r="Q605" s="3104"/>
      <c r="R605" s="3104"/>
      <c r="U605" s="3100"/>
      <c r="W605" s="3100"/>
    </row>
    <row r="606" spans="1:23" s="604" customFormat="1" ht="13.5" customHeight="1">
      <c r="A606" s="595"/>
      <c r="B606" s="596"/>
      <c r="C606" s="597"/>
      <c r="D606" s="719" t="s">
        <v>4764</v>
      </c>
      <c r="E606" s="599"/>
      <c r="F606" s="600"/>
      <c r="G606" s="289"/>
      <c r="H606" s="601"/>
      <c r="I606" s="602"/>
      <c r="J606" s="2679"/>
      <c r="Q606" s="3080"/>
      <c r="R606" s="3080"/>
      <c r="U606" s="605"/>
      <c r="W606" s="605"/>
    </row>
    <row r="607" spans="1:23" s="3099" customFormat="1" ht="13.5" customHeight="1">
      <c r="A607" s="2674"/>
      <c r="B607" s="2675"/>
      <c r="C607" s="2676"/>
      <c r="D607" s="739" t="s">
        <v>4765</v>
      </c>
      <c r="E607" s="739"/>
      <c r="F607" s="740">
        <f>(0.72)*2</f>
        <v>1.44</v>
      </c>
      <c r="G607" s="293"/>
      <c r="H607" s="3101"/>
      <c r="I607" s="2678"/>
      <c r="J607" s="3105"/>
      <c r="L607" s="3103"/>
      <c r="M607" s="3103"/>
      <c r="Q607" s="3104"/>
      <c r="R607" s="3104"/>
      <c r="U607" s="3100"/>
      <c r="W607" s="3100"/>
    </row>
    <row r="608" spans="1:23" s="3099" customFormat="1" ht="27" customHeight="1">
      <c r="A608" s="2674"/>
      <c r="B608" s="2675"/>
      <c r="C608" s="2676"/>
      <c r="D608" s="739" t="s">
        <v>4766</v>
      </c>
      <c r="E608" s="739"/>
      <c r="F608" s="740">
        <f>(8.736)*2</f>
        <v>17.472000000000001</v>
      </c>
      <c r="G608" s="293"/>
      <c r="H608" s="3101"/>
      <c r="I608" s="2678"/>
      <c r="J608" s="3105"/>
      <c r="L608" s="3103"/>
      <c r="M608" s="3103"/>
      <c r="Q608" s="3104"/>
      <c r="R608" s="3104"/>
      <c r="U608" s="3100"/>
      <c r="W608" s="3100"/>
    </row>
    <row r="609" spans="1:23" s="3099" customFormat="1" ht="27" customHeight="1">
      <c r="A609" s="2674"/>
      <c r="B609" s="2675"/>
      <c r="C609" s="2676"/>
      <c r="D609" s="739" t="s">
        <v>4767</v>
      </c>
      <c r="E609" s="739"/>
      <c r="F609" s="740">
        <f>(2.784)*2</f>
        <v>5.5679999999999996</v>
      </c>
      <c r="G609" s="293"/>
      <c r="H609" s="3101"/>
      <c r="I609" s="2678"/>
      <c r="J609" s="3105"/>
      <c r="L609" s="3103"/>
      <c r="M609" s="3103"/>
      <c r="Q609" s="3104"/>
      <c r="R609" s="3104"/>
      <c r="U609" s="3100"/>
      <c r="W609" s="3100"/>
    </row>
    <row r="610" spans="1:23" s="3099" customFormat="1" ht="27" customHeight="1">
      <c r="A610" s="2674"/>
      <c r="B610" s="2675"/>
      <c r="C610" s="2676"/>
      <c r="D610" s="739" t="s">
        <v>4768</v>
      </c>
      <c r="E610" s="739"/>
      <c r="F610" s="740">
        <f>(7.248)*2</f>
        <v>14.496</v>
      </c>
      <c r="G610" s="293"/>
      <c r="H610" s="3101"/>
      <c r="I610" s="2678"/>
      <c r="J610" s="3105"/>
      <c r="L610" s="3103"/>
      <c r="M610" s="3103"/>
      <c r="Q610" s="3104"/>
      <c r="R610" s="3104"/>
      <c r="U610" s="3100"/>
      <c r="W610" s="3100"/>
    </row>
    <row r="611" spans="1:23" s="3099" customFormat="1" ht="27" customHeight="1">
      <c r="A611" s="2674"/>
      <c r="B611" s="2675"/>
      <c r="C611" s="2676"/>
      <c r="D611" s="739" t="s">
        <v>4769</v>
      </c>
      <c r="E611" s="739"/>
      <c r="F611" s="740">
        <f>(4.56)*2</f>
        <v>9.1199999999999992</v>
      </c>
      <c r="G611" s="293"/>
      <c r="H611" s="3101"/>
      <c r="I611" s="2678"/>
      <c r="J611" s="3105"/>
      <c r="L611" s="3103"/>
      <c r="M611" s="3103"/>
      <c r="Q611" s="3104"/>
      <c r="R611" s="3104"/>
      <c r="U611" s="3100"/>
      <c r="W611" s="3100"/>
    </row>
    <row r="612" spans="1:23" s="3099" customFormat="1" ht="27" customHeight="1">
      <c r="A612" s="2674"/>
      <c r="B612" s="2675"/>
      <c r="C612" s="2676"/>
      <c r="D612" s="739" t="s">
        <v>4770</v>
      </c>
      <c r="E612" s="739"/>
      <c r="F612" s="740">
        <f>(1.872)*2</f>
        <v>3.7440000000000002</v>
      </c>
      <c r="G612" s="293"/>
      <c r="H612" s="3101"/>
      <c r="I612" s="2678"/>
      <c r="J612" s="3105"/>
      <c r="L612" s="3103"/>
      <c r="M612" s="3103"/>
      <c r="Q612" s="3104"/>
      <c r="R612" s="3104"/>
      <c r="U612" s="3100"/>
      <c r="W612" s="3100"/>
    </row>
    <row r="613" spans="1:23" s="3099" customFormat="1" ht="27" customHeight="1">
      <c r="A613" s="2674"/>
      <c r="B613" s="2675"/>
      <c r="C613" s="2676"/>
      <c r="D613" s="739" t="s">
        <v>4771</v>
      </c>
      <c r="E613" s="739"/>
      <c r="F613" s="740">
        <f>(5.472)*2</f>
        <v>10.944000000000001</v>
      </c>
      <c r="G613" s="293"/>
      <c r="H613" s="3101"/>
      <c r="I613" s="2678"/>
      <c r="J613" s="3105"/>
      <c r="L613" s="3103"/>
      <c r="M613" s="3103"/>
      <c r="Q613" s="3104"/>
      <c r="R613" s="3104"/>
      <c r="U613" s="3100"/>
      <c r="W613" s="3100"/>
    </row>
    <row r="614" spans="1:23" s="3099" customFormat="1" ht="27" customHeight="1">
      <c r="A614" s="2674"/>
      <c r="B614" s="2675"/>
      <c r="C614" s="2676"/>
      <c r="D614" s="739" t="s">
        <v>4772</v>
      </c>
      <c r="E614" s="739"/>
      <c r="F614" s="740">
        <f>(4.032)*2</f>
        <v>8.0640000000000001</v>
      </c>
      <c r="G614" s="293"/>
      <c r="H614" s="3101"/>
      <c r="I614" s="2678"/>
      <c r="J614" s="3105"/>
      <c r="L614" s="3103"/>
      <c r="M614" s="3103"/>
      <c r="Q614" s="3104"/>
      <c r="R614" s="3104"/>
      <c r="U614" s="3100"/>
      <c r="W614" s="3100"/>
    </row>
    <row r="615" spans="1:23" s="3099" customFormat="1" ht="13.5" customHeight="1">
      <c r="A615" s="2674"/>
      <c r="B615" s="2675"/>
      <c r="C615" s="2676"/>
      <c r="D615" s="739" t="s">
        <v>4773</v>
      </c>
      <c r="E615" s="739"/>
      <c r="F615" s="740">
        <f>(0.48)*2</f>
        <v>0.96</v>
      </c>
      <c r="G615" s="293"/>
      <c r="H615" s="3101"/>
      <c r="I615" s="2678"/>
      <c r="J615" s="3105"/>
      <c r="L615" s="3103"/>
      <c r="M615" s="3103"/>
      <c r="Q615" s="3104"/>
      <c r="R615" s="3104"/>
      <c r="U615" s="3100"/>
      <c r="W615" s="3100"/>
    </row>
    <row r="616" spans="1:23" s="3099" customFormat="1" ht="27" customHeight="1">
      <c r="A616" s="2674"/>
      <c r="B616" s="2675"/>
      <c r="C616" s="2676"/>
      <c r="D616" s="739" t="s">
        <v>4774</v>
      </c>
      <c r="E616" s="739"/>
      <c r="F616" s="740">
        <f>(3.744)*2</f>
        <v>7.4880000000000004</v>
      </c>
      <c r="G616" s="293"/>
      <c r="H616" s="3101"/>
      <c r="I616" s="2678"/>
      <c r="J616" s="3105"/>
      <c r="L616" s="3103"/>
      <c r="M616" s="3103"/>
      <c r="Q616" s="3104"/>
      <c r="R616" s="3104"/>
      <c r="U616" s="3100"/>
      <c r="W616" s="3100"/>
    </row>
    <row r="617" spans="1:23" s="3099" customFormat="1" ht="27" customHeight="1">
      <c r="A617" s="2674"/>
      <c r="B617" s="2675"/>
      <c r="C617" s="2676"/>
      <c r="D617" s="739" t="s">
        <v>4775</v>
      </c>
      <c r="E617" s="739"/>
      <c r="F617" s="740">
        <f>(9.456)*2</f>
        <v>18.911999999999999</v>
      </c>
      <c r="G617" s="293"/>
      <c r="H617" s="3101"/>
      <c r="I617" s="2678"/>
      <c r="J617" s="3105"/>
      <c r="L617" s="3103"/>
      <c r="M617" s="3103"/>
      <c r="Q617" s="3104"/>
      <c r="R617" s="3104"/>
      <c r="U617" s="3100"/>
      <c r="W617" s="3100"/>
    </row>
    <row r="618" spans="1:23" s="3099" customFormat="1" ht="27" customHeight="1">
      <c r="A618" s="2674"/>
      <c r="B618" s="2675"/>
      <c r="C618" s="2676"/>
      <c r="D618" s="739" t="s">
        <v>4776</v>
      </c>
      <c r="E618" s="739"/>
      <c r="F618" s="740">
        <f>(12)*2</f>
        <v>24</v>
      </c>
      <c r="G618" s="293"/>
      <c r="H618" s="3101"/>
      <c r="I618" s="2678"/>
      <c r="J618" s="3105"/>
      <c r="L618" s="3103"/>
      <c r="M618" s="3103"/>
      <c r="Q618" s="3104"/>
      <c r="R618" s="3104"/>
      <c r="U618" s="3100"/>
      <c r="W618" s="3100"/>
    </row>
    <row r="619" spans="1:23" s="3099" customFormat="1" ht="27" customHeight="1">
      <c r="A619" s="2674"/>
      <c r="B619" s="2675"/>
      <c r="C619" s="2676"/>
      <c r="D619" s="739" t="s">
        <v>4777</v>
      </c>
      <c r="E619" s="739"/>
      <c r="F619" s="740">
        <f>(1.008)*2</f>
        <v>2.016</v>
      </c>
      <c r="G619" s="293"/>
      <c r="H619" s="3101"/>
      <c r="I619" s="2678"/>
      <c r="J619" s="3105"/>
      <c r="L619" s="3103"/>
      <c r="M619" s="3103"/>
      <c r="Q619" s="3104"/>
      <c r="R619" s="3104"/>
      <c r="U619" s="3100"/>
      <c r="W619" s="3100"/>
    </row>
    <row r="620" spans="1:23" s="3099" customFormat="1" ht="27" customHeight="1">
      <c r="A620" s="2674"/>
      <c r="B620" s="2675"/>
      <c r="C620" s="2676"/>
      <c r="D620" s="739" t="s">
        <v>4778</v>
      </c>
      <c r="E620" s="739"/>
      <c r="F620" s="740">
        <f>(1.2)*2</f>
        <v>2.4</v>
      </c>
      <c r="G620" s="293"/>
      <c r="H620" s="3101"/>
      <c r="I620" s="2678"/>
      <c r="J620" s="3105"/>
      <c r="L620" s="3103"/>
      <c r="M620" s="3103"/>
      <c r="Q620" s="3104"/>
      <c r="R620" s="3104"/>
      <c r="U620" s="3100"/>
      <c r="W620" s="3100"/>
    </row>
    <row r="621" spans="1:23" s="3099" customFormat="1" ht="27" customHeight="1">
      <c r="A621" s="2674"/>
      <c r="B621" s="2675"/>
      <c r="C621" s="2676"/>
      <c r="D621" s="739" t="s">
        <v>4779</v>
      </c>
      <c r="E621" s="739"/>
      <c r="F621" s="740">
        <f>(2.208)*2</f>
        <v>4.4160000000000004</v>
      </c>
      <c r="G621" s="293"/>
      <c r="H621" s="3101"/>
      <c r="I621" s="2678"/>
      <c r="J621" s="3105"/>
      <c r="L621" s="3103"/>
      <c r="M621" s="3103"/>
      <c r="Q621" s="3104"/>
      <c r="R621" s="3104"/>
      <c r="U621" s="3100"/>
      <c r="W621" s="3100"/>
    </row>
    <row r="622" spans="1:23" s="3099" customFormat="1" ht="27" customHeight="1">
      <c r="A622" s="2674"/>
      <c r="B622" s="2675"/>
      <c r="C622" s="2676"/>
      <c r="D622" s="739" t="s">
        <v>4780</v>
      </c>
      <c r="E622" s="739"/>
      <c r="F622" s="740">
        <f>(2.976)*2</f>
        <v>5.952</v>
      </c>
      <c r="G622" s="293"/>
      <c r="H622" s="3101"/>
      <c r="I622" s="2678"/>
      <c r="J622" s="3105"/>
      <c r="L622" s="3103"/>
      <c r="M622" s="3103"/>
      <c r="Q622" s="3104"/>
      <c r="R622" s="3104"/>
      <c r="U622" s="3100"/>
      <c r="W622" s="3100"/>
    </row>
    <row r="623" spans="1:23" s="3099" customFormat="1" ht="27" customHeight="1">
      <c r="A623" s="2674"/>
      <c r="B623" s="2675"/>
      <c r="C623" s="2676"/>
      <c r="D623" s="739" t="s">
        <v>4781</v>
      </c>
      <c r="E623" s="739"/>
      <c r="F623" s="740">
        <f>(1.536)*2</f>
        <v>3.0720000000000001</v>
      </c>
      <c r="G623" s="293"/>
      <c r="H623" s="3101"/>
      <c r="I623" s="2678"/>
      <c r="J623" s="3113"/>
      <c r="L623" s="3103"/>
      <c r="M623" s="3103"/>
      <c r="Q623" s="3104"/>
      <c r="R623" s="3104"/>
      <c r="U623" s="3100"/>
      <c r="W623" s="3100"/>
    </row>
    <row r="624" spans="1:23" s="883" customFormat="1" ht="13.5" customHeight="1">
      <c r="A624" s="2814" t="s">
        <v>1071</v>
      </c>
      <c r="B624" s="2815" t="s">
        <v>135</v>
      </c>
      <c r="C624" s="2816" t="s">
        <v>4782</v>
      </c>
      <c r="D624" s="2816" t="s">
        <v>4783</v>
      </c>
      <c r="E624" s="2816" t="s">
        <v>146</v>
      </c>
      <c r="F624" s="1258">
        <f>ROUND(SUM(F626,F628),3)</f>
        <v>215.352</v>
      </c>
      <c r="G624" s="1641">
        <f>ROUND(SUM(H630:H634)/F624,2)</f>
        <v>0</v>
      </c>
      <c r="H624" s="568">
        <f t="shared" ref="H624" si="14">ROUND(F624*G624,2)</f>
        <v>0</v>
      </c>
      <c r="I624" s="2817" t="s">
        <v>111</v>
      </c>
      <c r="J624" s="2818"/>
      <c r="K624" s="2819"/>
      <c r="L624" s="2819"/>
      <c r="M624" s="2818"/>
      <c r="N624" s="1644"/>
    </row>
    <row r="625" spans="1:256" s="883" customFormat="1" ht="13.5" customHeight="1">
      <c r="A625" s="2814"/>
      <c r="B625" s="2815"/>
      <c r="C625" s="2816"/>
      <c r="D625" s="2820" t="s">
        <v>4784</v>
      </c>
      <c r="E625" s="2816"/>
      <c r="F625" s="2821"/>
      <c r="G625" s="294"/>
      <c r="H625" s="2822"/>
      <c r="I625" s="2817"/>
      <c r="J625" s="2818"/>
      <c r="K625" s="2819"/>
      <c r="L625" s="2819"/>
      <c r="M625" s="2818"/>
      <c r="N625" s="1644"/>
    </row>
    <row r="626" spans="1:256" s="593" customFormat="1" ht="13.5" customHeight="1">
      <c r="A626" s="2702"/>
      <c r="B626" s="790"/>
      <c r="C626" s="2816"/>
      <c r="D626" s="756" t="s">
        <v>182</v>
      </c>
      <c r="E626" s="1260"/>
      <c r="F626" s="758">
        <f>ROUND(SUM(F627:F627),3)</f>
        <v>129.21100000000001</v>
      </c>
      <c r="G626" s="879"/>
      <c r="H626" s="587"/>
      <c r="I626" s="1014"/>
      <c r="J626" s="2818"/>
      <c r="K626" s="2819"/>
      <c r="L626" s="2819"/>
      <c r="M626" s="2818"/>
      <c r="N626" s="1644"/>
      <c r="O626" s="213"/>
      <c r="P626" s="213"/>
      <c r="Q626" s="213"/>
      <c r="R626" s="213"/>
      <c r="S626" s="213"/>
      <c r="T626" s="213"/>
      <c r="U626" s="213"/>
      <c r="V626" s="213"/>
      <c r="W626" s="213"/>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c r="BI626" s="213"/>
      <c r="BJ626" s="213"/>
      <c r="BK626" s="213"/>
      <c r="BL626" s="213"/>
      <c r="BM626" s="213"/>
      <c r="BN626" s="213"/>
      <c r="BO626" s="213"/>
      <c r="BP626" s="213"/>
      <c r="BQ626" s="213"/>
      <c r="BR626" s="213"/>
      <c r="BS626" s="213"/>
      <c r="BT626" s="213"/>
      <c r="BU626" s="213"/>
      <c r="BV626" s="213"/>
      <c r="BW626" s="213"/>
      <c r="BX626" s="213"/>
      <c r="BY626" s="213"/>
      <c r="BZ626" s="213"/>
      <c r="CA626" s="213"/>
      <c r="CB626" s="213"/>
      <c r="CC626" s="213"/>
      <c r="CD626" s="213"/>
      <c r="CE626" s="213"/>
      <c r="CF626" s="213"/>
      <c r="CG626" s="213"/>
      <c r="CH626" s="213"/>
      <c r="CI626" s="213"/>
      <c r="CJ626" s="213"/>
      <c r="CK626" s="213"/>
      <c r="CL626" s="213"/>
      <c r="CM626" s="213"/>
      <c r="CN626" s="213"/>
      <c r="CO626" s="213"/>
      <c r="CP626" s="213"/>
      <c r="CQ626" s="213"/>
      <c r="CR626" s="213"/>
      <c r="CS626" s="213"/>
      <c r="CT626" s="213"/>
      <c r="CU626" s="213"/>
      <c r="CV626" s="213"/>
      <c r="CW626" s="213"/>
      <c r="CX626" s="213"/>
      <c r="CY626" s="213"/>
      <c r="CZ626" s="213"/>
      <c r="DA626" s="213"/>
      <c r="DB626" s="213"/>
      <c r="DC626" s="213"/>
      <c r="DD626" s="213"/>
      <c r="DE626" s="213"/>
      <c r="DF626" s="213"/>
      <c r="DG626" s="213"/>
      <c r="DH626" s="213"/>
      <c r="DI626" s="213"/>
      <c r="DJ626" s="213"/>
      <c r="DK626" s="213"/>
      <c r="DL626" s="213"/>
      <c r="DM626" s="213"/>
      <c r="DN626" s="213"/>
      <c r="DO626" s="213"/>
      <c r="DP626" s="213"/>
      <c r="DQ626" s="213"/>
      <c r="DR626" s="213"/>
      <c r="DS626" s="213"/>
      <c r="DT626" s="213"/>
      <c r="DU626" s="213"/>
      <c r="DV626" s="213"/>
      <c r="DW626" s="213"/>
      <c r="DX626" s="213"/>
      <c r="DY626" s="213"/>
      <c r="DZ626" s="213"/>
      <c r="EA626" s="213"/>
      <c r="EB626" s="213"/>
      <c r="EC626" s="213"/>
      <c r="ED626" s="213"/>
      <c r="EE626" s="213"/>
      <c r="EF626" s="213"/>
      <c r="EG626" s="213"/>
      <c r="EH626" s="213"/>
      <c r="EI626" s="213"/>
      <c r="EJ626" s="213"/>
      <c r="EK626" s="213"/>
      <c r="EL626" s="213"/>
      <c r="EM626" s="213"/>
      <c r="EN626" s="213"/>
      <c r="EO626" s="213"/>
      <c r="EP626" s="213"/>
      <c r="EQ626" s="213"/>
      <c r="ER626" s="213"/>
      <c r="ES626" s="213"/>
      <c r="ET626" s="213"/>
      <c r="EU626" s="213"/>
      <c r="EV626" s="213"/>
      <c r="EW626" s="213"/>
      <c r="EX626" s="213"/>
      <c r="EY626" s="213"/>
      <c r="EZ626" s="213"/>
      <c r="FA626" s="213"/>
      <c r="FB626" s="213"/>
      <c r="FC626" s="213"/>
      <c r="FD626" s="213"/>
      <c r="FE626" s="213"/>
      <c r="FF626" s="213"/>
      <c r="FG626" s="213"/>
      <c r="FH626" s="213"/>
      <c r="FI626" s="213"/>
      <c r="FJ626" s="213"/>
      <c r="FK626" s="213"/>
      <c r="FL626" s="213"/>
      <c r="FM626" s="213"/>
      <c r="FN626" s="213"/>
      <c r="FO626" s="213"/>
      <c r="FP626" s="213"/>
      <c r="FQ626" s="213"/>
      <c r="FR626" s="213"/>
      <c r="FS626" s="213"/>
      <c r="FT626" s="213"/>
      <c r="FU626" s="213"/>
      <c r="FV626" s="213"/>
      <c r="FW626" s="213"/>
      <c r="FX626" s="213"/>
      <c r="FY626" s="213"/>
      <c r="FZ626" s="213"/>
      <c r="GA626" s="213"/>
      <c r="GB626" s="213"/>
      <c r="GC626" s="213"/>
      <c r="GD626" s="213"/>
      <c r="GE626" s="213"/>
      <c r="GF626" s="213"/>
      <c r="GG626" s="213"/>
      <c r="GH626" s="213"/>
      <c r="GI626" s="213"/>
      <c r="GJ626" s="213"/>
      <c r="GK626" s="213"/>
      <c r="GL626" s="213"/>
      <c r="GM626" s="213"/>
      <c r="GN626" s="213"/>
      <c r="GO626" s="213"/>
      <c r="GP626" s="213"/>
      <c r="GQ626" s="213"/>
      <c r="GR626" s="213"/>
      <c r="GS626" s="213"/>
      <c r="GT626" s="213"/>
      <c r="GU626" s="213"/>
      <c r="GV626" s="213"/>
      <c r="GW626" s="213"/>
      <c r="GX626" s="213"/>
      <c r="GY626" s="213"/>
      <c r="GZ626" s="213"/>
      <c r="HA626" s="213"/>
      <c r="HB626" s="213"/>
      <c r="HC626" s="213"/>
      <c r="HD626" s="213"/>
      <c r="HE626" s="213"/>
      <c r="HF626" s="213"/>
      <c r="HG626" s="213"/>
      <c r="HH626" s="213"/>
      <c r="HI626" s="213"/>
      <c r="HJ626" s="213"/>
      <c r="HK626" s="213"/>
      <c r="HL626" s="213"/>
      <c r="HM626" s="213"/>
      <c r="HN626" s="213"/>
      <c r="HO626" s="213"/>
      <c r="HP626" s="213"/>
      <c r="HQ626" s="213"/>
      <c r="HR626" s="213"/>
      <c r="HS626" s="213"/>
      <c r="HT626" s="213"/>
      <c r="HU626" s="213"/>
      <c r="HV626" s="213"/>
      <c r="HW626" s="213"/>
      <c r="HX626" s="213"/>
      <c r="HY626" s="213"/>
      <c r="HZ626" s="213"/>
      <c r="IA626" s="213"/>
      <c r="IB626" s="213"/>
      <c r="IC626" s="213"/>
      <c r="ID626" s="213"/>
      <c r="IE626" s="213"/>
      <c r="IF626" s="213"/>
      <c r="IG626" s="213"/>
      <c r="IH626" s="213"/>
      <c r="II626" s="213"/>
      <c r="IJ626" s="213"/>
      <c r="IK626" s="213"/>
      <c r="IL626" s="213"/>
      <c r="IM626" s="213"/>
      <c r="IN626" s="213"/>
      <c r="IO626" s="213"/>
      <c r="IP626" s="213"/>
      <c r="IQ626" s="213"/>
      <c r="IR626" s="213"/>
      <c r="IS626" s="213"/>
      <c r="IT626" s="213"/>
      <c r="IU626" s="213"/>
      <c r="IV626" s="213"/>
    </row>
    <row r="627" spans="1:256" s="883" customFormat="1" ht="54" customHeight="1">
      <c r="A627" s="2823"/>
      <c r="B627" s="2824"/>
      <c r="C627" s="2825"/>
      <c r="D627" s="2820" t="s">
        <v>4785</v>
      </c>
      <c r="E627" s="2820"/>
      <c r="F627" s="2826">
        <f>((6.204+0.36+3.024)+(1.176+2.376+7.488+6.264+8.976+7.5+26.496+4.332+1.122+4.896+1.734+1.026+15.648+2.232)+(3.978+11.778+7.98+4.914+15.048+12.096+1.5+3.402+16.416+24+0.96+1.344+5.412+3.078+2.592))*(0.1+0.5)</f>
        <v>129.21119999999999</v>
      </c>
      <c r="G627" s="294"/>
      <c r="H627" s="2822"/>
      <c r="I627" s="2827"/>
      <c r="J627" s="2818"/>
      <c r="K627" s="2819"/>
      <c r="L627" s="2819"/>
      <c r="M627" s="2818"/>
      <c r="N627" s="1644"/>
    </row>
    <row r="628" spans="1:256" s="593" customFormat="1" ht="13.5" customHeight="1">
      <c r="A628" s="2702"/>
      <c r="B628" s="790"/>
      <c r="C628" s="2816"/>
      <c r="D628" s="756" t="s">
        <v>185</v>
      </c>
      <c r="E628" s="1260"/>
      <c r="F628" s="758">
        <f>ROUND(SUM(F629:F629),3)</f>
        <v>86.141000000000005</v>
      </c>
      <c r="G628" s="879"/>
      <c r="H628" s="587"/>
      <c r="I628" s="1014"/>
      <c r="J628" s="1262"/>
      <c r="L628" s="213"/>
      <c r="M628" s="213"/>
      <c r="N628" s="213"/>
      <c r="O628" s="213"/>
      <c r="P628" s="213"/>
      <c r="Q628" s="213"/>
      <c r="R628" s="213"/>
      <c r="S628" s="213"/>
      <c r="T628" s="213"/>
      <c r="U628" s="213"/>
      <c r="V628" s="213"/>
      <c r="W628" s="213"/>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c r="BI628" s="213"/>
      <c r="BJ628" s="213"/>
      <c r="BK628" s="213"/>
      <c r="BL628" s="213"/>
      <c r="BM628" s="213"/>
      <c r="BN628" s="213"/>
      <c r="BO628" s="213"/>
      <c r="BP628" s="213"/>
      <c r="BQ628" s="213"/>
      <c r="BR628" s="213"/>
      <c r="BS628" s="213"/>
      <c r="BT628" s="213"/>
      <c r="BU628" s="213"/>
      <c r="BV628" s="213"/>
      <c r="BW628" s="213"/>
      <c r="BX628" s="213"/>
      <c r="BY628" s="213"/>
      <c r="BZ628" s="213"/>
      <c r="CA628" s="213"/>
      <c r="CB628" s="213"/>
      <c r="CC628" s="213"/>
      <c r="CD628" s="213"/>
      <c r="CE628" s="213"/>
      <c r="CF628" s="213"/>
      <c r="CG628" s="213"/>
      <c r="CH628" s="213"/>
      <c r="CI628" s="213"/>
      <c r="CJ628" s="213"/>
      <c r="CK628" s="213"/>
      <c r="CL628" s="213"/>
      <c r="CM628" s="213"/>
      <c r="CN628" s="213"/>
      <c r="CO628" s="213"/>
      <c r="CP628" s="213"/>
      <c r="CQ628" s="213"/>
      <c r="CR628" s="213"/>
      <c r="CS628" s="213"/>
      <c r="CT628" s="213"/>
      <c r="CU628" s="213"/>
      <c r="CV628" s="213"/>
      <c r="CW628" s="213"/>
      <c r="CX628" s="213"/>
      <c r="CY628" s="213"/>
      <c r="CZ628" s="213"/>
      <c r="DA628" s="213"/>
      <c r="DB628" s="213"/>
      <c r="DC628" s="213"/>
      <c r="DD628" s="213"/>
      <c r="DE628" s="213"/>
      <c r="DF628" s="213"/>
      <c r="DG628" s="213"/>
      <c r="DH628" s="213"/>
      <c r="DI628" s="213"/>
      <c r="DJ628" s="213"/>
      <c r="DK628" s="213"/>
      <c r="DL628" s="213"/>
      <c r="DM628" s="213"/>
      <c r="DN628" s="213"/>
      <c r="DO628" s="213"/>
      <c r="DP628" s="213"/>
      <c r="DQ628" s="213"/>
      <c r="DR628" s="213"/>
      <c r="DS628" s="213"/>
      <c r="DT628" s="213"/>
      <c r="DU628" s="213"/>
      <c r="DV628" s="213"/>
      <c r="DW628" s="213"/>
      <c r="DX628" s="213"/>
      <c r="DY628" s="213"/>
      <c r="DZ628" s="213"/>
      <c r="EA628" s="213"/>
      <c r="EB628" s="213"/>
      <c r="EC628" s="213"/>
      <c r="ED628" s="213"/>
      <c r="EE628" s="213"/>
      <c r="EF628" s="213"/>
      <c r="EG628" s="213"/>
      <c r="EH628" s="213"/>
      <c r="EI628" s="213"/>
      <c r="EJ628" s="213"/>
      <c r="EK628" s="213"/>
      <c r="EL628" s="213"/>
      <c r="EM628" s="213"/>
      <c r="EN628" s="213"/>
      <c r="EO628" s="213"/>
      <c r="EP628" s="213"/>
      <c r="EQ628" s="213"/>
      <c r="ER628" s="213"/>
      <c r="ES628" s="213"/>
      <c r="ET628" s="213"/>
      <c r="EU628" s="213"/>
      <c r="EV628" s="213"/>
      <c r="EW628" s="213"/>
      <c r="EX628" s="213"/>
      <c r="EY628" s="213"/>
      <c r="EZ628" s="213"/>
      <c r="FA628" s="213"/>
      <c r="FB628" s="213"/>
      <c r="FC628" s="213"/>
      <c r="FD628" s="213"/>
      <c r="FE628" s="213"/>
      <c r="FF628" s="213"/>
      <c r="FG628" s="213"/>
      <c r="FH628" s="213"/>
      <c r="FI628" s="213"/>
      <c r="FJ628" s="213"/>
      <c r="FK628" s="213"/>
      <c r="FL628" s="213"/>
      <c r="FM628" s="213"/>
      <c r="FN628" s="213"/>
      <c r="FO628" s="213"/>
      <c r="FP628" s="213"/>
      <c r="FQ628" s="213"/>
      <c r="FR628" s="213"/>
      <c r="FS628" s="213"/>
      <c r="FT628" s="213"/>
      <c r="FU628" s="213"/>
      <c r="FV628" s="213"/>
      <c r="FW628" s="213"/>
      <c r="FX628" s="213"/>
      <c r="FY628" s="213"/>
      <c r="FZ628" s="213"/>
      <c r="GA628" s="213"/>
      <c r="GB628" s="213"/>
      <c r="GC628" s="213"/>
      <c r="GD628" s="213"/>
      <c r="GE628" s="213"/>
      <c r="GF628" s="213"/>
      <c r="GG628" s="213"/>
      <c r="GH628" s="213"/>
      <c r="GI628" s="213"/>
      <c r="GJ628" s="213"/>
      <c r="GK628" s="213"/>
      <c r="GL628" s="213"/>
      <c r="GM628" s="213"/>
      <c r="GN628" s="213"/>
      <c r="GO628" s="213"/>
      <c r="GP628" s="213"/>
      <c r="GQ628" s="213"/>
      <c r="GR628" s="213"/>
      <c r="GS628" s="213"/>
      <c r="GT628" s="213"/>
      <c r="GU628" s="213"/>
      <c r="GV628" s="213"/>
      <c r="GW628" s="213"/>
      <c r="GX628" s="213"/>
      <c r="GY628" s="213"/>
      <c r="GZ628" s="213"/>
      <c r="HA628" s="213"/>
      <c r="HB628" s="213"/>
      <c r="HC628" s="213"/>
      <c r="HD628" s="213"/>
      <c r="HE628" s="213"/>
      <c r="HF628" s="213"/>
      <c r="HG628" s="213"/>
      <c r="HH628" s="213"/>
      <c r="HI628" s="213"/>
      <c r="HJ628" s="213"/>
      <c r="HK628" s="213"/>
      <c r="HL628" s="213"/>
      <c r="HM628" s="213"/>
      <c r="HN628" s="213"/>
      <c r="HO628" s="213"/>
      <c r="HP628" s="213"/>
      <c r="HQ628" s="213"/>
      <c r="HR628" s="213"/>
      <c r="HS628" s="213"/>
      <c r="HT628" s="213"/>
      <c r="HU628" s="213"/>
      <c r="HV628" s="213"/>
      <c r="HW628" s="213"/>
      <c r="HX628" s="213"/>
      <c r="HY628" s="213"/>
      <c r="HZ628" s="213"/>
      <c r="IA628" s="213"/>
      <c r="IB628" s="213"/>
      <c r="IC628" s="213"/>
      <c r="ID628" s="213"/>
      <c r="IE628" s="213"/>
      <c r="IF628" s="213"/>
      <c r="IG628" s="213"/>
      <c r="IH628" s="213"/>
      <c r="II628" s="213"/>
      <c r="IJ628" s="213"/>
      <c r="IK628" s="213"/>
      <c r="IL628" s="213"/>
      <c r="IM628" s="213"/>
      <c r="IN628" s="213"/>
      <c r="IO628" s="213"/>
      <c r="IP628" s="213"/>
      <c r="IQ628" s="213"/>
      <c r="IR628" s="213"/>
      <c r="IS628" s="213"/>
      <c r="IT628" s="213"/>
      <c r="IU628" s="213"/>
      <c r="IV628" s="213"/>
    </row>
    <row r="629" spans="1:256" s="883" customFormat="1" ht="54" customHeight="1">
      <c r="A629" s="2823"/>
      <c r="B629" s="2824"/>
      <c r="C629" s="2825"/>
      <c r="D629" s="2820" t="s">
        <v>4786</v>
      </c>
      <c r="E629" s="2820"/>
      <c r="F629" s="2826">
        <f>((6.204+0.36+3.024)+(1.176+2.376+7.488+6.264+8.976+7.5+26.496+4.332+1.122+4.896+1.734+1.026+15.648+2.232)+(3.978+11.778+7.98+4.914+15.048+12.096+1.5+3.402+16.416+24+0.96+1.344+5.412+3.078+2.592))*((0.05+0.3)+(0.05))</f>
        <v>86.140799999999984</v>
      </c>
      <c r="G629" s="294"/>
      <c r="H629" s="2822"/>
      <c r="I629" s="2827"/>
      <c r="J629" s="2828"/>
      <c r="K629" s="2819"/>
      <c r="L629" s="2819"/>
      <c r="M629" s="2818"/>
      <c r="N629" s="1644"/>
    </row>
    <row r="630" spans="1:256" s="883" customFormat="1" ht="13.5" customHeight="1">
      <c r="A630" s="2829" t="s">
        <v>4787</v>
      </c>
      <c r="B630" s="2816"/>
      <c r="C630" s="777">
        <v>167151111</v>
      </c>
      <c r="D630" s="2820" t="s">
        <v>188</v>
      </c>
      <c r="E630" s="2830" t="s">
        <v>146</v>
      </c>
      <c r="F630" s="2826">
        <f>F626</f>
        <v>129.21100000000001</v>
      </c>
      <c r="G630" s="295"/>
      <c r="H630" s="2710">
        <f t="shared" ref="H630:H634" si="15">ROUND(F630*G630,2)</f>
        <v>0</v>
      </c>
      <c r="I630" s="781" t="s">
        <v>137</v>
      </c>
      <c r="J630" s="2818"/>
      <c r="K630" s="2819"/>
      <c r="L630" s="2819"/>
      <c r="M630" s="2818"/>
      <c r="N630" s="1644"/>
      <c r="O630" s="612"/>
      <c r="P630" s="612"/>
      <c r="Q630" s="612"/>
      <c r="R630" s="612"/>
      <c r="S630" s="788"/>
      <c r="V630" s="612"/>
    </row>
    <row r="631" spans="1:256" s="883" customFormat="1" ht="13.5" customHeight="1">
      <c r="A631" s="2831" t="s">
        <v>4788</v>
      </c>
      <c r="B631" s="2816"/>
      <c r="C631" s="777">
        <v>167151102</v>
      </c>
      <c r="D631" s="2820" t="s">
        <v>4789</v>
      </c>
      <c r="E631" s="2820" t="s">
        <v>146</v>
      </c>
      <c r="F631" s="2826">
        <f>F628</f>
        <v>86.141000000000005</v>
      </c>
      <c r="G631" s="295"/>
      <c r="H631" s="2710">
        <f t="shared" si="15"/>
        <v>0</v>
      </c>
      <c r="I631" s="781" t="s">
        <v>137</v>
      </c>
      <c r="J631" s="783"/>
      <c r="K631" s="783"/>
      <c r="L631" s="2832"/>
      <c r="M631" s="2832"/>
      <c r="N631" s="2832"/>
      <c r="Q631" s="2832"/>
      <c r="V631" s="2713"/>
    </row>
    <row r="632" spans="1:256" s="883" customFormat="1" ht="27" customHeight="1">
      <c r="A632" s="2829" t="s">
        <v>4790</v>
      </c>
      <c r="B632" s="2816"/>
      <c r="C632" s="777">
        <v>162351103</v>
      </c>
      <c r="D632" s="2820" t="s">
        <v>4791</v>
      </c>
      <c r="E632" s="2830" t="s">
        <v>146</v>
      </c>
      <c r="F632" s="2826">
        <f>F626</f>
        <v>129.21100000000001</v>
      </c>
      <c r="G632" s="295"/>
      <c r="H632" s="2710">
        <f t="shared" si="15"/>
        <v>0</v>
      </c>
      <c r="I632" s="781" t="s">
        <v>137</v>
      </c>
      <c r="J632" s="2818"/>
      <c r="K632" s="2819"/>
      <c r="L632" s="2819"/>
      <c r="M632" s="2818"/>
      <c r="N632" s="1644"/>
      <c r="O632" s="2596"/>
    </row>
    <row r="633" spans="1:256" s="883" customFormat="1" ht="27" customHeight="1">
      <c r="A633" s="2831" t="s">
        <v>4792</v>
      </c>
      <c r="B633" s="2816"/>
      <c r="C633" s="777">
        <v>162351123</v>
      </c>
      <c r="D633" s="2820" t="s">
        <v>4793</v>
      </c>
      <c r="E633" s="2820" t="s">
        <v>146</v>
      </c>
      <c r="F633" s="2826">
        <f>F628</f>
        <v>86.141000000000005</v>
      </c>
      <c r="G633" s="295"/>
      <c r="H633" s="2710">
        <f t="shared" si="15"/>
        <v>0</v>
      </c>
      <c r="I633" s="781" t="s">
        <v>137</v>
      </c>
      <c r="J633" s="783"/>
      <c r="K633" s="783"/>
      <c r="L633" s="2832"/>
      <c r="M633" s="2832"/>
      <c r="N633" s="2832"/>
      <c r="Q633" s="2832"/>
      <c r="V633" s="2714"/>
    </row>
    <row r="634" spans="1:256" s="883" customFormat="1" ht="13.5" customHeight="1">
      <c r="A634" s="2829" t="s">
        <v>4794</v>
      </c>
      <c r="B634" s="2816"/>
      <c r="C634" s="777">
        <v>171251201</v>
      </c>
      <c r="D634" s="2820" t="s">
        <v>4795</v>
      </c>
      <c r="E634" s="2830" t="s">
        <v>146</v>
      </c>
      <c r="F634" s="2826">
        <f>F624</f>
        <v>215.352</v>
      </c>
      <c r="G634" s="295"/>
      <c r="H634" s="2710">
        <f t="shared" si="15"/>
        <v>0</v>
      </c>
      <c r="I634" s="781" t="s">
        <v>137</v>
      </c>
      <c r="J634" s="2818"/>
      <c r="K634" s="2819"/>
      <c r="L634" s="2819"/>
      <c r="M634" s="2818"/>
      <c r="N634" s="1644"/>
      <c r="O634" s="612"/>
      <c r="P634" s="612"/>
      <c r="Q634" s="612"/>
      <c r="R634" s="612"/>
      <c r="S634" s="788"/>
      <c r="V634" s="612"/>
    </row>
    <row r="635" spans="1:256" s="883" customFormat="1" ht="13.5" customHeight="1">
      <c r="A635" s="2814"/>
      <c r="B635" s="2816"/>
      <c r="C635" s="2816"/>
      <c r="D635" s="2820" t="s">
        <v>4796</v>
      </c>
      <c r="E635" s="2816"/>
      <c r="F635" s="2833"/>
      <c r="G635" s="296"/>
      <c r="H635" s="2822"/>
      <c r="I635" s="2817"/>
      <c r="J635" s="2818"/>
      <c r="K635" s="2819"/>
      <c r="L635" s="2819"/>
      <c r="M635" s="2818"/>
      <c r="N635" s="1644"/>
    </row>
    <row r="636" spans="1:256" s="883" customFormat="1" ht="13.5" customHeight="1">
      <c r="A636" s="2814" t="s">
        <v>1218</v>
      </c>
      <c r="B636" s="2815" t="s">
        <v>135</v>
      </c>
      <c r="C636" s="2816" t="s">
        <v>4797</v>
      </c>
      <c r="D636" s="2816" t="s">
        <v>4798</v>
      </c>
      <c r="E636" s="2816" t="s">
        <v>146</v>
      </c>
      <c r="F636" s="1258">
        <f>ROUND(SUM(F638,F640),3)</f>
        <v>215.352</v>
      </c>
      <c r="G636" s="1641">
        <f>ROUND(SUM(H642:H645)/F636,2)</f>
        <v>0</v>
      </c>
      <c r="H636" s="1242">
        <f t="shared" ref="H636" si="16">ROUND(F636*G636,2)</f>
        <v>0</v>
      </c>
      <c r="I636" s="2817" t="s">
        <v>111</v>
      </c>
      <c r="J636" s="2818"/>
      <c r="K636" s="2819"/>
      <c r="L636" s="2819"/>
      <c r="M636" s="2818"/>
      <c r="N636" s="1644"/>
    </row>
    <row r="637" spans="1:256" s="883" customFormat="1" ht="13.5" customHeight="1">
      <c r="A637" s="2823"/>
      <c r="B637" s="2824"/>
      <c r="C637" s="2825"/>
      <c r="D637" s="2820" t="s">
        <v>4799</v>
      </c>
      <c r="E637" s="2820"/>
      <c r="F637" s="2826"/>
      <c r="G637" s="294"/>
      <c r="H637" s="2822"/>
      <c r="I637" s="2827"/>
      <c r="J637" s="2818"/>
      <c r="K637" s="2819"/>
      <c r="L637" s="2819"/>
      <c r="M637" s="2818"/>
      <c r="N637" s="1644"/>
      <c r="U637" s="2714"/>
    </row>
    <row r="638" spans="1:256" s="593" customFormat="1" ht="13.5" customHeight="1">
      <c r="A638" s="2702"/>
      <c r="B638" s="790"/>
      <c r="C638" s="2816"/>
      <c r="D638" s="756" t="s">
        <v>4800</v>
      </c>
      <c r="E638" s="1260"/>
      <c r="F638" s="758">
        <f>ROUND(SUM(F639:F639),3)</f>
        <v>129.21100000000001</v>
      </c>
      <c r="G638" s="879"/>
      <c r="H638" s="587"/>
      <c r="I638" s="1014"/>
      <c r="J638" s="2818"/>
      <c r="K638" s="2819"/>
      <c r="L638" s="2819"/>
      <c r="M638" s="2818"/>
      <c r="N638" s="1644"/>
      <c r="O638" s="213"/>
      <c r="P638" s="213"/>
      <c r="Q638" s="213"/>
      <c r="S638" s="213"/>
      <c r="U638" s="2714"/>
      <c r="V638" s="213"/>
      <c r="W638" s="213"/>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c r="BI638" s="213"/>
      <c r="BJ638" s="213"/>
      <c r="BK638" s="213"/>
      <c r="BL638" s="213"/>
      <c r="BM638" s="213"/>
      <c r="BN638" s="213"/>
      <c r="BO638" s="213"/>
      <c r="BP638" s="213"/>
      <c r="BQ638" s="213"/>
      <c r="BR638" s="213"/>
      <c r="BS638" s="213"/>
      <c r="BT638" s="213"/>
      <c r="BU638" s="213"/>
      <c r="BV638" s="213"/>
      <c r="BW638" s="213"/>
      <c r="BX638" s="213"/>
      <c r="BY638" s="213"/>
      <c r="BZ638" s="213"/>
      <c r="CA638" s="213"/>
      <c r="CB638" s="213"/>
      <c r="CC638" s="213"/>
      <c r="CD638" s="213"/>
      <c r="CE638" s="213"/>
      <c r="CF638" s="213"/>
      <c r="CG638" s="213"/>
      <c r="CH638" s="213"/>
      <c r="CI638" s="213"/>
      <c r="CJ638" s="213"/>
      <c r="CK638" s="213"/>
      <c r="CL638" s="213"/>
      <c r="CM638" s="213"/>
      <c r="CN638" s="213"/>
      <c r="CO638" s="213"/>
      <c r="CP638" s="213"/>
      <c r="CQ638" s="213"/>
      <c r="CR638" s="213"/>
      <c r="CS638" s="213"/>
      <c r="CT638" s="213"/>
      <c r="CU638" s="213"/>
      <c r="CV638" s="213"/>
      <c r="CW638" s="213"/>
      <c r="CX638" s="213"/>
      <c r="CY638" s="213"/>
      <c r="CZ638" s="213"/>
      <c r="DA638" s="213"/>
      <c r="DB638" s="213"/>
      <c r="DC638" s="213"/>
      <c r="DD638" s="213"/>
      <c r="DE638" s="213"/>
      <c r="DF638" s="213"/>
      <c r="DG638" s="213"/>
      <c r="DH638" s="213"/>
      <c r="DI638" s="213"/>
      <c r="DJ638" s="213"/>
      <c r="DK638" s="213"/>
      <c r="DL638" s="213"/>
      <c r="DM638" s="213"/>
      <c r="DN638" s="213"/>
      <c r="DO638" s="213"/>
      <c r="DP638" s="213"/>
      <c r="DQ638" s="213"/>
      <c r="DR638" s="213"/>
      <c r="DS638" s="213"/>
      <c r="DT638" s="213"/>
      <c r="DU638" s="213"/>
      <c r="DV638" s="213"/>
      <c r="DW638" s="213"/>
      <c r="DX638" s="213"/>
      <c r="DY638" s="213"/>
      <c r="DZ638" s="213"/>
      <c r="EA638" s="213"/>
      <c r="EB638" s="213"/>
      <c r="EC638" s="213"/>
      <c r="ED638" s="213"/>
      <c r="EE638" s="213"/>
      <c r="EF638" s="213"/>
      <c r="EG638" s="213"/>
      <c r="EH638" s="213"/>
      <c r="EI638" s="213"/>
      <c r="EJ638" s="213"/>
      <c r="EK638" s="213"/>
      <c r="EL638" s="213"/>
      <c r="EM638" s="213"/>
      <c r="EN638" s="213"/>
      <c r="EO638" s="213"/>
      <c r="EP638" s="213"/>
      <c r="EQ638" s="213"/>
      <c r="ER638" s="213"/>
      <c r="ES638" s="213"/>
      <c r="ET638" s="213"/>
      <c r="EU638" s="213"/>
      <c r="EV638" s="213"/>
      <c r="EW638" s="213"/>
      <c r="EX638" s="213"/>
      <c r="EY638" s="213"/>
      <c r="EZ638" s="213"/>
      <c r="FA638" s="213"/>
      <c r="FB638" s="213"/>
      <c r="FC638" s="213"/>
      <c r="FD638" s="213"/>
      <c r="FE638" s="213"/>
      <c r="FF638" s="213"/>
      <c r="FG638" s="213"/>
      <c r="FH638" s="213"/>
      <c r="FI638" s="213"/>
      <c r="FJ638" s="213"/>
      <c r="FK638" s="213"/>
      <c r="FL638" s="213"/>
      <c r="FM638" s="213"/>
      <c r="FN638" s="213"/>
      <c r="FO638" s="213"/>
      <c r="FP638" s="213"/>
      <c r="FQ638" s="213"/>
      <c r="FR638" s="213"/>
      <c r="FS638" s="213"/>
      <c r="FT638" s="213"/>
      <c r="FU638" s="213"/>
      <c r="FV638" s="213"/>
      <c r="FW638" s="213"/>
      <c r="FX638" s="213"/>
      <c r="FY638" s="213"/>
      <c r="FZ638" s="213"/>
      <c r="GA638" s="213"/>
      <c r="GB638" s="213"/>
      <c r="GC638" s="213"/>
      <c r="GD638" s="213"/>
      <c r="GE638" s="213"/>
      <c r="GF638" s="213"/>
      <c r="GG638" s="213"/>
      <c r="GH638" s="213"/>
      <c r="GI638" s="213"/>
      <c r="GJ638" s="213"/>
      <c r="GK638" s="213"/>
      <c r="GL638" s="213"/>
      <c r="GM638" s="213"/>
      <c r="GN638" s="213"/>
      <c r="GO638" s="213"/>
      <c r="GP638" s="213"/>
      <c r="GQ638" s="213"/>
      <c r="GR638" s="213"/>
      <c r="GS638" s="213"/>
      <c r="GT638" s="213"/>
      <c r="GU638" s="213"/>
      <c r="GV638" s="213"/>
      <c r="GW638" s="213"/>
      <c r="GX638" s="213"/>
      <c r="GY638" s="213"/>
      <c r="GZ638" s="213"/>
      <c r="HA638" s="213"/>
      <c r="HB638" s="213"/>
      <c r="HC638" s="213"/>
      <c r="HD638" s="213"/>
      <c r="HE638" s="213"/>
      <c r="HF638" s="213"/>
      <c r="HG638" s="213"/>
      <c r="HH638" s="213"/>
      <c r="HI638" s="213"/>
      <c r="HJ638" s="213"/>
      <c r="HK638" s="213"/>
      <c r="HL638" s="213"/>
      <c r="HM638" s="213"/>
      <c r="HN638" s="213"/>
      <c r="HO638" s="213"/>
      <c r="HP638" s="213"/>
      <c r="HQ638" s="213"/>
      <c r="HR638" s="213"/>
      <c r="HS638" s="213"/>
      <c r="HT638" s="213"/>
      <c r="HU638" s="213"/>
      <c r="HV638" s="213"/>
      <c r="HW638" s="213"/>
      <c r="HX638" s="213"/>
      <c r="HY638" s="213"/>
      <c r="HZ638" s="213"/>
      <c r="IA638" s="213"/>
      <c r="IB638" s="213"/>
      <c r="IC638" s="213"/>
      <c r="ID638" s="213"/>
      <c r="IE638" s="213"/>
      <c r="IF638" s="213"/>
      <c r="IG638" s="213"/>
      <c r="IH638" s="213"/>
      <c r="II638" s="213"/>
      <c r="IJ638" s="213"/>
      <c r="IK638" s="213"/>
      <c r="IL638" s="213"/>
      <c r="IM638" s="213"/>
      <c r="IN638" s="213"/>
      <c r="IO638" s="213"/>
      <c r="IP638" s="213"/>
      <c r="IQ638" s="213"/>
      <c r="IR638" s="213"/>
      <c r="IS638" s="213"/>
      <c r="IT638" s="213"/>
      <c r="IU638" s="213"/>
      <c r="IV638" s="213"/>
    </row>
    <row r="639" spans="1:256" s="883" customFormat="1" ht="54" customHeight="1">
      <c r="A639" s="2823"/>
      <c r="B639" s="2824"/>
      <c r="C639" s="2825"/>
      <c r="D639" s="2820" t="s">
        <v>4801</v>
      </c>
      <c r="E639" s="2820"/>
      <c r="F639" s="2826">
        <f>((6.204+0.36+3.024)+(1.176+2.376+7.488+6.264+8.976+7.5+26.496+4.332+1.122+4.896+1.734+1.026+15.648+2.232)+(3.978+11.778+7.98+4.914+15.048+12.096+1.5+3.402+16.416+24+0.96+1.344+5.412+3.078+2.592))*(0.1+0.5)</f>
        <v>129.21119999999999</v>
      </c>
      <c r="G639" s="294"/>
      <c r="H639" s="2822"/>
      <c r="I639" s="2827"/>
      <c r="J639" s="2818"/>
      <c r="K639" s="2819"/>
      <c r="L639" s="2819"/>
      <c r="M639" s="2818"/>
      <c r="N639" s="1644"/>
      <c r="U639" s="2714"/>
    </row>
    <row r="640" spans="1:256" s="593" customFormat="1" ht="13.5" customHeight="1">
      <c r="A640" s="2702"/>
      <c r="B640" s="790"/>
      <c r="C640" s="2816"/>
      <c r="D640" s="756" t="s">
        <v>4802</v>
      </c>
      <c r="E640" s="1260"/>
      <c r="F640" s="758">
        <f>ROUND(SUM(F641:F641),3)</f>
        <v>86.141000000000005</v>
      </c>
      <c r="G640" s="879"/>
      <c r="H640" s="587"/>
      <c r="I640" s="1014"/>
      <c r="J640" s="2716"/>
      <c r="L640" s="213"/>
      <c r="M640" s="213"/>
      <c r="N640" s="213"/>
      <c r="O640" s="213"/>
      <c r="P640" s="213"/>
      <c r="Q640" s="213"/>
      <c r="S640" s="213"/>
      <c r="U640" s="2714"/>
      <c r="V640" s="213"/>
      <c r="W640" s="213"/>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c r="BI640" s="213"/>
      <c r="BJ640" s="213"/>
      <c r="BK640" s="213"/>
      <c r="BL640" s="213"/>
      <c r="BM640" s="213"/>
      <c r="BN640" s="213"/>
      <c r="BO640" s="213"/>
      <c r="BP640" s="213"/>
      <c r="BQ640" s="213"/>
      <c r="BR640" s="213"/>
      <c r="BS640" s="213"/>
      <c r="BT640" s="213"/>
      <c r="BU640" s="213"/>
      <c r="BV640" s="213"/>
      <c r="BW640" s="213"/>
      <c r="BX640" s="213"/>
      <c r="BY640" s="213"/>
      <c r="BZ640" s="213"/>
      <c r="CA640" s="213"/>
      <c r="CB640" s="213"/>
      <c r="CC640" s="213"/>
      <c r="CD640" s="213"/>
      <c r="CE640" s="213"/>
      <c r="CF640" s="213"/>
      <c r="CG640" s="213"/>
      <c r="CH640" s="213"/>
      <c r="CI640" s="213"/>
      <c r="CJ640" s="213"/>
      <c r="CK640" s="213"/>
      <c r="CL640" s="213"/>
      <c r="CM640" s="213"/>
      <c r="CN640" s="213"/>
      <c r="CO640" s="213"/>
      <c r="CP640" s="213"/>
      <c r="CQ640" s="213"/>
      <c r="CR640" s="213"/>
      <c r="CS640" s="213"/>
      <c r="CT640" s="213"/>
      <c r="CU640" s="213"/>
      <c r="CV640" s="213"/>
      <c r="CW640" s="213"/>
      <c r="CX640" s="213"/>
      <c r="CY640" s="213"/>
      <c r="CZ640" s="213"/>
      <c r="DA640" s="213"/>
      <c r="DB640" s="213"/>
      <c r="DC640" s="213"/>
      <c r="DD640" s="213"/>
      <c r="DE640" s="213"/>
      <c r="DF640" s="213"/>
      <c r="DG640" s="213"/>
      <c r="DH640" s="213"/>
      <c r="DI640" s="213"/>
      <c r="DJ640" s="213"/>
      <c r="DK640" s="213"/>
      <c r="DL640" s="213"/>
      <c r="DM640" s="213"/>
      <c r="DN640" s="213"/>
      <c r="DO640" s="213"/>
      <c r="DP640" s="213"/>
      <c r="DQ640" s="213"/>
      <c r="DR640" s="213"/>
      <c r="DS640" s="213"/>
      <c r="DT640" s="213"/>
      <c r="DU640" s="213"/>
      <c r="DV640" s="213"/>
      <c r="DW640" s="213"/>
      <c r="DX640" s="213"/>
      <c r="DY640" s="213"/>
      <c r="DZ640" s="213"/>
      <c r="EA640" s="213"/>
      <c r="EB640" s="213"/>
      <c r="EC640" s="213"/>
      <c r="ED640" s="213"/>
      <c r="EE640" s="213"/>
      <c r="EF640" s="213"/>
      <c r="EG640" s="213"/>
      <c r="EH640" s="213"/>
      <c r="EI640" s="213"/>
      <c r="EJ640" s="213"/>
      <c r="EK640" s="213"/>
      <c r="EL640" s="213"/>
      <c r="EM640" s="213"/>
      <c r="EN640" s="213"/>
      <c r="EO640" s="213"/>
      <c r="EP640" s="213"/>
      <c r="EQ640" s="213"/>
      <c r="ER640" s="213"/>
      <c r="ES640" s="213"/>
      <c r="ET640" s="213"/>
      <c r="EU640" s="213"/>
      <c r="EV640" s="213"/>
      <c r="EW640" s="213"/>
      <c r="EX640" s="213"/>
      <c r="EY640" s="213"/>
      <c r="EZ640" s="213"/>
      <c r="FA640" s="213"/>
      <c r="FB640" s="213"/>
      <c r="FC640" s="213"/>
      <c r="FD640" s="213"/>
      <c r="FE640" s="213"/>
      <c r="FF640" s="213"/>
      <c r="FG640" s="213"/>
      <c r="FH640" s="213"/>
      <c r="FI640" s="213"/>
      <c r="FJ640" s="213"/>
      <c r="FK640" s="213"/>
      <c r="FL640" s="213"/>
      <c r="FM640" s="213"/>
      <c r="FN640" s="213"/>
      <c r="FO640" s="213"/>
      <c r="FP640" s="213"/>
      <c r="FQ640" s="213"/>
      <c r="FR640" s="213"/>
      <c r="FS640" s="213"/>
      <c r="FT640" s="213"/>
      <c r="FU640" s="213"/>
      <c r="FV640" s="213"/>
      <c r="FW640" s="213"/>
      <c r="FX640" s="213"/>
      <c r="FY640" s="213"/>
      <c r="FZ640" s="213"/>
      <c r="GA640" s="213"/>
      <c r="GB640" s="213"/>
      <c r="GC640" s="213"/>
      <c r="GD640" s="213"/>
      <c r="GE640" s="213"/>
      <c r="GF640" s="213"/>
      <c r="GG640" s="213"/>
      <c r="GH640" s="213"/>
      <c r="GI640" s="213"/>
      <c r="GJ640" s="213"/>
      <c r="GK640" s="213"/>
      <c r="GL640" s="213"/>
      <c r="GM640" s="213"/>
      <c r="GN640" s="213"/>
      <c r="GO640" s="213"/>
      <c r="GP640" s="213"/>
      <c r="GQ640" s="213"/>
      <c r="GR640" s="213"/>
      <c r="GS640" s="213"/>
      <c r="GT640" s="213"/>
      <c r="GU640" s="213"/>
      <c r="GV640" s="213"/>
      <c r="GW640" s="213"/>
      <c r="GX640" s="213"/>
      <c r="GY640" s="213"/>
      <c r="GZ640" s="213"/>
      <c r="HA640" s="213"/>
      <c r="HB640" s="213"/>
      <c r="HC640" s="213"/>
      <c r="HD640" s="213"/>
      <c r="HE640" s="213"/>
      <c r="HF640" s="213"/>
      <c r="HG640" s="213"/>
      <c r="HH640" s="213"/>
      <c r="HI640" s="213"/>
      <c r="HJ640" s="213"/>
      <c r="HK640" s="213"/>
      <c r="HL640" s="213"/>
      <c r="HM640" s="213"/>
      <c r="HN640" s="213"/>
      <c r="HO640" s="213"/>
      <c r="HP640" s="213"/>
      <c r="HQ640" s="213"/>
      <c r="HR640" s="213"/>
      <c r="HS640" s="213"/>
      <c r="HT640" s="213"/>
      <c r="HU640" s="213"/>
      <c r="HV640" s="213"/>
      <c r="HW640" s="213"/>
      <c r="HX640" s="213"/>
      <c r="HY640" s="213"/>
      <c r="HZ640" s="213"/>
      <c r="IA640" s="213"/>
      <c r="IB640" s="213"/>
      <c r="IC640" s="213"/>
      <c r="ID640" s="213"/>
      <c r="IE640" s="213"/>
      <c r="IF640" s="213"/>
      <c r="IG640" s="213"/>
      <c r="IH640" s="213"/>
      <c r="II640" s="213"/>
      <c r="IJ640" s="213"/>
      <c r="IK640" s="213"/>
      <c r="IL640" s="213"/>
      <c r="IM640" s="213"/>
      <c r="IN640" s="213"/>
      <c r="IO640" s="213"/>
      <c r="IP640" s="213"/>
      <c r="IQ640" s="213"/>
      <c r="IR640" s="213"/>
      <c r="IS640" s="213"/>
      <c r="IT640" s="213"/>
      <c r="IU640" s="213"/>
      <c r="IV640" s="213"/>
    </row>
    <row r="641" spans="1:256" s="883" customFormat="1" ht="54" customHeight="1">
      <c r="A641" s="2823"/>
      <c r="B641" s="2824"/>
      <c r="C641" s="2825"/>
      <c r="D641" s="2820" t="s">
        <v>4803</v>
      </c>
      <c r="E641" s="2820"/>
      <c r="F641" s="2826">
        <f>((6.204+0.36+3.024)+(1.176+2.376+7.488+6.264+8.976+7.5+26.496+4.332+1.122+4.896+1.734+1.026+15.648+2.232)+(3.978+11.778+7.98+4.914+15.048+12.096+1.5+3.402+16.416+24+0.96+1.344+5.412+3.078+2.592))*((0.05+0.3)+(0.05))</f>
        <v>86.140799999999984</v>
      </c>
      <c r="G641" s="294"/>
      <c r="H641" s="2822"/>
      <c r="I641" s="2827"/>
      <c r="U641" s="2714"/>
    </row>
    <row r="642" spans="1:256" s="883" customFormat="1" ht="13.5" customHeight="1">
      <c r="A642" s="2829" t="s">
        <v>4804</v>
      </c>
      <c r="B642" s="2816"/>
      <c r="C642" s="777">
        <v>167151111</v>
      </c>
      <c r="D642" s="2820" t="s">
        <v>188</v>
      </c>
      <c r="E642" s="2830" t="s">
        <v>146</v>
      </c>
      <c r="F642" s="2826">
        <f>F638</f>
        <v>129.21100000000001</v>
      </c>
      <c r="G642" s="295"/>
      <c r="H642" s="2710">
        <f t="shared" ref="H642:H645" si="17">ROUND(F642*G642,2)</f>
        <v>0</v>
      </c>
      <c r="I642" s="781" t="s">
        <v>137</v>
      </c>
      <c r="J642" s="2818"/>
      <c r="K642" s="2819"/>
      <c r="L642" s="2819"/>
      <c r="M642" s="2818"/>
      <c r="N642" s="1644"/>
      <c r="O642" s="612"/>
      <c r="P642" s="612"/>
      <c r="Q642" s="612"/>
      <c r="R642" s="612"/>
      <c r="S642" s="788"/>
      <c r="V642" s="612"/>
    </row>
    <row r="643" spans="1:256" s="883" customFormat="1" ht="13.5" customHeight="1">
      <c r="A643" s="2831" t="s">
        <v>4805</v>
      </c>
      <c r="B643" s="2816"/>
      <c r="C643" s="777">
        <v>167151102</v>
      </c>
      <c r="D643" s="2820" t="s">
        <v>4789</v>
      </c>
      <c r="E643" s="2820" t="s">
        <v>146</v>
      </c>
      <c r="F643" s="2826">
        <f>F640</f>
        <v>86.141000000000005</v>
      </c>
      <c r="G643" s="295"/>
      <c r="H643" s="2710">
        <f t="shared" si="17"/>
        <v>0</v>
      </c>
      <c r="I643" s="781" t="s">
        <v>137</v>
      </c>
      <c r="J643" s="783"/>
      <c r="K643" s="783"/>
      <c r="L643" s="2832"/>
      <c r="M643" s="2832"/>
      <c r="N643" s="2832"/>
      <c r="Q643" s="2832"/>
      <c r="V643" s="2713"/>
    </row>
    <row r="644" spans="1:256" s="883" customFormat="1" ht="27" customHeight="1">
      <c r="A644" s="2829" t="s">
        <v>4806</v>
      </c>
      <c r="B644" s="2816"/>
      <c r="C644" s="777">
        <v>162351103</v>
      </c>
      <c r="D644" s="2820" t="s">
        <v>4791</v>
      </c>
      <c r="E644" s="2830" t="s">
        <v>146</v>
      </c>
      <c r="F644" s="2826">
        <f>F638</f>
        <v>129.21100000000001</v>
      </c>
      <c r="G644" s="295"/>
      <c r="H644" s="2710">
        <f t="shared" si="17"/>
        <v>0</v>
      </c>
      <c r="I644" s="781" t="s">
        <v>137</v>
      </c>
      <c r="J644" s="2818"/>
      <c r="K644" s="2819"/>
      <c r="L644" s="2819"/>
      <c r="M644" s="2818"/>
      <c r="N644" s="1644"/>
      <c r="O644" s="2596"/>
    </row>
    <row r="645" spans="1:256" s="883" customFormat="1" ht="27" customHeight="1">
      <c r="A645" s="2831" t="s">
        <v>4807</v>
      </c>
      <c r="B645" s="2816"/>
      <c r="C645" s="777">
        <v>162351123</v>
      </c>
      <c r="D645" s="2820" t="s">
        <v>4793</v>
      </c>
      <c r="E645" s="2820" t="s">
        <v>146</v>
      </c>
      <c r="F645" s="2826">
        <f>F640</f>
        <v>86.141000000000005</v>
      </c>
      <c r="G645" s="295"/>
      <c r="H645" s="2710">
        <f t="shared" si="17"/>
        <v>0</v>
      </c>
      <c r="I645" s="781" t="s">
        <v>137</v>
      </c>
      <c r="J645" s="783"/>
      <c r="K645" s="783"/>
      <c r="L645" s="2832"/>
      <c r="M645" s="2832"/>
      <c r="N645" s="2832"/>
      <c r="Q645" s="2832"/>
      <c r="V645" s="2714"/>
    </row>
    <row r="646" spans="1:256" s="883" customFormat="1" ht="27" customHeight="1">
      <c r="A646" s="2829"/>
      <c r="B646" s="2816"/>
      <c r="C646" s="2816"/>
      <c r="D646" s="2717" t="s">
        <v>4808</v>
      </c>
      <c r="E646" s="2830"/>
      <c r="F646" s="2826"/>
      <c r="G646" s="297"/>
      <c r="H646" s="2833"/>
      <c r="I646" s="781"/>
      <c r="J646" s="2818"/>
      <c r="K646" s="2819"/>
      <c r="L646" s="2819"/>
      <c r="M646" s="2818"/>
      <c r="N646" s="1644"/>
    </row>
    <row r="647" spans="1:256" s="796" customFormat="1" ht="27" customHeight="1">
      <c r="A647" s="1015">
        <v>25</v>
      </c>
      <c r="B647" s="1016" t="s">
        <v>135</v>
      </c>
      <c r="C647" s="1648" t="s">
        <v>180</v>
      </c>
      <c r="D647" s="1648" t="s">
        <v>6330</v>
      </c>
      <c r="E647" s="1648" t="s">
        <v>146</v>
      </c>
      <c r="F647" s="2659">
        <f>ROUND(SUM(F649,F652),3)</f>
        <v>333.488</v>
      </c>
      <c r="G647" s="2718">
        <f>ROUND(SUM(H655:H660)/F647,2)</f>
        <v>0</v>
      </c>
      <c r="H647" s="568">
        <f>ROUND(F647*G647,2)</f>
        <v>0</v>
      </c>
      <c r="I647" s="2719" t="s">
        <v>111</v>
      </c>
      <c r="J647" s="2720"/>
      <c r="L647" s="797"/>
      <c r="M647" s="797"/>
      <c r="N647" s="797"/>
      <c r="O647" s="797"/>
      <c r="P647" s="797"/>
      <c r="Q647" s="797"/>
      <c r="R647" s="797"/>
      <c r="S647" s="797"/>
      <c r="V647" s="797"/>
      <c r="W647" s="797"/>
      <c r="X647" s="797"/>
      <c r="Y647" s="797"/>
      <c r="Z647" s="797"/>
      <c r="AA647" s="797"/>
      <c r="AB647" s="797"/>
      <c r="AC647" s="797"/>
      <c r="AD647" s="797"/>
      <c r="AE647" s="797"/>
      <c r="AF647" s="797"/>
      <c r="AG647" s="797"/>
      <c r="AH647" s="797"/>
      <c r="AI647" s="797"/>
      <c r="AJ647" s="797"/>
      <c r="AK647" s="797"/>
      <c r="AL647" s="797"/>
      <c r="AM647" s="797"/>
      <c r="AN647" s="797"/>
      <c r="AO647" s="797"/>
      <c r="AP647" s="797"/>
      <c r="AQ647" s="797"/>
      <c r="AR647" s="797"/>
      <c r="AS647" s="797"/>
      <c r="AT647" s="797"/>
      <c r="AU647" s="797"/>
      <c r="AV647" s="797"/>
      <c r="AW647" s="797"/>
      <c r="AX647" s="797"/>
      <c r="AY647" s="797"/>
      <c r="AZ647" s="797"/>
      <c r="BA647" s="797"/>
      <c r="BB647" s="797"/>
      <c r="BC647" s="797"/>
      <c r="BD647" s="797"/>
      <c r="BE647" s="797"/>
      <c r="BF647" s="797"/>
      <c r="BG647" s="797"/>
      <c r="BH647" s="797"/>
      <c r="BI647" s="797"/>
      <c r="BJ647" s="797"/>
      <c r="BK647" s="797"/>
      <c r="BL647" s="797"/>
      <c r="BM647" s="797"/>
      <c r="BN647" s="797"/>
      <c r="BO647" s="797"/>
      <c r="BP647" s="797"/>
      <c r="BQ647" s="797"/>
      <c r="BR647" s="797"/>
      <c r="BS647" s="797"/>
      <c r="BT647" s="797"/>
      <c r="BU647" s="797"/>
      <c r="BV647" s="797"/>
      <c r="BW647" s="797"/>
      <c r="BX647" s="797"/>
      <c r="BY647" s="797"/>
      <c r="BZ647" s="797"/>
      <c r="CA647" s="797"/>
      <c r="CB647" s="797"/>
      <c r="CC647" s="797"/>
      <c r="CD647" s="797"/>
      <c r="CE647" s="797"/>
      <c r="CF647" s="797"/>
      <c r="CG647" s="797"/>
      <c r="CH647" s="797"/>
      <c r="CI647" s="797"/>
      <c r="CJ647" s="797"/>
      <c r="CK647" s="797"/>
      <c r="CL647" s="797"/>
      <c r="CM647" s="797"/>
      <c r="CN647" s="797"/>
      <c r="CO647" s="797"/>
      <c r="CP647" s="797"/>
      <c r="CQ647" s="797"/>
      <c r="CR647" s="797"/>
      <c r="CS647" s="797"/>
      <c r="CT647" s="797"/>
      <c r="CU647" s="797"/>
      <c r="CV647" s="797"/>
      <c r="CW647" s="797"/>
      <c r="CX647" s="797"/>
      <c r="CY647" s="797"/>
      <c r="CZ647" s="797"/>
      <c r="DA647" s="797"/>
      <c r="DB647" s="797"/>
      <c r="DC647" s="797"/>
      <c r="DD647" s="797"/>
      <c r="DE647" s="797"/>
      <c r="DF647" s="797"/>
      <c r="DG647" s="797"/>
      <c r="DH647" s="797"/>
      <c r="DI647" s="797"/>
      <c r="DJ647" s="797"/>
      <c r="DK647" s="797"/>
      <c r="DL647" s="797"/>
      <c r="DM647" s="797"/>
      <c r="DN647" s="797"/>
      <c r="DO647" s="797"/>
      <c r="DP647" s="797"/>
      <c r="DQ647" s="797"/>
      <c r="DR647" s="797"/>
      <c r="DS647" s="797"/>
      <c r="DT647" s="797"/>
      <c r="DU647" s="797"/>
      <c r="DV647" s="797"/>
      <c r="DW647" s="797"/>
      <c r="DX647" s="797"/>
      <c r="DY647" s="797"/>
      <c r="DZ647" s="797"/>
      <c r="EA647" s="797"/>
      <c r="EB647" s="797"/>
      <c r="EC647" s="797"/>
      <c r="ED647" s="797"/>
      <c r="EE647" s="797"/>
      <c r="EF647" s="797"/>
      <c r="EG647" s="797"/>
      <c r="EH647" s="797"/>
      <c r="EI647" s="797"/>
      <c r="EJ647" s="797"/>
      <c r="EK647" s="797"/>
      <c r="EL647" s="797"/>
      <c r="EM647" s="797"/>
      <c r="EN647" s="797"/>
      <c r="EO647" s="797"/>
      <c r="EP647" s="797"/>
      <c r="EQ647" s="797"/>
      <c r="ER647" s="797"/>
      <c r="ES647" s="797"/>
      <c r="ET647" s="797"/>
      <c r="EU647" s="797"/>
      <c r="EV647" s="797"/>
      <c r="EW647" s="797"/>
      <c r="EX647" s="797"/>
      <c r="EY647" s="797"/>
      <c r="EZ647" s="797"/>
      <c r="FA647" s="797"/>
      <c r="FB647" s="797"/>
      <c r="FC647" s="797"/>
      <c r="FD647" s="797"/>
      <c r="FE647" s="797"/>
      <c r="FF647" s="797"/>
      <c r="FG647" s="797"/>
      <c r="FH647" s="797"/>
      <c r="FI647" s="797"/>
      <c r="FJ647" s="797"/>
      <c r="FK647" s="797"/>
      <c r="FL647" s="797"/>
      <c r="FM647" s="797"/>
      <c r="FN647" s="797"/>
      <c r="FO647" s="797"/>
      <c r="FP647" s="797"/>
      <c r="FQ647" s="797"/>
      <c r="FR647" s="797"/>
      <c r="FS647" s="797"/>
      <c r="FT647" s="797"/>
      <c r="FU647" s="797"/>
      <c r="FV647" s="797"/>
      <c r="FW647" s="797"/>
      <c r="FX647" s="797"/>
      <c r="FY647" s="797"/>
      <c r="FZ647" s="797"/>
      <c r="GA647" s="797"/>
      <c r="GB647" s="797"/>
      <c r="GC647" s="797"/>
      <c r="GD647" s="797"/>
      <c r="GE647" s="797"/>
      <c r="GF647" s="797"/>
      <c r="GG647" s="797"/>
      <c r="GH647" s="797"/>
      <c r="GI647" s="797"/>
      <c r="GJ647" s="797"/>
      <c r="GK647" s="797"/>
      <c r="GL647" s="797"/>
      <c r="GM647" s="797"/>
      <c r="GN647" s="797"/>
      <c r="GO647" s="797"/>
      <c r="GP647" s="797"/>
      <c r="GQ647" s="797"/>
      <c r="GR647" s="797"/>
      <c r="GS647" s="797"/>
      <c r="GT647" s="797"/>
      <c r="GU647" s="797"/>
      <c r="GV647" s="797"/>
      <c r="GW647" s="797"/>
      <c r="GX647" s="797"/>
      <c r="GY647" s="797"/>
      <c r="GZ647" s="797"/>
      <c r="HA647" s="797"/>
      <c r="HB647" s="797"/>
      <c r="HC647" s="797"/>
      <c r="HD647" s="797"/>
      <c r="HE647" s="797"/>
      <c r="HF647" s="797"/>
      <c r="HG647" s="797"/>
      <c r="HH647" s="797"/>
      <c r="HI647" s="797"/>
      <c r="HJ647" s="797"/>
      <c r="HK647" s="797"/>
      <c r="HL647" s="797"/>
      <c r="HM647" s="797"/>
      <c r="HN647" s="797"/>
      <c r="HO647" s="797"/>
      <c r="HP647" s="797"/>
      <c r="HQ647" s="797"/>
      <c r="HR647" s="797"/>
      <c r="HS647" s="797"/>
      <c r="HT647" s="797"/>
      <c r="HU647" s="797"/>
      <c r="HV647" s="797"/>
      <c r="HW647" s="797"/>
      <c r="HX647" s="797"/>
      <c r="HY647" s="797"/>
      <c r="HZ647" s="797"/>
      <c r="IA647" s="797"/>
      <c r="IB647" s="797"/>
      <c r="IC647" s="797"/>
      <c r="ID647" s="797"/>
      <c r="IE647" s="797"/>
      <c r="IF647" s="797"/>
      <c r="IG647" s="797"/>
      <c r="IH647" s="797"/>
      <c r="II647" s="797"/>
      <c r="IJ647" s="797"/>
      <c r="IK647" s="797"/>
      <c r="IL647" s="797"/>
      <c r="IM647" s="797"/>
      <c r="IN647" s="797"/>
      <c r="IO647" s="797"/>
      <c r="IP647" s="797"/>
      <c r="IQ647" s="797"/>
      <c r="IR647" s="797"/>
      <c r="IS647" s="797"/>
      <c r="IT647" s="797"/>
      <c r="IU647" s="797"/>
      <c r="IV647" s="797"/>
    </row>
    <row r="648" spans="1:256" s="796" customFormat="1" ht="13.5" customHeight="1">
      <c r="A648" s="1015"/>
      <c r="B648" s="1016"/>
      <c r="C648" s="1648"/>
      <c r="D648" s="1036" t="s">
        <v>4809</v>
      </c>
      <c r="E648" s="1648"/>
      <c r="F648" s="1649"/>
      <c r="G648" s="298"/>
      <c r="H648" s="1038"/>
      <c r="I648" s="1019"/>
      <c r="J648" s="1650"/>
      <c r="L648" s="797"/>
      <c r="M648" s="797"/>
      <c r="N648" s="797"/>
      <c r="O648" s="797"/>
      <c r="P648" s="797"/>
      <c r="Q648" s="797"/>
      <c r="R648" s="797"/>
      <c r="S648" s="797"/>
      <c r="V648" s="797"/>
      <c r="W648" s="797"/>
      <c r="X648" s="797"/>
      <c r="Y648" s="797"/>
      <c r="Z648" s="797"/>
      <c r="AA648" s="797"/>
      <c r="AB648" s="797"/>
      <c r="AC648" s="797"/>
      <c r="AD648" s="797"/>
      <c r="AE648" s="797"/>
      <c r="AF648" s="797"/>
      <c r="AG648" s="797"/>
      <c r="AH648" s="797"/>
      <c r="AI648" s="797"/>
      <c r="AJ648" s="797"/>
      <c r="AK648" s="797"/>
      <c r="AL648" s="797"/>
      <c r="AM648" s="797"/>
      <c r="AN648" s="797"/>
      <c r="AO648" s="797"/>
      <c r="AP648" s="797"/>
      <c r="AQ648" s="797"/>
      <c r="AR648" s="797"/>
      <c r="AS648" s="797"/>
      <c r="AT648" s="797"/>
      <c r="AU648" s="797"/>
      <c r="AV648" s="797"/>
      <c r="AW648" s="797"/>
      <c r="AX648" s="797"/>
      <c r="AY648" s="797"/>
      <c r="AZ648" s="797"/>
      <c r="BA648" s="797"/>
      <c r="BB648" s="797"/>
      <c r="BC648" s="797"/>
      <c r="BD648" s="797"/>
      <c r="BE648" s="797"/>
      <c r="BF648" s="797"/>
      <c r="BG648" s="797"/>
      <c r="BH648" s="797"/>
      <c r="BI648" s="797"/>
      <c r="BJ648" s="797"/>
      <c r="BK648" s="797"/>
      <c r="BL648" s="797"/>
      <c r="BM648" s="797"/>
      <c r="BN648" s="797"/>
      <c r="BO648" s="797"/>
      <c r="BP648" s="797"/>
      <c r="BQ648" s="797"/>
      <c r="BR648" s="797"/>
      <c r="BS648" s="797"/>
      <c r="BT648" s="797"/>
      <c r="BU648" s="797"/>
      <c r="BV648" s="797"/>
      <c r="BW648" s="797"/>
      <c r="BX648" s="797"/>
      <c r="BY648" s="797"/>
      <c r="BZ648" s="797"/>
      <c r="CA648" s="797"/>
      <c r="CB648" s="797"/>
      <c r="CC648" s="797"/>
      <c r="CD648" s="797"/>
      <c r="CE648" s="797"/>
      <c r="CF648" s="797"/>
      <c r="CG648" s="797"/>
      <c r="CH648" s="797"/>
      <c r="CI648" s="797"/>
      <c r="CJ648" s="797"/>
      <c r="CK648" s="797"/>
      <c r="CL648" s="797"/>
      <c r="CM648" s="797"/>
      <c r="CN648" s="797"/>
      <c r="CO648" s="797"/>
      <c r="CP648" s="797"/>
      <c r="CQ648" s="797"/>
      <c r="CR648" s="797"/>
      <c r="CS648" s="797"/>
      <c r="CT648" s="797"/>
      <c r="CU648" s="797"/>
      <c r="CV648" s="797"/>
      <c r="CW648" s="797"/>
      <c r="CX648" s="797"/>
      <c r="CY648" s="797"/>
      <c r="CZ648" s="797"/>
      <c r="DA648" s="797"/>
      <c r="DB648" s="797"/>
      <c r="DC648" s="797"/>
      <c r="DD648" s="797"/>
      <c r="DE648" s="797"/>
      <c r="DF648" s="797"/>
      <c r="DG648" s="797"/>
      <c r="DH648" s="797"/>
      <c r="DI648" s="797"/>
      <c r="DJ648" s="797"/>
      <c r="DK648" s="797"/>
      <c r="DL648" s="797"/>
      <c r="DM648" s="797"/>
      <c r="DN648" s="797"/>
      <c r="DO648" s="797"/>
      <c r="DP648" s="797"/>
      <c r="DQ648" s="797"/>
      <c r="DR648" s="797"/>
      <c r="DS648" s="797"/>
      <c r="DT648" s="797"/>
      <c r="DU648" s="797"/>
      <c r="DV648" s="797"/>
      <c r="DW648" s="797"/>
      <c r="DX648" s="797"/>
      <c r="DY648" s="797"/>
      <c r="DZ648" s="797"/>
      <c r="EA648" s="797"/>
      <c r="EB648" s="797"/>
      <c r="EC648" s="797"/>
      <c r="ED648" s="797"/>
      <c r="EE648" s="797"/>
      <c r="EF648" s="797"/>
      <c r="EG648" s="797"/>
      <c r="EH648" s="797"/>
      <c r="EI648" s="797"/>
      <c r="EJ648" s="797"/>
      <c r="EK648" s="797"/>
      <c r="EL648" s="797"/>
      <c r="EM648" s="797"/>
      <c r="EN648" s="797"/>
      <c r="EO648" s="797"/>
      <c r="EP648" s="797"/>
      <c r="EQ648" s="797"/>
      <c r="ER648" s="797"/>
      <c r="ES648" s="797"/>
      <c r="ET648" s="797"/>
      <c r="EU648" s="797"/>
      <c r="EV648" s="797"/>
      <c r="EW648" s="797"/>
      <c r="EX648" s="797"/>
      <c r="EY648" s="797"/>
      <c r="EZ648" s="797"/>
      <c r="FA648" s="797"/>
      <c r="FB648" s="797"/>
      <c r="FC648" s="797"/>
      <c r="FD648" s="797"/>
      <c r="FE648" s="797"/>
      <c r="FF648" s="797"/>
      <c r="FG648" s="797"/>
      <c r="FH648" s="797"/>
      <c r="FI648" s="797"/>
      <c r="FJ648" s="797"/>
      <c r="FK648" s="797"/>
      <c r="FL648" s="797"/>
      <c r="FM648" s="797"/>
      <c r="FN648" s="797"/>
      <c r="FO648" s="797"/>
      <c r="FP648" s="797"/>
      <c r="FQ648" s="797"/>
      <c r="FR648" s="797"/>
      <c r="FS648" s="797"/>
      <c r="FT648" s="797"/>
      <c r="FU648" s="797"/>
      <c r="FV648" s="797"/>
      <c r="FW648" s="797"/>
      <c r="FX648" s="797"/>
      <c r="FY648" s="797"/>
      <c r="FZ648" s="797"/>
      <c r="GA648" s="797"/>
      <c r="GB648" s="797"/>
      <c r="GC648" s="797"/>
      <c r="GD648" s="797"/>
      <c r="GE648" s="797"/>
      <c r="GF648" s="797"/>
      <c r="GG648" s="797"/>
      <c r="GH648" s="797"/>
      <c r="GI648" s="797"/>
      <c r="GJ648" s="797"/>
      <c r="GK648" s="797"/>
      <c r="GL648" s="797"/>
      <c r="GM648" s="797"/>
      <c r="GN648" s="797"/>
      <c r="GO648" s="797"/>
      <c r="GP648" s="797"/>
      <c r="GQ648" s="797"/>
      <c r="GR648" s="797"/>
      <c r="GS648" s="797"/>
      <c r="GT648" s="797"/>
      <c r="GU648" s="797"/>
      <c r="GV648" s="797"/>
      <c r="GW648" s="797"/>
      <c r="GX648" s="797"/>
      <c r="GY648" s="797"/>
      <c r="GZ648" s="797"/>
      <c r="HA648" s="797"/>
      <c r="HB648" s="797"/>
      <c r="HC648" s="797"/>
      <c r="HD648" s="797"/>
      <c r="HE648" s="797"/>
      <c r="HF648" s="797"/>
      <c r="HG648" s="797"/>
      <c r="HH648" s="797"/>
      <c r="HI648" s="797"/>
      <c r="HJ648" s="797"/>
      <c r="HK648" s="797"/>
      <c r="HL648" s="797"/>
      <c r="HM648" s="797"/>
      <c r="HN648" s="797"/>
      <c r="HO648" s="797"/>
      <c r="HP648" s="797"/>
      <c r="HQ648" s="797"/>
      <c r="HR648" s="797"/>
      <c r="HS648" s="797"/>
      <c r="HT648" s="797"/>
      <c r="HU648" s="797"/>
      <c r="HV648" s="797"/>
      <c r="HW648" s="797"/>
      <c r="HX648" s="797"/>
      <c r="HY648" s="797"/>
      <c r="HZ648" s="797"/>
      <c r="IA648" s="797"/>
      <c r="IB648" s="797"/>
      <c r="IC648" s="797"/>
      <c r="ID648" s="797"/>
      <c r="IE648" s="797"/>
      <c r="IF648" s="797"/>
      <c r="IG648" s="797"/>
      <c r="IH648" s="797"/>
      <c r="II648" s="797"/>
      <c r="IJ648" s="797"/>
      <c r="IK648" s="797"/>
      <c r="IL648" s="797"/>
      <c r="IM648" s="797"/>
      <c r="IN648" s="797"/>
      <c r="IO648" s="797"/>
      <c r="IP648" s="797"/>
      <c r="IQ648" s="797"/>
      <c r="IR648" s="797"/>
      <c r="IS648" s="797"/>
      <c r="IT648" s="797"/>
      <c r="IU648" s="797"/>
      <c r="IV648" s="797"/>
    </row>
    <row r="649" spans="1:256" s="1587" customFormat="1" ht="13.5" customHeight="1">
      <c r="A649" s="2721"/>
      <c r="B649" s="2722"/>
      <c r="C649" s="799"/>
      <c r="D649" s="756" t="s">
        <v>182</v>
      </c>
      <c r="E649" s="2723"/>
      <c r="F649" s="758">
        <f>ROUND(SUM(F650:F651),3)</f>
        <v>200.09299999999999</v>
      </c>
      <c r="G649" s="299"/>
      <c r="H649" s="2724"/>
      <c r="I649" s="2725"/>
      <c r="J649" s="2726"/>
      <c r="L649" s="1588"/>
      <c r="M649" s="1588"/>
      <c r="N649" s="1588"/>
      <c r="O649" s="1588"/>
      <c r="P649" s="1588"/>
      <c r="Q649" s="1588"/>
      <c r="R649" s="1588"/>
      <c r="S649" s="1588"/>
      <c r="V649" s="1588"/>
      <c r="W649" s="1588"/>
      <c r="X649" s="1588"/>
      <c r="Y649" s="1588"/>
      <c r="Z649" s="1588"/>
      <c r="AA649" s="1588"/>
      <c r="AB649" s="1588"/>
      <c r="AC649" s="1588"/>
      <c r="AD649" s="1588"/>
      <c r="AE649" s="1588"/>
      <c r="AF649" s="1588"/>
      <c r="AG649" s="1588"/>
      <c r="AH649" s="1588"/>
      <c r="AI649" s="1588"/>
      <c r="AJ649" s="1588"/>
      <c r="AK649" s="1588"/>
      <c r="AL649" s="1588"/>
      <c r="AM649" s="1588"/>
      <c r="AN649" s="1588"/>
      <c r="AO649" s="1588"/>
      <c r="AP649" s="1588"/>
      <c r="AQ649" s="1588"/>
      <c r="AR649" s="1588"/>
      <c r="AS649" s="1588"/>
      <c r="AT649" s="1588"/>
      <c r="AU649" s="1588"/>
      <c r="AV649" s="1588"/>
      <c r="AW649" s="1588"/>
      <c r="AX649" s="1588"/>
      <c r="AY649" s="1588"/>
      <c r="AZ649" s="1588"/>
      <c r="BA649" s="1588"/>
      <c r="BB649" s="1588"/>
      <c r="BC649" s="1588"/>
      <c r="BD649" s="1588"/>
      <c r="BE649" s="1588"/>
      <c r="BF649" s="1588"/>
      <c r="BG649" s="1588"/>
      <c r="BH649" s="1588"/>
      <c r="BI649" s="1588"/>
      <c r="BJ649" s="1588"/>
      <c r="BK649" s="1588"/>
      <c r="BL649" s="1588"/>
      <c r="BM649" s="1588"/>
      <c r="BN649" s="1588"/>
      <c r="BO649" s="1588"/>
      <c r="BP649" s="1588"/>
      <c r="BQ649" s="1588"/>
      <c r="BR649" s="1588"/>
      <c r="BS649" s="1588"/>
      <c r="BT649" s="1588"/>
      <c r="BU649" s="1588"/>
      <c r="BV649" s="1588"/>
      <c r="BW649" s="1588"/>
      <c r="BX649" s="1588"/>
      <c r="BY649" s="1588"/>
      <c r="BZ649" s="1588"/>
      <c r="CA649" s="1588"/>
      <c r="CB649" s="1588"/>
      <c r="CC649" s="1588"/>
      <c r="CD649" s="1588"/>
      <c r="CE649" s="1588"/>
      <c r="CF649" s="1588"/>
      <c r="CG649" s="1588"/>
      <c r="CH649" s="1588"/>
      <c r="CI649" s="1588"/>
      <c r="CJ649" s="1588"/>
      <c r="CK649" s="1588"/>
      <c r="CL649" s="1588"/>
      <c r="CM649" s="1588"/>
      <c r="CN649" s="1588"/>
      <c r="CO649" s="1588"/>
      <c r="CP649" s="1588"/>
      <c r="CQ649" s="1588"/>
      <c r="CR649" s="1588"/>
      <c r="CS649" s="1588"/>
      <c r="CT649" s="1588"/>
      <c r="CU649" s="1588"/>
      <c r="CV649" s="1588"/>
      <c r="CW649" s="1588"/>
      <c r="CX649" s="1588"/>
      <c r="CY649" s="1588"/>
      <c r="CZ649" s="1588"/>
      <c r="DA649" s="1588"/>
      <c r="DB649" s="1588"/>
      <c r="DC649" s="1588"/>
      <c r="DD649" s="1588"/>
      <c r="DE649" s="1588"/>
      <c r="DF649" s="1588"/>
      <c r="DG649" s="1588"/>
      <c r="DH649" s="1588"/>
      <c r="DI649" s="1588"/>
      <c r="DJ649" s="1588"/>
      <c r="DK649" s="1588"/>
      <c r="DL649" s="1588"/>
      <c r="DM649" s="1588"/>
      <c r="DN649" s="1588"/>
      <c r="DO649" s="1588"/>
      <c r="DP649" s="1588"/>
      <c r="DQ649" s="1588"/>
      <c r="DR649" s="1588"/>
      <c r="DS649" s="1588"/>
      <c r="DT649" s="1588"/>
      <c r="DU649" s="1588"/>
      <c r="DV649" s="1588"/>
      <c r="DW649" s="1588"/>
      <c r="DX649" s="1588"/>
      <c r="DY649" s="1588"/>
      <c r="DZ649" s="1588"/>
      <c r="EA649" s="1588"/>
      <c r="EB649" s="1588"/>
      <c r="EC649" s="1588"/>
      <c r="ED649" s="1588"/>
      <c r="EE649" s="1588"/>
      <c r="EF649" s="1588"/>
      <c r="EG649" s="1588"/>
      <c r="EH649" s="1588"/>
      <c r="EI649" s="1588"/>
      <c r="EJ649" s="1588"/>
      <c r="EK649" s="1588"/>
      <c r="EL649" s="1588"/>
      <c r="EM649" s="1588"/>
      <c r="EN649" s="1588"/>
      <c r="EO649" s="1588"/>
      <c r="EP649" s="1588"/>
      <c r="EQ649" s="1588"/>
      <c r="ER649" s="1588"/>
      <c r="ES649" s="1588"/>
      <c r="ET649" s="1588"/>
      <c r="EU649" s="1588"/>
      <c r="EV649" s="1588"/>
      <c r="EW649" s="1588"/>
      <c r="EX649" s="1588"/>
      <c r="EY649" s="1588"/>
      <c r="EZ649" s="1588"/>
      <c r="FA649" s="1588"/>
      <c r="FB649" s="1588"/>
      <c r="FC649" s="1588"/>
      <c r="FD649" s="1588"/>
      <c r="FE649" s="1588"/>
      <c r="FF649" s="1588"/>
      <c r="FG649" s="1588"/>
      <c r="FH649" s="1588"/>
      <c r="FI649" s="1588"/>
      <c r="FJ649" s="1588"/>
      <c r="FK649" s="1588"/>
      <c r="FL649" s="1588"/>
      <c r="FM649" s="1588"/>
      <c r="FN649" s="1588"/>
      <c r="FO649" s="1588"/>
      <c r="FP649" s="1588"/>
      <c r="FQ649" s="1588"/>
      <c r="FR649" s="1588"/>
      <c r="FS649" s="1588"/>
      <c r="FT649" s="1588"/>
      <c r="FU649" s="1588"/>
      <c r="FV649" s="1588"/>
      <c r="FW649" s="1588"/>
      <c r="FX649" s="1588"/>
      <c r="FY649" s="1588"/>
      <c r="FZ649" s="1588"/>
      <c r="GA649" s="1588"/>
      <c r="GB649" s="1588"/>
      <c r="GC649" s="1588"/>
      <c r="GD649" s="1588"/>
      <c r="GE649" s="1588"/>
      <c r="GF649" s="1588"/>
      <c r="GG649" s="1588"/>
      <c r="GH649" s="1588"/>
      <c r="GI649" s="1588"/>
      <c r="GJ649" s="1588"/>
      <c r="GK649" s="1588"/>
      <c r="GL649" s="1588"/>
      <c r="GM649" s="1588"/>
      <c r="GN649" s="1588"/>
      <c r="GO649" s="1588"/>
      <c r="GP649" s="1588"/>
      <c r="GQ649" s="1588"/>
      <c r="GR649" s="1588"/>
      <c r="GS649" s="1588"/>
      <c r="GT649" s="1588"/>
      <c r="GU649" s="1588"/>
      <c r="GV649" s="1588"/>
      <c r="GW649" s="1588"/>
      <c r="GX649" s="1588"/>
      <c r="GY649" s="1588"/>
      <c r="GZ649" s="1588"/>
      <c r="HA649" s="1588"/>
      <c r="HB649" s="1588"/>
      <c r="HC649" s="1588"/>
      <c r="HD649" s="1588"/>
      <c r="HE649" s="1588"/>
      <c r="HF649" s="1588"/>
      <c r="HG649" s="1588"/>
      <c r="HH649" s="1588"/>
      <c r="HI649" s="1588"/>
      <c r="HJ649" s="1588"/>
      <c r="HK649" s="1588"/>
      <c r="HL649" s="1588"/>
      <c r="HM649" s="1588"/>
      <c r="HN649" s="1588"/>
      <c r="HO649" s="1588"/>
      <c r="HP649" s="1588"/>
      <c r="HQ649" s="1588"/>
      <c r="HR649" s="1588"/>
      <c r="HS649" s="1588"/>
      <c r="HT649" s="1588"/>
      <c r="HU649" s="1588"/>
      <c r="HV649" s="1588"/>
      <c r="HW649" s="1588"/>
      <c r="HX649" s="1588"/>
      <c r="HY649" s="1588"/>
      <c r="HZ649" s="1588"/>
      <c r="IA649" s="1588"/>
      <c r="IB649" s="1588"/>
      <c r="IC649" s="1588"/>
      <c r="ID649" s="1588"/>
      <c r="IE649" s="1588"/>
      <c r="IF649" s="1588"/>
      <c r="IG649" s="1588"/>
      <c r="IH649" s="1588"/>
      <c r="II649" s="1588"/>
      <c r="IJ649" s="1588"/>
      <c r="IK649" s="1588"/>
      <c r="IL649" s="1588"/>
      <c r="IM649" s="1588"/>
      <c r="IN649" s="1588"/>
      <c r="IO649" s="1588"/>
      <c r="IP649" s="1588"/>
      <c r="IQ649" s="1588"/>
      <c r="IR649" s="1588"/>
      <c r="IS649" s="1588"/>
      <c r="IT649" s="1588"/>
      <c r="IU649" s="1588"/>
      <c r="IV649" s="1588"/>
    </row>
    <row r="650" spans="1:256" s="796" customFormat="1" ht="13.5" customHeight="1">
      <c r="A650" s="1033"/>
      <c r="B650" s="1034"/>
      <c r="C650" s="1035"/>
      <c r="D650" s="1036" t="s">
        <v>4810</v>
      </c>
      <c r="E650" s="1036"/>
      <c r="F650" s="2727">
        <f>(54.884+274.42)</f>
        <v>329.30400000000003</v>
      </c>
      <c r="G650" s="298"/>
      <c r="H650" s="1038"/>
      <c r="I650" s="2728"/>
      <c r="J650" s="2729"/>
      <c r="K650" s="2730"/>
      <c r="L650" s="2731"/>
      <c r="M650" s="2731"/>
      <c r="N650" s="2731"/>
      <c r="O650" s="2731"/>
      <c r="P650" s="797"/>
      <c r="Q650" s="797"/>
      <c r="R650" s="797"/>
      <c r="S650" s="797"/>
      <c r="V650" s="797"/>
      <c r="W650" s="797"/>
      <c r="X650" s="797"/>
      <c r="Y650" s="797"/>
      <c r="Z650" s="797"/>
      <c r="AA650" s="797"/>
      <c r="AB650" s="797"/>
      <c r="AC650" s="797"/>
      <c r="AD650" s="797"/>
      <c r="AE650" s="797"/>
      <c r="AF650" s="797"/>
      <c r="AG650" s="797"/>
      <c r="AH650" s="797"/>
      <c r="AI650" s="797"/>
      <c r="AJ650" s="797"/>
      <c r="AK650" s="797"/>
      <c r="AL650" s="797"/>
      <c r="AM650" s="797"/>
      <c r="AN650" s="797"/>
      <c r="AO650" s="797"/>
      <c r="AP650" s="797"/>
      <c r="AQ650" s="797"/>
      <c r="AR650" s="797"/>
      <c r="AS650" s="797"/>
      <c r="AT650" s="797"/>
      <c r="AU650" s="797"/>
      <c r="AV650" s="797"/>
      <c r="AW650" s="797"/>
      <c r="AX650" s="797"/>
      <c r="AY650" s="797"/>
      <c r="AZ650" s="797"/>
      <c r="BA650" s="797"/>
      <c r="BB650" s="797"/>
      <c r="BC650" s="797"/>
      <c r="BD650" s="797"/>
      <c r="BE650" s="797"/>
      <c r="BF650" s="797"/>
      <c r="BG650" s="797"/>
      <c r="BH650" s="797"/>
      <c r="BI650" s="797"/>
      <c r="BJ650" s="797"/>
      <c r="BK650" s="797"/>
      <c r="BL650" s="797"/>
      <c r="BM650" s="797"/>
      <c r="BN650" s="797"/>
      <c r="BO650" s="797"/>
      <c r="BP650" s="797"/>
      <c r="BQ650" s="797"/>
      <c r="BR650" s="797"/>
      <c r="BS650" s="797"/>
      <c r="BT650" s="797"/>
      <c r="BU650" s="797"/>
      <c r="BV650" s="797"/>
      <c r="BW650" s="797"/>
      <c r="BX650" s="797"/>
      <c r="BY650" s="797"/>
      <c r="BZ650" s="797"/>
      <c r="CA650" s="797"/>
      <c r="CB650" s="797"/>
      <c r="CC650" s="797"/>
      <c r="CD650" s="797"/>
      <c r="CE650" s="797"/>
      <c r="CF650" s="797"/>
      <c r="CG650" s="797"/>
      <c r="CH650" s="797"/>
      <c r="CI650" s="797"/>
      <c r="CJ650" s="797"/>
      <c r="CK650" s="797"/>
      <c r="CL650" s="797"/>
      <c r="CM650" s="797"/>
      <c r="CN650" s="797"/>
      <c r="CO650" s="797"/>
      <c r="CP650" s="797"/>
      <c r="CQ650" s="797"/>
      <c r="CR650" s="797"/>
      <c r="CS650" s="797"/>
      <c r="CT650" s="797"/>
      <c r="CU650" s="797"/>
      <c r="CV650" s="797"/>
      <c r="CW650" s="797"/>
      <c r="CX650" s="797"/>
      <c r="CY650" s="797"/>
      <c r="CZ650" s="797"/>
      <c r="DA650" s="797"/>
      <c r="DB650" s="797"/>
      <c r="DC650" s="797"/>
      <c r="DD650" s="797"/>
      <c r="DE650" s="797"/>
      <c r="DF650" s="797"/>
      <c r="DG650" s="797"/>
      <c r="DH650" s="797"/>
      <c r="DI650" s="797"/>
      <c r="DJ650" s="797"/>
      <c r="DK650" s="797"/>
      <c r="DL650" s="797"/>
      <c r="DM650" s="797"/>
      <c r="DN650" s="797"/>
      <c r="DO650" s="797"/>
      <c r="DP650" s="797"/>
      <c r="DQ650" s="797"/>
      <c r="DR650" s="797"/>
      <c r="DS650" s="797"/>
      <c r="DT650" s="797"/>
      <c r="DU650" s="797"/>
      <c r="DV650" s="797"/>
      <c r="DW650" s="797"/>
      <c r="DX650" s="797"/>
      <c r="DY650" s="797"/>
      <c r="DZ650" s="797"/>
      <c r="EA650" s="797"/>
      <c r="EB650" s="797"/>
      <c r="EC650" s="797"/>
      <c r="ED650" s="797"/>
      <c r="EE650" s="797"/>
      <c r="EF650" s="797"/>
      <c r="EG650" s="797"/>
      <c r="EH650" s="797"/>
      <c r="EI650" s="797"/>
      <c r="EJ650" s="797"/>
      <c r="EK650" s="797"/>
      <c r="EL650" s="797"/>
      <c r="EM650" s="797"/>
      <c r="EN650" s="797"/>
      <c r="EO650" s="797"/>
      <c r="EP650" s="797"/>
      <c r="EQ650" s="797"/>
      <c r="ER650" s="797"/>
      <c r="ES650" s="797"/>
      <c r="ET650" s="797"/>
      <c r="EU650" s="797"/>
      <c r="EV650" s="797"/>
      <c r="EW650" s="797"/>
      <c r="EX650" s="797"/>
      <c r="EY650" s="797"/>
      <c r="EZ650" s="797"/>
      <c r="FA650" s="797"/>
      <c r="FB650" s="797"/>
      <c r="FC650" s="797"/>
      <c r="FD650" s="797"/>
      <c r="FE650" s="797"/>
      <c r="FF650" s="797"/>
      <c r="FG650" s="797"/>
      <c r="FH650" s="797"/>
      <c r="FI650" s="797"/>
      <c r="FJ650" s="797"/>
      <c r="FK650" s="797"/>
      <c r="FL650" s="797"/>
      <c r="FM650" s="797"/>
      <c r="FN650" s="797"/>
      <c r="FO650" s="797"/>
      <c r="FP650" s="797"/>
      <c r="FQ650" s="797"/>
      <c r="FR650" s="797"/>
      <c r="FS650" s="797"/>
      <c r="FT650" s="797"/>
      <c r="FU650" s="797"/>
      <c r="FV650" s="797"/>
      <c r="FW650" s="797"/>
      <c r="FX650" s="797"/>
      <c r="FY650" s="797"/>
      <c r="FZ650" s="797"/>
      <c r="GA650" s="797"/>
      <c r="GB650" s="797"/>
      <c r="GC650" s="797"/>
      <c r="GD650" s="797"/>
      <c r="GE650" s="797"/>
      <c r="GF650" s="797"/>
      <c r="GG650" s="797"/>
      <c r="GH650" s="797"/>
      <c r="GI650" s="797"/>
      <c r="GJ650" s="797"/>
      <c r="GK650" s="797"/>
      <c r="GL650" s="797"/>
      <c r="GM650" s="797"/>
      <c r="GN650" s="797"/>
      <c r="GO650" s="797"/>
      <c r="GP650" s="797"/>
      <c r="GQ650" s="797"/>
      <c r="GR650" s="797"/>
      <c r="GS650" s="797"/>
      <c r="GT650" s="797"/>
      <c r="GU650" s="797"/>
      <c r="GV650" s="797"/>
      <c r="GW650" s="797"/>
      <c r="GX650" s="797"/>
      <c r="GY650" s="797"/>
      <c r="GZ650" s="797"/>
      <c r="HA650" s="797"/>
      <c r="HB650" s="797"/>
      <c r="HC650" s="797"/>
      <c r="HD650" s="797"/>
      <c r="HE650" s="797"/>
      <c r="HF650" s="797"/>
      <c r="HG650" s="797"/>
      <c r="HH650" s="797"/>
      <c r="HI650" s="797"/>
      <c r="HJ650" s="797"/>
      <c r="HK650" s="797"/>
      <c r="HL650" s="797"/>
      <c r="HM650" s="797"/>
      <c r="HN650" s="797"/>
      <c r="HO650" s="797"/>
      <c r="HP650" s="797"/>
      <c r="HQ650" s="797"/>
      <c r="HR650" s="797"/>
      <c r="HS650" s="797"/>
      <c r="HT650" s="797"/>
      <c r="HU650" s="797"/>
      <c r="HV650" s="797"/>
      <c r="HW650" s="797"/>
      <c r="HX650" s="797"/>
      <c r="HY650" s="797"/>
      <c r="HZ650" s="797"/>
      <c r="IA650" s="797"/>
      <c r="IB650" s="797"/>
      <c r="IC650" s="797"/>
      <c r="ID650" s="797"/>
      <c r="IE650" s="797"/>
      <c r="IF650" s="797"/>
      <c r="IG650" s="797"/>
      <c r="IH650" s="797"/>
      <c r="II650" s="797"/>
      <c r="IJ650" s="797"/>
      <c r="IK650" s="797"/>
      <c r="IL650" s="797"/>
      <c r="IM650" s="797"/>
      <c r="IN650" s="797"/>
      <c r="IO650" s="797"/>
      <c r="IP650" s="797"/>
      <c r="IQ650" s="797"/>
      <c r="IR650" s="797"/>
      <c r="IS650" s="797"/>
      <c r="IT650" s="797"/>
      <c r="IU650" s="797"/>
      <c r="IV650" s="797"/>
    </row>
    <row r="651" spans="1:256" s="796" customFormat="1" ht="13.5" customHeight="1">
      <c r="A651" s="1033"/>
      <c r="B651" s="1034"/>
      <c r="C651" s="1035"/>
      <c r="D651" s="1036" t="s">
        <v>4811</v>
      </c>
      <c r="E651" s="1036"/>
      <c r="F651" s="2727">
        <f>-(129.211)</f>
        <v>-129.21100000000001</v>
      </c>
      <c r="G651" s="298"/>
      <c r="H651" s="1038"/>
      <c r="I651" s="2728"/>
      <c r="J651" s="2729"/>
      <c r="K651" s="2730"/>
      <c r="L651" s="2731"/>
      <c r="M651" s="2731"/>
      <c r="N651" s="2731"/>
      <c r="O651" s="2731"/>
      <c r="P651" s="797"/>
      <c r="Q651" s="797"/>
      <c r="R651" s="797"/>
      <c r="S651" s="797"/>
      <c r="V651" s="797"/>
      <c r="W651" s="797"/>
      <c r="X651" s="797"/>
      <c r="Y651" s="797"/>
      <c r="Z651" s="797"/>
      <c r="AA651" s="797"/>
      <c r="AB651" s="797"/>
      <c r="AC651" s="797"/>
      <c r="AD651" s="797"/>
      <c r="AE651" s="797"/>
      <c r="AF651" s="797"/>
      <c r="AG651" s="797"/>
      <c r="AH651" s="797"/>
      <c r="AI651" s="797"/>
      <c r="AJ651" s="797"/>
      <c r="AK651" s="797"/>
      <c r="AL651" s="797"/>
      <c r="AM651" s="797"/>
      <c r="AN651" s="797"/>
      <c r="AO651" s="797"/>
      <c r="AP651" s="797"/>
      <c r="AQ651" s="797"/>
      <c r="AR651" s="797"/>
      <c r="AS651" s="797"/>
      <c r="AT651" s="797"/>
      <c r="AU651" s="797"/>
      <c r="AV651" s="797"/>
      <c r="AW651" s="797"/>
      <c r="AX651" s="797"/>
      <c r="AY651" s="797"/>
      <c r="AZ651" s="797"/>
      <c r="BA651" s="797"/>
      <c r="BB651" s="797"/>
      <c r="BC651" s="797"/>
      <c r="BD651" s="797"/>
      <c r="BE651" s="797"/>
      <c r="BF651" s="797"/>
      <c r="BG651" s="797"/>
      <c r="BH651" s="797"/>
      <c r="BI651" s="797"/>
      <c r="BJ651" s="797"/>
      <c r="BK651" s="797"/>
      <c r="BL651" s="797"/>
      <c r="BM651" s="797"/>
      <c r="BN651" s="797"/>
      <c r="BO651" s="797"/>
      <c r="BP651" s="797"/>
      <c r="BQ651" s="797"/>
      <c r="BR651" s="797"/>
      <c r="BS651" s="797"/>
      <c r="BT651" s="797"/>
      <c r="BU651" s="797"/>
      <c r="BV651" s="797"/>
      <c r="BW651" s="797"/>
      <c r="BX651" s="797"/>
      <c r="BY651" s="797"/>
      <c r="BZ651" s="797"/>
      <c r="CA651" s="797"/>
      <c r="CB651" s="797"/>
      <c r="CC651" s="797"/>
      <c r="CD651" s="797"/>
      <c r="CE651" s="797"/>
      <c r="CF651" s="797"/>
      <c r="CG651" s="797"/>
      <c r="CH651" s="797"/>
      <c r="CI651" s="797"/>
      <c r="CJ651" s="797"/>
      <c r="CK651" s="797"/>
      <c r="CL651" s="797"/>
      <c r="CM651" s="797"/>
      <c r="CN651" s="797"/>
      <c r="CO651" s="797"/>
      <c r="CP651" s="797"/>
      <c r="CQ651" s="797"/>
      <c r="CR651" s="797"/>
      <c r="CS651" s="797"/>
      <c r="CT651" s="797"/>
      <c r="CU651" s="797"/>
      <c r="CV651" s="797"/>
      <c r="CW651" s="797"/>
      <c r="CX651" s="797"/>
      <c r="CY651" s="797"/>
      <c r="CZ651" s="797"/>
      <c r="DA651" s="797"/>
      <c r="DB651" s="797"/>
      <c r="DC651" s="797"/>
      <c r="DD651" s="797"/>
      <c r="DE651" s="797"/>
      <c r="DF651" s="797"/>
      <c r="DG651" s="797"/>
      <c r="DH651" s="797"/>
      <c r="DI651" s="797"/>
      <c r="DJ651" s="797"/>
      <c r="DK651" s="797"/>
      <c r="DL651" s="797"/>
      <c r="DM651" s="797"/>
      <c r="DN651" s="797"/>
      <c r="DO651" s="797"/>
      <c r="DP651" s="797"/>
      <c r="DQ651" s="797"/>
      <c r="DR651" s="797"/>
      <c r="DS651" s="797"/>
      <c r="DT651" s="797"/>
      <c r="DU651" s="797"/>
      <c r="DV651" s="797"/>
      <c r="DW651" s="797"/>
      <c r="DX651" s="797"/>
      <c r="DY651" s="797"/>
      <c r="DZ651" s="797"/>
      <c r="EA651" s="797"/>
      <c r="EB651" s="797"/>
      <c r="EC651" s="797"/>
      <c r="ED651" s="797"/>
      <c r="EE651" s="797"/>
      <c r="EF651" s="797"/>
      <c r="EG651" s="797"/>
      <c r="EH651" s="797"/>
      <c r="EI651" s="797"/>
      <c r="EJ651" s="797"/>
      <c r="EK651" s="797"/>
      <c r="EL651" s="797"/>
      <c r="EM651" s="797"/>
      <c r="EN651" s="797"/>
      <c r="EO651" s="797"/>
      <c r="EP651" s="797"/>
      <c r="EQ651" s="797"/>
      <c r="ER651" s="797"/>
      <c r="ES651" s="797"/>
      <c r="ET651" s="797"/>
      <c r="EU651" s="797"/>
      <c r="EV651" s="797"/>
      <c r="EW651" s="797"/>
      <c r="EX651" s="797"/>
      <c r="EY651" s="797"/>
      <c r="EZ651" s="797"/>
      <c r="FA651" s="797"/>
      <c r="FB651" s="797"/>
      <c r="FC651" s="797"/>
      <c r="FD651" s="797"/>
      <c r="FE651" s="797"/>
      <c r="FF651" s="797"/>
      <c r="FG651" s="797"/>
      <c r="FH651" s="797"/>
      <c r="FI651" s="797"/>
      <c r="FJ651" s="797"/>
      <c r="FK651" s="797"/>
      <c r="FL651" s="797"/>
      <c r="FM651" s="797"/>
      <c r="FN651" s="797"/>
      <c r="FO651" s="797"/>
      <c r="FP651" s="797"/>
      <c r="FQ651" s="797"/>
      <c r="FR651" s="797"/>
      <c r="FS651" s="797"/>
      <c r="FT651" s="797"/>
      <c r="FU651" s="797"/>
      <c r="FV651" s="797"/>
      <c r="FW651" s="797"/>
      <c r="FX651" s="797"/>
      <c r="FY651" s="797"/>
      <c r="FZ651" s="797"/>
      <c r="GA651" s="797"/>
      <c r="GB651" s="797"/>
      <c r="GC651" s="797"/>
      <c r="GD651" s="797"/>
      <c r="GE651" s="797"/>
      <c r="GF651" s="797"/>
      <c r="GG651" s="797"/>
      <c r="GH651" s="797"/>
      <c r="GI651" s="797"/>
      <c r="GJ651" s="797"/>
      <c r="GK651" s="797"/>
      <c r="GL651" s="797"/>
      <c r="GM651" s="797"/>
      <c r="GN651" s="797"/>
      <c r="GO651" s="797"/>
      <c r="GP651" s="797"/>
      <c r="GQ651" s="797"/>
      <c r="GR651" s="797"/>
      <c r="GS651" s="797"/>
      <c r="GT651" s="797"/>
      <c r="GU651" s="797"/>
      <c r="GV651" s="797"/>
      <c r="GW651" s="797"/>
      <c r="GX651" s="797"/>
      <c r="GY651" s="797"/>
      <c r="GZ651" s="797"/>
      <c r="HA651" s="797"/>
      <c r="HB651" s="797"/>
      <c r="HC651" s="797"/>
      <c r="HD651" s="797"/>
      <c r="HE651" s="797"/>
      <c r="HF651" s="797"/>
      <c r="HG651" s="797"/>
      <c r="HH651" s="797"/>
      <c r="HI651" s="797"/>
      <c r="HJ651" s="797"/>
      <c r="HK651" s="797"/>
      <c r="HL651" s="797"/>
      <c r="HM651" s="797"/>
      <c r="HN651" s="797"/>
      <c r="HO651" s="797"/>
      <c r="HP651" s="797"/>
      <c r="HQ651" s="797"/>
      <c r="HR651" s="797"/>
      <c r="HS651" s="797"/>
      <c r="HT651" s="797"/>
      <c r="HU651" s="797"/>
      <c r="HV651" s="797"/>
      <c r="HW651" s="797"/>
      <c r="HX651" s="797"/>
      <c r="HY651" s="797"/>
      <c r="HZ651" s="797"/>
      <c r="IA651" s="797"/>
      <c r="IB651" s="797"/>
      <c r="IC651" s="797"/>
      <c r="ID651" s="797"/>
      <c r="IE651" s="797"/>
      <c r="IF651" s="797"/>
      <c r="IG651" s="797"/>
      <c r="IH651" s="797"/>
      <c r="II651" s="797"/>
      <c r="IJ651" s="797"/>
      <c r="IK651" s="797"/>
      <c r="IL651" s="797"/>
      <c r="IM651" s="797"/>
      <c r="IN651" s="797"/>
      <c r="IO651" s="797"/>
      <c r="IP651" s="797"/>
      <c r="IQ651" s="797"/>
      <c r="IR651" s="797"/>
      <c r="IS651" s="797"/>
      <c r="IT651" s="797"/>
      <c r="IU651" s="797"/>
      <c r="IV651" s="797"/>
    </row>
    <row r="652" spans="1:256" s="1587" customFormat="1" ht="13.5" customHeight="1">
      <c r="A652" s="2721"/>
      <c r="B652" s="2722"/>
      <c r="C652" s="799"/>
      <c r="D652" s="756" t="s">
        <v>185</v>
      </c>
      <c r="E652" s="2723"/>
      <c r="F652" s="758">
        <f>ROUND(SUM(F653:F654),3)</f>
        <v>133.39500000000001</v>
      </c>
      <c r="G652" s="299"/>
      <c r="H652" s="2724"/>
      <c r="I652" s="2725"/>
      <c r="J652" s="2726"/>
      <c r="K652" s="2732"/>
      <c r="L652" s="1588"/>
      <c r="M652" s="1588"/>
      <c r="N652" s="1588"/>
      <c r="O652" s="1588"/>
      <c r="P652" s="1588"/>
      <c r="Q652" s="1588"/>
      <c r="R652" s="1588"/>
      <c r="S652" s="1588"/>
      <c r="V652" s="1588"/>
      <c r="W652" s="1588"/>
      <c r="X652" s="1588"/>
      <c r="Y652" s="1588"/>
      <c r="Z652" s="1588"/>
      <c r="AA652" s="1588"/>
      <c r="AB652" s="1588"/>
      <c r="AC652" s="1588"/>
      <c r="AD652" s="1588"/>
      <c r="AE652" s="1588"/>
      <c r="AF652" s="1588"/>
      <c r="AG652" s="1588"/>
      <c r="AH652" s="1588"/>
      <c r="AI652" s="1588"/>
      <c r="AJ652" s="1588"/>
      <c r="AK652" s="1588"/>
      <c r="AL652" s="1588"/>
      <c r="AM652" s="1588"/>
      <c r="AN652" s="1588"/>
      <c r="AO652" s="1588"/>
      <c r="AP652" s="1588"/>
      <c r="AQ652" s="1588"/>
      <c r="AR652" s="1588"/>
      <c r="AS652" s="1588"/>
      <c r="AT652" s="1588"/>
      <c r="AU652" s="1588"/>
      <c r="AV652" s="1588"/>
      <c r="AW652" s="1588"/>
      <c r="AX652" s="1588"/>
      <c r="AY652" s="1588"/>
      <c r="AZ652" s="1588"/>
      <c r="BA652" s="1588"/>
      <c r="BB652" s="1588"/>
      <c r="BC652" s="1588"/>
      <c r="BD652" s="1588"/>
      <c r="BE652" s="1588"/>
      <c r="BF652" s="1588"/>
      <c r="BG652" s="1588"/>
      <c r="BH652" s="1588"/>
      <c r="BI652" s="1588"/>
      <c r="BJ652" s="1588"/>
      <c r="BK652" s="1588"/>
      <c r="BL652" s="1588"/>
      <c r="BM652" s="1588"/>
      <c r="BN652" s="1588"/>
      <c r="BO652" s="1588"/>
      <c r="BP652" s="1588"/>
      <c r="BQ652" s="1588"/>
      <c r="BR652" s="1588"/>
      <c r="BS652" s="1588"/>
      <c r="BT652" s="1588"/>
      <c r="BU652" s="1588"/>
      <c r="BV652" s="1588"/>
      <c r="BW652" s="1588"/>
      <c r="BX652" s="1588"/>
      <c r="BY652" s="1588"/>
      <c r="BZ652" s="1588"/>
      <c r="CA652" s="1588"/>
      <c r="CB652" s="1588"/>
      <c r="CC652" s="1588"/>
      <c r="CD652" s="1588"/>
      <c r="CE652" s="1588"/>
      <c r="CF652" s="1588"/>
      <c r="CG652" s="1588"/>
      <c r="CH652" s="1588"/>
      <c r="CI652" s="1588"/>
      <c r="CJ652" s="1588"/>
      <c r="CK652" s="1588"/>
      <c r="CL652" s="1588"/>
      <c r="CM652" s="1588"/>
      <c r="CN652" s="1588"/>
      <c r="CO652" s="1588"/>
      <c r="CP652" s="1588"/>
      <c r="CQ652" s="1588"/>
      <c r="CR652" s="1588"/>
      <c r="CS652" s="1588"/>
      <c r="CT652" s="1588"/>
      <c r="CU652" s="1588"/>
      <c r="CV652" s="1588"/>
      <c r="CW652" s="1588"/>
      <c r="CX652" s="1588"/>
      <c r="CY652" s="1588"/>
      <c r="CZ652" s="1588"/>
      <c r="DA652" s="1588"/>
      <c r="DB652" s="1588"/>
      <c r="DC652" s="1588"/>
      <c r="DD652" s="1588"/>
      <c r="DE652" s="1588"/>
      <c r="DF652" s="1588"/>
      <c r="DG652" s="1588"/>
      <c r="DH652" s="1588"/>
      <c r="DI652" s="1588"/>
      <c r="DJ652" s="1588"/>
      <c r="DK652" s="1588"/>
      <c r="DL652" s="1588"/>
      <c r="DM652" s="1588"/>
      <c r="DN652" s="1588"/>
      <c r="DO652" s="1588"/>
      <c r="DP652" s="1588"/>
      <c r="DQ652" s="1588"/>
      <c r="DR652" s="1588"/>
      <c r="DS652" s="1588"/>
      <c r="DT652" s="1588"/>
      <c r="DU652" s="1588"/>
      <c r="DV652" s="1588"/>
      <c r="DW652" s="1588"/>
      <c r="DX652" s="1588"/>
      <c r="DY652" s="1588"/>
      <c r="DZ652" s="1588"/>
      <c r="EA652" s="1588"/>
      <c r="EB652" s="1588"/>
      <c r="EC652" s="1588"/>
      <c r="ED652" s="1588"/>
      <c r="EE652" s="1588"/>
      <c r="EF652" s="1588"/>
      <c r="EG652" s="1588"/>
      <c r="EH652" s="1588"/>
      <c r="EI652" s="1588"/>
      <c r="EJ652" s="1588"/>
      <c r="EK652" s="1588"/>
      <c r="EL652" s="1588"/>
      <c r="EM652" s="1588"/>
      <c r="EN652" s="1588"/>
      <c r="EO652" s="1588"/>
      <c r="EP652" s="1588"/>
      <c r="EQ652" s="1588"/>
      <c r="ER652" s="1588"/>
      <c r="ES652" s="1588"/>
      <c r="ET652" s="1588"/>
      <c r="EU652" s="1588"/>
      <c r="EV652" s="1588"/>
      <c r="EW652" s="1588"/>
      <c r="EX652" s="1588"/>
      <c r="EY652" s="1588"/>
      <c r="EZ652" s="1588"/>
      <c r="FA652" s="1588"/>
      <c r="FB652" s="1588"/>
      <c r="FC652" s="1588"/>
      <c r="FD652" s="1588"/>
      <c r="FE652" s="1588"/>
      <c r="FF652" s="1588"/>
      <c r="FG652" s="1588"/>
      <c r="FH652" s="1588"/>
      <c r="FI652" s="1588"/>
      <c r="FJ652" s="1588"/>
      <c r="FK652" s="1588"/>
      <c r="FL652" s="1588"/>
      <c r="FM652" s="1588"/>
      <c r="FN652" s="1588"/>
      <c r="FO652" s="1588"/>
      <c r="FP652" s="1588"/>
      <c r="FQ652" s="1588"/>
      <c r="FR652" s="1588"/>
      <c r="FS652" s="1588"/>
      <c r="FT652" s="1588"/>
      <c r="FU652" s="1588"/>
      <c r="FV652" s="1588"/>
      <c r="FW652" s="1588"/>
      <c r="FX652" s="1588"/>
      <c r="FY652" s="1588"/>
      <c r="FZ652" s="1588"/>
      <c r="GA652" s="1588"/>
      <c r="GB652" s="1588"/>
      <c r="GC652" s="1588"/>
      <c r="GD652" s="1588"/>
      <c r="GE652" s="1588"/>
      <c r="GF652" s="1588"/>
      <c r="GG652" s="1588"/>
      <c r="GH652" s="1588"/>
      <c r="GI652" s="1588"/>
      <c r="GJ652" s="1588"/>
      <c r="GK652" s="1588"/>
      <c r="GL652" s="1588"/>
      <c r="GM652" s="1588"/>
      <c r="GN652" s="1588"/>
      <c r="GO652" s="1588"/>
      <c r="GP652" s="1588"/>
      <c r="GQ652" s="1588"/>
      <c r="GR652" s="1588"/>
      <c r="GS652" s="1588"/>
      <c r="GT652" s="1588"/>
      <c r="GU652" s="1588"/>
      <c r="GV652" s="1588"/>
      <c r="GW652" s="1588"/>
      <c r="GX652" s="1588"/>
      <c r="GY652" s="1588"/>
      <c r="GZ652" s="1588"/>
      <c r="HA652" s="1588"/>
      <c r="HB652" s="1588"/>
      <c r="HC652" s="1588"/>
      <c r="HD652" s="1588"/>
      <c r="HE652" s="1588"/>
      <c r="HF652" s="1588"/>
      <c r="HG652" s="1588"/>
      <c r="HH652" s="1588"/>
      <c r="HI652" s="1588"/>
      <c r="HJ652" s="1588"/>
      <c r="HK652" s="1588"/>
      <c r="HL652" s="1588"/>
      <c r="HM652" s="1588"/>
      <c r="HN652" s="1588"/>
      <c r="HO652" s="1588"/>
      <c r="HP652" s="1588"/>
      <c r="HQ652" s="1588"/>
      <c r="HR652" s="1588"/>
      <c r="HS652" s="1588"/>
      <c r="HT652" s="1588"/>
      <c r="HU652" s="1588"/>
      <c r="HV652" s="1588"/>
      <c r="HW652" s="1588"/>
      <c r="HX652" s="1588"/>
      <c r="HY652" s="1588"/>
      <c r="HZ652" s="1588"/>
      <c r="IA652" s="1588"/>
      <c r="IB652" s="1588"/>
      <c r="IC652" s="1588"/>
      <c r="ID652" s="1588"/>
      <c r="IE652" s="1588"/>
      <c r="IF652" s="1588"/>
      <c r="IG652" s="1588"/>
      <c r="IH652" s="1588"/>
      <c r="II652" s="1588"/>
      <c r="IJ652" s="1588"/>
      <c r="IK652" s="1588"/>
      <c r="IL652" s="1588"/>
      <c r="IM652" s="1588"/>
      <c r="IN652" s="1588"/>
      <c r="IO652" s="1588"/>
      <c r="IP652" s="1588"/>
      <c r="IQ652" s="1588"/>
      <c r="IR652" s="1588"/>
      <c r="IS652" s="1588"/>
      <c r="IT652" s="1588"/>
      <c r="IU652" s="1588"/>
      <c r="IV652" s="1588"/>
    </row>
    <row r="653" spans="1:256" s="796" customFormat="1" ht="13.5" customHeight="1">
      <c r="A653" s="1033"/>
      <c r="B653" s="1034"/>
      <c r="C653" s="1035"/>
      <c r="D653" s="1036" t="s">
        <v>4812</v>
      </c>
      <c r="E653" s="1036"/>
      <c r="F653" s="2727">
        <f>(27.442+164.652)+(27.442)</f>
        <v>219.536</v>
      </c>
      <c r="G653" s="298"/>
      <c r="H653" s="1038"/>
      <c r="I653" s="2728"/>
      <c r="J653" s="2729"/>
      <c r="K653" s="2730"/>
      <c r="L653" s="2731"/>
      <c r="M653" s="2731"/>
      <c r="N653" s="2731"/>
      <c r="O653" s="2731"/>
      <c r="P653" s="797"/>
      <c r="Q653" s="797"/>
      <c r="R653" s="797"/>
      <c r="S653" s="797"/>
      <c r="V653" s="797"/>
      <c r="W653" s="797"/>
      <c r="X653" s="797"/>
      <c r="Y653" s="797"/>
      <c r="Z653" s="797"/>
      <c r="AA653" s="797"/>
      <c r="AB653" s="797"/>
      <c r="AC653" s="797"/>
      <c r="AD653" s="797"/>
      <c r="AE653" s="797"/>
      <c r="AF653" s="797"/>
      <c r="AG653" s="797"/>
      <c r="AH653" s="797"/>
      <c r="AI653" s="797"/>
      <c r="AJ653" s="797"/>
      <c r="AK653" s="797"/>
      <c r="AL653" s="797"/>
      <c r="AM653" s="797"/>
      <c r="AN653" s="797"/>
      <c r="AO653" s="797"/>
      <c r="AP653" s="797"/>
      <c r="AQ653" s="797"/>
      <c r="AR653" s="797"/>
      <c r="AS653" s="797"/>
      <c r="AT653" s="797"/>
      <c r="AU653" s="797"/>
      <c r="AV653" s="797"/>
      <c r="AW653" s="797"/>
      <c r="AX653" s="797"/>
      <c r="AY653" s="797"/>
      <c r="AZ653" s="797"/>
      <c r="BA653" s="797"/>
      <c r="BB653" s="797"/>
      <c r="BC653" s="797"/>
      <c r="BD653" s="797"/>
      <c r="BE653" s="797"/>
      <c r="BF653" s="797"/>
      <c r="BG653" s="797"/>
      <c r="BH653" s="797"/>
      <c r="BI653" s="797"/>
      <c r="BJ653" s="797"/>
      <c r="BK653" s="797"/>
      <c r="BL653" s="797"/>
      <c r="BM653" s="797"/>
      <c r="BN653" s="797"/>
      <c r="BO653" s="797"/>
      <c r="BP653" s="797"/>
      <c r="BQ653" s="797"/>
      <c r="BR653" s="797"/>
      <c r="BS653" s="797"/>
      <c r="BT653" s="797"/>
      <c r="BU653" s="797"/>
      <c r="BV653" s="797"/>
      <c r="BW653" s="797"/>
      <c r="BX653" s="797"/>
      <c r="BY653" s="797"/>
      <c r="BZ653" s="797"/>
      <c r="CA653" s="797"/>
      <c r="CB653" s="797"/>
      <c r="CC653" s="797"/>
      <c r="CD653" s="797"/>
      <c r="CE653" s="797"/>
      <c r="CF653" s="797"/>
      <c r="CG653" s="797"/>
      <c r="CH653" s="797"/>
      <c r="CI653" s="797"/>
      <c r="CJ653" s="797"/>
      <c r="CK653" s="797"/>
      <c r="CL653" s="797"/>
      <c r="CM653" s="797"/>
      <c r="CN653" s="797"/>
      <c r="CO653" s="797"/>
      <c r="CP653" s="797"/>
      <c r="CQ653" s="797"/>
      <c r="CR653" s="797"/>
      <c r="CS653" s="797"/>
      <c r="CT653" s="797"/>
      <c r="CU653" s="797"/>
      <c r="CV653" s="797"/>
      <c r="CW653" s="797"/>
      <c r="CX653" s="797"/>
      <c r="CY653" s="797"/>
      <c r="CZ653" s="797"/>
      <c r="DA653" s="797"/>
      <c r="DB653" s="797"/>
      <c r="DC653" s="797"/>
      <c r="DD653" s="797"/>
      <c r="DE653" s="797"/>
      <c r="DF653" s="797"/>
      <c r="DG653" s="797"/>
      <c r="DH653" s="797"/>
      <c r="DI653" s="797"/>
      <c r="DJ653" s="797"/>
      <c r="DK653" s="797"/>
      <c r="DL653" s="797"/>
      <c r="DM653" s="797"/>
      <c r="DN653" s="797"/>
      <c r="DO653" s="797"/>
      <c r="DP653" s="797"/>
      <c r="DQ653" s="797"/>
      <c r="DR653" s="797"/>
      <c r="DS653" s="797"/>
      <c r="DT653" s="797"/>
      <c r="DU653" s="797"/>
      <c r="DV653" s="797"/>
      <c r="DW653" s="797"/>
      <c r="DX653" s="797"/>
      <c r="DY653" s="797"/>
      <c r="DZ653" s="797"/>
      <c r="EA653" s="797"/>
      <c r="EB653" s="797"/>
      <c r="EC653" s="797"/>
      <c r="ED653" s="797"/>
      <c r="EE653" s="797"/>
      <c r="EF653" s="797"/>
      <c r="EG653" s="797"/>
      <c r="EH653" s="797"/>
      <c r="EI653" s="797"/>
      <c r="EJ653" s="797"/>
      <c r="EK653" s="797"/>
      <c r="EL653" s="797"/>
      <c r="EM653" s="797"/>
      <c r="EN653" s="797"/>
      <c r="EO653" s="797"/>
      <c r="EP653" s="797"/>
      <c r="EQ653" s="797"/>
      <c r="ER653" s="797"/>
      <c r="ES653" s="797"/>
      <c r="ET653" s="797"/>
      <c r="EU653" s="797"/>
      <c r="EV653" s="797"/>
      <c r="EW653" s="797"/>
      <c r="EX653" s="797"/>
      <c r="EY653" s="797"/>
      <c r="EZ653" s="797"/>
      <c r="FA653" s="797"/>
      <c r="FB653" s="797"/>
      <c r="FC653" s="797"/>
      <c r="FD653" s="797"/>
      <c r="FE653" s="797"/>
      <c r="FF653" s="797"/>
      <c r="FG653" s="797"/>
      <c r="FH653" s="797"/>
      <c r="FI653" s="797"/>
      <c r="FJ653" s="797"/>
      <c r="FK653" s="797"/>
      <c r="FL653" s="797"/>
      <c r="FM653" s="797"/>
      <c r="FN653" s="797"/>
      <c r="FO653" s="797"/>
      <c r="FP653" s="797"/>
      <c r="FQ653" s="797"/>
      <c r="FR653" s="797"/>
      <c r="FS653" s="797"/>
      <c r="FT653" s="797"/>
      <c r="FU653" s="797"/>
      <c r="FV653" s="797"/>
      <c r="FW653" s="797"/>
      <c r="FX653" s="797"/>
      <c r="FY653" s="797"/>
      <c r="FZ653" s="797"/>
      <c r="GA653" s="797"/>
      <c r="GB653" s="797"/>
      <c r="GC653" s="797"/>
      <c r="GD653" s="797"/>
      <c r="GE653" s="797"/>
      <c r="GF653" s="797"/>
      <c r="GG653" s="797"/>
      <c r="GH653" s="797"/>
      <c r="GI653" s="797"/>
      <c r="GJ653" s="797"/>
      <c r="GK653" s="797"/>
      <c r="GL653" s="797"/>
      <c r="GM653" s="797"/>
      <c r="GN653" s="797"/>
      <c r="GO653" s="797"/>
      <c r="GP653" s="797"/>
      <c r="GQ653" s="797"/>
      <c r="GR653" s="797"/>
      <c r="GS653" s="797"/>
      <c r="GT653" s="797"/>
      <c r="GU653" s="797"/>
      <c r="GV653" s="797"/>
      <c r="GW653" s="797"/>
      <c r="GX653" s="797"/>
      <c r="GY653" s="797"/>
      <c r="GZ653" s="797"/>
      <c r="HA653" s="797"/>
      <c r="HB653" s="797"/>
      <c r="HC653" s="797"/>
      <c r="HD653" s="797"/>
      <c r="HE653" s="797"/>
      <c r="HF653" s="797"/>
      <c r="HG653" s="797"/>
      <c r="HH653" s="797"/>
      <c r="HI653" s="797"/>
      <c r="HJ653" s="797"/>
      <c r="HK653" s="797"/>
      <c r="HL653" s="797"/>
      <c r="HM653" s="797"/>
      <c r="HN653" s="797"/>
      <c r="HO653" s="797"/>
      <c r="HP653" s="797"/>
      <c r="HQ653" s="797"/>
      <c r="HR653" s="797"/>
      <c r="HS653" s="797"/>
      <c r="HT653" s="797"/>
      <c r="HU653" s="797"/>
      <c r="HV653" s="797"/>
      <c r="HW653" s="797"/>
      <c r="HX653" s="797"/>
      <c r="HY653" s="797"/>
      <c r="HZ653" s="797"/>
      <c r="IA653" s="797"/>
      <c r="IB653" s="797"/>
      <c r="IC653" s="797"/>
      <c r="ID653" s="797"/>
      <c r="IE653" s="797"/>
      <c r="IF653" s="797"/>
      <c r="IG653" s="797"/>
      <c r="IH653" s="797"/>
      <c r="II653" s="797"/>
      <c r="IJ653" s="797"/>
      <c r="IK653" s="797"/>
      <c r="IL653" s="797"/>
      <c r="IM653" s="797"/>
      <c r="IN653" s="797"/>
      <c r="IO653" s="797"/>
      <c r="IP653" s="797"/>
      <c r="IQ653" s="797"/>
      <c r="IR653" s="797"/>
      <c r="IS653" s="797"/>
      <c r="IT653" s="797"/>
      <c r="IU653" s="797"/>
      <c r="IV653" s="797"/>
    </row>
    <row r="654" spans="1:256" s="796" customFormat="1" ht="13.5" customHeight="1">
      <c r="A654" s="1033"/>
      <c r="B654" s="1034"/>
      <c r="C654" s="1035"/>
      <c r="D654" s="1036" t="s">
        <v>4813</v>
      </c>
      <c r="E654" s="1036"/>
      <c r="F654" s="2727">
        <f>-(86.141)</f>
        <v>-86.141000000000005</v>
      </c>
      <c r="G654" s="298"/>
      <c r="H654" s="1038"/>
      <c r="I654" s="2728"/>
      <c r="J654" s="2729"/>
      <c r="K654" s="2730"/>
      <c r="L654" s="2731"/>
      <c r="M654" s="2731"/>
      <c r="N654" s="2731"/>
      <c r="O654" s="2731"/>
      <c r="P654" s="797"/>
      <c r="Q654" s="797"/>
      <c r="R654" s="797"/>
      <c r="S654" s="797"/>
      <c r="V654" s="797"/>
      <c r="W654" s="797"/>
      <c r="X654" s="797"/>
      <c r="Y654" s="797"/>
      <c r="Z654" s="797"/>
      <c r="AA654" s="797"/>
      <c r="AB654" s="797"/>
      <c r="AC654" s="797"/>
      <c r="AD654" s="797"/>
      <c r="AE654" s="797"/>
      <c r="AF654" s="797"/>
      <c r="AG654" s="797"/>
      <c r="AH654" s="797"/>
      <c r="AI654" s="797"/>
      <c r="AJ654" s="797"/>
      <c r="AK654" s="797"/>
      <c r="AL654" s="797"/>
      <c r="AM654" s="797"/>
      <c r="AN654" s="797"/>
      <c r="AO654" s="797"/>
      <c r="AP654" s="797"/>
      <c r="AQ654" s="797"/>
      <c r="AR654" s="797"/>
      <c r="AS654" s="797"/>
      <c r="AT654" s="797"/>
      <c r="AU654" s="797"/>
      <c r="AV654" s="797"/>
      <c r="AW654" s="797"/>
      <c r="AX654" s="797"/>
      <c r="AY654" s="797"/>
      <c r="AZ654" s="797"/>
      <c r="BA654" s="797"/>
      <c r="BB654" s="797"/>
      <c r="BC654" s="797"/>
      <c r="BD654" s="797"/>
      <c r="BE654" s="797"/>
      <c r="BF654" s="797"/>
      <c r="BG654" s="797"/>
      <c r="BH654" s="797"/>
      <c r="BI654" s="797"/>
      <c r="BJ654" s="797"/>
      <c r="BK654" s="797"/>
      <c r="BL654" s="797"/>
      <c r="BM654" s="797"/>
      <c r="BN654" s="797"/>
      <c r="BO654" s="797"/>
      <c r="BP654" s="797"/>
      <c r="BQ654" s="797"/>
      <c r="BR654" s="797"/>
      <c r="BS654" s="797"/>
      <c r="BT654" s="797"/>
      <c r="BU654" s="797"/>
      <c r="BV654" s="797"/>
      <c r="BW654" s="797"/>
      <c r="BX654" s="797"/>
      <c r="BY654" s="797"/>
      <c r="BZ654" s="797"/>
      <c r="CA654" s="797"/>
      <c r="CB654" s="797"/>
      <c r="CC654" s="797"/>
      <c r="CD654" s="797"/>
      <c r="CE654" s="797"/>
      <c r="CF654" s="797"/>
      <c r="CG654" s="797"/>
      <c r="CH654" s="797"/>
      <c r="CI654" s="797"/>
      <c r="CJ654" s="797"/>
      <c r="CK654" s="797"/>
      <c r="CL654" s="797"/>
      <c r="CM654" s="797"/>
      <c r="CN654" s="797"/>
      <c r="CO654" s="797"/>
      <c r="CP654" s="797"/>
      <c r="CQ654" s="797"/>
      <c r="CR654" s="797"/>
      <c r="CS654" s="797"/>
      <c r="CT654" s="797"/>
      <c r="CU654" s="797"/>
      <c r="CV654" s="797"/>
      <c r="CW654" s="797"/>
      <c r="CX654" s="797"/>
      <c r="CY654" s="797"/>
      <c r="CZ654" s="797"/>
      <c r="DA654" s="797"/>
      <c r="DB654" s="797"/>
      <c r="DC654" s="797"/>
      <c r="DD654" s="797"/>
      <c r="DE654" s="797"/>
      <c r="DF654" s="797"/>
      <c r="DG654" s="797"/>
      <c r="DH654" s="797"/>
      <c r="DI654" s="797"/>
      <c r="DJ654" s="797"/>
      <c r="DK654" s="797"/>
      <c r="DL654" s="797"/>
      <c r="DM654" s="797"/>
      <c r="DN654" s="797"/>
      <c r="DO654" s="797"/>
      <c r="DP654" s="797"/>
      <c r="DQ654" s="797"/>
      <c r="DR654" s="797"/>
      <c r="DS654" s="797"/>
      <c r="DT654" s="797"/>
      <c r="DU654" s="797"/>
      <c r="DV654" s="797"/>
      <c r="DW654" s="797"/>
      <c r="DX654" s="797"/>
      <c r="DY654" s="797"/>
      <c r="DZ654" s="797"/>
      <c r="EA654" s="797"/>
      <c r="EB654" s="797"/>
      <c r="EC654" s="797"/>
      <c r="ED654" s="797"/>
      <c r="EE654" s="797"/>
      <c r="EF654" s="797"/>
      <c r="EG654" s="797"/>
      <c r="EH654" s="797"/>
      <c r="EI654" s="797"/>
      <c r="EJ654" s="797"/>
      <c r="EK654" s="797"/>
      <c r="EL654" s="797"/>
      <c r="EM654" s="797"/>
      <c r="EN654" s="797"/>
      <c r="EO654" s="797"/>
      <c r="EP654" s="797"/>
      <c r="EQ654" s="797"/>
      <c r="ER654" s="797"/>
      <c r="ES654" s="797"/>
      <c r="ET654" s="797"/>
      <c r="EU654" s="797"/>
      <c r="EV654" s="797"/>
      <c r="EW654" s="797"/>
      <c r="EX654" s="797"/>
      <c r="EY654" s="797"/>
      <c r="EZ654" s="797"/>
      <c r="FA654" s="797"/>
      <c r="FB654" s="797"/>
      <c r="FC654" s="797"/>
      <c r="FD654" s="797"/>
      <c r="FE654" s="797"/>
      <c r="FF654" s="797"/>
      <c r="FG654" s="797"/>
      <c r="FH654" s="797"/>
      <c r="FI654" s="797"/>
      <c r="FJ654" s="797"/>
      <c r="FK654" s="797"/>
      <c r="FL654" s="797"/>
      <c r="FM654" s="797"/>
      <c r="FN654" s="797"/>
      <c r="FO654" s="797"/>
      <c r="FP654" s="797"/>
      <c r="FQ654" s="797"/>
      <c r="FR654" s="797"/>
      <c r="FS654" s="797"/>
      <c r="FT654" s="797"/>
      <c r="FU654" s="797"/>
      <c r="FV654" s="797"/>
      <c r="FW654" s="797"/>
      <c r="FX654" s="797"/>
      <c r="FY654" s="797"/>
      <c r="FZ654" s="797"/>
      <c r="GA654" s="797"/>
      <c r="GB654" s="797"/>
      <c r="GC654" s="797"/>
      <c r="GD654" s="797"/>
      <c r="GE654" s="797"/>
      <c r="GF654" s="797"/>
      <c r="GG654" s="797"/>
      <c r="GH654" s="797"/>
      <c r="GI654" s="797"/>
      <c r="GJ654" s="797"/>
      <c r="GK654" s="797"/>
      <c r="GL654" s="797"/>
      <c r="GM654" s="797"/>
      <c r="GN654" s="797"/>
      <c r="GO654" s="797"/>
      <c r="GP654" s="797"/>
      <c r="GQ654" s="797"/>
      <c r="GR654" s="797"/>
      <c r="GS654" s="797"/>
      <c r="GT654" s="797"/>
      <c r="GU654" s="797"/>
      <c r="GV654" s="797"/>
      <c r="GW654" s="797"/>
      <c r="GX654" s="797"/>
      <c r="GY654" s="797"/>
      <c r="GZ654" s="797"/>
      <c r="HA654" s="797"/>
      <c r="HB654" s="797"/>
      <c r="HC654" s="797"/>
      <c r="HD654" s="797"/>
      <c r="HE654" s="797"/>
      <c r="HF654" s="797"/>
      <c r="HG654" s="797"/>
      <c r="HH654" s="797"/>
      <c r="HI654" s="797"/>
      <c r="HJ654" s="797"/>
      <c r="HK654" s="797"/>
      <c r="HL654" s="797"/>
      <c r="HM654" s="797"/>
      <c r="HN654" s="797"/>
      <c r="HO654" s="797"/>
      <c r="HP654" s="797"/>
      <c r="HQ654" s="797"/>
      <c r="HR654" s="797"/>
      <c r="HS654" s="797"/>
      <c r="HT654" s="797"/>
      <c r="HU654" s="797"/>
      <c r="HV654" s="797"/>
      <c r="HW654" s="797"/>
      <c r="HX654" s="797"/>
      <c r="HY654" s="797"/>
      <c r="HZ654" s="797"/>
      <c r="IA654" s="797"/>
      <c r="IB654" s="797"/>
      <c r="IC654" s="797"/>
      <c r="ID654" s="797"/>
      <c r="IE654" s="797"/>
      <c r="IF654" s="797"/>
      <c r="IG654" s="797"/>
      <c r="IH654" s="797"/>
      <c r="II654" s="797"/>
      <c r="IJ654" s="797"/>
      <c r="IK654" s="797"/>
      <c r="IL654" s="797"/>
      <c r="IM654" s="797"/>
      <c r="IN654" s="797"/>
      <c r="IO654" s="797"/>
      <c r="IP654" s="797"/>
      <c r="IQ654" s="797"/>
      <c r="IR654" s="797"/>
      <c r="IS654" s="797"/>
      <c r="IT654" s="797"/>
      <c r="IU654" s="797"/>
      <c r="IV654" s="797"/>
    </row>
    <row r="655" spans="1:256" s="804" customFormat="1" ht="13.5" customHeight="1">
      <c r="A655" s="798" t="s">
        <v>4814</v>
      </c>
      <c r="B655" s="799"/>
      <c r="C655" s="777">
        <v>167151111</v>
      </c>
      <c r="D655" s="2820" t="s">
        <v>188</v>
      </c>
      <c r="E655" s="801" t="s">
        <v>146</v>
      </c>
      <c r="F655" s="802">
        <f>F649</f>
        <v>200.09299999999999</v>
      </c>
      <c r="G655" s="295"/>
      <c r="H655" s="803">
        <f t="shared" ref="H655:H660" si="18">ROUND(F655*G655,2)</f>
        <v>0</v>
      </c>
      <c r="I655" s="781" t="s">
        <v>137</v>
      </c>
      <c r="J655" s="647"/>
      <c r="K655" s="647"/>
      <c r="L655" s="612"/>
      <c r="M655" s="612"/>
      <c r="N655" s="612"/>
      <c r="O655" s="612"/>
      <c r="P655" s="612"/>
      <c r="Q655" s="612"/>
      <c r="R655" s="612"/>
      <c r="S655" s="788"/>
      <c r="V655" s="612"/>
    </row>
    <row r="656" spans="1:256" s="804" customFormat="1" ht="13.5" customHeight="1">
      <c r="A656" s="798" t="s">
        <v>4815</v>
      </c>
      <c r="B656" s="799"/>
      <c r="C656" s="777">
        <v>167151112</v>
      </c>
      <c r="D656" s="2717" t="s">
        <v>189</v>
      </c>
      <c r="E656" s="801" t="s">
        <v>146</v>
      </c>
      <c r="F656" s="802">
        <f>F652</f>
        <v>133.39500000000001</v>
      </c>
      <c r="G656" s="295"/>
      <c r="H656" s="803">
        <f t="shared" si="18"/>
        <v>0</v>
      </c>
      <c r="I656" s="781" t="s">
        <v>137</v>
      </c>
      <c r="J656" s="647"/>
      <c r="K656" s="647"/>
      <c r="L656" s="612"/>
      <c r="M656" s="612"/>
      <c r="N656" s="612"/>
      <c r="O656" s="612"/>
      <c r="P656" s="612"/>
      <c r="Q656" s="612"/>
      <c r="R656" s="612"/>
      <c r="S656" s="788"/>
      <c r="V656" s="612"/>
    </row>
    <row r="657" spans="1:256" s="796" customFormat="1" ht="27" customHeight="1">
      <c r="A657" s="792" t="s">
        <v>4816</v>
      </c>
      <c r="B657" s="793"/>
      <c r="C657" s="793" t="s">
        <v>6324</v>
      </c>
      <c r="D657" s="793" t="s">
        <v>6317</v>
      </c>
      <c r="E657" s="793" t="s">
        <v>146</v>
      </c>
      <c r="F657" s="794">
        <f>F649</f>
        <v>200.09299999999999</v>
      </c>
      <c r="G657" s="470"/>
      <c r="H657" s="795">
        <f t="shared" ref="H657:H658" si="19">F657*G657</f>
        <v>0</v>
      </c>
      <c r="I657" s="781" t="s">
        <v>112</v>
      </c>
      <c r="J657" s="783"/>
      <c r="K657" s="783"/>
      <c r="L657" s="621"/>
      <c r="M657" s="621"/>
      <c r="N657" s="621"/>
      <c r="O657" s="621"/>
      <c r="P657" s="621"/>
      <c r="Q657" s="621"/>
      <c r="R657" s="621"/>
      <c r="S657" s="784"/>
      <c r="V657" s="783"/>
      <c r="W657" s="797"/>
      <c r="X657" s="797"/>
      <c r="Y657" s="797"/>
      <c r="Z657" s="797"/>
      <c r="AA657" s="797"/>
      <c r="AB657" s="797"/>
      <c r="AC657" s="797"/>
      <c r="AD657" s="797"/>
      <c r="AE657" s="797"/>
      <c r="AF657" s="797"/>
      <c r="AG657" s="797"/>
      <c r="AH657" s="797"/>
      <c r="AI657" s="797"/>
      <c r="AJ657" s="797"/>
      <c r="AK657" s="797"/>
      <c r="AL657" s="797"/>
      <c r="AM657" s="797"/>
      <c r="AN657" s="797"/>
      <c r="AO657" s="797"/>
      <c r="AP657" s="797"/>
      <c r="AQ657" s="797"/>
      <c r="AR657" s="797"/>
      <c r="AS657" s="797"/>
      <c r="AT657" s="797"/>
      <c r="AU657" s="797"/>
      <c r="AV657" s="797"/>
      <c r="AW657" s="797"/>
      <c r="AX657" s="797"/>
      <c r="AY657" s="797"/>
      <c r="AZ657" s="797"/>
      <c r="BA657" s="797"/>
      <c r="BB657" s="797"/>
      <c r="BC657" s="797"/>
      <c r="BD657" s="797"/>
      <c r="BE657" s="797"/>
      <c r="BF657" s="797"/>
      <c r="BG657" s="797"/>
      <c r="BH657" s="797"/>
      <c r="BI657" s="797"/>
      <c r="BJ657" s="797"/>
      <c r="BK657" s="797"/>
      <c r="BL657" s="797"/>
      <c r="BM657" s="797"/>
      <c r="BN657" s="797"/>
      <c r="BO657" s="797"/>
      <c r="BP657" s="797"/>
      <c r="BQ657" s="797"/>
      <c r="BR657" s="797"/>
      <c r="BS657" s="797"/>
      <c r="BT657" s="797"/>
      <c r="BU657" s="797"/>
      <c r="BV657" s="797"/>
      <c r="BW657" s="797"/>
      <c r="BX657" s="797"/>
      <c r="BY657" s="797"/>
      <c r="BZ657" s="797"/>
      <c r="CA657" s="797"/>
      <c r="CB657" s="797"/>
      <c r="CC657" s="797"/>
      <c r="CD657" s="797"/>
      <c r="CE657" s="797"/>
      <c r="CF657" s="797"/>
      <c r="CG657" s="797"/>
      <c r="CH657" s="797"/>
      <c r="CI657" s="797"/>
      <c r="CJ657" s="797"/>
      <c r="CK657" s="797"/>
      <c r="CL657" s="797"/>
      <c r="CM657" s="797"/>
      <c r="CN657" s="797"/>
      <c r="CO657" s="797"/>
      <c r="CP657" s="797"/>
      <c r="CQ657" s="797"/>
      <c r="CR657" s="797"/>
      <c r="CS657" s="797"/>
      <c r="CT657" s="797"/>
      <c r="CU657" s="797"/>
      <c r="CV657" s="797"/>
      <c r="CW657" s="797"/>
      <c r="CX657" s="797"/>
      <c r="CY657" s="797"/>
      <c r="CZ657" s="797"/>
      <c r="DA657" s="797"/>
      <c r="DB657" s="797"/>
      <c r="DC657" s="797"/>
      <c r="DD657" s="797"/>
      <c r="DE657" s="797"/>
      <c r="DF657" s="797"/>
      <c r="DG657" s="797"/>
      <c r="DH657" s="797"/>
      <c r="DI657" s="797"/>
      <c r="DJ657" s="797"/>
      <c r="DK657" s="797"/>
      <c r="DL657" s="797"/>
      <c r="DM657" s="797"/>
      <c r="DN657" s="797"/>
      <c r="DO657" s="797"/>
      <c r="DP657" s="797"/>
      <c r="DQ657" s="797"/>
      <c r="DR657" s="797"/>
      <c r="DS657" s="797"/>
      <c r="DT657" s="797"/>
      <c r="DU657" s="797"/>
      <c r="DV657" s="797"/>
      <c r="DW657" s="797"/>
      <c r="DX657" s="797"/>
      <c r="DY657" s="797"/>
      <c r="DZ657" s="797"/>
      <c r="EA657" s="797"/>
      <c r="EB657" s="797"/>
      <c r="EC657" s="797"/>
      <c r="ED657" s="797"/>
      <c r="EE657" s="797"/>
      <c r="EF657" s="797"/>
      <c r="EG657" s="797"/>
      <c r="EH657" s="797"/>
      <c r="EI657" s="797"/>
      <c r="EJ657" s="797"/>
      <c r="EK657" s="797"/>
      <c r="EL657" s="797"/>
      <c r="EM657" s="797"/>
      <c r="EN657" s="797"/>
      <c r="EO657" s="797"/>
      <c r="EP657" s="797"/>
      <c r="EQ657" s="797"/>
      <c r="ER657" s="797"/>
      <c r="ES657" s="797"/>
      <c r="ET657" s="797"/>
      <c r="EU657" s="797"/>
      <c r="EV657" s="797"/>
      <c r="EW657" s="797"/>
      <c r="EX657" s="797"/>
      <c r="EY657" s="797"/>
      <c r="EZ657" s="797"/>
      <c r="FA657" s="797"/>
      <c r="FB657" s="797"/>
      <c r="FC657" s="797"/>
      <c r="FD657" s="797"/>
      <c r="FE657" s="797"/>
      <c r="FF657" s="797"/>
      <c r="FG657" s="797"/>
      <c r="FH657" s="797"/>
      <c r="FI657" s="797"/>
      <c r="FJ657" s="797"/>
      <c r="FK657" s="797"/>
      <c r="FL657" s="797"/>
      <c r="FM657" s="797"/>
      <c r="FN657" s="797"/>
      <c r="FO657" s="797"/>
      <c r="FP657" s="797"/>
      <c r="FQ657" s="797"/>
      <c r="FR657" s="797"/>
      <c r="FS657" s="797"/>
      <c r="FT657" s="797"/>
      <c r="FU657" s="797"/>
      <c r="FV657" s="797"/>
      <c r="FW657" s="797"/>
      <c r="FX657" s="797"/>
      <c r="FY657" s="797"/>
      <c r="FZ657" s="797"/>
      <c r="GA657" s="797"/>
      <c r="GB657" s="797"/>
      <c r="GC657" s="797"/>
      <c r="GD657" s="797"/>
      <c r="GE657" s="797"/>
      <c r="GF657" s="797"/>
      <c r="GG657" s="797"/>
      <c r="GH657" s="797"/>
      <c r="GI657" s="797"/>
      <c r="GJ657" s="797"/>
      <c r="GK657" s="797"/>
      <c r="GL657" s="797"/>
      <c r="GM657" s="797"/>
      <c r="GN657" s="797"/>
      <c r="GO657" s="797"/>
      <c r="GP657" s="797"/>
      <c r="GQ657" s="797"/>
      <c r="GR657" s="797"/>
      <c r="GS657" s="797"/>
      <c r="GT657" s="797"/>
      <c r="GU657" s="797"/>
      <c r="GV657" s="797"/>
      <c r="GW657" s="797"/>
      <c r="GX657" s="797"/>
      <c r="GY657" s="797"/>
      <c r="GZ657" s="797"/>
      <c r="HA657" s="797"/>
      <c r="HB657" s="797"/>
      <c r="HC657" s="797"/>
      <c r="HD657" s="797"/>
      <c r="HE657" s="797"/>
      <c r="HF657" s="797"/>
      <c r="HG657" s="797"/>
      <c r="HH657" s="797"/>
      <c r="HI657" s="797"/>
      <c r="HJ657" s="797"/>
      <c r="HK657" s="797"/>
      <c r="HL657" s="797"/>
      <c r="HM657" s="797"/>
      <c r="HN657" s="797"/>
      <c r="HO657" s="797"/>
      <c r="HP657" s="797"/>
      <c r="HQ657" s="797"/>
      <c r="HR657" s="797"/>
      <c r="HS657" s="797"/>
      <c r="HT657" s="797"/>
      <c r="HU657" s="797"/>
      <c r="HV657" s="797"/>
      <c r="HW657" s="797"/>
      <c r="HX657" s="797"/>
      <c r="HY657" s="797"/>
      <c r="HZ657" s="797"/>
      <c r="IA657" s="797"/>
      <c r="IB657" s="797"/>
      <c r="IC657" s="797"/>
      <c r="ID657" s="797"/>
      <c r="IE657" s="797"/>
      <c r="IF657" s="797"/>
      <c r="IG657" s="797"/>
      <c r="IH657" s="797"/>
      <c r="II657" s="797"/>
      <c r="IJ657" s="797"/>
      <c r="IK657" s="797"/>
      <c r="IL657" s="797"/>
      <c r="IM657" s="797"/>
      <c r="IN657" s="797"/>
      <c r="IO657" s="797"/>
      <c r="IP657" s="797"/>
      <c r="IQ657" s="797"/>
      <c r="IR657" s="797"/>
      <c r="IS657" s="797"/>
      <c r="IT657" s="797"/>
      <c r="IU657" s="797"/>
      <c r="IV657" s="797"/>
    </row>
    <row r="658" spans="1:256" s="796" customFormat="1" ht="27" customHeight="1">
      <c r="A658" s="792" t="s">
        <v>4817</v>
      </c>
      <c r="B658" s="793"/>
      <c r="C658" s="793" t="s">
        <v>6325</v>
      </c>
      <c r="D658" s="793" t="s">
        <v>6318</v>
      </c>
      <c r="E658" s="793" t="s">
        <v>146</v>
      </c>
      <c r="F658" s="794">
        <f>F652</f>
        <v>133.39500000000001</v>
      </c>
      <c r="G658" s="470"/>
      <c r="H658" s="795">
        <f t="shared" si="19"/>
        <v>0</v>
      </c>
      <c r="I658" s="781" t="s">
        <v>112</v>
      </c>
      <c r="J658" s="783"/>
      <c r="K658" s="783"/>
      <c r="L658" s="621"/>
      <c r="M658" s="621"/>
      <c r="N658" s="621"/>
      <c r="O658" s="621"/>
      <c r="P658" s="621"/>
      <c r="Q658" s="621"/>
      <c r="R658" s="621"/>
      <c r="S658" s="784"/>
      <c r="V658" s="783"/>
      <c r="W658" s="797"/>
      <c r="X658" s="797"/>
      <c r="Y658" s="797"/>
      <c r="Z658" s="797"/>
      <c r="AA658" s="797"/>
      <c r="AB658" s="797"/>
      <c r="AC658" s="797"/>
      <c r="AD658" s="797"/>
      <c r="AE658" s="797"/>
      <c r="AF658" s="797"/>
      <c r="AG658" s="797"/>
      <c r="AH658" s="797"/>
      <c r="AI658" s="797"/>
      <c r="AJ658" s="797"/>
      <c r="AK658" s="797"/>
      <c r="AL658" s="797"/>
      <c r="AM658" s="797"/>
      <c r="AN658" s="797"/>
      <c r="AO658" s="797"/>
      <c r="AP658" s="797"/>
      <c r="AQ658" s="797"/>
      <c r="AR658" s="797"/>
      <c r="AS658" s="797"/>
      <c r="AT658" s="797"/>
      <c r="AU658" s="797"/>
      <c r="AV658" s="797"/>
      <c r="AW658" s="797"/>
      <c r="AX658" s="797"/>
      <c r="AY658" s="797"/>
      <c r="AZ658" s="797"/>
      <c r="BA658" s="797"/>
      <c r="BB658" s="797"/>
      <c r="BC658" s="797"/>
      <c r="BD658" s="797"/>
      <c r="BE658" s="797"/>
      <c r="BF658" s="797"/>
      <c r="BG658" s="797"/>
      <c r="BH658" s="797"/>
      <c r="BI658" s="797"/>
      <c r="BJ658" s="797"/>
      <c r="BK658" s="797"/>
      <c r="BL658" s="797"/>
      <c r="BM658" s="797"/>
      <c r="BN658" s="797"/>
      <c r="BO658" s="797"/>
      <c r="BP658" s="797"/>
      <c r="BQ658" s="797"/>
      <c r="BR658" s="797"/>
      <c r="BS658" s="797"/>
      <c r="BT658" s="797"/>
      <c r="BU658" s="797"/>
      <c r="BV658" s="797"/>
      <c r="BW658" s="797"/>
      <c r="BX658" s="797"/>
      <c r="BY658" s="797"/>
      <c r="BZ658" s="797"/>
      <c r="CA658" s="797"/>
      <c r="CB658" s="797"/>
      <c r="CC658" s="797"/>
      <c r="CD658" s="797"/>
      <c r="CE658" s="797"/>
      <c r="CF658" s="797"/>
      <c r="CG658" s="797"/>
      <c r="CH658" s="797"/>
      <c r="CI658" s="797"/>
      <c r="CJ658" s="797"/>
      <c r="CK658" s="797"/>
      <c r="CL658" s="797"/>
      <c r="CM658" s="797"/>
      <c r="CN658" s="797"/>
      <c r="CO658" s="797"/>
      <c r="CP658" s="797"/>
      <c r="CQ658" s="797"/>
      <c r="CR658" s="797"/>
      <c r="CS658" s="797"/>
      <c r="CT658" s="797"/>
      <c r="CU658" s="797"/>
      <c r="CV658" s="797"/>
      <c r="CW658" s="797"/>
      <c r="CX658" s="797"/>
      <c r="CY658" s="797"/>
      <c r="CZ658" s="797"/>
      <c r="DA658" s="797"/>
      <c r="DB658" s="797"/>
      <c r="DC658" s="797"/>
      <c r="DD658" s="797"/>
      <c r="DE658" s="797"/>
      <c r="DF658" s="797"/>
      <c r="DG658" s="797"/>
      <c r="DH658" s="797"/>
      <c r="DI658" s="797"/>
      <c r="DJ658" s="797"/>
      <c r="DK658" s="797"/>
      <c r="DL658" s="797"/>
      <c r="DM658" s="797"/>
      <c r="DN658" s="797"/>
      <c r="DO658" s="797"/>
      <c r="DP658" s="797"/>
      <c r="DQ658" s="797"/>
      <c r="DR658" s="797"/>
      <c r="DS658" s="797"/>
      <c r="DT658" s="797"/>
      <c r="DU658" s="797"/>
      <c r="DV658" s="797"/>
      <c r="DW658" s="797"/>
      <c r="DX658" s="797"/>
      <c r="DY658" s="797"/>
      <c r="DZ658" s="797"/>
      <c r="EA658" s="797"/>
      <c r="EB658" s="797"/>
      <c r="EC658" s="797"/>
      <c r="ED658" s="797"/>
      <c r="EE658" s="797"/>
      <c r="EF658" s="797"/>
      <c r="EG658" s="797"/>
      <c r="EH658" s="797"/>
      <c r="EI658" s="797"/>
      <c r="EJ658" s="797"/>
      <c r="EK658" s="797"/>
      <c r="EL658" s="797"/>
      <c r="EM658" s="797"/>
      <c r="EN658" s="797"/>
      <c r="EO658" s="797"/>
      <c r="EP658" s="797"/>
      <c r="EQ658" s="797"/>
      <c r="ER658" s="797"/>
      <c r="ES658" s="797"/>
      <c r="ET658" s="797"/>
      <c r="EU658" s="797"/>
      <c r="EV658" s="797"/>
      <c r="EW658" s="797"/>
      <c r="EX658" s="797"/>
      <c r="EY658" s="797"/>
      <c r="EZ658" s="797"/>
      <c r="FA658" s="797"/>
      <c r="FB658" s="797"/>
      <c r="FC658" s="797"/>
      <c r="FD658" s="797"/>
      <c r="FE658" s="797"/>
      <c r="FF658" s="797"/>
      <c r="FG658" s="797"/>
      <c r="FH658" s="797"/>
      <c r="FI658" s="797"/>
      <c r="FJ658" s="797"/>
      <c r="FK658" s="797"/>
      <c r="FL658" s="797"/>
      <c r="FM658" s="797"/>
      <c r="FN658" s="797"/>
      <c r="FO658" s="797"/>
      <c r="FP658" s="797"/>
      <c r="FQ658" s="797"/>
      <c r="FR658" s="797"/>
      <c r="FS658" s="797"/>
      <c r="FT658" s="797"/>
      <c r="FU658" s="797"/>
      <c r="FV658" s="797"/>
      <c r="FW658" s="797"/>
      <c r="FX658" s="797"/>
      <c r="FY658" s="797"/>
      <c r="FZ658" s="797"/>
      <c r="GA658" s="797"/>
      <c r="GB658" s="797"/>
      <c r="GC658" s="797"/>
      <c r="GD658" s="797"/>
      <c r="GE658" s="797"/>
      <c r="GF658" s="797"/>
      <c r="GG658" s="797"/>
      <c r="GH658" s="797"/>
      <c r="GI658" s="797"/>
      <c r="GJ658" s="797"/>
      <c r="GK658" s="797"/>
      <c r="GL658" s="797"/>
      <c r="GM658" s="797"/>
      <c r="GN658" s="797"/>
      <c r="GO658" s="797"/>
      <c r="GP658" s="797"/>
      <c r="GQ658" s="797"/>
      <c r="GR658" s="797"/>
      <c r="GS658" s="797"/>
      <c r="GT658" s="797"/>
      <c r="GU658" s="797"/>
      <c r="GV658" s="797"/>
      <c r="GW658" s="797"/>
      <c r="GX658" s="797"/>
      <c r="GY658" s="797"/>
      <c r="GZ658" s="797"/>
      <c r="HA658" s="797"/>
      <c r="HB658" s="797"/>
      <c r="HC658" s="797"/>
      <c r="HD658" s="797"/>
      <c r="HE658" s="797"/>
      <c r="HF658" s="797"/>
      <c r="HG658" s="797"/>
      <c r="HH658" s="797"/>
      <c r="HI658" s="797"/>
      <c r="HJ658" s="797"/>
      <c r="HK658" s="797"/>
      <c r="HL658" s="797"/>
      <c r="HM658" s="797"/>
      <c r="HN658" s="797"/>
      <c r="HO658" s="797"/>
      <c r="HP658" s="797"/>
      <c r="HQ658" s="797"/>
      <c r="HR658" s="797"/>
      <c r="HS658" s="797"/>
      <c r="HT658" s="797"/>
      <c r="HU658" s="797"/>
      <c r="HV658" s="797"/>
      <c r="HW658" s="797"/>
      <c r="HX658" s="797"/>
      <c r="HY658" s="797"/>
      <c r="HZ658" s="797"/>
      <c r="IA658" s="797"/>
      <c r="IB658" s="797"/>
      <c r="IC658" s="797"/>
      <c r="ID658" s="797"/>
      <c r="IE658" s="797"/>
      <c r="IF658" s="797"/>
      <c r="IG658" s="797"/>
      <c r="IH658" s="797"/>
      <c r="II658" s="797"/>
      <c r="IJ658" s="797"/>
      <c r="IK658" s="797"/>
      <c r="IL658" s="797"/>
      <c r="IM658" s="797"/>
      <c r="IN658" s="797"/>
      <c r="IO658" s="797"/>
      <c r="IP658" s="797"/>
      <c r="IQ658" s="797"/>
      <c r="IR658" s="797"/>
      <c r="IS658" s="797"/>
      <c r="IT658" s="797"/>
      <c r="IU658" s="797"/>
      <c r="IV658" s="797"/>
    </row>
    <row r="659" spans="1:256" s="804" customFormat="1" ht="27" customHeight="1">
      <c r="A659" s="798" t="s">
        <v>4818</v>
      </c>
      <c r="B659" s="799"/>
      <c r="C659" s="777">
        <v>171251101</v>
      </c>
      <c r="D659" s="800" t="s">
        <v>192</v>
      </c>
      <c r="E659" s="801" t="s">
        <v>146</v>
      </c>
      <c r="F659" s="802">
        <f>F647</f>
        <v>333.488</v>
      </c>
      <c r="G659" s="295"/>
      <c r="H659" s="803">
        <f t="shared" si="18"/>
        <v>0</v>
      </c>
      <c r="I659" s="781" t="s">
        <v>137</v>
      </c>
      <c r="J659" s="647"/>
      <c r="K659" s="647"/>
      <c r="L659" s="612"/>
      <c r="M659" s="612"/>
      <c r="N659" s="612"/>
      <c r="O659" s="612"/>
      <c r="P659" s="612"/>
      <c r="Q659" s="612"/>
      <c r="R659" s="612"/>
      <c r="S659" s="788"/>
      <c r="V659" s="612"/>
    </row>
    <row r="660" spans="1:256" s="804" customFormat="1" ht="27" customHeight="1">
      <c r="A660" s="798" t="s">
        <v>4819</v>
      </c>
      <c r="B660" s="799"/>
      <c r="C660" s="805" t="s">
        <v>6311</v>
      </c>
      <c r="D660" s="806" t="s">
        <v>6323</v>
      </c>
      <c r="E660" s="801" t="s">
        <v>175</v>
      </c>
      <c r="F660" s="802">
        <f>F647*2</f>
        <v>666.976</v>
      </c>
      <c r="G660" s="295"/>
      <c r="H660" s="803">
        <f t="shared" si="18"/>
        <v>0</v>
      </c>
      <c r="I660" s="781" t="s">
        <v>112</v>
      </c>
      <c r="J660" s="647"/>
      <c r="K660" s="647"/>
      <c r="L660" s="612"/>
      <c r="M660" s="612"/>
      <c r="N660" s="612"/>
      <c r="O660" s="612"/>
      <c r="P660" s="612"/>
      <c r="Q660" s="612"/>
      <c r="R660" s="612"/>
      <c r="S660" s="788"/>
      <c r="V660" s="612"/>
    </row>
    <row r="661" spans="1:256" s="647" customFormat="1" ht="13.5" customHeight="1">
      <c r="A661" s="807"/>
      <c r="B661" s="808"/>
      <c r="C661" s="809"/>
      <c r="D661" s="810" t="s">
        <v>193</v>
      </c>
      <c r="E661" s="811"/>
      <c r="F661" s="812"/>
      <c r="G661" s="881"/>
      <c r="H661" s="813"/>
      <c r="I661" s="814"/>
      <c r="J661" s="815"/>
      <c r="L661" s="612"/>
      <c r="M661" s="612"/>
      <c r="N661" s="612"/>
      <c r="O661" s="612"/>
      <c r="P661" s="612"/>
      <c r="Q661" s="612"/>
      <c r="R661" s="612"/>
      <c r="S661" s="788"/>
      <c r="T661" s="816"/>
      <c r="U661" s="816"/>
      <c r="V661" s="816"/>
      <c r="W661" s="816"/>
      <c r="X661" s="816"/>
      <c r="Y661" s="816"/>
      <c r="Z661" s="816"/>
      <c r="AA661" s="816"/>
      <c r="AB661" s="816"/>
      <c r="AC661" s="816"/>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c r="BB661" s="816"/>
      <c r="BC661" s="816"/>
      <c r="BD661" s="816"/>
      <c r="BE661" s="816"/>
      <c r="BF661" s="816"/>
      <c r="BG661" s="816"/>
      <c r="BH661" s="816"/>
      <c r="BI661" s="816"/>
      <c r="BJ661" s="816"/>
      <c r="BK661" s="816"/>
      <c r="BL661" s="816"/>
      <c r="BM661" s="816"/>
      <c r="BN661" s="816"/>
      <c r="BO661" s="816"/>
      <c r="BP661" s="816"/>
      <c r="BQ661" s="816"/>
      <c r="BR661" s="816"/>
      <c r="BS661" s="816"/>
      <c r="BT661" s="816"/>
      <c r="BU661" s="816"/>
      <c r="BV661" s="816"/>
      <c r="BW661" s="816"/>
      <c r="BX661" s="816"/>
      <c r="BY661" s="816"/>
      <c r="BZ661" s="816"/>
      <c r="CA661" s="816"/>
      <c r="CB661" s="816"/>
      <c r="CC661" s="816"/>
      <c r="CD661" s="816"/>
      <c r="CE661" s="816"/>
      <c r="CF661" s="816"/>
      <c r="CG661" s="816"/>
      <c r="CH661" s="816"/>
      <c r="CI661" s="816"/>
      <c r="CJ661" s="816"/>
      <c r="CK661" s="816"/>
      <c r="CL661" s="816"/>
      <c r="CM661" s="816"/>
      <c r="CN661" s="816"/>
      <c r="CO661" s="816"/>
      <c r="CP661" s="816"/>
      <c r="CQ661" s="816"/>
      <c r="CR661" s="816"/>
      <c r="CS661" s="816"/>
      <c r="CT661" s="816"/>
      <c r="CU661" s="816"/>
      <c r="CV661" s="816"/>
      <c r="CW661" s="816"/>
      <c r="CX661" s="816"/>
      <c r="CY661" s="816"/>
      <c r="CZ661" s="816"/>
      <c r="DA661" s="816"/>
      <c r="DB661" s="816"/>
      <c r="DC661" s="816"/>
      <c r="DD661" s="816"/>
      <c r="DE661" s="816"/>
      <c r="DF661" s="816"/>
      <c r="DG661" s="816"/>
      <c r="DH661" s="816"/>
      <c r="DI661" s="816"/>
      <c r="DJ661" s="816"/>
      <c r="DK661" s="816"/>
      <c r="DL661" s="816"/>
      <c r="DM661" s="816"/>
      <c r="DN661" s="816"/>
      <c r="DO661" s="816"/>
      <c r="DP661" s="816"/>
      <c r="DQ661" s="816"/>
      <c r="DR661" s="816"/>
      <c r="DS661" s="816"/>
      <c r="DT661" s="816"/>
      <c r="DU661" s="816"/>
      <c r="DV661" s="816"/>
      <c r="DW661" s="816"/>
      <c r="DX661" s="816"/>
      <c r="DY661" s="816"/>
      <c r="DZ661" s="816"/>
      <c r="EA661" s="816"/>
      <c r="EB661" s="816"/>
      <c r="EC661" s="816"/>
      <c r="ED661" s="816"/>
      <c r="EE661" s="816"/>
      <c r="EF661" s="816"/>
      <c r="EG661" s="816"/>
      <c r="EH661" s="816"/>
      <c r="EI661" s="816"/>
      <c r="EJ661" s="816"/>
      <c r="EK661" s="816"/>
      <c r="EL661" s="816"/>
      <c r="EM661" s="816"/>
      <c r="EN661" s="816"/>
      <c r="EO661" s="816"/>
      <c r="EP661" s="816"/>
      <c r="EQ661" s="816"/>
      <c r="ER661" s="816"/>
      <c r="ES661" s="816"/>
      <c r="ET661" s="816"/>
      <c r="EU661" s="816"/>
      <c r="EV661" s="816"/>
      <c r="EW661" s="816"/>
      <c r="EX661" s="816"/>
      <c r="EY661" s="816"/>
      <c r="EZ661" s="816"/>
      <c r="FA661" s="816"/>
      <c r="FB661" s="816"/>
      <c r="FC661" s="816"/>
      <c r="FD661" s="816"/>
      <c r="FE661" s="816"/>
      <c r="FF661" s="816"/>
      <c r="FG661" s="816"/>
      <c r="FH661" s="816"/>
      <c r="FI661" s="816"/>
      <c r="FJ661" s="816"/>
      <c r="FK661" s="816"/>
      <c r="FL661" s="816"/>
      <c r="FM661" s="816"/>
      <c r="FN661" s="816"/>
      <c r="FO661" s="816"/>
      <c r="FP661" s="816"/>
      <c r="FQ661" s="816"/>
      <c r="FR661" s="816"/>
      <c r="FS661" s="816"/>
      <c r="FT661" s="816"/>
      <c r="FU661" s="816"/>
      <c r="FV661" s="816"/>
      <c r="FW661" s="816"/>
      <c r="FX661" s="816"/>
      <c r="FY661" s="816"/>
      <c r="FZ661" s="816"/>
      <c r="GA661" s="816"/>
      <c r="GB661" s="816"/>
      <c r="GC661" s="816"/>
      <c r="GD661" s="816"/>
      <c r="GE661" s="816"/>
      <c r="GF661" s="816"/>
      <c r="GG661" s="816"/>
      <c r="GH661" s="816"/>
      <c r="GI661" s="816"/>
      <c r="GJ661" s="816"/>
      <c r="GK661" s="816"/>
      <c r="GL661" s="816"/>
      <c r="GM661" s="816"/>
      <c r="GN661" s="816"/>
      <c r="GO661" s="816"/>
      <c r="GP661" s="816"/>
      <c r="GQ661" s="816"/>
      <c r="GR661" s="816"/>
      <c r="GS661" s="816"/>
      <c r="GT661" s="816"/>
      <c r="GU661" s="816"/>
      <c r="GV661" s="816"/>
      <c r="GW661" s="816"/>
      <c r="GX661" s="816"/>
      <c r="GY661" s="816"/>
      <c r="GZ661" s="816"/>
      <c r="HA661" s="816"/>
      <c r="HB661" s="816"/>
      <c r="HC661" s="816"/>
      <c r="HD661" s="816"/>
      <c r="HE661" s="816"/>
      <c r="HF661" s="816"/>
      <c r="HG661" s="816"/>
      <c r="HH661" s="816"/>
      <c r="HI661" s="816"/>
      <c r="HJ661" s="816"/>
      <c r="HK661" s="816"/>
      <c r="HL661" s="816"/>
      <c r="HM661" s="816"/>
      <c r="HN661" s="816"/>
      <c r="HO661" s="816"/>
      <c r="HP661" s="816"/>
      <c r="HQ661" s="816"/>
      <c r="HR661" s="816"/>
      <c r="HS661" s="816"/>
      <c r="HT661" s="816"/>
      <c r="HU661" s="816"/>
      <c r="HV661" s="816"/>
      <c r="HW661" s="816"/>
      <c r="HX661" s="816"/>
      <c r="HY661" s="816"/>
      <c r="HZ661" s="816"/>
      <c r="IA661" s="816"/>
      <c r="IB661" s="816"/>
      <c r="IC661" s="816"/>
      <c r="ID661" s="816"/>
      <c r="IE661" s="816"/>
      <c r="IF661" s="816"/>
      <c r="IG661" s="816"/>
      <c r="IH661" s="816"/>
      <c r="II661" s="816"/>
      <c r="IJ661" s="816"/>
      <c r="IK661" s="816"/>
      <c r="IL661" s="816"/>
      <c r="IM661" s="816"/>
      <c r="IN661" s="816"/>
      <c r="IO661" s="816"/>
      <c r="IP661" s="816"/>
      <c r="IQ661" s="816"/>
      <c r="IR661" s="816"/>
      <c r="IS661" s="816"/>
      <c r="IT661" s="816"/>
      <c r="IU661" s="816"/>
      <c r="IV661" s="816"/>
    </row>
    <row r="662" spans="1:256" s="1587" customFormat="1" ht="81" customHeight="1">
      <c r="A662" s="1602"/>
      <c r="B662" s="1603"/>
      <c r="C662" s="1604"/>
      <c r="D662" s="584" t="s">
        <v>2404</v>
      </c>
      <c r="E662" s="1605"/>
      <c r="F662" s="1606"/>
      <c r="G662" s="299"/>
      <c r="H662" s="1607"/>
      <c r="I662" s="1608"/>
      <c r="L662" s="1588"/>
      <c r="M662" s="1588"/>
      <c r="N662" s="1588"/>
      <c r="O662" s="1588"/>
      <c r="P662" s="1588"/>
      <c r="Q662" s="1588"/>
      <c r="R662" s="1588"/>
      <c r="S662" s="1588"/>
      <c r="T662" s="1588"/>
      <c r="U662" s="1588"/>
      <c r="V662" s="1588"/>
      <c r="W662" s="1588"/>
      <c r="X662" s="1588"/>
      <c r="Y662" s="1588"/>
      <c r="Z662" s="1588"/>
      <c r="AA662" s="1588"/>
      <c r="AB662" s="1588"/>
      <c r="AC662" s="1588"/>
      <c r="AD662" s="1588"/>
      <c r="AE662" s="1588"/>
      <c r="AF662" s="1588"/>
      <c r="AG662" s="1588"/>
      <c r="AH662" s="1588"/>
      <c r="AI662" s="1588"/>
      <c r="AJ662" s="1588"/>
      <c r="AK662" s="1588"/>
      <c r="AL662" s="1588"/>
      <c r="AM662" s="1588"/>
      <c r="AN662" s="1588"/>
      <c r="AO662" s="1588"/>
      <c r="AP662" s="1588"/>
      <c r="AQ662" s="1588"/>
      <c r="AR662" s="1588"/>
      <c r="AS662" s="1588"/>
      <c r="AT662" s="1588"/>
      <c r="AU662" s="1588"/>
      <c r="AV662" s="1588"/>
      <c r="AW662" s="1588"/>
      <c r="AX662" s="1588"/>
      <c r="AY662" s="1588"/>
      <c r="AZ662" s="1588"/>
      <c r="BA662" s="1588"/>
      <c r="BB662" s="1588"/>
      <c r="BC662" s="1588"/>
      <c r="BD662" s="1588"/>
      <c r="BE662" s="1588"/>
      <c r="BF662" s="1588"/>
      <c r="BG662" s="1588"/>
      <c r="BH662" s="1588"/>
      <c r="BI662" s="1588"/>
      <c r="BJ662" s="1588"/>
      <c r="BK662" s="1588"/>
      <c r="BL662" s="1588"/>
      <c r="BM662" s="1588"/>
      <c r="BN662" s="1588"/>
      <c r="BO662" s="1588"/>
      <c r="BP662" s="1588"/>
      <c r="BQ662" s="1588"/>
      <c r="BR662" s="1588"/>
      <c r="BS662" s="1588"/>
      <c r="BT662" s="1588"/>
      <c r="BU662" s="1588"/>
      <c r="BV662" s="1588"/>
      <c r="BW662" s="1588"/>
      <c r="BX662" s="1588"/>
      <c r="BY662" s="1588"/>
      <c r="BZ662" s="1588"/>
      <c r="CA662" s="1588"/>
      <c r="CB662" s="1588"/>
      <c r="CC662" s="1588"/>
      <c r="CD662" s="1588"/>
      <c r="CE662" s="1588"/>
      <c r="CF662" s="1588"/>
      <c r="CG662" s="1588"/>
      <c r="CH662" s="1588"/>
      <c r="CI662" s="1588"/>
      <c r="CJ662" s="1588"/>
      <c r="CK662" s="1588"/>
      <c r="CL662" s="1588"/>
      <c r="CM662" s="1588"/>
      <c r="CN662" s="1588"/>
      <c r="CO662" s="1588"/>
      <c r="CP662" s="1588"/>
      <c r="CQ662" s="1588"/>
      <c r="CR662" s="1588"/>
      <c r="CS662" s="1588"/>
      <c r="CT662" s="1588"/>
      <c r="CU662" s="1588"/>
      <c r="CV662" s="1588"/>
      <c r="CW662" s="1588"/>
      <c r="CX662" s="1588"/>
      <c r="CY662" s="1588"/>
      <c r="CZ662" s="1588"/>
      <c r="DA662" s="1588"/>
      <c r="DB662" s="1588"/>
      <c r="DC662" s="1588"/>
      <c r="DD662" s="1588"/>
      <c r="DE662" s="1588"/>
      <c r="DF662" s="1588"/>
      <c r="DG662" s="1588"/>
      <c r="DH662" s="1588"/>
      <c r="DI662" s="1588"/>
      <c r="DJ662" s="1588"/>
      <c r="DK662" s="1588"/>
      <c r="DL662" s="1588"/>
      <c r="DM662" s="1588"/>
      <c r="DN662" s="1588"/>
      <c r="DO662" s="1588"/>
      <c r="DP662" s="1588"/>
      <c r="DQ662" s="1588"/>
      <c r="DR662" s="1588"/>
      <c r="DS662" s="1588"/>
      <c r="DT662" s="1588"/>
      <c r="DU662" s="1588"/>
      <c r="DV662" s="1588"/>
      <c r="DW662" s="1588"/>
      <c r="DX662" s="1588"/>
      <c r="DY662" s="1588"/>
      <c r="DZ662" s="1588"/>
      <c r="EA662" s="1588"/>
      <c r="EB662" s="1588"/>
      <c r="EC662" s="1588"/>
      <c r="ED662" s="1588"/>
      <c r="EE662" s="1588"/>
      <c r="EF662" s="1588"/>
      <c r="EG662" s="1588"/>
      <c r="EH662" s="1588"/>
      <c r="EI662" s="1588"/>
      <c r="EJ662" s="1588"/>
      <c r="EK662" s="1588"/>
      <c r="EL662" s="1588"/>
      <c r="EM662" s="1588"/>
      <c r="EN662" s="1588"/>
      <c r="EO662" s="1588"/>
      <c r="EP662" s="1588"/>
      <c r="EQ662" s="1588"/>
      <c r="ER662" s="1588"/>
      <c r="ES662" s="1588"/>
      <c r="ET662" s="1588"/>
      <c r="EU662" s="1588"/>
      <c r="EV662" s="1588"/>
      <c r="EW662" s="1588"/>
      <c r="EX662" s="1588"/>
      <c r="EY662" s="1588"/>
      <c r="EZ662" s="1588"/>
      <c r="FA662" s="1588"/>
      <c r="FB662" s="1588"/>
      <c r="FC662" s="1588"/>
      <c r="FD662" s="1588"/>
      <c r="FE662" s="1588"/>
      <c r="FF662" s="1588"/>
      <c r="FG662" s="1588"/>
      <c r="FH662" s="1588"/>
      <c r="FI662" s="1588"/>
      <c r="FJ662" s="1588"/>
      <c r="FK662" s="1588"/>
      <c r="FL662" s="1588"/>
      <c r="FM662" s="1588"/>
      <c r="FN662" s="1588"/>
      <c r="FO662" s="1588"/>
      <c r="FP662" s="1588"/>
      <c r="FQ662" s="1588"/>
      <c r="FR662" s="1588"/>
      <c r="FS662" s="1588"/>
      <c r="FT662" s="1588"/>
      <c r="FU662" s="1588"/>
      <c r="FV662" s="1588"/>
      <c r="FW662" s="1588"/>
      <c r="FX662" s="1588"/>
      <c r="FY662" s="1588"/>
      <c r="FZ662" s="1588"/>
      <c r="GA662" s="1588"/>
      <c r="GB662" s="1588"/>
      <c r="GC662" s="1588"/>
      <c r="GD662" s="1588"/>
      <c r="GE662" s="1588"/>
      <c r="GF662" s="1588"/>
      <c r="GG662" s="1588"/>
      <c r="GH662" s="1588"/>
      <c r="GI662" s="1588"/>
      <c r="GJ662" s="1588"/>
      <c r="GK662" s="1588"/>
      <c r="GL662" s="1588"/>
      <c r="GM662" s="1588"/>
      <c r="GN662" s="1588"/>
      <c r="GO662" s="1588"/>
      <c r="GP662" s="1588"/>
      <c r="GQ662" s="1588"/>
      <c r="GR662" s="1588"/>
      <c r="GS662" s="1588"/>
      <c r="GT662" s="1588"/>
      <c r="GU662" s="1588"/>
      <c r="GV662" s="1588"/>
      <c r="GW662" s="1588"/>
      <c r="GX662" s="1588"/>
      <c r="GY662" s="1588"/>
      <c r="GZ662" s="1588"/>
      <c r="HA662" s="1588"/>
      <c r="HB662" s="1588"/>
      <c r="HC662" s="1588"/>
      <c r="HD662" s="1588"/>
      <c r="HE662" s="1588"/>
      <c r="HF662" s="1588"/>
      <c r="HG662" s="1588"/>
      <c r="HH662" s="1588"/>
      <c r="HI662" s="1588"/>
      <c r="HJ662" s="1588"/>
      <c r="HK662" s="1588"/>
      <c r="HL662" s="1588"/>
      <c r="HM662" s="1588"/>
      <c r="HN662" s="1588"/>
      <c r="HO662" s="1588"/>
      <c r="HP662" s="1588"/>
      <c r="HQ662" s="1588"/>
      <c r="HR662" s="1588"/>
      <c r="HS662" s="1588"/>
      <c r="HT662" s="1588"/>
      <c r="HU662" s="1588"/>
      <c r="HV662" s="1588"/>
      <c r="HW662" s="1588"/>
      <c r="HX662" s="1588"/>
      <c r="HY662" s="1588"/>
      <c r="HZ662" s="1588"/>
      <c r="IA662" s="1588"/>
      <c r="IB662" s="1588"/>
      <c r="IC662" s="1588"/>
      <c r="ID662" s="1588"/>
      <c r="IE662" s="1588"/>
      <c r="IF662" s="1588"/>
      <c r="IG662" s="1588"/>
      <c r="IH662" s="1588"/>
      <c r="II662" s="1588"/>
      <c r="IJ662" s="1588"/>
      <c r="IK662" s="1588"/>
      <c r="IL662" s="1588"/>
      <c r="IM662" s="1588"/>
      <c r="IN662" s="1588"/>
      <c r="IO662" s="1588"/>
      <c r="IP662" s="1588"/>
      <c r="IQ662" s="1588"/>
      <c r="IR662" s="1588"/>
      <c r="IS662" s="1588"/>
      <c r="IT662" s="1588"/>
      <c r="IU662" s="1588"/>
      <c r="IV662" s="1588"/>
    </row>
    <row r="663" spans="1:256" s="3120" customFormat="1" ht="13.5" customHeight="1">
      <c r="A663" s="3114"/>
      <c r="B663" s="3115"/>
      <c r="C663" s="3116">
        <v>4</v>
      </c>
      <c r="D663" s="3116" t="s">
        <v>279</v>
      </c>
      <c r="E663" s="3116"/>
      <c r="F663" s="3117"/>
      <c r="G663" s="300"/>
      <c r="H663" s="3118">
        <f>SUM(H664:H708)</f>
        <v>0</v>
      </c>
      <c r="I663" s="3119"/>
      <c r="L663" s="3121"/>
    </row>
    <row r="664" spans="1:256" s="888" customFormat="1" ht="13.5" customHeight="1">
      <c r="A664" s="3122" t="s">
        <v>2420</v>
      </c>
      <c r="B664" s="3123">
        <v>271</v>
      </c>
      <c r="C664" s="3123">
        <v>451541111</v>
      </c>
      <c r="D664" s="3123" t="s">
        <v>4820</v>
      </c>
      <c r="E664" s="3123" t="s">
        <v>146</v>
      </c>
      <c r="F664" s="573">
        <f>ROUND(SUM(F665),3)</f>
        <v>0.4</v>
      </c>
      <c r="G664" s="301"/>
      <c r="H664" s="568">
        <f t="shared" ref="H664" si="20">ROUND(F664*G664,2)</f>
        <v>0</v>
      </c>
      <c r="I664" s="613" t="s">
        <v>137</v>
      </c>
      <c r="J664" s="3087"/>
      <c r="K664" s="3088"/>
      <c r="L664" s="3088"/>
      <c r="M664" s="3087"/>
      <c r="N664" s="1644"/>
      <c r="O664" s="3124"/>
      <c r="BY664" s="2657"/>
      <c r="BZ664" s="2657"/>
      <c r="CA664" s="2657"/>
      <c r="CB664" s="2657"/>
      <c r="CC664" s="2657"/>
      <c r="CD664" s="2657"/>
      <c r="CE664" s="2657"/>
      <c r="CF664" s="2657"/>
      <c r="CG664" s="2657"/>
      <c r="CH664" s="2657"/>
      <c r="CI664" s="2657"/>
      <c r="CJ664" s="2657"/>
      <c r="CK664" s="2657"/>
      <c r="CL664" s="2657"/>
      <c r="CM664" s="2657"/>
      <c r="CN664" s="2657"/>
      <c r="CO664" s="2657"/>
      <c r="CP664" s="2657"/>
      <c r="CQ664" s="2657"/>
      <c r="CR664" s="2657"/>
      <c r="CS664" s="2657"/>
      <c r="CT664" s="2657"/>
      <c r="CU664" s="2657"/>
      <c r="CV664" s="2657"/>
      <c r="CW664" s="2657"/>
      <c r="CX664" s="2657"/>
      <c r="CY664" s="2657"/>
      <c r="CZ664" s="2657"/>
      <c r="DA664" s="2657"/>
      <c r="DB664" s="2657"/>
      <c r="DC664" s="2657"/>
      <c r="DD664" s="2657"/>
      <c r="DE664" s="2657"/>
      <c r="DF664" s="2657"/>
      <c r="DG664" s="2657"/>
      <c r="DH664" s="2657"/>
      <c r="DI664" s="2657"/>
      <c r="DJ664" s="2657"/>
      <c r="DK664" s="2657"/>
      <c r="DL664" s="2657"/>
      <c r="DM664" s="2657"/>
      <c r="DN664" s="2657"/>
      <c r="DO664" s="2657"/>
      <c r="DP664" s="2657"/>
      <c r="DQ664" s="2657"/>
      <c r="DR664" s="2657"/>
      <c r="DS664" s="2657"/>
      <c r="DT664" s="2657"/>
      <c r="DU664" s="2657"/>
      <c r="DV664" s="2657"/>
      <c r="DW664" s="2657"/>
      <c r="DX664" s="2657"/>
      <c r="DY664" s="2657"/>
      <c r="DZ664" s="2657"/>
      <c r="EA664" s="2657"/>
      <c r="EB664" s="2657"/>
      <c r="EC664" s="2657"/>
      <c r="ED664" s="2657"/>
      <c r="EE664" s="2657"/>
      <c r="EF664" s="2657"/>
      <c r="EG664" s="2657"/>
      <c r="EH664" s="2657"/>
      <c r="EI664" s="2657"/>
      <c r="EJ664" s="2657"/>
      <c r="EK664" s="2657"/>
      <c r="EL664" s="2657"/>
      <c r="EM664" s="2657"/>
      <c r="EN664" s="2657"/>
      <c r="EO664" s="2657"/>
      <c r="EP664" s="2657"/>
      <c r="EQ664" s="2657"/>
      <c r="ER664" s="2657"/>
      <c r="ES664" s="2657"/>
      <c r="ET664" s="2657"/>
      <c r="EU664" s="2657"/>
      <c r="EV664" s="2657"/>
      <c r="EW664" s="2657"/>
      <c r="EX664" s="2657"/>
      <c r="EY664" s="2657"/>
      <c r="EZ664" s="2657"/>
      <c r="FA664" s="2657"/>
      <c r="FB664" s="2657"/>
      <c r="FC664" s="2657"/>
      <c r="FD664" s="2657"/>
      <c r="FE664" s="2657"/>
      <c r="FF664" s="2657"/>
      <c r="FG664" s="2657"/>
      <c r="FH664" s="2657"/>
      <c r="FI664" s="2657"/>
      <c r="FJ664" s="2657"/>
      <c r="FK664" s="2657"/>
      <c r="FL664" s="2657"/>
      <c r="FM664" s="2657"/>
      <c r="FN664" s="2657"/>
      <c r="FO664" s="2657"/>
      <c r="FP664" s="2657"/>
      <c r="FQ664" s="2657"/>
      <c r="FR664" s="2657"/>
      <c r="FS664" s="2657"/>
      <c r="FT664" s="2657"/>
      <c r="FU664" s="2657"/>
      <c r="FV664" s="2657"/>
      <c r="FW664" s="2657"/>
      <c r="FX664" s="2657"/>
      <c r="FY664" s="2657"/>
      <c r="FZ664" s="2657"/>
      <c r="GA664" s="2657"/>
      <c r="GB664" s="2657"/>
      <c r="GC664" s="2657"/>
      <c r="GD664" s="2657"/>
      <c r="GE664" s="2657"/>
      <c r="GF664" s="2657"/>
      <c r="GG664" s="2657"/>
      <c r="GH664" s="2657"/>
      <c r="GI664" s="2657"/>
      <c r="GJ664" s="2657"/>
      <c r="GK664" s="2657"/>
      <c r="GL664" s="2657"/>
      <c r="GM664" s="2657"/>
      <c r="GN664" s="2657"/>
      <c r="GO664" s="2657"/>
      <c r="GP664" s="2657"/>
      <c r="GQ664" s="2657"/>
      <c r="GR664" s="2657"/>
      <c r="GS664" s="2657"/>
      <c r="GT664" s="2657"/>
      <c r="GU664" s="2657"/>
      <c r="GV664" s="2657"/>
      <c r="GW664" s="2657"/>
      <c r="GX664" s="2657"/>
      <c r="GY664" s="2657"/>
      <c r="GZ664" s="2657"/>
      <c r="HA664" s="2657"/>
      <c r="HB664" s="2657"/>
      <c r="HC664" s="2657"/>
      <c r="HD664" s="2657"/>
      <c r="HE664" s="2657"/>
      <c r="HF664" s="2657"/>
      <c r="HG664" s="2657"/>
      <c r="HH664" s="2657"/>
      <c r="HI664" s="2657"/>
      <c r="HJ664" s="2657"/>
      <c r="HK664" s="2657"/>
      <c r="HL664" s="2657"/>
      <c r="HM664" s="2657"/>
      <c r="HN664" s="2657"/>
      <c r="HO664" s="2657"/>
      <c r="HP664" s="2657"/>
      <c r="HQ664" s="2657"/>
      <c r="HR664" s="2657"/>
      <c r="HS664" s="2657"/>
      <c r="HT664" s="2657"/>
      <c r="HU664" s="2657"/>
      <c r="HV664" s="2657"/>
      <c r="HW664" s="2657"/>
      <c r="HX664" s="2657"/>
      <c r="HY664" s="2657"/>
      <c r="HZ664" s="2657"/>
      <c r="IA664" s="2657"/>
      <c r="IB664" s="2657"/>
      <c r="IC664" s="2657"/>
      <c r="ID664" s="2657"/>
      <c r="IE664" s="2657"/>
      <c r="IF664" s="2657"/>
      <c r="IG664" s="2657"/>
      <c r="IH664" s="2657"/>
      <c r="II664" s="2657"/>
      <c r="IJ664" s="2657"/>
      <c r="IK664" s="2657"/>
      <c r="IL664" s="2657"/>
      <c r="IM664" s="2657"/>
      <c r="IN664" s="2657"/>
      <c r="IO664" s="2657"/>
      <c r="IP664" s="2657"/>
      <c r="IQ664" s="2657"/>
      <c r="IR664" s="2657"/>
      <c r="IS664" s="2657"/>
      <c r="IT664" s="2657"/>
      <c r="IU664" s="2657"/>
    </row>
    <row r="665" spans="1:256" s="604" customFormat="1" ht="13.5" customHeight="1">
      <c r="A665" s="1586"/>
      <c r="B665" s="596"/>
      <c r="C665" s="597"/>
      <c r="D665" s="719" t="s">
        <v>4821</v>
      </c>
      <c r="E665" s="599"/>
      <c r="F665" s="600">
        <f>((2*2)*1)*0.1</f>
        <v>0.4</v>
      </c>
      <c r="G665" s="289"/>
      <c r="H665" s="601"/>
      <c r="I665" s="602"/>
      <c r="J665" s="3087"/>
      <c r="K665" s="3088"/>
      <c r="L665" s="3088"/>
      <c r="M665" s="3087"/>
      <c r="N665" s="1644"/>
      <c r="O665" s="1054"/>
      <c r="U665" s="605"/>
      <c r="W665" s="605"/>
    </row>
    <row r="666" spans="1:256" s="888" customFormat="1" ht="13.5" customHeight="1">
      <c r="A666" s="3122" t="s">
        <v>4822</v>
      </c>
      <c r="B666" s="3123">
        <v>271</v>
      </c>
      <c r="C666" s="3123">
        <v>451573111</v>
      </c>
      <c r="D666" s="3123" t="s">
        <v>2405</v>
      </c>
      <c r="E666" s="3123" t="s">
        <v>146</v>
      </c>
      <c r="F666" s="573">
        <f>ROUND(SUM(F668:F706),3)</f>
        <v>58.59</v>
      </c>
      <c r="G666" s="301"/>
      <c r="H666" s="568">
        <f t="shared" ref="H666" si="21">ROUND(F666*G666,2)</f>
        <v>0</v>
      </c>
      <c r="I666" s="613" t="s">
        <v>137</v>
      </c>
      <c r="J666" s="3087"/>
      <c r="K666" s="3088"/>
      <c r="L666" s="3088"/>
      <c r="M666" s="3087"/>
      <c r="N666" s="1644"/>
      <c r="O666" s="3124"/>
      <c r="BY666" s="2657"/>
      <c r="BZ666" s="2657"/>
      <c r="CA666" s="2657"/>
      <c r="CB666" s="2657"/>
      <c r="CC666" s="2657"/>
      <c r="CD666" s="2657"/>
      <c r="CE666" s="2657"/>
      <c r="CF666" s="2657"/>
      <c r="CG666" s="2657"/>
      <c r="CH666" s="2657"/>
      <c r="CI666" s="2657"/>
      <c r="CJ666" s="2657"/>
      <c r="CK666" s="2657"/>
      <c r="CL666" s="2657"/>
      <c r="CM666" s="2657"/>
      <c r="CN666" s="2657"/>
      <c r="CO666" s="2657"/>
      <c r="CP666" s="2657"/>
      <c r="CQ666" s="2657"/>
      <c r="CR666" s="2657"/>
      <c r="CS666" s="2657"/>
      <c r="CT666" s="2657"/>
      <c r="CU666" s="2657"/>
      <c r="CV666" s="2657"/>
      <c r="CW666" s="2657"/>
      <c r="CX666" s="2657"/>
      <c r="CY666" s="2657"/>
      <c r="CZ666" s="2657"/>
      <c r="DA666" s="2657"/>
      <c r="DB666" s="2657"/>
      <c r="DC666" s="2657"/>
      <c r="DD666" s="2657"/>
      <c r="DE666" s="2657"/>
      <c r="DF666" s="2657"/>
      <c r="DG666" s="2657"/>
      <c r="DH666" s="2657"/>
      <c r="DI666" s="2657"/>
      <c r="DJ666" s="2657"/>
      <c r="DK666" s="2657"/>
      <c r="DL666" s="2657"/>
      <c r="DM666" s="2657"/>
      <c r="DN666" s="2657"/>
      <c r="DO666" s="2657"/>
      <c r="DP666" s="2657"/>
      <c r="DQ666" s="2657"/>
      <c r="DR666" s="2657"/>
      <c r="DS666" s="2657"/>
      <c r="DT666" s="2657"/>
      <c r="DU666" s="2657"/>
      <c r="DV666" s="2657"/>
      <c r="DW666" s="2657"/>
      <c r="DX666" s="2657"/>
      <c r="DY666" s="2657"/>
      <c r="DZ666" s="2657"/>
      <c r="EA666" s="2657"/>
      <c r="EB666" s="2657"/>
      <c r="EC666" s="2657"/>
      <c r="ED666" s="2657"/>
      <c r="EE666" s="2657"/>
      <c r="EF666" s="2657"/>
      <c r="EG666" s="2657"/>
      <c r="EH666" s="2657"/>
      <c r="EI666" s="2657"/>
      <c r="EJ666" s="2657"/>
      <c r="EK666" s="2657"/>
      <c r="EL666" s="2657"/>
      <c r="EM666" s="2657"/>
      <c r="EN666" s="2657"/>
      <c r="EO666" s="2657"/>
      <c r="EP666" s="2657"/>
      <c r="EQ666" s="2657"/>
      <c r="ER666" s="2657"/>
      <c r="ES666" s="2657"/>
      <c r="ET666" s="2657"/>
      <c r="EU666" s="2657"/>
      <c r="EV666" s="2657"/>
      <c r="EW666" s="2657"/>
      <c r="EX666" s="2657"/>
      <c r="EY666" s="2657"/>
      <c r="EZ666" s="2657"/>
      <c r="FA666" s="2657"/>
      <c r="FB666" s="2657"/>
      <c r="FC666" s="2657"/>
      <c r="FD666" s="2657"/>
      <c r="FE666" s="2657"/>
      <c r="FF666" s="2657"/>
      <c r="FG666" s="2657"/>
      <c r="FH666" s="2657"/>
      <c r="FI666" s="2657"/>
      <c r="FJ666" s="2657"/>
      <c r="FK666" s="2657"/>
      <c r="FL666" s="2657"/>
      <c r="FM666" s="2657"/>
      <c r="FN666" s="2657"/>
      <c r="FO666" s="2657"/>
      <c r="FP666" s="2657"/>
      <c r="FQ666" s="2657"/>
      <c r="FR666" s="2657"/>
      <c r="FS666" s="2657"/>
      <c r="FT666" s="2657"/>
      <c r="FU666" s="2657"/>
      <c r="FV666" s="2657"/>
      <c r="FW666" s="2657"/>
      <c r="FX666" s="2657"/>
      <c r="FY666" s="2657"/>
      <c r="FZ666" s="2657"/>
      <c r="GA666" s="2657"/>
      <c r="GB666" s="2657"/>
      <c r="GC666" s="2657"/>
      <c r="GD666" s="2657"/>
      <c r="GE666" s="2657"/>
      <c r="GF666" s="2657"/>
      <c r="GG666" s="2657"/>
      <c r="GH666" s="2657"/>
      <c r="GI666" s="2657"/>
      <c r="GJ666" s="2657"/>
      <c r="GK666" s="2657"/>
      <c r="GL666" s="2657"/>
      <c r="GM666" s="2657"/>
      <c r="GN666" s="2657"/>
      <c r="GO666" s="2657"/>
      <c r="GP666" s="2657"/>
      <c r="GQ666" s="2657"/>
      <c r="GR666" s="2657"/>
      <c r="GS666" s="2657"/>
      <c r="GT666" s="2657"/>
      <c r="GU666" s="2657"/>
      <c r="GV666" s="2657"/>
      <c r="GW666" s="2657"/>
      <c r="GX666" s="2657"/>
      <c r="GY666" s="2657"/>
      <c r="GZ666" s="2657"/>
      <c r="HA666" s="2657"/>
      <c r="HB666" s="2657"/>
      <c r="HC666" s="2657"/>
      <c r="HD666" s="2657"/>
      <c r="HE666" s="2657"/>
      <c r="HF666" s="2657"/>
      <c r="HG666" s="2657"/>
      <c r="HH666" s="2657"/>
      <c r="HI666" s="2657"/>
      <c r="HJ666" s="2657"/>
      <c r="HK666" s="2657"/>
      <c r="HL666" s="2657"/>
      <c r="HM666" s="2657"/>
      <c r="HN666" s="2657"/>
      <c r="HO666" s="2657"/>
      <c r="HP666" s="2657"/>
      <c r="HQ666" s="2657"/>
      <c r="HR666" s="2657"/>
      <c r="HS666" s="2657"/>
      <c r="HT666" s="2657"/>
      <c r="HU666" s="2657"/>
      <c r="HV666" s="2657"/>
      <c r="HW666" s="2657"/>
      <c r="HX666" s="2657"/>
      <c r="HY666" s="2657"/>
      <c r="HZ666" s="2657"/>
      <c r="IA666" s="2657"/>
      <c r="IB666" s="2657"/>
      <c r="IC666" s="2657"/>
      <c r="ID666" s="2657"/>
      <c r="IE666" s="2657"/>
      <c r="IF666" s="2657"/>
      <c r="IG666" s="2657"/>
      <c r="IH666" s="2657"/>
      <c r="II666" s="2657"/>
      <c r="IJ666" s="2657"/>
      <c r="IK666" s="2657"/>
      <c r="IL666" s="2657"/>
      <c r="IM666" s="2657"/>
      <c r="IN666" s="2657"/>
      <c r="IO666" s="2657"/>
      <c r="IP666" s="2657"/>
      <c r="IQ666" s="2657"/>
      <c r="IR666" s="2657"/>
      <c r="IS666" s="2657"/>
      <c r="IT666" s="2657"/>
      <c r="IU666" s="2657"/>
    </row>
    <row r="667" spans="1:256" s="604" customFormat="1" ht="13.5" customHeight="1">
      <c r="A667" s="595"/>
      <c r="B667" s="596"/>
      <c r="C667" s="597"/>
      <c r="D667" s="719" t="s">
        <v>4823</v>
      </c>
      <c r="E667" s="599"/>
      <c r="F667" s="600"/>
      <c r="G667" s="289"/>
      <c r="H667" s="601"/>
      <c r="I667" s="602"/>
      <c r="J667" s="606"/>
      <c r="Q667" s="3080"/>
      <c r="R667" s="3080"/>
      <c r="U667" s="605"/>
      <c r="W667" s="605"/>
    </row>
    <row r="668" spans="1:256" s="604" customFormat="1" ht="27" customHeight="1">
      <c r="A668" s="595"/>
      <c r="B668" s="596"/>
      <c r="C668" s="597"/>
      <c r="D668" s="599" t="s">
        <v>4824</v>
      </c>
      <c r="E668" s="599"/>
      <c r="F668" s="600">
        <f>(5.2*1.2)*0.15</f>
        <v>0.93599999999999994</v>
      </c>
      <c r="G668" s="289"/>
      <c r="H668" s="2733"/>
      <c r="I668" s="602"/>
      <c r="J668" s="3081"/>
      <c r="L668" s="2584"/>
      <c r="M668" s="2584"/>
      <c r="Q668" s="2585"/>
      <c r="R668" s="2585"/>
      <c r="U668" s="605"/>
      <c r="W668" s="605"/>
    </row>
    <row r="669" spans="1:256" s="604" customFormat="1" ht="27" customHeight="1">
      <c r="A669" s="595"/>
      <c r="B669" s="596"/>
      <c r="C669" s="597"/>
      <c r="D669" s="599" t="s">
        <v>4825</v>
      </c>
      <c r="E669" s="599"/>
      <c r="F669" s="600">
        <f>(1*1.2)*0.15</f>
        <v>0.18</v>
      </c>
      <c r="G669" s="289"/>
      <c r="H669" s="2733"/>
      <c r="I669" s="602"/>
      <c r="J669" s="606"/>
      <c r="L669" s="2584"/>
      <c r="M669" s="2584"/>
      <c r="Q669" s="2585"/>
      <c r="R669" s="2585"/>
      <c r="U669" s="605"/>
      <c r="W669" s="605"/>
    </row>
    <row r="670" spans="1:256" s="604" customFormat="1" ht="27" customHeight="1">
      <c r="A670" s="595"/>
      <c r="B670" s="596"/>
      <c r="C670" s="597"/>
      <c r="D670" s="599" t="s">
        <v>4826</v>
      </c>
      <c r="E670" s="599"/>
      <c r="F670" s="600">
        <f>(4.2*1.2)*0.15</f>
        <v>0.75600000000000001</v>
      </c>
      <c r="G670" s="289"/>
      <c r="H670" s="2733"/>
      <c r="I670" s="602"/>
      <c r="J670" s="606"/>
      <c r="L670" s="2584"/>
      <c r="M670" s="2584"/>
      <c r="Q670" s="2585"/>
      <c r="R670" s="2585"/>
      <c r="U670" s="605"/>
      <c r="W670" s="605"/>
    </row>
    <row r="671" spans="1:256" s="604" customFormat="1" ht="13.5" customHeight="1">
      <c r="A671" s="595"/>
      <c r="B671" s="596"/>
      <c r="C671" s="597"/>
      <c r="D671" s="719" t="s">
        <v>4827</v>
      </c>
      <c r="E671" s="599"/>
      <c r="F671" s="600"/>
      <c r="G671" s="289"/>
      <c r="H671" s="2733"/>
      <c r="I671" s="602"/>
      <c r="J671" s="3082"/>
      <c r="L671" s="2584"/>
      <c r="M671" s="2584"/>
      <c r="Q671" s="2585"/>
      <c r="R671" s="2585"/>
      <c r="U671" s="605"/>
      <c r="W671" s="605"/>
    </row>
    <row r="672" spans="1:256" s="604" customFormat="1" ht="27" customHeight="1">
      <c r="A672" s="595"/>
      <c r="B672" s="596"/>
      <c r="C672" s="597"/>
      <c r="D672" s="599" t="s">
        <v>4828</v>
      </c>
      <c r="E672" s="599"/>
      <c r="F672" s="600">
        <f>(2.9*1.2)*0.15</f>
        <v>0.52200000000000002</v>
      </c>
      <c r="G672" s="289"/>
      <c r="H672" s="2733"/>
      <c r="I672" s="602"/>
      <c r="J672" s="2660"/>
      <c r="K672" s="2661"/>
      <c r="L672" s="3083"/>
      <c r="M672" s="3083"/>
      <c r="Q672" s="2585"/>
      <c r="R672" s="2585"/>
      <c r="U672" s="605"/>
      <c r="W672" s="605"/>
    </row>
    <row r="673" spans="1:23" s="604" customFormat="1" ht="27" customHeight="1">
      <c r="A673" s="595"/>
      <c r="B673" s="596"/>
      <c r="C673" s="597"/>
      <c r="D673" s="599" t="s">
        <v>4829</v>
      </c>
      <c r="E673" s="599"/>
      <c r="F673" s="600">
        <f>(19.3*1.2)*0.15</f>
        <v>3.4739999999999998</v>
      </c>
      <c r="G673" s="289"/>
      <c r="H673" s="2733"/>
      <c r="I673" s="602"/>
      <c r="J673" s="2660"/>
      <c r="K673" s="2661"/>
      <c r="L673" s="3083"/>
      <c r="M673" s="3083"/>
      <c r="Q673" s="2585"/>
      <c r="R673" s="2585"/>
      <c r="U673" s="605"/>
      <c r="W673" s="605"/>
    </row>
    <row r="674" spans="1:23" s="604" customFormat="1" ht="27" customHeight="1">
      <c r="A674" s="595"/>
      <c r="B674" s="596"/>
      <c r="C674" s="597"/>
      <c r="D674" s="599" t="s">
        <v>4830</v>
      </c>
      <c r="E674" s="599"/>
      <c r="F674" s="600">
        <f>(4.9*1.2)*0.15</f>
        <v>0.88200000000000001</v>
      </c>
      <c r="G674" s="289"/>
      <c r="H674" s="2733"/>
      <c r="I674" s="602"/>
      <c r="J674" s="2660"/>
      <c r="K674" s="2661"/>
      <c r="L674" s="3084"/>
      <c r="M674" s="3083"/>
      <c r="Q674" s="2585"/>
      <c r="R674" s="2585"/>
      <c r="U674" s="605"/>
      <c r="W674" s="605"/>
    </row>
    <row r="675" spans="1:23" s="604" customFormat="1" ht="27" customHeight="1">
      <c r="A675" s="595"/>
      <c r="B675" s="596"/>
      <c r="C675" s="597"/>
      <c r="D675" s="599" t="s">
        <v>4831</v>
      </c>
      <c r="E675" s="599"/>
      <c r="F675" s="600">
        <f>(10.4*1.2)*0.15</f>
        <v>1.8719999999999999</v>
      </c>
      <c r="G675" s="289"/>
      <c r="H675" s="2733"/>
      <c r="I675" s="602"/>
      <c r="J675" s="2660"/>
      <c r="K675" s="2661"/>
      <c r="L675" s="3083"/>
      <c r="M675" s="3083"/>
      <c r="Q675" s="2585"/>
      <c r="R675" s="2585"/>
      <c r="U675" s="605"/>
      <c r="W675" s="605"/>
    </row>
    <row r="676" spans="1:23" s="604" customFormat="1" ht="27" customHeight="1">
      <c r="A676" s="595"/>
      <c r="B676" s="596"/>
      <c r="C676" s="597"/>
      <c r="D676" s="599" t="s">
        <v>4832</v>
      </c>
      <c r="E676" s="599"/>
      <c r="F676" s="600">
        <f>(8.7*1.2)*0.15</f>
        <v>1.5659999999999998</v>
      </c>
      <c r="G676" s="289"/>
      <c r="H676" s="2733"/>
      <c r="I676" s="602"/>
      <c r="J676" s="606"/>
      <c r="L676" s="2584"/>
      <c r="M676" s="2584"/>
      <c r="Q676" s="2585"/>
      <c r="R676" s="2585"/>
      <c r="U676" s="605"/>
      <c r="W676" s="605"/>
    </row>
    <row r="677" spans="1:23" s="604" customFormat="1" ht="27" customHeight="1">
      <c r="A677" s="595"/>
      <c r="B677" s="596"/>
      <c r="C677" s="597"/>
      <c r="D677" s="599" t="s">
        <v>4833</v>
      </c>
      <c r="E677" s="599"/>
      <c r="F677" s="600">
        <f>(8.8*1.2)*0.15</f>
        <v>1.5840000000000001</v>
      </c>
      <c r="G677" s="289"/>
      <c r="H677" s="2733"/>
      <c r="I677" s="602"/>
      <c r="J677" s="2660"/>
      <c r="K677" s="2681"/>
      <c r="L677" s="2584"/>
      <c r="M677" s="2584"/>
      <c r="Q677" s="2585"/>
      <c r="R677" s="2585"/>
      <c r="U677" s="605"/>
      <c r="W677" s="605"/>
    </row>
    <row r="678" spans="1:23" s="604" customFormat="1" ht="27" customHeight="1">
      <c r="A678" s="595"/>
      <c r="B678" s="596"/>
      <c r="C678" s="597"/>
      <c r="D678" s="599" t="s">
        <v>4834</v>
      </c>
      <c r="E678" s="599"/>
      <c r="F678" s="600">
        <f>(5*1.2)*0.15</f>
        <v>0.89999999999999991</v>
      </c>
      <c r="G678" s="289"/>
      <c r="H678" s="2733"/>
      <c r="I678" s="602"/>
      <c r="J678" s="3085"/>
      <c r="K678" s="3086"/>
      <c r="L678" s="2584"/>
      <c r="M678" s="2584"/>
      <c r="Q678" s="2585"/>
      <c r="R678" s="2585"/>
      <c r="U678" s="605"/>
      <c r="W678" s="605"/>
    </row>
    <row r="679" spans="1:23" s="604" customFormat="1" ht="27" customHeight="1">
      <c r="A679" s="595"/>
      <c r="B679" s="596"/>
      <c r="C679" s="597"/>
      <c r="D679" s="599" t="s">
        <v>4835</v>
      </c>
      <c r="E679" s="599"/>
      <c r="F679" s="600">
        <f>(18.4*1.2)*0.15</f>
        <v>3.3119999999999998</v>
      </c>
      <c r="G679" s="289"/>
      <c r="H679" s="2733"/>
      <c r="I679" s="602"/>
      <c r="J679" s="3085"/>
      <c r="K679" s="3086"/>
      <c r="L679" s="2584"/>
      <c r="M679" s="2584"/>
      <c r="Q679" s="2585"/>
      <c r="R679" s="2585"/>
      <c r="U679" s="605"/>
      <c r="W679" s="605"/>
    </row>
    <row r="680" spans="1:23" s="604" customFormat="1" ht="27" customHeight="1">
      <c r="A680" s="595"/>
      <c r="B680" s="596"/>
      <c r="C680" s="597"/>
      <c r="D680" s="599" t="s">
        <v>4836</v>
      </c>
      <c r="E680" s="599"/>
      <c r="F680" s="600">
        <f>(7.6*1.2)*0.15</f>
        <v>1.3679999999999999</v>
      </c>
      <c r="G680" s="289"/>
      <c r="H680" s="2733"/>
      <c r="I680" s="602"/>
      <c r="J680" s="3085"/>
      <c r="K680" s="3086"/>
      <c r="L680" s="2584"/>
      <c r="M680" s="2584"/>
      <c r="Q680" s="2585"/>
      <c r="R680" s="2585"/>
      <c r="U680" s="605"/>
      <c r="W680" s="605"/>
    </row>
    <row r="681" spans="1:23" s="604" customFormat="1" ht="27" customHeight="1">
      <c r="A681" s="595"/>
      <c r="B681" s="596"/>
      <c r="C681" s="597"/>
      <c r="D681" s="599" t="s">
        <v>4837</v>
      </c>
      <c r="E681" s="599"/>
      <c r="F681" s="600">
        <f>(1.9*1.2)*0.15</f>
        <v>0.34199999999999997</v>
      </c>
      <c r="G681" s="289"/>
      <c r="H681" s="2733"/>
      <c r="I681" s="602"/>
      <c r="J681" s="3085"/>
      <c r="K681" s="3086"/>
      <c r="L681" s="2584"/>
      <c r="M681" s="2584"/>
      <c r="Q681" s="2585"/>
      <c r="R681" s="2585"/>
      <c r="U681" s="605"/>
      <c r="W681" s="605"/>
    </row>
    <row r="682" spans="1:23" s="604" customFormat="1" ht="27" customHeight="1">
      <c r="A682" s="595"/>
      <c r="B682" s="596"/>
      <c r="C682" s="597"/>
      <c r="D682" s="599" t="s">
        <v>4838</v>
      </c>
      <c r="E682" s="599"/>
      <c r="F682" s="600">
        <f>(4.8*1.2)*0.15</f>
        <v>0.86399999999999999</v>
      </c>
      <c r="G682" s="289"/>
      <c r="H682" s="2733"/>
      <c r="I682" s="602"/>
      <c r="J682" s="3085"/>
      <c r="K682" s="3086"/>
      <c r="L682" s="2584"/>
      <c r="M682" s="2584"/>
      <c r="Q682" s="2585"/>
      <c r="R682" s="2585"/>
      <c r="U682" s="605"/>
      <c r="W682" s="605"/>
    </row>
    <row r="683" spans="1:23" s="604" customFormat="1" ht="27" customHeight="1">
      <c r="A683" s="595"/>
      <c r="B683" s="596"/>
      <c r="C683" s="597"/>
      <c r="D683" s="599" t="s">
        <v>4839</v>
      </c>
      <c r="E683" s="599"/>
      <c r="F683" s="600">
        <f>(1.7*1.2)*0.15</f>
        <v>0.30599999999999999</v>
      </c>
      <c r="G683" s="289"/>
      <c r="H683" s="2733"/>
      <c r="I683" s="602"/>
      <c r="J683" s="606"/>
      <c r="L683" s="2584"/>
      <c r="M683" s="2584"/>
      <c r="Q683" s="2585"/>
      <c r="R683" s="2585"/>
      <c r="U683" s="605"/>
      <c r="W683" s="605"/>
    </row>
    <row r="684" spans="1:23" s="604" customFormat="1" ht="27" customHeight="1">
      <c r="A684" s="595"/>
      <c r="B684" s="596"/>
      <c r="C684" s="597"/>
      <c r="D684" s="599" t="s">
        <v>4840</v>
      </c>
      <c r="E684" s="599"/>
      <c r="F684" s="600">
        <f>(5*1.2)*0.15</f>
        <v>0.89999999999999991</v>
      </c>
      <c r="G684" s="289"/>
      <c r="H684" s="2733"/>
      <c r="I684" s="602"/>
      <c r="J684" s="606"/>
      <c r="L684" s="2584"/>
      <c r="M684" s="2584"/>
      <c r="Q684" s="2585"/>
      <c r="R684" s="2585"/>
      <c r="U684" s="605"/>
      <c r="W684" s="605"/>
    </row>
    <row r="685" spans="1:23" s="604" customFormat="1" ht="27" customHeight="1">
      <c r="A685" s="595"/>
      <c r="B685" s="596"/>
      <c r="C685" s="597"/>
      <c r="D685" s="599" t="s">
        <v>4841</v>
      </c>
      <c r="E685" s="599"/>
      <c r="F685" s="600">
        <f>(21.4*1.2)*0.15</f>
        <v>3.8519999999999994</v>
      </c>
      <c r="G685" s="289"/>
      <c r="H685" s="2733"/>
      <c r="I685" s="602"/>
      <c r="J685" s="606"/>
      <c r="L685" s="2584"/>
      <c r="M685" s="2584"/>
      <c r="Q685" s="2585"/>
      <c r="R685" s="2585"/>
      <c r="U685" s="605"/>
      <c r="W685" s="605"/>
    </row>
    <row r="686" spans="1:23" s="604" customFormat="1" ht="27" customHeight="1">
      <c r="A686" s="595"/>
      <c r="B686" s="596"/>
      <c r="C686" s="597"/>
      <c r="D686" s="599" t="s">
        <v>4842</v>
      </c>
      <c r="E686" s="599"/>
      <c r="F686" s="600">
        <f>(3.6*1.2)*0.15</f>
        <v>0.64800000000000002</v>
      </c>
      <c r="G686" s="289"/>
      <c r="H686" s="2733"/>
      <c r="I686" s="602"/>
      <c r="J686" s="3082"/>
      <c r="L686" s="2584"/>
      <c r="M686" s="2584"/>
      <c r="Q686" s="2585"/>
      <c r="R686" s="2585"/>
      <c r="U686" s="605"/>
      <c r="W686" s="605"/>
    </row>
    <row r="687" spans="1:23" s="604" customFormat="1" ht="13.5" customHeight="1">
      <c r="A687" s="595"/>
      <c r="B687" s="596"/>
      <c r="C687" s="597"/>
      <c r="D687" s="719" t="s">
        <v>4843</v>
      </c>
      <c r="E687" s="599"/>
      <c r="F687" s="600"/>
      <c r="G687" s="289"/>
      <c r="H687" s="2733"/>
      <c r="I687" s="602"/>
      <c r="J687" s="606"/>
      <c r="L687" s="2584"/>
      <c r="M687" s="2584"/>
      <c r="Q687" s="2585"/>
      <c r="R687" s="2585"/>
      <c r="U687" s="605"/>
      <c r="W687" s="605"/>
    </row>
    <row r="688" spans="1:23" s="604" customFormat="1" ht="27" customHeight="1">
      <c r="A688" s="595"/>
      <c r="B688" s="596"/>
      <c r="C688" s="597"/>
      <c r="D688" s="599" t="s">
        <v>4844</v>
      </c>
      <c r="E688" s="599"/>
      <c r="F688" s="600">
        <f>(1.5*1.2)*0.15</f>
        <v>0.26999999999999996</v>
      </c>
      <c r="G688" s="289"/>
      <c r="H688" s="2733"/>
      <c r="I688" s="602"/>
      <c r="J688" s="606"/>
      <c r="L688" s="2584"/>
      <c r="M688" s="2584"/>
      <c r="Q688" s="2585"/>
      <c r="R688" s="2585"/>
      <c r="U688" s="605"/>
      <c r="W688" s="605"/>
    </row>
    <row r="689" spans="1:23" s="604" customFormat="1" ht="27" customHeight="1">
      <c r="A689" s="595"/>
      <c r="B689" s="596"/>
      <c r="C689" s="597"/>
      <c r="D689" s="599" t="s">
        <v>4845</v>
      </c>
      <c r="E689" s="599"/>
      <c r="F689" s="600">
        <f>(18.2*1.2)*0.15</f>
        <v>3.2759999999999998</v>
      </c>
      <c r="G689" s="289"/>
      <c r="H689" s="2733"/>
      <c r="I689" s="602"/>
      <c r="J689" s="606"/>
      <c r="L689" s="2584"/>
      <c r="M689" s="2584"/>
      <c r="Q689" s="2585"/>
      <c r="R689" s="2585"/>
      <c r="U689" s="605"/>
      <c r="W689" s="605"/>
    </row>
    <row r="690" spans="1:23" s="604" customFormat="1" ht="27" customHeight="1">
      <c r="A690" s="595"/>
      <c r="B690" s="596"/>
      <c r="C690" s="597"/>
      <c r="D690" s="599" t="s">
        <v>4846</v>
      </c>
      <c r="E690" s="599"/>
      <c r="F690" s="600">
        <f>(5.8*1.2)*0.15</f>
        <v>1.044</v>
      </c>
      <c r="G690" s="289"/>
      <c r="H690" s="2733"/>
      <c r="I690" s="602"/>
      <c r="J690" s="606"/>
      <c r="L690" s="2584"/>
      <c r="M690" s="2584"/>
      <c r="Q690" s="2585"/>
      <c r="R690" s="2585"/>
      <c r="U690" s="605"/>
      <c r="W690" s="605"/>
    </row>
    <row r="691" spans="1:23" s="604" customFormat="1" ht="27" customHeight="1">
      <c r="A691" s="595"/>
      <c r="B691" s="596"/>
      <c r="C691" s="597"/>
      <c r="D691" s="599" t="s">
        <v>4847</v>
      </c>
      <c r="E691" s="599"/>
      <c r="F691" s="600">
        <f>(15.1*1.2)*0.15</f>
        <v>2.7179999999999995</v>
      </c>
      <c r="G691" s="289"/>
      <c r="H691" s="2733"/>
      <c r="I691" s="602"/>
      <c r="J691" s="606"/>
      <c r="L691" s="2584"/>
      <c r="M691" s="2584"/>
      <c r="Q691" s="2585"/>
      <c r="R691" s="2585"/>
      <c r="U691" s="605"/>
      <c r="W691" s="605"/>
    </row>
    <row r="692" spans="1:23" s="604" customFormat="1" ht="27" customHeight="1">
      <c r="A692" s="595"/>
      <c r="B692" s="596"/>
      <c r="C692" s="597"/>
      <c r="D692" s="599" t="s">
        <v>4848</v>
      </c>
      <c r="E692" s="599"/>
      <c r="F692" s="600">
        <f>(9.5*1.2)*0.15</f>
        <v>1.71</v>
      </c>
      <c r="G692" s="289"/>
      <c r="H692" s="2733"/>
      <c r="I692" s="602"/>
      <c r="J692" s="606"/>
      <c r="L692" s="2584"/>
      <c r="M692" s="2584"/>
      <c r="Q692" s="2585"/>
      <c r="R692" s="2585"/>
      <c r="U692" s="605"/>
      <c r="W692" s="605"/>
    </row>
    <row r="693" spans="1:23" s="604" customFormat="1" ht="27" customHeight="1">
      <c r="A693" s="595"/>
      <c r="B693" s="596"/>
      <c r="C693" s="597"/>
      <c r="D693" s="599" t="s">
        <v>4849</v>
      </c>
      <c r="E693" s="599"/>
      <c r="F693" s="600">
        <f>(3.9*1.2)*0.15</f>
        <v>0.70199999999999996</v>
      </c>
      <c r="G693" s="289"/>
      <c r="H693" s="2733"/>
      <c r="I693" s="602"/>
      <c r="J693" s="606"/>
      <c r="L693" s="2584"/>
      <c r="M693" s="2584"/>
      <c r="Q693" s="2585"/>
      <c r="R693" s="2585"/>
      <c r="U693" s="605"/>
      <c r="W693" s="605"/>
    </row>
    <row r="694" spans="1:23" s="604" customFormat="1" ht="27" customHeight="1">
      <c r="A694" s="595"/>
      <c r="B694" s="596"/>
      <c r="C694" s="597"/>
      <c r="D694" s="599" t="s">
        <v>4850</v>
      </c>
      <c r="E694" s="599"/>
      <c r="F694" s="600">
        <f>(11.4*1.2)*0.15</f>
        <v>2.052</v>
      </c>
      <c r="G694" s="289"/>
      <c r="H694" s="2733"/>
      <c r="I694" s="602"/>
      <c r="J694" s="606"/>
      <c r="L694" s="2584"/>
      <c r="M694" s="2584"/>
      <c r="Q694" s="2585"/>
      <c r="R694" s="2585"/>
      <c r="U694" s="605"/>
      <c r="W694" s="605"/>
    </row>
    <row r="695" spans="1:23" s="604" customFormat="1" ht="27" customHeight="1">
      <c r="A695" s="595"/>
      <c r="B695" s="596"/>
      <c r="C695" s="597"/>
      <c r="D695" s="599" t="s">
        <v>4851</v>
      </c>
      <c r="E695" s="599"/>
      <c r="F695" s="600">
        <f>(8.4*1.2)*0.15</f>
        <v>1.512</v>
      </c>
      <c r="G695" s="289"/>
      <c r="H695" s="2733"/>
      <c r="I695" s="602"/>
      <c r="J695" s="606"/>
      <c r="L695" s="2584"/>
      <c r="M695" s="2584"/>
      <c r="Q695" s="2585"/>
      <c r="R695" s="2585"/>
      <c r="U695" s="605"/>
      <c r="W695" s="605"/>
    </row>
    <row r="696" spans="1:23" s="604" customFormat="1" ht="27" customHeight="1">
      <c r="A696" s="595"/>
      <c r="B696" s="596"/>
      <c r="C696" s="597"/>
      <c r="D696" s="599" t="s">
        <v>4852</v>
      </c>
      <c r="E696" s="599"/>
      <c r="F696" s="600">
        <f>(1*1.2)*0.15</f>
        <v>0.18</v>
      </c>
      <c r="G696" s="289"/>
      <c r="H696" s="2733"/>
      <c r="I696" s="602"/>
      <c r="J696" s="606"/>
      <c r="L696" s="2584"/>
      <c r="M696" s="2584"/>
      <c r="Q696" s="2585"/>
      <c r="R696" s="2585"/>
      <c r="U696" s="605"/>
      <c r="W696" s="605"/>
    </row>
    <row r="697" spans="1:23" s="604" customFormat="1" ht="27" customHeight="1">
      <c r="A697" s="595"/>
      <c r="B697" s="596"/>
      <c r="C697" s="597"/>
      <c r="D697" s="599" t="s">
        <v>4853</v>
      </c>
      <c r="E697" s="599"/>
      <c r="F697" s="600">
        <f>(7.8*1.2)*0.15</f>
        <v>1.4039999999999999</v>
      </c>
      <c r="G697" s="289"/>
      <c r="H697" s="2733"/>
      <c r="I697" s="602"/>
      <c r="J697" s="606"/>
      <c r="L697" s="2584"/>
      <c r="M697" s="2584"/>
      <c r="Q697" s="2585"/>
      <c r="R697" s="2585"/>
      <c r="U697" s="605"/>
      <c r="W697" s="605"/>
    </row>
    <row r="698" spans="1:23" s="604" customFormat="1" ht="27" customHeight="1">
      <c r="A698" s="595"/>
      <c r="B698" s="596"/>
      <c r="C698" s="597"/>
      <c r="D698" s="599" t="s">
        <v>4854</v>
      </c>
      <c r="E698" s="599"/>
      <c r="F698" s="600">
        <f>(19.7*1.2)*0.15</f>
        <v>3.5459999999999994</v>
      </c>
      <c r="G698" s="289"/>
      <c r="H698" s="2733"/>
      <c r="I698" s="602"/>
      <c r="J698" s="606"/>
      <c r="L698" s="2584"/>
      <c r="M698" s="2584"/>
      <c r="Q698" s="2585"/>
      <c r="R698" s="2585"/>
      <c r="U698" s="605"/>
      <c r="W698" s="605"/>
    </row>
    <row r="699" spans="1:23" s="604" customFormat="1" ht="27" customHeight="1">
      <c r="A699" s="595"/>
      <c r="B699" s="596"/>
      <c r="C699" s="597"/>
      <c r="D699" s="599" t="s">
        <v>4855</v>
      </c>
      <c r="E699" s="599"/>
      <c r="F699" s="600">
        <f>(25*1.2)*0.15</f>
        <v>4.5</v>
      </c>
      <c r="G699" s="289"/>
      <c r="H699" s="2733"/>
      <c r="I699" s="602"/>
      <c r="J699" s="606"/>
      <c r="L699" s="2584"/>
      <c r="M699" s="2584"/>
      <c r="Q699" s="2585"/>
      <c r="R699" s="2585"/>
      <c r="U699" s="605"/>
      <c r="W699" s="605"/>
    </row>
    <row r="700" spans="1:23" s="604" customFormat="1" ht="27" customHeight="1">
      <c r="A700" s="595"/>
      <c r="B700" s="596"/>
      <c r="C700" s="597"/>
      <c r="D700" s="599" t="s">
        <v>4856</v>
      </c>
      <c r="E700" s="599"/>
      <c r="F700" s="600">
        <f>(2.1*1.2)*0.15</f>
        <v>0.378</v>
      </c>
      <c r="G700" s="289"/>
      <c r="H700" s="2733"/>
      <c r="I700" s="602"/>
      <c r="J700" s="606"/>
      <c r="L700" s="2584"/>
      <c r="M700" s="2584"/>
      <c r="Q700" s="2585"/>
      <c r="R700" s="2585"/>
      <c r="U700" s="605"/>
      <c r="W700" s="605"/>
    </row>
    <row r="701" spans="1:23" s="604" customFormat="1" ht="27" customHeight="1">
      <c r="A701" s="595"/>
      <c r="B701" s="596"/>
      <c r="C701" s="597"/>
      <c r="D701" s="599" t="s">
        <v>4857</v>
      </c>
      <c r="E701" s="599"/>
      <c r="F701" s="600">
        <f>(2.5*1.2)*0.15</f>
        <v>0.44999999999999996</v>
      </c>
      <c r="G701" s="289"/>
      <c r="H701" s="2733"/>
      <c r="I701" s="602"/>
      <c r="J701" s="606"/>
      <c r="L701" s="2584"/>
      <c r="M701" s="2584"/>
      <c r="Q701" s="2585"/>
      <c r="R701" s="2585"/>
      <c r="U701" s="605"/>
      <c r="W701" s="605"/>
    </row>
    <row r="702" spans="1:23" s="604" customFormat="1" ht="27" customHeight="1">
      <c r="A702" s="595"/>
      <c r="B702" s="596"/>
      <c r="C702" s="597"/>
      <c r="D702" s="599" t="s">
        <v>4858</v>
      </c>
      <c r="E702" s="599"/>
      <c r="F702" s="600">
        <f>(4.6*1.2)*0.15</f>
        <v>0.82799999999999996</v>
      </c>
      <c r="G702" s="289"/>
      <c r="H702" s="2733"/>
      <c r="I702" s="602"/>
      <c r="J702" s="606"/>
      <c r="L702" s="2584"/>
      <c r="M702" s="2584"/>
      <c r="Q702" s="2585"/>
      <c r="R702" s="2585"/>
      <c r="U702" s="605"/>
      <c r="W702" s="605"/>
    </row>
    <row r="703" spans="1:23" s="604" customFormat="1" ht="27" customHeight="1">
      <c r="A703" s="595"/>
      <c r="B703" s="596"/>
      <c r="C703" s="597"/>
      <c r="D703" s="599" t="s">
        <v>4859</v>
      </c>
      <c r="E703" s="599"/>
      <c r="F703" s="600">
        <f>(6.2*1.2)*0.15</f>
        <v>1.1159999999999999</v>
      </c>
      <c r="G703" s="289"/>
      <c r="H703" s="2733"/>
      <c r="I703" s="602"/>
      <c r="J703" s="606"/>
      <c r="L703" s="2584"/>
      <c r="M703" s="2584"/>
      <c r="Q703" s="2585"/>
      <c r="R703" s="2585"/>
      <c r="U703" s="605"/>
      <c r="W703" s="605"/>
    </row>
    <row r="704" spans="1:23" s="604" customFormat="1" ht="27" customHeight="1">
      <c r="A704" s="595"/>
      <c r="B704" s="596"/>
      <c r="C704" s="597"/>
      <c r="D704" s="599" t="s">
        <v>4860</v>
      </c>
      <c r="E704" s="599"/>
      <c r="F704" s="600">
        <f>(3.2*1.2)*0.15</f>
        <v>0.57599999999999996</v>
      </c>
      <c r="G704" s="289"/>
      <c r="H704" s="2733"/>
      <c r="I704" s="602"/>
      <c r="J704" s="3082"/>
      <c r="L704" s="2584"/>
      <c r="M704" s="2584"/>
      <c r="Q704" s="2585"/>
      <c r="R704" s="2585"/>
      <c r="U704" s="605"/>
      <c r="W704" s="605"/>
    </row>
    <row r="705" spans="1:255" s="604" customFormat="1" ht="13.5" customHeight="1">
      <c r="A705" s="1586"/>
      <c r="B705" s="596"/>
      <c r="C705" s="3125"/>
      <c r="D705" s="599" t="s">
        <v>4861</v>
      </c>
      <c r="E705" s="599"/>
      <c r="F705" s="600"/>
      <c r="G705" s="302"/>
      <c r="H705" s="601"/>
      <c r="I705" s="602"/>
      <c r="J705" s="2660"/>
      <c r="K705" s="2661"/>
      <c r="L705" s="3084"/>
      <c r="M705" s="3083"/>
      <c r="N705" s="1644"/>
      <c r="O705" s="888"/>
      <c r="U705" s="605"/>
      <c r="W705" s="605"/>
    </row>
    <row r="706" spans="1:255" s="604" customFormat="1" ht="13.5" customHeight="1">
      <c r="A706" s="1586"/>
      <c r="B706" s="596"/>
      <c r="C706" s="3125"/>
      <c r="D706" s="599" t="s">
        <v>4862</v>
      </c>
      <c r="E706" s="599"/>
      <c r="F706" s="600">
        <f>((1.6*1.6)*0.15)*21</f>
        <v>8.0640000000000018</v>
      </c>
      <c r="G706" s="302"/>
      <c r="H706" s="601"/>
      <c r="I706" s="602"/>
      <c r="J706" s="2660"/>
      <c r="K706" s="2661"/>
      <c r="L706" s="3084"/>
      <c r="M706" s="3083"/>
      <c r="N706" s="1644"/>
      <c r="O706" s="888"/>
      <c r="U706" s="605"/>
      <c r="W706" s="605"/>
    </row>
    <row r="707" spans="1:255" s="888" customFormat="1" ht="13.5" customHeight="1">
      <c r="A707" s="3122" t="s">
        <v>4863</v>
      </c>
      <c r="B707" s="3123">
        <v>271</v>
      </c>
      <c r="C707" s="3123">
        <v>452311131</v>
      </c>
      <c r="D707" s="3123" t="s">
        <v>4864</v>
      </c>
      <c r="E707" s="3123" t="s">
        <v>146</v>
      </c>
      <c r="F707" s="573">
        <f>ROUND(SUM(F708),3)</f>
        <v>0.42</v>
      </c>
      <c r="G707" s="301"/>
      <c r="H707" s="568">
        <f t="shared" ref="H707" si="22">ROUND(F707*G707,2)</f>
        <v>0</v>
      </c>
      <c r="I707" s="613" t="s">
        <v>137</v>
      </c>
      <c r="J707" s="2747"/>
      <c r="BY707" s="2657"/>
      <c r="BZ707" s="2657"/>
      <c r="CA707" s="2657"/>
      <c r="CB707" s="2657"/>
      <c r="CC707" s="2657"/>
      <c r="CD707" s="2657"/>
      <c r="CE707" s="2657"/>
      <c r="CF707" s="2657"/>
      <c r="CG707" s="2657"/>
      <c r="CH707" s="2657"/>
      <c r="CI707" s="2657"/>
      <c r="CJ707" s="2657"/>
      <c r="CK707" s="2657"/>
      <c r="CL707" s="2657"/>
      <c r="CM707" s="2657"/>
      <c r="CN707" s="2657"/>
      <c r="CO707" s="2657"/>
      <c r="CP707" s="2657"/>
      <c r="CQ707" s="2657"/>
      <c r="CR707" s="2657"/>
      <c r="CS707" s="2657"/>
      <c r="CT707" s="2657"/>
      <c r="CU707" s="2657"/>
      <c r="CV707" s="2657"/>
      <c r="CW707" s="2657"/>
      <c r="CX707" s="2657"/>
      <c r="CY707" s="2657"/>
      <c r="CZ707" s="2657"/>
      <c r="DA707" s="2657"/>
      <c r="DB707" s="2657"/>
      <c r="DC707" s="2657"/>
      <c r="DD707" s="2657"/>
      <c r="DE707" s="2657"/>
      <c r="DF707" s="2657"/>
      <c r="DG707" s="2657"/>
      <c r="DH707" s="2657"/>
      <c r="DI707" s="2657"/>
      <c r="DJ707" s="2657"/>
      <c r="DK707" s="2657"/>
      <c r="DL707" s="2657"/>
      <c r="DM707" s="2657"/>
      <c r="DN707" s="2657"/>
      <c r="DO707" s="2657"/>
      <c r="DP707" s="2657"/>
      <c r="DQ707" s="2657"/>
      <c r="DR707" s="2657"/>
      <c r="DS707" s="2657"/>
      <c r="DT707" s="2657"/>
      <c r="DU707" s="2657"/>
      <c r="DV707" s="2657"/>
      <c r="DW707" s="2657"/>
      <c r="DX707" s="2657"/>
      <c r="DY707" s="2657"/>
      <c r="DZ707" s="2657"/>
      <c r="EA707" s="2657"/>
      <c r="EB707" s="2657"/>
      <c r="EC707" s="2657"/>
      <c r="ED707" s="2657"/>
      <c r="EE707" s="2657"/>
      <c r="EF707" s="2657"/>
      <c r="EG707" s="2657"/>
      <c r="EH707" s="2657"/>
      <c r="EI707" s="2657"/>
      <c r="EJ707" s="2657"/>
      <c r="EK707" s="2657"/>
      <c r="EL707" s="2657"/>
      <c r="EM707" s="2657"/>
      <c r="EN707" s="2657"/>
      <c r="EO707" s="2657"/>
      <c r="EP707" s="2657"/>
      <c r="EQ707" s="2657"/>
      <c r="ER707" s="2657"/>
      <c r="ES707" s="2657"/>
      <c r="ET707" s="2657"/>
      <c r="EU707" s="2657"/>
      <c r="EV707" s="2657"/>
      <c r="EW707" s="2657"/>
      <c r="EX707" s="2657"/>
      <c r="EY707" s="2657"/>
      <c r="EZ707" s="2657"/>
      <c r="FA707" s="2657"/>
      <c r="FB707" s="2657"/>
      <c r="FC707" s="2657"/>
      <c r="FD707" s="2657"/>
      <c r="FE707" s="2657"/>
      <c r="FF707" s="2657"/>
      <c r="FG707" s="2657"/>
      <c r="FH707" s="2657"/>
      <c r="FI707" s="2657"/>
      <c r="FJ707" s="2657"/>
      <c r="FK707" s="2657"/>
      <c r="FL707" s="2657"/>
      <c r="FM707" s="2657"/>
      <c r="FN707" s="2657"/>
      <c r="FO707" s="2657"/>
      <c r="FP707" s="2657"/>
      <c r="FQ707" s="2657"/>
      <c r="FR707" s="2657"/>
      <c r="FS707" s="2657"/>
      <c r="FT707" s="2657"/>
      <c r="FU707" s="2657"/>
      <c r="FV707" s="2657"/>
      <c r="FW707" s="2657"/>
      <c r="FX707" s="2657"/>
      <c r="FY707" s="2657"/>
      <c r="FZ707" s="2657"/>
      <c r="GA707" s="2657"/>
      <c r="GB707" s="2657"/>
      <c r="GC707" s="2657"/>
      <c r="GD707" s="2657"/>
      <c r="GE707" s="2657"/>
      <c r="GF707" s="2657"/>
      <c r="GG707" s="2657"/>
      <c r="GH707" s="2657"/>
      <c r="GI707" s="2657"/>
      <c r="GJ707" s="2657"/>
      <c r="GK707" s="2657"/>
      <c r="GL707" s="2657"/>
      <c r="GM707" s="2657"/>
      <c r="GN707" s="2657"/>
      <c r="GO707" s="2657"/>
      <c r="GP707" s="2657"/>
      <c r="GQ707" s="2657"/>
      <c r="GR707" s="2657"/>
      <c r="GS707" s="2657"/>
      <c r="GT707" s="2657"/>
      <c r="GU707" s="2657"/>
      <c r="GV707" s="2657"/>
      <c r="GW707" s="2657"/>
      <c r="GX707" s="2657"/>
      <c r="GY707" s="2657"/>
      <c r="GZ707" s="2657"/>
      <c r="HA707" s="2657"/>
      <c r="HB707" s="2657"/>
      <c r="HC707" s="2657"/>
      <c r="HD707" s="2657"/>
      <c r="HE707" s="2657"/>
      <c r="HF707" s="2657"/>
      <c r="HG707" s="2657"/>
      <c r="HH707" s="2657"/>
      <c r="HI707" s="2657"/>
      <c r="HJ707" s="2657"/>
      <c r="HK707" s="2657"/>
      <c r="HL707" s="2657"/>
      <c r="HM707" s="2657"/>
      <c r="HN707" s="2657"/>
      <c r="HO707" s="2657"/>
      <c r="HP707" s="2657"/>
      <c r="HQ707" s="2657"/>
      <c r="HR707" s="2657"/>
      <c r="HS707" s="2657"/>
      <c r="HT707" s="2657"/>
      <c r="HU707" s="2657"/>
      <c r="HV707" s="2657"/>
      <c r="HW707" s="2657"/>
      <c r="HX707" s="2657"/>
      <c r="HY707" s="2657"/>
      <c r="HZ707" s="2657"/>
      <c r="IA707" s="2657"/>
      <c r="IB707" s="2657"/>
      <c r="IC707" s="2657"/>
      <c r="ID707" s="2657"/>
      <c r="IE707" s="2657"/>
      <c r="IF707" s="2657"/>
      <c r="IG707" s="2657"/>
      <c r="IH707" s="2657"/>
      <c r="II707" s="2657"/>
      <c r="IJ707" s="2657"/>
      <c r="IK707" s="2657"/>
      <c r="IL707" s="2657"/>
      <c r="IM707" s="2657"/>
      <c r="IN707" s="2657"/>
      <c r="IO707" s="2657"/>
      <c r="IP707" s="2657"/>
      <c r="IQ707" s="2657"/>
      <c r="IR707" s="2657"/>
      <c r="IS707" s="2657"/>
      <c r="IT707" s="2657"/>
      <c r="IU707" s="2657"/>
    </row>
    <row r="708" spans="1:255" s="604" customFormat="1" ht="27" customHeight="1">
      <c r="A708" s="1586"/>
      <c r="B708" s="596"/>
      <c r="C708" s="597"/>
      <c r="D708" s="719" t="s">
        <v>4865</v>
      </c>
      <c r="E708" s="599"/>
      <c r="F708" s="600">
        <f>(((2*2)*0.1)*1)*1.05</f>
        <v>0.42000000000000004</v>
      </c>
      <c r="G708" s="289"/>
      <c r="H708" s="601"/>
      <c r="I708" s="602"/>
      <c r="J708" s="606"/>
      <c r="U708" s="605"/>
      <c r="W708" s="605"/>
    </row>
    <row r="709" spans="1:255" s="612" customFormat="1" ht="13.5" customHeight="1">
      <c r="A709" s="608"/>
      <c r="B709" s="557"/>
      <c r="C709" s="616" t="s">
        <v>1171</v>
      </c>
      <c r="D709" s="616" t="s">
        <v>1646</v>
      </c>
      <c r="E709" s="616"/>
      <c r="F709" s="617"/>
      <c r="G709" s="303"/>
      <c r="H709" s="828">
        <f>SUM(H710:H926)</f>
        <v>0</v>
      </c>
      <c r="I709" s="613"/>
      <c r="J709" s="637"/>
      <c r="AF709" s="604"/>
      <c r="AG709" s="604"/>
    </row>
    <row r="710" spans="1:255" s="612" customFormat="1" ht="13.5" customHeight="1">
      <c r="A710" s="608">
        <v>29</v>
      </c>
      <c r="B710" s="557">
        <v>271</v>
      </c>
      <c r="C710" s="557" t="s">
        <v>4866</v>
      </c>
      <c r="D710" s="557" t="s">
        <v>4867</v>
      </c>
      <c r="E710" s="557" t="s">
        <v>141</v>
      </c>
      <c r="F710" s="566">
        <f>ROUND(SUM(F713:F746),3)</f>
        <v>300.52</v>
      </c>
      <c r="G710" s="288"/>
      <c r="H710" s="568">
        <f t="shared" ref="H710" si="23">ROUND(F710*G710,2)</f>
        <v>0</v>
      </c>
      <c r="I710" s="613" t="s">
        <v>111</v>
      </c>
      <c r="J710" s="2660"/>
      <c r="K710" s="3126"/>
      <c r="L710" s="604"/>
      <c r="M710" s="604"/>
      <c r="N710" s="604"/>
      <c r="O710" s="604"/>
      <c r="P710" s="604"/>
      <c r="Q710" s="604"/>
      <c r="R710" s="604"/>
      <c r="S710" s="604"/>
      <c r="T710" s="2585"/>
      <c r="U710" s="3127"/>
      <c r="V710" s="3128"/>
      <c r="W710" s="3128"/>
      <c r="X710" s="3128"/>
      <c r="Y710" s="3128"/>
      <c r="Z710" s="3128"/>
      <c r="AA710" s="3128"/>
      <c r="AB710" s="3128"/>
      <c r="AC710" s="3128"/>
      <c r="AD710" s="3128"/>
      <c r="AE710" s="3129"/>
      <c r="AF710" s="604"/>
      <c r="AG710" s="604"/>
    </row>
    <row r="711" spans="1:255" s="604" customFormat="1" ht="13.5" customHeight="1">
      <c r="A711" s="595"/>
      <c r="B711" s="596"/>
      <c r="C711" s="597"/>
      <c r="D711" s="719" t="s">
        <v>4868</v>
      </c>
      <c r="E711" s="599"/>
      <c r="F711" s="600"/>
      <c r="G711" s="289"/>
      <c r="H711" s="601"/>
      <c r="I711" s="2846"/>
      <c r="J711" s="2660"/>
      <c r="K711" s="3126"/>
      <c r="T711" s="2585"/>
      <c r="U711" s="605"/>
      <c r="W711" s="605"/>
    </row>
    <row r="712" spans="1:255" s="604" customFormat="1" ht="13.5" customHeight="1">
      <c r="A712" s="595"/>
      <c r="B712" s="596"/>
      <c r="C712" s="597"/>
      <c r="D712" s="719" t="s">
        <v>4869</v>
      </c>
      <c r="E712" s="599"/>
      <c r="F712" s="600"/>
      <c r="G712" s="289"/>
      <c r="H712" s="2733"/>
      <c r="I712" s="602"/>
      <c r="J712" s="2660"/>
      <c r="K712" s="2681"/>
      <c r="Q712" s="2585"/>
      <c r="R712" s="2585"/>
      <c r="U712" s="605"/>
      <c r="W712" s="605"/>
    </row>
    <row r="713" spans="1:255" s="604" customFormat="1" ht="13.5" customHeight="1">
      <c r="A713" s="595"/>
      <c r="B713" s="596"/>
      <c r="C713" s="597"/>
      <c r="D713" s="599" t="s">
        <v>4870</v>
      </c>
      <c r="E713" s="599"/>
      <c r="F713" s="600">
        <f>(5.2)*1.1</f>
        <v>5.7200000000000006</v>
      </c>
      <c r="G713" s="289"/>
      <c r="H713" s="2733"/>
      <c r="I713" s="602"/>
      <c r="J713" s="2660"/>
      <c r="K713" s="2681"/>
      <c r="Q713" s="2585"/>
      <c r="R713" s="2585"/>
      <c r="U713" s="605"/>
      <c r="W713" s="605"/>
    </row>
    <row r="714" spans="1:255" s="604" customFormat="1" ht="13.5" customHeight="1">
      <c r="A714" s="595"/>
      <c r="B714" s="596"/>
      <c r="C714" s="597"/>
      <c r="D714" s="599" t="s">
        <v>4871</v>
      </c>
      <c r="E714" s="599"/>
      <c r="F714" s="600">
        <f>(1)*1.1</f>
        <v>1.1000000000000001</v>
      </c>
      <c r="G714" s="289"/>
      <c r="H714" s="2733"/>
      <c r="I714" s="602"/>
      <c r="J714" s="606"/>
      <c r="L714" s="2584"/>
      <c r="M714" s="2584"/>
      <c r="Q714" s="2585"/>
      <c r="R714" s="2585"/>
      <c r="U714" s="605"/>
      <c r="W714" s="605"/>
    </row>
    <row r="715" spans="1:255" s="604" customFormat="1" ht="13.5" customHeight="1">
      <c r="A715" s="595"/>
      <c r="B715" s="596"/>
      <c r="C715" s="597"/>
      <c r="D715" s="599" t="s">
        <v>4872</v>
      </c>
      <c r="E715" s="599"/>
      <c r="F715" s="600">
        <f>(4.2)*1.1</f>
        <v>4.620000000000001</v>
      </c>
      <c r="G715" s="289"/>
      <c r="H715" s="2733"/>
      <c r="I715" s="602"/>
      <c r="J715" s="606"/>
      <c r="L715" s="2584"/>
      <c r="M715" s="2584"/>
      <c r="Q715" s="2585"/>
      <c r="R715" s="2585"/>
      <c r="U715" s="605"/>
      <c r="W715" s="605"/>
    </row>
    <row r="716" spans="1:255" s="604" customFormat="1" ht="13.5" customHeight="1">
      <c r="A716" s="595"/>
      <c r="B716" s="596"/>
      <c r="C716" s="597"/>
      <c r="D716" s="719" t="s">
        <v>4873</v>
      </c>
      <c r="E716" s="599"/>
      <c r="F716" s="600"/>
      <c r="G716" s="289"/>
      <c r="H716" s="2733"/>
      <c r="I716" s="602"/>
      <c r="J716" s="3082"/>
      <c r="L716" s="2584"/>
      <c r="M716" s="2584"/>
      <c r="Q716" s="2585"/>
      <c r="R716" s="2585"/>
      <c r="U716" s="605"/>
      <c r="W716" s="605"/>
    </row>
    <row r="717" spans="1:255" s="604" customFormat="1" ht="13.5" customHeight="1">
      <c r="A717" s="595"/>
      <c r="B717" s="596"/>
      <c r="C717" s="597"/>
      <c r="D717" s="599" t="s">
        <v>4874</v>
      </c>
      <c r="E717" s="599"/>
      <c r="F717" s="600">
        <f>(2.9)*1.1</f>
        <v>3.19</v>
      </c>
      <c r="G717" s="289"/>
      <c r="H717" s="2733"/>
      <c r="I717" s="602"/>
      <c r="J717" s="2660"/>
      <c r="K717" s="2661"/>
      <c r="L717" s="3083"/>
      <c r="M717" s="3083"/>
      <c r="Q717" s="2585"/>
      <c r="R717" s="2585"/>
      <c r="U717" s="605"/>
      <c r="W717" s="605"/>
    </row>
    <row r="718" spans="1:255" s="604" customFormat="1" ht="13.5" customHeight="1">
      <c r="A718" s="595"/>
      <c r="B718" s="596"/>
      <c r="C718" s="597"/>
      <c r="D718" s="599" t="s">
        <v>4875</v>
      </c>
      <c r="E718" s="599"/>
      <c r="F718" s="600">
        <f>(19.3)*1.1</f>
        <v>21.230000000000004</v>
      </c>
      <c r="G718" s="289"/>
      <c r="H718" s="2733"/>
      <c r="I718" s="602"/>
      <c r="J718" s="2660"/>
      <c r="K718" s="2661"/>
      <c r="L718" s="3083"/>
      <c r="M718" s="3083"/>
      <c r="Q718" s="2585"/>
      <c r="R718" s="2585"/>
      <c r="U718" s="605"/>
      <c r="W718" s="605"/>
    </row>
    <row r="719" spans="1:255" s="604" customFormat="1" ht="13.5" customHeight="1">
      <c r="A719" s="595"/>
      <c r="B719" s="596"/>
      <c r="C719" s="597"/>
      <c r="D719" s="599" t="s">
        <v>4876</v>
      </c>
      <c r="E719" s="599"/>
      <c r="F719" s="600">
        <f>(4.9)*1.1</f>
        <v>5.3900000000000006</v>
      </c>
      <c r="G719" s="289"/>
      <c r="H719" s="2733"/>
      <c r="I719" s="602"/>
      <c r="J719" s="2660"/>
      <c r="K719" s="2661"/>
      <c r="L719" s="3084"/>
      <c r="M719" s="3083"/>
      <c r="Q719" s="2585"/>
      <c r="R719" s="2585"/>
      <c r="U719" s="605"/>
      <c r="W719" s="605"/>
    </row>
    <row r="720" spans="1:255" s="604" customFormat="1" ht="13.5" customHeight="1">
      <c r="A720" s="595"/>
      <c r="B720" s="596"/>
      <c r="C720" s="597"/>
      <c r="D720" s="599" t="s">
        <v>4877</v>
      </c>
      <c r="E720" s="599"/>
      <c r="F720" s="600">
        <f>(10.4)*1.1</f>
        <v>11.440000000000001</v>
      </c>
      <c r="G720" s="289"/>
      <c r="H720" s="2733"/>
      <c r="I720" s="602"/>
      <c r="J720" s="2660"/>
      <c r="K720" s="2661"/>
      <c r="L720" s="3083"/>
      <c r="M720" s="3083"/>
      <c r="Q720" s="2585"/>
      <c r="R720" s="2585"/>
      <c r="U720" s="605"/>
      <c r="W720" s="605"/>
    </row>
    <row r="721" spans="1:23" s="604" customFormat="1" ht="13.5" customHeight="1">
      <c r="A721" s="595"/>
      <c r="B721" s="596"/>
      <c r="C721" s="597"/>
      <c r="D721" s="599" t="s">
        <v>4878</v>
      </c>
      <c r="E721" s="599"/>
      <c r="F721" s="600">
        <f>(8.7)*1.1</f>
        <v>9.57</v>
      </c>
      <c r="G721" s="289"/>
      <c r="H721" s="2733"/>
      <c r="I721" s="602"/>
      <c r="J721" s="606"/>
      <c r="L721" s="2584"/>
      <c r="M721" s="2584"/>
      <c r="Q721" s="2585"/>
      <c r="R721" s="2585"/>
      <c r="U721" s="605"/>
      <c r="W721" s="605"/>
    </row>
    <row r="722" spans="1:23" s="604" customFormat="1" ht="13.5" customHeight="1">
      <c r="A722" s="595"/>
      <c r="B722" s="596"/>
      <c r="C722" s="597"/>
      <c r="D722" s="599" t="s">
        <v>4879</v>
      </c>
      <c r="E722" s="599"/>
      <c r="F722" s="600">
        <f>(8.8)*1.1</f>
        <v>9.6800000000000015</v>
      </c>
      <c r="G722" s="289"/>
      <c r="H722" s="2733"/>
      <c r="I722" s="602"/>
      <c r="J722" s="2660"/>
      <c r="K722" s="2681"/>
      <c r="L722" s="2584"/>
      <c r="M722" s="2584"/>
      <c r="Q722" s="2585"/>
      <c r="R722" s="2585"/>
      <c r="U722" s="605"/>
      <c r="W722" s="605"/>
    </row>
    <row r="723" spans="1:23" s="604" customFormat="1" ht="13.5" customHeight="1">
      <c r="A723" s="595"/>
      <c r="B723" s="596"/>
      <c r="C723" s="597"/>
      <c r="D723" s="599" t="s">
        <v>4880</v>
      </c>
      <c r="E723" s="599"/>
      <c r="F723" s="600">
        <f>(5)*1.1</f>
        <v>5.5</v>
      </c>
      <c r="G723" s="289"/>
      <c r="H723" s="2733"/>
      <c r="I723" s="602"/>
      <c r="J723" s="3085"/>
      <c r="K723" s="3086"/>
      <c r="L723" s="2584"/>
      <c r="M723" s="2584"/>
      <c r="Q723" s="2585"/>
      <c r="R723" s="2585"/>
      <c r="U723" s="605"/>
      <c r="W723" s="605"/>
    </row>
    <row r="724" spans="1:23" s="604" customFormat="1" ht="13.5" customHeight="1">
      <c r="A724" s="595"/>
      <c r="B724" s="596"/>
      <c r="C724" s="597"/>
      <c r="D724" s="599" t="s">
        <v>4881</v>
      </c>
      <c r="E724" s="599"/>
      <c r="F724" s="600">
        <f>(18.4)*1.1</f>
        <v>20.239999999999998</v>
      </c>
      <c r="G724" s="289"/>
      <c r="H724" s="2733"/>
      <c r="I724" s="602"/>
      <c r="J724" s="3085"/>
      <c r="K724" s="3086"/>
      <c r="L724" s="2584"/>
      <c r="M724" s="2584"/>
      <c r="Q724" s="2585"/>
      <c r="R724" s="2585"/>
      <c r="U724" s="605"/>
      <c r="W724" s="605"/>
    </row>
    <row r="725" spans="1:23" s="604" customFormat="1" ht="13.5" customHeight="1">
      <c r="A725" s="595"/>
      <c r="B725" s="596"/>
      <c r="C725" s="597"/>
      <c r="D725" s="599" t="s">
        <v>4882</v>
      </c>
      <c r="E725" s="599"/>
      <c r="F725" s="600">
        <f>(7.6)*1.1</f>
        <v>8.36</v>
      </c>
      <c r="G725" s="289"/>
      <c r="H725" s="2733"/>
      <c r="I725" s="602"/>
      <c r="J725" s="3085"/>
      <c r="K725" s="3086"/>
      <c r="L725" s="2584"/>
      <c r="M725" s="2584"/>
      <c r="Q725" s="2585"/>
      <c r="R725" s="2585"/>
      <c r="U725" s="605"/>
      <c r="W725" s="605"/>
    </row>
    <row r="726" spans="1:23" s="604" customFormat="1" ht="13.5" customHeight="1">
      <c r="A726" s="595"/>
      <c r="B726" s="596"/>
      <c r="C726" s="597"/>
      <c r="D726" s="599" t="s">
        <v>4883</v>
      </c>
      <c r="E726" s="599"/>
      <c r="F726" s="600">
        <f>(1.9)*1.1</f>
        <v>2.09</v>
      </c>
      <c r="G726" s="289"/>
      <c r="H726" s="2733"/>
      <c r="I726" s="602"/>
      <c r="J726" s="3085"/>
      <c r="K726" s="3086"/>
      <c r="L726" s="2584"/>
      <c r="M726" s="2584"/>
      <c r="Q726" s="2585"/>
      <c r="R726" s="2585"/>
      <c r="U726" s="605"/>
      <c r="W726" s="605"/>
    </row>
    <row r="727" spans="1:23" s="604" customFormat="1" ht="13.5" customHeight="1">
      <c r="A727" s="595"/>
      <c r="B727" s="596"/>
      <c r="C727" s="597"/>
      <c r="D727" s="599" t="s">
        <v>4884</v>
      </c>
      <c r="E727" s="599"/>
      <c r="F727" s="600">
        <f>(5)*1.1</f>
        <v>5.5</v>
      </c>
      <c r="G727" s="289"/>
      <c r="H727" s="2733"/>
      <c r="I727" s="602"/>
      <c r="J727" s="606"/>
      <c r="L727" s="2584"/>
      <c r="M727" s="2584"/>
      <c r="Q727" s="2585"/>
      <c r="R727" s="2585"/>
      <c r="U727" s="605"/>
      <c r="W727" s="605"/>
    </row>
    <row r="728" spans="1:23" s="604" customFormat="1" ht="13.5" customHeight="1">
      <c r="A728" s="595"/>
      <c r="B728" s="596"/>
      <c r="C728" s="597"/>
      <c r="D728" s="599" t="s">
        <v>4885</v>
      </c>
      <c r="E728" s="599"/>
      <c r="F728" s="600">
        <f>(21.4)*1.1</f>
        <v>23.54</v>
      </c>
      <c r="G728" s="289"/>
      <c r="H728" s="2733"/>
      <c r="I728" s="602"/>
      <c r="J728" s="606"/>
      <c r="L728" s="2584"/>
      <c r="M728" s="2584"/>
      <c r="Q728" s="2585"/>
      <c r="R728" s="2585"/>
      <c r="U728" s="605"/>
      <c r="W728" s="605"/>
    </row>
    <row r="729" spans="1:23" s="604" customFormat="1" ht="13.5" customHeight="1">
      <c r="A729" s="595"/>
      <c r="B729" s="596"/>
      <c r="C729" s="597"/>
      <c r="D729" s="599" t="s">
        <v>4886</v>
      </c>
      <c r="E729" s="599"/>
      <c r="F729" s="600">
        <f>(3.6)*1.1</f>
        <v>3.9600000000000004</v>
      </c>
      <c r="G729" s="289"/>
      <c r="H729" s="2733"/>
      <c r="I729" s="602"/>
      <c r="J729" s="3082"/>
      <c r="L729" s="2584"/>
      <c r="M729" s="2584"/>
      <c r="Q729" s="2585"/>
      <c r="R729" s="2585"/>
      <c r="U729" s="605"/>
      <c r="W729" s="605"/>
    </row>
    <row r="730" spans="1:23" s="604" customFormat="1" ht="13.5" customHeight="1">
      <c r="A730" s="595"/>
      <c r="B730" s="596"/>
      <c r="C730" s="597"/>
      <c r="D730" s="719" t="s">
        <v>4887</v>
      </c>
      <c r="E730" s="599"/>
      <c r="F730" s="600"/>
      <c r="G730" s="289"/>
      <c r="H730" s="2733"/>
      <c r="I730" s="602"/>
      <c r="J730" s="606"/>
      <c r="L730" s="2584"/>
      <c r="M730" s="2584"/>
      <c r="Q730" s="2585"/>
      <c r="R730" s="2585"/>
      <c r="U730" s="605"/>
      <c r="W730" s="605"/>
    </row>
    <row r="731" spans="1:23" s="604" customFormat="1" ht="13.5" customHeight="1">
      <c r="A731" s="595"/>
      <c r="B731" s="596"/>
      <c r="C731" s="597"/>
      <c r="D731" s="599" t="s">
        <v>4888</v>
      </c>
      <c r="E731" s="599"/>
      <c r="F731" s="600">
        <f>(1.5)*1.1</f>
        <v>1.6500000000000001</v>
      </c>
      <c r="G731" s="289"/>
      <c r="H731" s="2733"/>
      <c r="I731" s="602"/>
      <c r="J731" s="606"/>
      <c r="L731" s="2584"/>
      <c r="M731" s="2584"/>
      <c r="Q731" s="2585"/>
      <c r="R731" s="2585"/>
      <c r="U731" s="605"/>
      <c r="W731" s="605"/>
    </row>
    <row r="732" spans="1:23" s="604" customFormat="1" ht="13.5" customHeight="1">
      <c r="A732" s="595"/>
      <c r="B732" s="596"/>
      <c r="C732" s="597"/>
      <c r="D732" s="599" t="s">
        <v>4889</v>
      </c>
      <c r="E732" s="599"/>
      <c r="F732" s="600">
        <f>(18.2)*1.1</f>
        <v>20.02</v>
      </c>
      <c r="G732" s="289"/>
      <c r="H732" s="2733"/>
      <c r="I732" s="602"/>
      <c r="J732" s="606"/>
      <c r="L732" s="2584"/>
      <c r="M732" s="2584"/>
      <c r="Q732" s="2585"/>
      <c r="R732" s="2585"/>
      <c r="U732" s="605"/>
      <c r="W732" s="605"/>
    </row>
    <row r="733" spans="1:23" s="604" customFormat="1" ht="13.5" customHeight="1">
      <c r="A733" s="595"/>
      <c r="B733" s="596"/>
      <c r="C733" s="597"/>
      <c r="D733" s="599" t="s">
        <v>4890</v>
      </c>
      <c r="E733" s="599"/>
      <c r="F733" s="600">
        <f>(5.8)*1.1</f>
        <v>6.38</v>
      </c>
      <c r="G733" s="289"/>
      <c r="H733" s="2733"/>
      <c r="I733" s="602"/>
      <c r="J733" s="606"/>
      <c r="L733" s="2584"/>
      <c r="M733" s="2584"/>
      <c r="Q733" s="2585"/>
      <c r="R733" s="2585"/>
      <c r="U733" s="605"/>
      <c r="W733" s="605"/>
    </row>
    <row r="734" spans="1:23" s="604" customFormat="1" ht="13.5" customHeight="1">
      <c r="A734" s="595"/>
      <c r="B734" s="596"/>
      <c r="C734" s="597"/>
      <c r="D734" s="599" t="s">
        <v>4891</v>
      </c>
      <c r="E734" s="599"/>
      <c r="F734" s="600">
        <f>(15.1)*1.1</f>
        <v>16.61</v>
      </c>
      <c r="G734" s="289"/>
      <c r="H734" s="2733"/>
      <c r="I734" s="602"/>
      <c r="J734" s="606"/>
      <c r="L734" s="2584"/>
      <c r="M734" s="2584"/>
      <c r="Q734" s="2585"/>
      <c r="R734" s="2585"/>
      <c r="U734" s="605"/>
      <c r="W734" s="605"/>
    </row>
    <row r="735" spans="1:23" s="604" customFormat="1" ht="13.5" customHeight="1">
      <c r="A735" s="595"/>
      <c r="B735" s="596"/>
      <c r="C735" s="597"/>
      <c r="D735" s="599" t="s">
        <v>4892</v>
      </c>
      <c r="E735" s="599"/>
      <c r="F735" s="600">
        <f>(9.5)*1.1</f>
        <v>10.450000000000001</v>
      </c>
      <c r="G735" s="289"/>
      <c r="H735" s="2733"/>
      <c r="I735" s="602"/>
      <c r="J735" s="606"/>
      <c r="L735" s="2584"/>
      <c r="M735" s="2584"/>
      <c r="Q735" s="2585"/>
      <c r="R735" s="2585"/>
      <c r="U735" s="605"/>
      <c r="W735" s="605"/>
    </row>
    <row r="736" spans="1:23" s="604" customFormat="1" ht="13.5" customHeight="1">
      <c r="A736" s="595"/>
      <c r="B736" s="596"/>
      <c r="C736" s="597"/>
      <c r="D736" s="599" t="s">
        <v>4893</v>
      </c>
      <c r="E736" s="599"/>
      <c r="F736" s="600">
        <f>(3.9)*1.1</f>
        <v>4.29</v>
      </c>
      <c r="G736" s="289"/>
      <c r="H736" s="2733"/>
      <c r="I736" s="602"/>
      <c r="J736" s="606"/>
      <c r="L736" s="2584"/>
      <c r="M736" s="2584"/>
      <c r="Q736" s="2585"/>
      <c r="R736" s="2585"/>
      <c r="U736" s="605"/>
      <c r="W736" s="605"/>
    </row>
    <row r="737" spans="1:33" s="604" customFormat="1" ht="13.5" customHeight="1">
      <c r="A737" s="595"/>
      <c r="B737" s="596"/>
      <c r="C737" s="597"/>
      <c r="D737" s="599" t="s">
        <v>4894</v>
      </c>
      <c r="E737" s="599"/>
      <c r="F737" s="600">
        <f>(11.4)*1.1</f>
        <v>12.540000000000001</v>
      </c>
      <c r="G737" s="289"/>
      <c r="H737" s="2733"/>
      <c r="I737" s="602"/>
      <c r="J737" s="606"/>
      <c r="L737" s="2584"/>
      <c r="M737" s="2584"/>
      <c r="Q737" s="2585"/>
      <c r="R737" s="2585"/>
      <c r="U737" s="605"/>
      <c r="W737" s="605"/>
    </row>
    <row r="738" spans="1:33" s="604" customFormat="1" ht="13.5" customHeight="1">
      <c r="A738" s="595"/>
      <c r="B738" s="596"/>
      <c r="C738" s="597"/>
      <c r="D738" s="599" t="s">
        <v>4895</v>
      </c>
      <c r="E738" s="599"/>
      <c r="F738" s="600">
        <f>(8.4)*1.1</f>
        <v>9.240000000000002</v>
      </c>
      <c r="G738" s="289"/>
      <c r="H738" s="2733"/>
      <c r="I738" s="602"/>
      <c r="J738" s="606"/>
      <c r="L738" s="2584"/>
      <c r="M738" s="2584"/>
      <c r="Q738" s="2585"/>
      <c r="R738" s="2585"/>
      <c r="U738" s="605"/>
      <c r="W738" s="605"/>
    </row>
    <row r="739" spans="1:33" s="604" customFormat="1" ht="13.5" customHeight="1">
      <c r="A739" s="595"/>
      <c r="B739" s="596"/>
      <c r="C739" s="597"/>
      <c r="D739" s="599" t="s">
        <v>4896</v>
      </c>
      <c r="E739" s="599"/>
      <c r="F739" s="600">
        <f>(7.8)*1.1</f>
        <v>8.58</v>
      </c>
      <c r="G739" s="289"/>
      <c r="H739" s="2733"/>
      <c r="I739" s="602"/>
      <c r="J739" s="606"/>
      <c r="L739" s="2584"/>
      <c r="M739" s="2584"/>
      <c r="Q739" s="2585"/>
      <c r="R739" s="2585"/>
      <c r="U739" s="605"/>
      <c r="W739" s="605"/>
    </row>
    <row r="740" spans="1:33" s="604" customFormat="1" ht="13.5" customHeight="1">
      <c r="A740" s="595"/>
      <c r="B740" s="596"/>
      <c r="C740" s="597"/>
      <c r="D740" s="599" t="s">
        <v>4897</v>
      </c>
      <c r="E740" s="599"/>
      <c r="F740" s="600">
        <f>(19.7)*1.1</f>
        <v>21.67</v>
      </c>
      <c r="G740" s="289"/>
      <c r="H740" s="2733"/>
      <c r="I740" s="602"/>
      <c r="J740" s="606"/>
      <c r="L740" s="2584"/>
      <c r="M740" s="2584"/>
      <c r="Q740" s="2585"/>
      <c r="R740" s="2585"/>
      <c r="U740" s="605"/>
      <c r="W740" s="605"/>
    </row>
    <row r="741" spans="1:33" s="604" customFormat="1" ht="13.5" customHeight="1">
      <c r="A741" s="595"/>
      <c r="B741" s="596"/>
      <c r="C741" s="597"/>
      <c r="D741" s="599" t="s">
        <v>4898</v>
      </c>
      <c r="E741" s="599"/>
      <c r="F741" s="600">
        <f>(25)*1.1</f>
        <v>27.500000000000004</v>
      </c>
      <c r="G741" s="289"/>
      <c r="H741" s="2733"/>
      <c r="I741" s="602"/>
      <c r="J741" s="606"/>
      <c r="L741" s="2584"/>
      <c r="M741" s="2584"/>
      <c r="Q741" s="2585"/>
      <c r="R741" s="2585"/>
      <c r="U741" s="605"/>
      <c r="W741" s="605"/>
    </row>
    <row r="742" spans="1:33" s="604" customFormat="1" ht="13.5" customHeight="1">
      <c r="A742" s="595"/>
      <c r="B742" s="596"/>
      <c r="C742" s="597"/>
      <c r="D742" s="599" t="s">
        <v>4899</v>
      </c>
      <c r="E742" s="599"/>
      <c r="F742" s="600">
        <f>(2.1)*1.1</f>
        <v>2.3100000000000005</v>
      </c>
      <c r="G742" s="289"/>
      <c r="H742" s="2733"/>
      <c r="I742" s="602"/>
      <c r="J742" s="606"/>
      <c r="L742" s="2584"/>
      <c r="M742" s="2584"/>
      <c r="Q742" s="2585"/>
      <c r="R742" s="2585"/>
      <c r="U742" s="605"/>
      <c r="W742" s="605"/>
    </row>
    <row r="743" spans="1:33" s="604" customFormat="1" ht="13.5" customHeight="1">
      <c r="A743" s="595"/>
      <c r="B743" s="596"/>
      <c r="C743" s="597"/>
      <c r="D743" s="599" t="s">
        <v>4900</v>
      </c>
      <c r="E743" s="599"/>
      <c r="F743" s="600">
        <f>(2.5)*1.1</f>
        <v>2.75</v>
      </c>
      <c r="G743" s="289"/>
      <c r="H743" s="2733"/>
      <c r="I743" s="602"/>
      <c r="J743" s="606"/>
      <c r="L743" s="2584"/>
      <c r="M743" s="2584"/>
      <c r="Q743" s="2585"/>
      <c r="R743" s="2585"/>
      <c r="U743" s="605"/>
      <c r="W743" s="605"/>
    </row>
    <row r="744" spans="1:33" s="604" customFormat="1" ht="13.5" customHeight="1">
      <c r="A744" s="595"/>
      <c r="B744" s="596"/>
      <c r="C744" s="597"/>
      <c r="D744" s="599" t="s">
        <v>4901</v>
      </c>
      <c r="E744" s="599"/>
      <c r="F744" s="600">
        <f>(4.6)*1.1</f>
        <v>5.0599999999999996</v>
      </c>
      <c r="G744" s="289"/>
      <c r="H744" s="2733"/>
      <c r="I744" s="602"/>
      <c r="J744" s="606"/>
      <c r="L744" s="2584"/>
      <c r="M744" s="2584"/>
      <c r="Q744" s="2585"/>
      <c r="R744" s="2585"/>
      <c r="U744" s="605"/>
      <c r="W744" s="605"/>
    </row>
    <row r="745" spans="1:33" s="604" customFormat="1" ht="13.5" customHeight="1">
      <c r="A745" s="595"/>
      <c r="B745" s="596"/>
      <c r="C745" s="597"/>
      <c r="D745" s="599" t="s">
        <v>4902</v>
      </c>
      <c r="E745" s="599"/>
      <c r="F745" s="600">
        <f>(6.2)*1.1</f>
        <v>6.8200000000000012</v>
      </c>
      <c r="G745" s="289"/>
      <c r="H745" s="2733"/>
      <c r="I745" s="602"/>
      <c r="J745" s="606"/>
      <c r="L745" s="2584"/>
      <c r="M745" s="2584"/>
      <c r="Q745" s="2585"/>
      <c r="R745" s="2585"/>
      <c r="U745" s="605"/>
      <c r="W745" s="605"/>
    </row>
    <row r="746" spans="1:33" s="604" customFormat="1" ht="13.5" customHeight="1">
      <c r="A746" s="595"/>
      <c r="B746" s="596"/>
      <c r="C746" s="597"/>
      <c r="D746" s="599" t="s">
        <v>4903</v>
      </c>
      <c r="E746" s="599"/>
      <c r="F746" s="600">
        <f>(3.2)*1.1</f>
        <v>3.5200000000000005</v>
      </c>
      <c r="G746" s="289"/>
      <c r="H746" s="2733"/>
      <c r="I746" s="602"/>
      <c r="J746" s="3082"/>
      <c r="L746" s="2584"/>
      <c r="M746" s="2584"/>
      <c r="Q746" s="2585"/>
      <c r="R746" s="2585"/>
      <c r="U746" s="605"/>
      <c r="W746" s="605"/>
    </row>
    <row r="747" spans="1:33" s="604" customFormat="1" ht="13.5" customHeight="1">
      <c r="A747" s="595"/>
      <c r="B747" s="596"/>
      <c r="C747" s="597"/>
      <c r="D747" s="719" t="s">
        <v>4904</v>
      </c>
      <c r="E747" s="599"/>
      <c r="F747" s="600"/>
      <c r="G747" s="289"/>
      <c r="H747" s="601"/>
      <c r="I747" s="602"/>
      <c r="J747" s="606"/>
      <c r="U747" s="605"/>
      <c r="W747" s="605"/>
    </row>
    <row r="748" spans="1:33" s="612" customFormat="1" ht="13.5" customHeight="1">
      <c r="A748" s="608">
        <v>30</v>
      </c>
      <c r="B748" s="557">
        <v>271</v>
      </c>
      <c r="C748" s="557" t="s">
        <v>4905</v>
      </c>
      <c r="D748" s="557" t="s">
        <v>4906</v>
      </c>
      <c r="E748" s="557" t="s">
        <v>141</v>
      </c>
      <c r="F748" s="566">
        <f>ROUND(SUM(F751:F754),3)</f>
        <v>8.25</v>
      </c>
      <c r="G748" s="288"/>
      <c r="H748" s="568">
        <f t="shared" ref="H748" si="24">ROUND(F748*G748,2)</f>
        <v>0</v>
      </c>
      <c r="I748" s="613" t="s">
        <v>111</v>
      </c>
      <c r="J748" s="2660"/>
      <c r="K748" s="3126"/>
      <c r="L748" s="604"/>
      <c r="M748" s="604"/>
      <c r="N748" s="604"/>
      <c r="O748" s="604"/>
      <c r="P748" s="604"/>
      <c r="Q748" s="604"/>
      <c r="R748" s="604"/>
      <c r="S748" s="604"/>
      <c r="T748" s="2585"/>
      <c r="U748" s="3127"/>
      <c r="V748" s="3128"/>
      <c r="W748" s="3128"/>
      <c r="X748" s="3128"/>
      <c r="Y748" s="3128"/>
      <c r="Z748" s="3128"/>
      <c r="AA748" s="3128"/>
      <c r="AB748" s="3128"/>
      <c r="AC748" s="3128"/>
      <c r="AD748" s="3128"/>
      <c r="AE748" s="3129"/>
      <c r="AF748" s="604"/>
      <c r="AG748" s="604"/>
    </row>
    <row r="749" spans="1:33" s="604" customFormat="1" ht="13.5" customHeight="1">
      <c r="A749" s="595"/>
      <c r="B749" s="596"/>
      <c r="C749" s="597"/>
      <c r="D749" s="719" t="s">
        <v>4868</v>
      </c>
      <c r="E749" s="599"/>
      <c r="F749" s="600"/>
      <c r="G749" s="289"/>
      <c r="H749" s="601"/>
      <c r="I749" s="2846"/>
      <c r="J749" s="2660"/>
      <c r="K749" s="3126"/>
      <c r="T749" s="2585"/>
      <c r="U749" s="605"/>
      <c r="W749" s="605"/>
    </row>
    <row r="750" spans="1:33" s="604" customFormat="1" ht="13.5" customHeight="1">
      <c r="A750" s="595"/>
      <c r="B750" s="596"/>
      <c r="C750" s="597"/>
      <c r="D750" s="719" t="s">
        <v>4873</v>
      </c>
      <c r="E750" s="599"/>
      <c r="F750" s="600"/>
      <c r="G750" s="289"/>
      <c r="H750" s="2733"/>
      <c r="I750" s="602"/>
      <c r="J750" s="2660"/>
      <c r="K750" s="2681"/>
      <c r="Q750" s="2585"/>
      <c r="R750" s="2585"/>
      <c r="U750" s="605"/>
      <c r="W750" s="605"/>
    </row>
    <row r="751" spans="1:33" s="604" customFormat="1" ht="13.5" customHeight="1">
      <c r="A751" s="595"/>
      <c r="B751" s="596"/>
      <c r="C751" s="597"/>
      <c r="D751" s="599" t="s">
        <v>4907</v>
      </c>
      <c r="E751" s="599"/>
      <c r="F751" s="600">
        <f>(4.8)*1.1</f>
        <v>5.28</v>
      </c>
      <c r="G751" s="289"/>
      <c r="H751" s="2733"/>
      <c r="I751" s="602"/>
      <c r="J751" s="3085"/>
      <c r="K751" s="3086"/>
      <c r="L751" s="2584"/>
      <c r="M751" s="2584"/>
      <c r="Q751" s="2585"/>
      <c r="R751" s="2585"/>
      <c r="U751" s="605"/>
      <c r="W751" s="605"/>
    </row>
    <row r="752" spans="1:33" s="604" customFormat="1" ht="13.5" customHeight="1">
      <c r="A752" s="595"/>
      <c r="B752" s="596"/>
      <c r="C752" s="597"/>
      <c r="D752" s="599" t="s">
        <v>4908</v>
      </c>
      <c r="E752" s="599"/>
      <c r="F752" s="600">
        <f>(1.7)*1.1</f>
        <v>1.87</v>
      </c>
      <c r="G752" s="289"/>
      <c r="H752" s="2733"/>
      <c r="I752" s="602"/>
      <c r="J752" s="606"/>
      <c r="L752" s="2584"/>
      <c r="M752" s="2584"/>
      <c r="Q752" s="2585"/>
      <c r="R752" s="2585"/>
      <c r="U752" s="605"/>
      <c r="W752" s="605"/>
    </row>
    <row r="753" spans="1:255" s="604" customFormat="1" ht="13.5" customHeight="1">
      <c r="A753" s="595"/>
      <c r="B753" s="596"/>
      <c r="C753" s="597"/>
      <c r="D753" s="719" t="s">
        <v>4887</v>
      </c>
      <c r="E753" s="599"/>
      <c r="F753" s="600"/>
      <c r="G753" s="289"/>
      <c r="H753" s="2733"/>
      <c r="I753" s="602"/>
      <c r="J753" s="606"/>
      <c r="L753" s="2584"/>
      <c r="M753" s="2584"/>
      <c r="Q753" s="2585"/>
      <c r="R753" s="2585"/>
      <c r="U753" s="605"/>
      <c r="W753" s="605"/>
    </row>
    <row r="754" spans="1:255" s="604" customFormat="1" ht="13.5" customHeight="1">
      <c r="A754" s="595"/>
      <c r="B754" s="596"/>
      <c r="C754" s="597"/>
      <c r="D754" s="599" t="s">
        <v>4909</v>
      </c>
      <c r="E754" s="599"/>
      <c r="F754" s="600">
        <f>(1)*1.1</f>
        <v>1.1000000000000001</v>
      </c>
      <c r="G754" s="289"/>
      <c r="H754" s="2733"/>
      <c r="I754" s="602"/>
      <c r="J754" s="606"/>
      <c r="L754" s="2584"/>
      <c r="M754" s="2584"/>
      <c r="Q754" s="2585"/>
      <c r="R754" s="2585"/>
      <c r="U754" s="605"/>
      <c r="W754" s="605"/>
    </row>
    <row r="755" spans="1:255" s="604" customFormat="1" ht="13.5" customHeight="1">
      <c r="A755" s="595"/>
      <c r="B755" s="596"/>
      <c r="C755" s="597"/>
      <c r="D755" s="719" t="s">
        <v>4904</v>
      </c>
      <c r="E755" s="599"/>
      <c r="F755" s="600"/>
      <c r="G755" s="289"/>
      <c r="H755" s="601"/>
      <c r="I755" s="602"/>
      <c r="J755" s="606"/>
      <c r="U755" s="605"/>
      <c r="W755" s="605"/>
    </row>
    <row r="756" spans="1:255" s="888" customFormat="1" ht="13.5" customHeight="1">
      <c r="A756" s="3130">
        <v>31</v>
      </c>
      <c r="B756" s="3131">
        <v>271</v>
      </c>
      <c r="C756" s="3131" t="s">
        <v>4910</v>
      </c>
      <c r="D756" s="3131" t="s">
        <v>4911</v>
      </c>
      <c r="E756" s="3131" t="s">
        <v>205</v>
      </c>
      <c r="F756" s="2905">
        <f>ROUND(SUM(F757),3)</f>
        <v>1</v>
      </c>
      <c r="G756" s="288"/>
      <c r="H756" s="568">
        <f t="shared" ref="H756" si="25">ROUND(F756*G756,2)</f>
        <v>0</v>
      </c>
      <c r="I756" s="613" t="s">
        <v>111</v>
      </c>
      <c r="J756" s="3132"/>
      <c r="K756" s="3133"/>
      <c r="L756" s="3133"/>
      <c r="M756" s="3133"/>
      <c r="N756" s="3133"/>
      <c r="O756" s="3133"/>
      <c r="P756" s="3133"/>
      <c r="Q756" s="3133"/>
      <c r="R756" s="3133"/>
      <c r="S756" s="3133"/>
      <c r="T756" s="3134"/>
      <c r="BN756" s="2657"/>
      <c r="BO756" s="2657"/>
      <c r="BP756" s="2657"/>
      <c r="BQ756" s="2657"/>
      <c r="BR756" s="2657"/>
      <c r="BS756" s="2657"/>
      <c r="BT756" s="2657"/>
      <c r="BU756" s="2657"/>
      <c r="BV756" s="2657"/>
      <c r="BW756" s="2657"/>
      <c r="BX756" s="2657"/>
      <c r="BY756" s="2657"/>
      <c r="BZ756" s="2657"/>
      <c r="CA756" s="2657"/>
      <c r="CB756" s="2657"/>
      <c r="CC756" s="2657"/>
      <c r="CD756" s="2657"/>
      <c r="CE756" s="2657"/>
      <c r="CF756" s="2657"/>
      <c r="CG756" s="2657"/>
      <c r="CH756" s="2657"/>
      <c r="CI756" s="2657"/>
      <c r="CJ756" s="2657"/>
      <c r="CK756" s="2657"/>
      <c r="CL756" s="2657"/>
      <c r="CM756" s="2657"/>
      <c r="CN756" s="2657"/>
      <c r="CO756" s="2657"/>
      <c r="CP756" s="2657"/>
      <c r="CQ756" s="2657"/>
      <c r="CR756" s="2657"/>
      <c r="CS756" s="2657"/>
      <c r="CT756" s="2657"/>
      <c r="CU756" s="2657"/>
      <c r="CV756" s="2657"/>
      <c r="CW756" s="2657"/>
      <c r="CX756" s="2657"/>
      <c r="CY756" s="2657"/>
      <c r="CZ756" s="2657"/>
      <c r="DA756" s="2657"/>
      <c r="DB756" s="2657"/>
      <c r="DC756" s="2657"/>
      <c r="DD756" s="2657"/>
      <c r="DE756" s="2657"/>
      <c r="DF756" s="2657"/>
      <c r="DG756" s="2657"/>
      <c r="DH756" s="2657"/>
      <c r="DI756" s="2657"/>
      <c r="DJ756" s="2657"/>
      <c r="DK756" s="2657"/>
      <c r="DL756" s="2657"/>
      <c r="DM756" s="2657"/>
      <c r="DN756" s="2657"/>
      <c r="DO756" s="2657"/>
      <c r="DP756" s="2657"/>
      <c r="DQ756" s="2657"/>
      <c r="DR756" s="2657"/>
      <c r="DS756" s="2657"/>
      <c r="DT756" s="2657"/>
      <c r="DU756" s="2657"/>
      <c r="DV756" s="2657"/>
      <c r="DW756" s="2657"/>
      <c r="DX756" s="2657"/>
      <c r="DY756" s="2657"/>
      <c r="DZ756" s="2657"/>
      <c r="EA756" s="2657"/>
      <c r="EB756" s="2657"/>
      <c r="EC756" s="2657"/>
      <c r="ED756" s="2657"/>
      <c r="EE756" s="2657"/>
      <c r="EF756" s="2657"/>
      <c r="EG756" s="2657"/>
      <c r="EH756" s="2657"/>
      <c r="EI756" s="2657"/>
      <c r="EJ756" s="2657"/>
      <c r="EK756" s="2657"/>
      <c r="EL756" s="2657"/>
      <c r="EM756" s="2657"/>
      <c r="EN756" s="2657"/>
      <c r="EO756" s="2657"/>
      <c r="EP756" s="2657"/>
      <c r="EQ756" s="2657"/>
      <c r="ER756" s="2657"/>
      <c r="ES756" s="2657"/>
      <c r="ET756" s="2657"/>
      <c r="EU756" s="2657"/>
      <c r="EV756" s="2657"/>
      <c r="EW756" s="2657"/>
      <c r="EX756" s="2657"/>
      <c r="EY756" s="2657"/>
      <c r="EZ756" s="2657"/>
      <c r="FA756" s="2657"/>
      <c r="FB756" s="2657"/>
      <c r="FC756" s="2657"/>
      <c r="FD756" s="2657"/>
      <c r="FE756" s="2657"/>
      <c r="FF756" s="2657"/>
      <c r="FG756" s="2657"/>
      <c r="FH756" s="2657"/>
      <c r="FI756" s="2657"/>
      <c r="FJ756" s="2657"/>
      <c r="FK756" s="2657"/>
      <c r="FL756" s="2657"/>
      <c r="FM756" s="2657"/>
      <c r="FN756" s="2657"/>
      <c r="FO756" s="2657"/>
      <c r="FP756" s="2657"/>
      <c r="FQ756" s="2657"/>
      <c r="FR756" s="2657"/>
      <c r="FS756" s="2657"/>
      <c r="FT756" s="2657"/>
      <c r="FU756" s="2657"/>
      <c r="FV756" s="2657"/>
      <c r="FW756" s="2657"/>
      <c r="FX756" s="2657"/>
      <c r="FY756" s="2657"/>
      <c r="FZ756" s="2657"/>
      <c r="GA756" s="2657"/>
      <c r="GB756" s="2657"/>
      <c r="GC756" s="2657"/>
      <c r="GD756" s="2657"/>
      <c r="GE756" s="2657"/>
      <c r="GF756" s="2657"/>
      <c r="GG756" s="2657"/>
      <c r="GH756" s="2657"/>
      <c r="GI756" s="2657"/>
      <c r="GJ756" s="2657"/>
      <c r="GK756" s="2657"/>
      <c r="GL756" s="2657"/>
      <c r="GM756" s="2657"/>
      <c r="GN756" s="2657"/>
      <c r="GO756" s="2657"/>
      <c r="GP756" s="2657"/>
      <c r="GQ756" s="2657"/>
      <c r="GR756" s="2657"/>
      <c r="GS756" s="2657"/>
      <c r="GT756" s="2657"/>
      <c r="GU756" s="2657"/>
      <c r="GV756" s="2657"/>
      <c r="GW756" s="2657"/>
      <c r="GX756" s="2657"/>
      <c r="GY756" s="2657"/>
      <c r="GZ756" s="2657"/>
      <c r="HA756" s="2657"/>
      <c r="HB756" s="2657"/>
      <c r="HC756" s="2657"/>
      <c r="HD756" s="2657"/>
      <c r="HE756" s="2657"/>
      <c r="HF756" s="2657"/>
      <c r="HG756" s="2657"/>
      <c r="HH756" s="2657"/>
      <c r="HI756" s="2657"/>
      <c r="HJ756" s="2657"/>
      <c r="HK756" s="2657"/>
      <c r="HL756" s="2657"/>
      <c r="HM756" s="2657"/>
      <c r="HN756" s="2657"/>
      <c r="HO756" s="2657"/>
      <c r="HP756" s="2657"/>
      <c r="HQ756" s="2657"/>
      <c r="HR756" s="2657"/>
      <c r="HS756" s="2657"/>
      <c r="HT756" s="2657"/>
      <c r="HU756" s="2657"/>
      <c r="HV756" s="2657"/>
      <c r="HW756" s="2657"/>
      <c r="HX756" s="2657"/>
      <c r="HY756" s="2657"/>
      <c r="HZ756" s="2657"/>
      <c r="IA756" s="2657"/>
      <c r="IB756" s="2657"/>
      <c r="IC756" s="2657"/>
      <c r="ID756" s="2657"/>
      <c r="IE756" s="2657"/>
      <c r="IF756" s="2657"/>
      <c r="IG756" s="2657"/>
      <c r="IH756" s="2657"/>
      <c r="II756" s="2657"/>
      <c r="IJ756" s="2657"/>
      <c r="IK756" s="2657"/>
      <c r="IL756" s="2657"/>
      <c r="IM756" s="2657"/>
      <c r="IN756" s="2657"/>
      <c r="IO756" s="2657"/>
      <c r="IP756" s="2657"/>
      <c r="IQ756" s="2657"/>
      <c r="IR756" s="2657"/>
      <c r="IS756" s="2657"/>
      <c r="IT756" s="2657"/>
      <c r="IU756" s="2657"/>
    </row>
    <row r="757" spans="1:255" s="604" customFormat="1" ht="13.5" customHeight="1">
      <c r="A757" s="595"/>
      <c r="B757" s="596"/>
      <c r="C757" s="597"/>
      <c r="D757" s="1619" t="s">
        <v>4912</v>
      </c>
      <c r="E757" s="599"/>
      <c r="F757" s="600">
        <v>1</v>
      </c>
      <c r="G757" s="289"/>
      <c r="H757" s="601"/>
      <c r="I757" s="1590"/>
      <c r="J757" s="3135"/>
      <c r="K757" s="1581"/>
      <c r="L757" s="1581"/>
      <c r="M757" s="1581"/>
      <c r="N757" s="1581"/>
      <c r="O757" s="1581"/>
      <c r="P757" s="1581"/>
      <c r="Q757" s="1581"/>
      <c r="R757" s="1581"/>
      <c r="S757" s="1581"/>
      <c r="T757" s="3134"/>
      <c r="U757" s="605"/>
      <c r="W757" s="605"/>
    </row>
    <row r="758" spans="1:255" s="3144" customFormat="1" ht="40.5" customHeight="1">
      <c r="A758" s="3136"/>
      <c r="B758" s="3137"/>
      <c r="C758" s="3138"/>
      <c r="D758" s="719" t="s">
        <v>4913</v>
      </c>
      <c r="E758" s="719"/>
      <c r="F758" s="3139"/>
      <c r="G758" s="3213"/>
      <c r="H758" s="3140"/>
      <c r="I758" s="1590"/>
      <c r="J758" s="3135"/>
      <c r="K758" s="1581"/>
      <c r="L758" s="1581"/>
      <c r="M758" s="1581"/>
      <c r="N758" s="1581"/>
      <c r="O758" s="1581"/>
      <c r="P758" s="1581"/>
      <c r="Q758" s="1581"/>
      <c r="R758" s="1581"/>
      <c r="S758" s="1581"/>
      <c r="T758" s="3134"/>
      <c r="U758" s="3141"/>
      <c r="V758" s="3142"/>
      <c r="W758" s="3142"/>
      <c r="X758" s="1913"/>
      <c r="Y758" s="1913"/>
      <c r="Z758" s="3143"/>
      <c r="AA758" s="3143"/>
      <c r="AB758" s="3143"/>
      <c r="AC758" s="3143"/>
      <c r="AD758" s="3143"/>
      <c r="AE758" s="3143"/>
      <c r="AF758" s="3143"/>
      <c r="AG758" s="3143"/>
      <c r="AH758" s="3143"/>
      <c r="AI758" s="3143"/>
      <c r="AJ758" s="3143"/>
      <c r="AK758" s="3143"/>
      <c r="AL758" s="3143"/>
      <c r="AM758" s="3143"/>
      <c r="AN758" s="3143"/>
      <c r="AO758" s="3143"/>
      <c r="AP758" s="3143"/>
      <c r="AQ758" s="3143"/>
      <c r="AR758" s="3143"/>
      <c r="AS758" s="3143"/>
      <c r="AT758" s="3143"/>
      <c r="AU758" s="3143"/>
      <c r="AV758" s="3143"/>
      <c r="AW758" s="3143"/>
      <c r="AX758" s="3143"/>
      <c r="AY758" s="3143"/>
      <c r="AZ758" s="3143"/>
      <c r="BA758" s="3143"/>
      <c r="BB758" s="3143"/>
      <c r="BC758" s="3143"/>
      <c r="BD758" s="3143"/>
      <c r="BE758" s="3143"/>
      <c r="BF758" s="3143"/>
      <c r="BG758" s="3143"/>
      <c r="BH758" s="3143"/>
      <c r="BI758" s="3143"/>
      <c r="BJ758" s="3143"/>
      <c r="BK758" s="3143"/>
      <c r="BL758" s="3143"/>
      <c r="BM758" s="3143"/>
      <c r="BN758" s="3143"/>
      <c r="BO758" s="3143"/>
      <c r="BP758" s="3143"/>
      <c r="BQ758" s="3143"/>
      <c r="BR758" s="3143"/>
      <c r="BS758" s="3143"/>
      <c r="BT758" s="3143"/>
      <c r="BU758" s="3143"/>
      <c r="BV758" s="3143"/>
      <c r="BW758" s="3143"/>
      <c r="BX758" s="3143"/>
      <c r="BY758" s="3143"/>
      <c r="BZ758" s="3143"/>
      <c r="CA758" s="3143"/>
      <c r="CB758" s="3143"/>
      <c r="CC758" s="3143"/>
      <c r="CD758" s="3143"/>
      <c r="CE758" s="3143"/>
      <c r="CF758" s="3143"/>
      <c r="CG758" s="3143"/>
      <c r="CH758" s="3143"/>
      <c r="CI758" s="3143"/>
      <c r="CJ758" s="3143"/>
      <c r="CK758" s="3143"/>
      <c r="CL758" s="3143"/>
      <c r="CM758" s="3143"/>
      <c r="CN758" s="3143"/>
      <c r="CO758" s="3143"/>
      <c r="CP758" s="3143"/>
      <c r="CQ758" s="3143"/>
      <c r="CR758" s="3143"/>
      <c r="CS758" s="3143"/>
      <c r="CT758" s="3143"/>
      <c r="CU758" s="3143"/>
      <c r="CV758" s="3143"/>
      <c r="CW758" s="3143"/>
      <c r="CX758" s="3143"/>
      <c r="CY758" s="3143"/>
      <c r="CZ758" s="3143"/>
      <c r="DA758" s="3143"/>
      <c r="DB758" s="3143"/>
      <c r="DC758" s="3143"/>
      <c r="DD758" s="3143"/>
      <c r="DE758" s="3143"/>
      <c r="DF758" s="3143"/>
      <c r="DG758" s="3143"/>
      <c r="DH758" s="3143"/>
      <c r="DI758" s="3143"/>
      <c r="DJ758" s="3143"/>
      <c r="DK758" s="3143"/>
      <c r="DL758" s="3143"/>
      <c r="DM758" s="3143"/>
      <c r="DN758" s="3143"/>
      <c r="DO758" s="3143"/>
      <c r="DP758" s="3143"/>
      <c r="DQ758" s="3143"/>
      <c r="DR758" s="3143"/>
      <c r="DS758" s="3143"/>
    </row>
    <row r="759" spans="1:255" s="604" customFormat="1" ht="13.5" customHeight="1">
      <c r="A759" s="595"/>
      <c r="B759" s="596"/>
      <c r="C759" s="597"/>
      <c r="D759" s="719" t="s">
        <v>278</v>
      </c>
      <c r="E759" s="599"/>
      <c r="F759" s="600"/>
      <c r="G759" s="289"/>
      <c r="H759" s="601"/>
      <c r="I759" s="1620"/>
      <c r="J759" s="3135"/>
      <c r="K759" s="1581"/>
      <c r="L759" s="1581"/>
      <c r="M759" s="1581"/>
      <c r="N759" s="1581"/>
      <c r="O759" s="1581"/>
      <c r="P759" s="1581"/>
      <c r="Q759" s="1581"/>
      <c r="R759" s="1581"/>
      <c r="S759" s="1581"/>
      <c r="T759" s="3134"/>
      <c r="U759" s="605"/>
      <c r="W759" s="605"/>
    </row>
    <row r="760" spans="1:255" s="888" customFormat="1" ht="13.5" customHeight="1">
      <c r="A760" s="3130">
        <v>32</v>
      </c>
      <c r="B760" s="3131">
        <v>271</v>
      </c>
      <c r="C760" s="3131" t="s">
        <v>4914</v>
      </c>
      <c r="D760" s="3131" t="s">
        <v>4915</v>
      </c>
      <c r="E760" s="3131" t="s">
        <v>205</v>
      </c>
      <c r="F760" s="2905">
        <f>ROUND(SUM(F761),3)</f>
        <v>1</v>
      </c>
      <c r="G760" s="288"/>
      <c r="H760" s="568">
        <f t="shared" ref="H760" si="26">ROUND(F760*G760,2)</f>
        <v>0</v>
      </c>
      <c r="I760" s="613" t="s">
        <v>111</v>
      </c>
      <c r="J760" s="3132"/>
      <c r="K760" s="3133"/>
      <c r="L760" s="3133"/>
      <c r="M760" s="3133"/>
      <c r="N760" s="3133"/>
      <c r="O760" s="3133"/>
      <c r="P760" s="3133"/>
      <c r="Q760" s="3133"/>
      <c r="R760" s="3133"/>
      <c r="S760" s="3133"/>
      <c r="T760" s="3134"/>
      <c r="BN760" s="2657"/>
      <c r="BO760" s="2657"/>
      <c r="BP760" s="2657"/>
      <c r="BQ760" s="2657"/>
      <c r="BR760" s="2657"/>
      <c r="BS760" s="2657"/>
      <c r="BT760" s="2657"/>
      <c r="BU760" s="2657"/>
      <c r="BV760" s="2657"/>
      <c r="BW760" s="2657"/>
      <c r="BX760" s="2657"/>
      <c r="BY760" s="2657"/>
      <c r="BZ760" s="2657"/>
      <c r="CA760" s="2657"/>
      <c r="CB760" s="2657"/>
      <c r="CC760" s="2657"/>
      <c r="CD760" s="2657"/>
      <c r="CE760" s="2657"/>
      <c r="CF760" s="2657"/>
      <c r="CG760" s="2657"/>
      <c r="CH760" s="2657"/>
      <c r="CI760" s="2657"/>
      <c r="CJ760" s="2657"/>
      <c r="CK760" s="2657"/>
      <c r="CL760" s="2657"/>
      <c r="CM760" s="2657"/>
      <c r="CN760" s="2657"/>
      <c r="CO760" s="2657"/>
      <c r="CP760" s="2657"/>
      <c r="CQ760" s="2657"/>
      <c r="CR760" s="2657"/>
      <c r="CS760" s="2657"/>
      <c r="CT760" s="2657"/>
      <c r="CU760" s="2657"/>
      <c r="CV760" s="2657"/>
      <c r="CW760" s="2657"/>
      <c r="CX760" s="2657"/>
      <c r="CY760" s="2657"/>
      <c r="CZ760" s="2657"/>
      <c r="DA760" s="2657"/>
      <c r="DB760" s="2657"/>
      <c r="DC760" s="2657"/>
      <c r="DD760" s="2657"/>
      <c r="DE760" s="2657"/>
      <c r="DF760" s="2657"/>
      <c r="DG760" s="2657"/>
      <c r="DH760" s="2657"/>
      <c r="DI760" s="2657"/>
      <c r="DJ760" s="2657"/>
      <c r="DK760" s="2657"/>
      <c r="DL760" s="2657"/>
      <c r="DM760" s="2657"/>
      <c r="DN760" s="2657"/>
      <c r="DO760" s="2657"/>
      <c r="DP760" s="2657"/>
      <c r="DQ760" s="2657"/>
      <c r="DR760" s="2657"/>
      <c r="DS760" s="2657"/>
      <c r="DT760" s="2657"/>
      <c r="DU760" s="2657"/>
      <c r="DV760" s="2657"/>
      <c r="DW760" s="2657"/>
      <c r="DX760" s="2657"/>
      <c r="DY760" s="2657"/>
      <c r="DZ760" s="2657"/>
      <c r="EA760" s="2657"/>
      <c r="EB760" s="2657"/>
      <c r="EC760" s="2657"/>
      <c r="ED760" s="2657"/>
      <c r="EE760" s="2657"/>
      <c r="EF760" s="2657"/>
      <c r="EG760" s="2657"/>
      <c r="EH760" s="2657"/>
      <c r="EI760" s="2657"/>
      <c r="EJ760" s="2657"/>
      <c r="EK760" s="2657"/>
      <c r="EL760" s="2657"/>
      <c r="EM760" s="2657"/>
      <c r="EN760" s="2657"/>
      <c r="EO760" s="2657"/>
      <c r="EP760" s="2657"/>
      <c r="EQ760" s="2657"/>
      <c r="ER760" s="2657"/>
      <c r="ES760" s="2657"/>
      <c r="ET760" s="2657"/>
      <c r="EU760" s="2657"/>
      <c r="EV760" s="2657"/>
      <c r="EW760" s="2657"/>
      <c r="EX760" s="2657"/>
      <c r="EY760" s="2657"/>
      <c r="EZ760" s="2657"/>
      <c r="FA760" s="2657"/>
      <c r="FB760" s="2657"/>
      <c r="FC760" s="2657"/>
      <c r="FD760" s="2657"/>
      <c r="FE760" s="2657"/>
      <c r="FF760" s="2657"/>
      <c r="FG760" s="2657"/>
      <c r="FH760" s="2657"/>
      <c r="FI760" s="2657"/>
      <c r="FJ760" s="2657"/>
      <c r="FK760" s="2657"/>
      <c r="FL760" s="2657"/>
      <c r="FM760" s="2657"/>
      <c r="FN760" s="2657"/>
      <c r="FO760" s="2657"/>
      <c r="FP760" s="2657"/>
      <c r="FQ760" s="2657"/>
      <c r="FR760" s="2657"/>
      <c r="FS760" s="2657"/>
      <c r="FT760" s="2657"/>
      <c r="FU760" s="2657"/>
      <c r="FV760" s="2657"/>
      <c r="FW760" s="2657"/>
      <c r="FX760" s="2657"/>
      <c r="FY760" s="2657"/>
      <c r="FZ760" s="2657"/>
      <c r="GA760" s="2657"/>
      <c r="GB760" s="2657"/>
      <c r="GC760" s="2657"/>
      <c r="GD760" s="2657"/>
      <c r="GE760" s="2657"/>
      <c r="GF760" s="2657"/>
      <c r="GG760" s="2657"/>
      <c r="GH760" s="2657"/>
      <c r="GI760" s="2657"/>
      <c r="GJ760" s="2657"/>
      <c r="GK760" s="2657"/>
      <c r="GL760" s="2657"/>
      <c r="GM760" s="2657"/>
      <c r="GN760" s="2657"/>
      <c r="GO760" s="2657"/>
      <c r="GP760" s="2657"/>
      <c r="GQ760" s="2657"/>
      <c r="GR760" s="2657"/>
      <c r="GS760" s="2657"/>
      <c r="GT760" s="2657"/>
      <c r="GU760" s="2657"/>
      <c r="GV760" s="2657"/>
      <c r="GW760" s="2657"/>
      <c r="GX760" s="2657"/>
      <c r="GY760" s="2657"/>
      <c r="GZ760" s="2657"/>
      <c r="HA760" s="2657"/>
      <c r="HB760" s="2657"/>
      <c r="HC760" s="2657"/>
      <c r="HD760" s="2657"/>
      <c r="HE760" s="2657"/>
      <c r="HF760" s="2657"/>
      <c r="HG760" s="2657"/>
      <c r="HH760" s="2657"/>
      <c r="HI760" s="2657"/>
      <c r="HJ760" s="2657"/>
      <c r="HK760" s="2657"/>
      <c r="HL760" s="2657"/>
      <c r="HM760" s="2657"/>
      <c r="HN760" s="2657"/>
      <c r="HO760" s="2657"/>
      <c r="HP760" s="2657"/>
      <c r="HQ760" s="2657"/>
      <c r="HR760" s="2657"/>
      <c r="HS760" s="2657"/>
      <c r="HT760" s="2657"/>
      <c r="HU760" s="2657"/>
      <c r="HV760" s="2657"/>
      <c r="HW760" s="2657"/>
      <c r="HX760" s="2657"/>
      <c r="HY760" s="2657"/>
      <c r="HZ760" s="2657"/>
      <c r="IA760" s="2657"/>
      <c r="IB760" s="2657"/>
      <c r="IC760" s="2657"/>
      <c r="ID760" s="2657"/>
      <c r="IE760" s="2657"/>
      <c r="IF760" s="2657"/>
      <c r="IG760" s="2657"/>
      <c r="IH760" s="2657"/>
      <c r="II760" s="2657"/>
      <c r="IJ760" s="2657"/>
      <c r="IK760" s="2657"/>
      <c r="IL760" s="2657"/>
      <c r="IM760" s="2657"/>
      <c r="IN760" s="2657"/>
      <c r="IO760" s="2657"/>
      <c r="IP760" s="2657"/>
      <c r="IQ760" s="2657"/>
      <c r="IR760" s="2657"/>
      <c r="IS760" s="2657"/>
      <c r="IT760" s="2657"/>
      <c r="IU760" s="2657"/>
    </row>
    <row r="761" spans="1:255" s="604" customFormat="1" ht="13.5" customHeight="1">
      <c r="A761" s="595"/>
      <c r="B761" s="596"/>
      <c r="C761" s="597"/>
      <c r="D761" s="1619" t="s">
        <v>4916</v>
      </c>
      <c r="E761" s="599"/>
      <c r="F761" s="600">
        <v>1</v>
      </c>
      <c r="G761" s="289"/>
      <c r="H761" s="601"/>
      <c r="I761" s="1590"/>
      <c r="J761" s="3135"/>
      <c r="K761" s="1581"/>
      <c r="L761" s="1581"/>
      <c r="M761" s="1581"/>
      <c r="N761" s="1581"/>
      <c r="O761" s="1581"/>
      <c r="P761" s="1581"/>
      <c r="Q761" s="1581"/>
      <c r="R761" s="1581"/>
      <c r="S761" s="1581"/>
      <c r="T761" s="3134"/>
      <c r="U761" s="605"/>
      <c r="W761" s="605"/>
    </row>
    <row r="762" spans="1:255" s="3144" customFormat="1" ht="40.5" customHeight="1">
      <c r="A762" s="3136"/>
      <c r="B762" s="3137"/>
      <c r="C762" s="3138"/>
      <c r="D762" s="719" t="s">
        <v>4913</v>
      </c>
      <c r="E762" s="719"/>
      <c r="F762" s="3139"/>
      <c r="G762" s="3213"/>
      <c r="H762" s="3140"/>
      <c r="I762" s="1590"/>
      <c r="J762" s="3135"/>
      <c r="K762" s="1581"/>
      <c r="L762" s="1581"/>
      <c r="M762" s="1581"/>
      <c r="N762" s="1581"/>
      <c r="O762" s="1581"/>
      <c r="P762" s="1581"/>
      <c r="Q762" s="1581"/>
      <c r="R762" s="1581"/>
      <c r="S762" s="1581"/>
      <c r="T762" s="3134"/>
      <c r="U762" s="3141"/>
      <c r="V762" s="3142"/>
      <c r="W762" s="3142"/>
      <c r="X762" s="1913"/>
      <c r="Y762" s="1913"/>
      <c r="Z762" s="3143"/>
      <c r="AA762" s="3143"/>
      <c r="AB762" s="3143"/>
      <c r="AC762" s="3143"/>
      <c r="AD762" s="3143"/>
      <c r="AE762" s="3143"/>
      <c r="AF762" s="3143"/>
      <c r="AG762" s="3143"/>
      <c r="AH762" s="3143"/>
      <c r="AI762" s="3143"/>
      <c r="AJ762" s="3143"/>
      <c r="AK762" s="3143"/>
      <c r="AL762" s="3143"/>
      <c r="AM762" s="3143"/>
      <c r="AN762" s="3143"/>
      <c r="AO762" s="3143"/>
      <c r="AP762" s="3143"/>
      <c r="AQ762" s="3143"/>
      <c r="AR762" s="3143"/>
      <c r="AS762" s="3143"/>
      <c r="AT762" s="3143"/>
      <c r="AU762" s="3143"/>
      <c r="AV762" s="3143"/>
      <c r="AW762" s="3143"/>
      <c r="AX762" s="3143"/>
      <c r="AY762" s="3143"/>
      <c r="AZ762" s="3143"/>
      <c r="BA762" s="3143"/>
      <c r="BB762" s="3143"/>
      <c r="BC762" s="3143"/>
      <c r="BD762" s="3143"/>
      <c r="BE762" s="3143"/>
      <c r="BF762" s="3143"/>
      <c r="BG762" s="3143"/>
      <c r="BH762" s="3143"/>
      <c r="BI762" s="3143"/>
      <c r="BJ762" s="3143"/>
      <c r="BK762" s="3143"/>
      <c r="BL762" s="3143"/>
      <c r="BM762" s="3143"/>
      <c r="BN762" s="3143"/>
      <c r="BO762" s="3143"/>
      <c r="BP762" s="3143"/>
      <c r="BQ762" s="3143"/>
      <c r="BR762" s="3143"/>
      <c r="BS762" s="3143"/>
      <c r="BT762" s="3143"/>
      <c r="BU762" s="3143"/>
      <c r="BV762" s="3143"/>
      <c r="BW762" s="3143"/>
      <c r="BX762" s="3143"/>
      <c r="BY762" s="3143"/>
      <c r="BZ762" s="3143"/>
      <c r="CA762" s="3143"/>
      <c r="CB762" s="3143"/>
      <c r="CC762" s="3143"/>
      <c r="CD762" s="3143"/>
      <c r="CE762" s="3143"/>
      <c r="CF762" s="3143"/>
      <c r="CG762" s="3143"/>
      <c r="CH762" s="3143"/>
      <c r="CI762" s="3143"/>
      <c r="CJ762" s="3143"/>
      <c r="CK762" s="3143"/>
      <c r="CL762" s="3143"/>
      <c r="CM762" s="3143"/>
      <c r="CN762" s="3143"/>
      <c r="CO762" s="3143"/>
      <c r="CP762" s="3143"/>
      <c r="CQ762" s="3143"/>
      <c r="CR762" s="3143"/>
      <c r="CS762" s="3143"/>
      <c r="CT762" s="3143"/>
      <c r="CU762" s="3143"/>
      <c r="CV762" s="3143"/>
      <c r="CW762" s="3143"/>
      <c r="CX762" s="3143"/>
      <c r="CY762" s="3143"/>
      <c r="CZ762" s="3143"/>
      <c r="DA762" s="3143"/>
      <c r="DB762" s="3143"/>
      <c r="DC762" s="3143"/>
      <c r="DD762" s="3143"/>
      <c r="DE762" s="3143"/>
      <c r="DF762" s="3143"/>
      <c r="DG762" s="3143"/>
      <c r="DH762" s="3143"/>
      <c r="DI762" s="3143"/>
      <c r="DJ762" s="3143"/>
      <c r="DK762" s="3143"/>
      <c r="DL762" s="3143"/>
      <c r="DM762" s="3143"/>
      <c r="DN762" s="3143"/>
      <c r="DO762" s="3143"/>
      <c r="DP762" s="3143"/>
      <c r="DQ762" s="3143"/>
      <c r="DR762" s="3143"/>
      <c r="DS762" s="3143"/>
    </row>
    <row r="763" spans="1:255" s="604" customFormat="1" ht="13.5" customHeight="1">
      <c r="A763" s="595"/>
      <c r="B763" s="596"/>
      <c r="C763" s="597"/>
      <c r="D763" s="719" t="s">
        <v>278</v>
      </c>
      <c r="E763" s="599"/>
      <c r="F763" s="600"/>
      <c r="G763" s="289"/>
      <c r="H763" s="601"/>
      <c r="I763" s="1620"/>
      <c r="J763" s="3135"/>
      <c r="K763" s="1581"/>
      <c r="L763" s="1581"/>
      <c r="M763" s="1581"/>
      <c r="N763" s="1581"/>
      <c r="O763" s="1581"/>
      <c r="P763" s="1581"/>
      <c r="Q763" s="1581"/>
      <c r="R763" s="1581"/>
      <c r="S763" s="1581"/>
      <c r="T763" s="3134"/>
      <c r="U763" s="605"/>
      <c r="W763" s="605"/>
    </row>
    <row r="764" spans="1:255" s="888" customFormat="1" ht="13.5" customHeight="1">
      <c r="A764" s="3130">
        <v>33</v>
      </c>
      <c r="B764" s="3131">
        <v>271</v>
      </c>
      <c r="C764" s="3131" t="s">
        <v>4917</v>
      </c>
      <c r="D764" s="3131" t="s">
        <v>4918</v>
      </c>
      <c r="E764" s="3131" t="s">
        <v>205</v>
      </c>
      <c r="F764" s="2905">
        <f>ROUND(SUM(F765),3)</f>
        <v>1</v>
      </c>
      <c r="G764" s="288"/>
      <c r="H764" s="568">
        <f t="shared" ref="H764" si="27">ROUND(F764*G764,2)</f>
        <v>0</v>
      </c>
      <c r="I764" s="613" t="s">
        <v>111</v>
      </c>
      <c r="J764" s="3132"/>
      <c r="K764" s="3133"/>
      <c r="L764" s="3133"/>
      <c r="M764" s="3133"/>
      <c r="N764" s="3133"/>
      <c r="O764" s="3133"/>
      <c r="P764" s="3133"/>
      <c r="Q764" s="3133"/>
      <c r="R764" s="3133"/>
      <c r="S764" s="3133"/>
      <c r="T764" s="3134"/>
      <c r="BN764" s="2657"/>
      <c r="BO764" s="2657"/>
      <c r="BP764" s="2657"/>
      <c r="BQ764" s="2657"/>
      <c r="BR764" s="2657"/>
      <c r="BS764" s="2657"/>
      <c r="BT764" s="2657"/>
      <c r="BU764" s="2657"/>
      <c r="BV764" s="2657"/>
      <c r="BW764" s="2657"/>
      <c r="BX764" s="2657"/>
      <c r="BY764" s="2657"/>
      <c r="BZ764" s="2657"/>
      <c r="CA764" s="2657"/>
      <c r="CB764" s="2657"/>
      <c r="CC764" s="2657"/>
      <c r="CD764" s="2657"/>
      <c r="CE764" s="2657"/>
      <c r="CF764" s="2657"/>
      <c r="CG764" s="2657"/>
      <c r="CH764" s="2657"/>
      <c r="CI764" s="2657"/>
      <c r="CJ764" s="2657"/>
      <c r="CK764" s="2657"/>
      <c r="CL764" s="2657"/>
      <c r="CM764" s="2657"/>
      <c r="CN764" s="2657"/>
      <c r="CO764" s="2657"/>
      <c r="CP764" s="2657"/>
      <c r="CQ764" s="2657"/>
      <c r="CR764" s="2657"/>
      <c r="CS764" s="2657"/>
      <c r="CT764" s="2657"/>
      <c r="CU764" s="2657"/>
      <c r="CV764" s="2657"/>
      <c r="CW764" s="2657"/>
      <c r="CX764" s="2657"/>
      <c r="CY764" s="2657"/>
      <c r="CZ764" s="2657"/>
      <c r="DA764" s="2657"/>
      <c r="DB764" s="2657"/>
      <c r="DC764" s="2657"/>
      <c r="DD764" s="2657"/>
      <c r="DE764" s="2657"/>
      <c r="DF764" s="2657"/>
      <c r="DG764" s="2657"/>
      <c r="DH764" s="2657"/>
      <c r="DI764" s="2657"/>
      <c r="DJ764" s="2657"/>
      <c r="DK764" s="2657"/>
      <c r="DL764" s="2657"/>
      <c r="DM764" s="2657"/>
      <c r="DN764" s="2657"/>
      <c r="DO764" s="2657"/>
      <c r="DP764" s="2657"/>
      <c r="DQ764" s="2657"/>
      <c r="DR764" s="2657"/>
      <c r="DS764" s="2657"/>
      <c r="DT764" s="2657"/>
      <c r="DU764" s="2657"/>
      <c r="DV764" s="2657"/>
      <c r="DW764" s="2657"/>
      <c r="DX764" s="2657"/>
      <c r="DY764" s="2657"/>
      <c r="DZ764" s="2657"/>
      <c r="EA764" s="2657"/>
      <c r="EB764" s="2657"/>
      <c r="EC764" s="2657"/>
      <c r="ED764" s="2657"/>
      <c r="EE764" s="2657"/>
      <c r="EF764" s="2657"/>
      <c r="EG764" s="2657"/>
      <c r="EH764" s="2657"/>
      <c r="EI764" s="2657"/>
      <c r="EJ764" s="2657"/>
      <c r="EK764" s="2657"/>
      <c r="EL764" s="2657"/>
      <c r="EM764" s="2657"/>
      <c r="EN764" s="2657"/>
      <c r="EO764" s="2657"/>
      <c r="EP764" s="2657"/>
      <c r="EQ764" s="2657"/>
      <c r="ER764" s="2657"/>
      <c r="ES764" s="2657"/>
      <c r="ET764" s="2657"/>
      <c r="EU764" s="2657"/>
      <c r="EV764" s="2657"/>
      <c r="EW764" s="2657"/>
      <c r="EX764" s="2657"/>
      <c r="EY764" s="2657"/>
      <c r="EZ764" s="2657"/>
      <c r="FA764" s="2657"/>
      <c r="FB764" s="2657"/>
      <c r="FC764" s="2657"/>
      <c r="FD764" s="2657"/>
      <c r="FE764" s="2657"/>
      <c r="FF764" s="2657"/>
      <c r="FG764" s="2657"/>
      <c r="FH764" s="2657"/>
      <c r="FI764" s="2657"/>
      <c r="FJ764" s="2657"/>
      <c r="FK764" s="2657"/>
      <c r="FL764" s="2657"/>
      <c r="FM764" s="2657"/>
      <c r="FN764" s="2657"/>
      <c r="FO764" s="2657"/>
      <c r="FP764" s="2657"/>
      <c r="FQ764" s="2657"/>
      <c r="FR764" s="2657"/>
      <c r="FS764" s="2657"/>
      <c r="FT764" s="2657"/>
      <c r="FU764" s="2657"/>
      <c r="FV764" s="2657"/>
      <c r="FW764" s="2657"/>
      <c r="FX764" s="2657"/>
      <c r="FY764" s="2657"/>
      <c r="FZ764" s="2657"/>
      <c r="GA764" s="2657"/>
      <c r="GB764" s="2657"/>
      <c r="GC764" s="2657"/>
      <c r="GD764" s="2657"/>
      <c r="GE764" s="2657"/>
      <c r="GF764" s="2657"/>
      <c r="GG764" s="2657"/>
      <c r="GH764" s="2657"/>
      <c r="GI764" s="2657"/>
      <c r="GJ764" s="2657"/>
      <c r="GK764" s="2657"/>
      <c r="GL764" s="2657"/>
      <c r="GM764" s="2657"/>
      <c r="GN764" s="2657"/>
      <c r="GO764" s="2657"/>
      <c r="GP764" s="2657"/>
      <c r="GQ764" s="2657"/>
      <c r="GR764" s="2657"/>
      <c r="GS764" s="2657"/>
      <c r="GT764" s="2657"/>
      <c r="GU764" s="2657"/>
      <c r="GV764" s="2657"/>
      <c r="GW764" s="2657"/>
      <c r="GX764" s="2657"/>
      <c r="GY764" s="2657"/>
      <c r="GZ764" s="2657"/>
      <c r="HA764" s="2657"/>
      <c r="HB764" s="2657"/>
      <c r="HC764" s="2657"/>
      <c r="HD764" s="2657"/>
      <c r="HE764" s="2657"/>
      <c r="HF764" s="2657"/>
      <c r="HG764" s="2657"/>
      <c r="HH764" s="2657"/>
      <c r="HI764" s="2657"/>
      <c r="HJ764" s="2657"/>
      <c r="HK764" s="2657"/>
      <c r="HL764" s="2657"/>
      <c r="HM764" s="2657"/>
      <c r="HN764" s="2657"/>
      <c r="HO764" s="2657"/>
      <c r="HP764" s="2657"/>
      <c r="HQ764" s="2657"/>
      <c r="HR764" s="2657"/>
      <c r="HS764" s="2657"/>
      <c r="HT764" s="2657"/>
      <c r="HU764" s="2657"/>
      <c r="HV764" s="2657"/>
      <c r="HW764" s="2657"/>
      <c r="HX764" s="2657"/>
      <c r="HY764" s="2657"/>
      <c r="HZ764" s="2657"/>
      <c r="IA764" s="2657"/>
      <c r="IB764" s="2657"/>
      <c r="IC764" s="2657"/>
      <c r="ID764" s="2657"/>
      <c r="IE764" s="2657"/>
      <c r="IF764" s="2657"/>
      <c r="IG764" s="2657"/>
      <c r="IH764" s="2657"/>
      <c r="II764" s="2657"/>
      <c r="IJ764" s="2657"/>
      <c r="IK764" s="2657"/>
      <c r="IL764" s="2657"/>
      <c r="IM764" s="2657"/>
      <c r="IN764" s="2657"/>
      <c r="IO764" s="2657"/>
      <c r="IP764" s="2657"/>
      <c r="IQ764" s="2657"/>
      <c r="IR764" s="2657"/>
      <c r="IS764" s="2657"/>
      <c r="IT764" s="2657"/>
      <c r="IU764" s="2657"/>
    </row>
    <row r="765" spans="1:255" s="604" customFormat="1" ht="13.5" customHeight="1">
      <c r="A765" s="595"/>
      <c r="B765" s="596"/>
      <c r="C765" s="597"/>
      <c r="D765" s="1619" t="s">
        <v>4919</v>
      </c>
      <c r="E765" s="599"/>
      <c r="F765" s="600">
        <v>1</v>
      </c>
      <c r="G765" s="289"/>
      <c r="H765" s="601"/>
      <c r="I765" s="1590"/>
      <c r="J765" s="3135"/>
      <c r="K765" s="1581"/>
      <c r="L765" s="1581"/>
      <c r="M765" s="1581"/>
      <c r="N765" s="1581"/>
      <c r="O765" s="1581"/>
      <c r="P765" s="1581"/>
      <c r="Q765" s="1581"/>
      <c r="R765" s="1581"/>
      <c r="S765" s="1581"/>
      <c r="T765" s="3134"/>
      <c r="U765" s="605"/>
      <c r="W765" s="605"/>
    </row>
    <row r="766" spans="1:255" s="3144" customFormat="1" ht="40.5" customHeight="1">
      <c r="A766" s="3136"/>
      <c r="B766" s="3137"/>
      <c r="C766" s="3138"/>
      <c r="D766" s="719" t="s">
        <v>4913</v>
      </c>
      <c r="E766" s="719"/>
      <c r="F766" s="3139"/>
      <c r="G766" s="3213"/>
      <c r="H766" s="3140"/>
      <c r="I766" s="1590"/>
      <c r="J766" s="3135"/>
      <c r="K766" s="1581"/>
      <c r="L766" s="1581"/>
      <c r="M766" s="1581"/>
      <c r="N766" s="1581"/>
      <c r="O766" s="1581"/>
      <c r="P766" s="1581"/>
      <c r="Q766" s="1581"/>
      <c r="R766" s="1581"/>
      <c r="S766" s="1581"/>
      <c r="T766" s="3134"/>
      <c r="U766" s="3141"/>
      <c r="V766" s="3142"/>
      <c r="W766" s="3142"/>
      <c r="X766" s="1913"/>
      <c r="Y766" s="1913"/>
      <c r="Z766" s="3143"/>
      <c r="AA766" s="3143"/>
      <c r="AB766" s="3143"/>
      <c r="AC766" s="3143"/>
      <c r="AD766" s="3143"/>
      <c r="AE766" s="3143"/>
      <c r="AF766" s="3143"/>
      <c r="AG766" s="3143"/>
      <c r="AH766" s="3143"/>
      <c r="AI766" s="3143"/>
      <c r="AJ766" s="3143"/>
      <c r="AK766" s="3143"/>
      <c r="AL766" s="3143"/>
      <c r="AM766" s="3143"/>
      <c r="AN766" s="3143"/>
      <c r="AO766" s="3143"/>
      <c r="AP766" s="3143"/>
      <c r="AQ766" s="3143"/>
      <c r="AR766" s="3143"/>
      <c r="AS766" s="3143"/>
      <c r="AT766" s="3143"/>
      <c r="AU766" s="3143"/>
      <c r="AV766" s="3143"/>
      <c r="AW766" s="3143"/>
      <c r="AX766" s="3143"/>
      <c r="AY766" s="3143"/>
      <c r="AZ766" s="3143"/>
      <c r="BA766" s="3143"/>
      <c r="BB766" s="3143"/>
      <c r="BC766" s="3143"/>
      <c r="BD766" s="3143"/>
      <c r="BE766" s="3143"/>
      <c r="BF766" s="3143"/>
      <c r="BG766" s="3143"/>
      <c r="BH766" s="3143"/>
      <c r="BI766" s="3143"/>
      <c r="BJ766" s="3143"/>
      <c r="BK766" s="3143"/>
      <c r="BL766" s="3143"/>
      <c r="BM766" s="3143"/>
      <c r="BN766" s="3143"/>
      <c r="BO766" s="3143"/>
      <c r="BP766" s="3143"/>
      <c r="BQ766" s="3143"/>
      <c r="BR766" s="3143"/>
      <c r="BS766" s="3143"/>
      <c r="BT766" s="3143"/>
      <c r="BU766" s="3143"/>
      <c r="BV766" s="3143"/>
      <c r="BW766" s="3143"/>
      <c r="BX766" s="3143"/>
      <c r="BY766" s="3143"/>
      <c r="BZ766" s="3143"/>
      <c r="CA766" s="3143"/>
      <c r="CB766" s="3143"/>
      <c r="CC766" s="3143"/>
      <c r="CD766" s="3143"/>
      <c r="CE766" s="3143"/>
      <c r="CF766" s="3143"/>
      <c r="CG766" s="3143"/>
      <c r="CH766" s="3143"/>
      <c r="CI766" s="3143"/>
      <c r="CJ766" s="3143"/>
      <c r="CK766" s="3143"/>
      <c r="CL766" s="3143"/>
      <c r="CM766" s="3143"/>
      <c r="CN766" s="3143"/>
      <c r="CO766" s="3143"/>
      <c r="CP766" s="3143"/>
      <c r="CQ766" s="3143"/>
      <c r="CR766" s="3143"/>
      <c r="CS766" s="3143"/>
      <c r="CT766" s="3143"/>
      <c r="CU766" s="3143"/>
      <c r="CV766" s="3143"/>
      <c r="CW766" s="3143"/>
      <c r="CX766" s="3143"/>
      <c r="CY766" s="3143"/>
      <c r="CZ766" s="3143"/>
      <c r="DA766" s="3143"/>
      <c r="DB766" s="3143"/>
      <c r="DC766" s="3143"/>
      <c r="DD766" s="3143"/>
      <c r="DE766" s="3143"/>
      <c r="DF766" s="3143"/>
      <c r="DG766" s="3143"/>
      <c r="DH766" s="3143"/>
      <c r="DI766" s="3143"/>
      <c r="DJ766" s="3143"/>
      <c r="DK766" s="3143"/>
      <c r="DL766" s="3143"/>
      <c r="DM766" s="3143"/>
      <c r="DN766" s="3143"/>
      <c r="DO766" s="3143"/>
      <c r="DP766" s="3143"/>
      <c r="DQ766" s="3143"/>
      <c r="DR766" s="3143"/>
      <c r="DS766" s="3143"/>
    </row>
    <row r="767" spans="1:255" s="604" customFormat="1" ht="13.5" customHeight="1">
      <c r="A767" s="595"/>
      <c r="B767" s="596"/>
      <c r="C767" s="597"/>
      <c r="D767" s="719" t="s">
        <v>278</v>
      </c>
      <c r="E767" s="599"/>
      <c r="F767" s="600"/>
      <c r="G767" s="289"/>
      <c r="H767" s="601"/>
      <c r="I767" s="1620"/>
      <c r="J767" s="3135"/>
      <c r="K767" s="1581"/>
      <c r="L767" s="1581"/>
      <c r="M767" s="1581"/>
      <c r="N767" s="1581"/>
      <c r="O767" s="1581"/>
      <c r="P767" s="1581"/>
      <c r="Q767" s="1581"/>
      <c r="R767" s="1581"/>
      <c r="S767" s="1581"/>
      <c r="T767" s="3134"/>
      <c r="U767" s="605"/>
      <c r="W767" s="605"/>
    </row>
    <row r="768" spans="1:255" s="888" customFormat="1" ht="13.5" customHeight="1">
      <c r="A768" s="3130">
        <v>34</v>
      </c>
      <c r="B768" s="3131">
        <v>271</v>
      </c>
      <c r="C768" s="3131" t="s">
        <v>4920</v>
      </c>
      <c r="D768" s="3131" t="s">
        <v>4921</v>
      </c>
      <c r="E768" s="3131" t="s">
        <v>205</v>
      </c>
      <c r="F768" s="2905">
        <f>ROUND(SUM(F769),3)</f>
        <v>1</v>
      </c>
      <c r="G768" s="288"/>
      <c r="H768" s="568">
        <f t="shared" ref="H768" si="28">ROUND(F768*G768,2)</f>
        <v>0</v>
      </c>
      <c r="I768" s="613" t="s">
        <v>111</v>
      </c>
      <c r="J768" s="3132"/>
      <c r="K768" s="3133"/>
      <c r="L768" s="3133"/>
      <c r="M768" s="3133"/>
      <c r="N768" s="3133"/>
      <c r="O768" s="3133"/>
      <c r="P768" s="3133"/>
      <c r="Q768" s="3133"/>
      <c r="R768" s="3133"/>
      <c r="S768" s="3133"/>
      <c r="T768" s="3134"/>
      <c r="BN768" s="2657"/>
      <c r="BO768" s="2657"/>
      <c r="BP768" s="2657"/>
      <c r="BQ768" s="2657"/>
      <c r="BR768" s="2657"/>
      <c r="BS768" s="2657"/>
      <c r="BT768" s="2657"/>
      <c r="BU768" s="2657"/>
      <c r="BV768" s="2657"/>
      <c r="BW768" s="2657"/>
      <c r="BX768" s="2657"/>
      <c r="BY768" s="2657"/>
      <c r="BZ768" s="2657"/>
      <c r="CA768" s="2657"/>
      <c r="CB768" s="2657"/>
      <c r="CC768" s="2657"/>
      <c r="CD768" s="2657"/>
      <c r="CE768" s="2657"/>
      <c r="CF768" s="2657"/>
      <c r="CG768" s="2657"/>
      <c r="CH768" s="2657"/>
      <c r="CI768" s="2657"/>
      <c r="CJ768" s="2657"/>
      <c r="CK768" s="2657"/>
      <c r="CL768" s="2657"/>
      <c r="CM768" s="2657"/>
      <c r="CN768" s="2657"/>
      <c r="CO768" s="2657"/>
      <c r="CP768" s="2657"/>
      <c r="CQ768" s="2657"/>
      <c r="CR768" s="2657"/>
      <c r="CS768" s="2657"/>
      <c r="CT768" s="2657"/>
      <c r="CU768" s="2657"/>
      <c r="CV768" s="2657"/>
      <c r="CW768" s="2657"/>
      <c r="CX768" s="2657"/>
      <c r="CY768" s="2657"/>
      <c r="CZ768" s="2657"/>
      <c r="DA768" s="2657"/>
      <c r="DB768" s="2657"/>
      <c r="DC768" s="2657"/>
      <c r="DD768" s="2657"/>
      <c r="DE768" s="2657"/>
      <c r="DF768" s="2657"/>
      <c r="DG768" s="2657"/>
      <c r="DH768" s="2657"/>
      <c r="DI768" s="2657"/>
      <c r="DJ768" s="2657"/>
      <c r="DK768" s="2657"/>
      <c r="DL768" s="2657"/>
      <c r="DM768" s="2657"/>
      <c r="DN768" s="2657"/>
      <c r="DO768" s="2657"/>
      <c r="DP768" s="2657"/>
      <c r="DQ768" s="2657"/>
      <c r="DR768" s="2657"/>
      <c r="DS768" s="2657"/>
      <c r="DT768" s="2657"/>
      <c r="DU768" s="2657"/>
      <c r="DV768" s="2657"/>
      <c r="DW768" s="2657"/>
      <c r="DX768" s="2657"/>
      <c r="DY768" s="2657"/>
      <c r="DZ768" s="2657"/>
      <c r="EA768" s="2657"/>
      <c r="EB768" s="2657"/>
      <c r="EC768" s="2657"/>
      <c r="ED768" s="2657"/>
      <c r="EE768" s="2657"/>
      <c r="EF768" s="2657"/>
      <c r="EG768" s="2657"/>
      <c r="EH768" s="2657"/>
      <c r="EI768" s="2657"/>
      <c r="EJ768" s="2657"/>
      <c r="EK768" s="2657"/>
      <c r="EL768" s="2657"/>
      <c r="EM768" s="2657"/>
      <c r="EN768" s="2657"/>
      <c r="EO768" s="2657"/>
      <c r="EP768" s="2657"/>
      <c r="EQ768" s="2657"/>
      <c r="ER768" s="2657"/>
      <c r="ES768" s="2657"/>
      <c r="ET768" s="2657"/>
      <c r="EU768" s="2657"/>
      <c r="EV768" s="2657"/>
      <c r="EW768" s="2657"/>
      <c r="EX768" s="2657"/>
      <c r="EY768" s="2657"/>
      <c r="EZ768" s="2657"/>
      <c r="FA768" s="2657"/>
      <c r="FB768" s="2657"/>
      <c r="FC768" s="2657"/>
      <c r="FD768" s="2657"/>
      <c r="FE768" s="2657"/>
      <c r="FF768" s="2657"/>
      <c r="FG768" s="2657"/>
      <c r="FH768" s="2657"/>
      <c r="FI768" s="2657"/>
      <c r="FJ768" s="2657"/>
      <c r="FK768" s="2657"/>
      <c r="FL768" s="2657"/>
      <c r="FM768" s="2657"/>
      <c r="FN768" s="2657"/>
      <c r="FO768" s="2657"/>
      <c r="FP768" s="2657"/>
      <c r="FQ768" s="2657"/>
      <c r="FR768" s="2657"/>
      <c r="FS768" s="2657"/>
      <c r="FT768" s="2657"/>
      <c r="FU768" s="2657"/>
      <c r="FV768" s="2657"/>
      <c r="FW768" s="2657"/>
      <c r="FX768" s="2657"/>
      <c r="FY768" s="2657"/>
      <c r="FZ768" s="2657"/>
      <c r="GA768" s="2657"/>
      <c r="GB768" s="2657"/>
      <c r="GC768" s="2657"/>
      <c r="GD768" s="2657"/>
      <c r="GE768" s="2657"/>
      <c r="GF768" s="2657"/>
      <c r="GG768" s="2657"/>
      <c r="GH768" s="2657"/>
      <c r="GI768" s="2657"/>
      <c r="GJ768" s="2657"/>
      <c r="GK768" s="2657"/>
      <c r="GL768" s="2657"/>
      <c r="GM768" s="2657"/>
      <c r="GN768" s="2657"/>
      <c r="GO768" s="2657"/>
      <c r="GP768" s="2657"/>
      <c r="GQ768" s="2657"/>
      <c r="GR768" s="2657"/>
      <c r="GS768" s="2657"/>
      <c r="GT768" s="2657"/>
      <c r="GU768" s="2657"/>
      <c r="GV768" s="2657"/>
      <c r="GW768" s="2657"/>
      <c r="GX768" s="2657"/>
      <c r="GY768" s="2657"/>
      <c r="GZ768" s="2657"/>
      <c r="HA768" s="2657"/>
      <c r="HB768" s="2657"/>
      <c r="HC768" s="2657"/>
      <c r="HD768" s="2657"/>
      <c r="HE768" s="2657"/>
      <c r="HF768" s="2657"/>
      <c r="HG768" s="2657"/>
      <c r="HH768" s="2657"/>
      <c r="HI768" s="2657"/>
      <c r="HJ768" s="2657"/>
      <c r="HK768" s="2657"/>
      <c r="HL768" s="2657"/>
      <c r="HM768" s="2657"/>
      <c r="HN768" s="2657"/>
      <c r="HO768" s="2657"/>
      <c r="HP768" s="2657"/>
      <c r="HQ768" s="2657"/>
      <c r="HR768" s="2657"/>
      <c r="HS768" s="2657"/>
      <c r="HT768" s="2657"/>
      <c r="HU768" s="2657"/>
      <c r="HV768" s="2657"/>
      <c r="HW768" s="2657"/>
      <c r="HX768" s="2657"/>
      <c r="HY768" s="2657"/>
      <c r="HZ768" s="2657"/>
      <c r="IA768" s="2657"/>
      <c r="IB768" s="2657"/>
      <c r="IC768" s="2657"/>
      <c r="ID768" s="2657"/>
      <c r="IE768" s="2657"/>
      <c r="IF768" s="2657"/>
      <c r="IG768" s="2657"/>
      <c r="IH768" s="2657"/>
      <c r="II768" s="2657"/>
      <c r="IJ768" s="2657"/>
      <c r="IK768" s="2657"/>
      <c r="IL768" s="2657"/>
      <c r="IM768" s="2657"/>
      <c r="IN768" s="2657"/>
      <c r="IO768" s="2657"/>
      <c r="IP768" s="2657"/>
      <c r="IQ768" s="2657"/>
      <c r="IR768" s="2657"/>
      <c r="IS768" s="2657"/>
      <c r="IT768" s="2657"/>
      <c r="IU768" s="2657"/>
    </row>
    <row r="769" spans="1:255" s="604" customFormat="1" ht="13.5" customHeight="1">
      <c r="A769" s="595"/>
      <c r="B769" s="596"/>
      <c r="C769" s="597"/>
      <c r="D769" s="1619" t="s">
        <v>4922</v>
      </c>
      <c r="E769" s="599"/>
      <c r="F769" s="600">
        <v>1</v>
      </c>
      <c r="G769" s="289"/>
      <c r="H769" s="601"/>
      <c r="I769" s="1590"/>
      <c r="J769" s="3135"/>
      <c r="K769" s="1581"/>
      <c r="L769" s="1581"/>
      <c r="M769" s="1581"/>
      <c r="N769" s="1581"/>
      <c r="O769" s="1581"/>
      <c r="P769" s="1581"/>
      <c r="Q769" s="1581"/>
      <c r="R769" s="1581"/>
      <c r="S769" s="1581"/>
      <c r="T769" s="3134"/>
      <c r="U769" s="605"/>
      <c r="W769" s="605"/>
    </row>
    <row r="770" spans="1:255" s="3144" customFormat="1" ht="40.5" customHeight="1">
      <c r="A770" s="3136"/>
      <c r="B770" s="3137"/>
      <c r="C770" s="3138"/>
      <c r="D770" s="719" t="s">
        <v>4913</v>
      </c>
      <c r="E770" s="719"/>
      <c r="F770" s="3139"/>
      <c r="G770" s="3213"/>
      <c r="H770" s="3140"/>
      <c r="I770" s="1590"/>
      <c r="J770" s="3135"/>
      <c r="K770" s="1581"/>
      <c r="L770" s="1581"/>
      <c r="M770" s="1581"/>
      <c r="N770" s="1581"/>
      <c r="O770" s="1581"/>
      <c r="P770" s="1581"/>
      <c r="Q770" s="1581"/>
      <c r="R770" s="1581"/>
      <c r="S770" s="1581"/>
      <c r="T770" s="3134"/>
      <c r="U770" s="3141"/>
      <c r="V770" s="3142"/>
      <c r="W770" s="3142"/>
      <c r="X770" s="1913"/>
      <c r="Y770" s="1913"/>
      <c r="Z770" s="3143"/>
      <c r="AA770" s="3143"/>
      <c r="AB770" s="3143"/>
      <c r="AC770" s="3143"/>
      <c r="AD770" s="3143"/>
      <c r="AE770" s="3143"/>
      <c r="AF770" s="3143"/>
      <c r="AG770" s="3143"/>
      <c r="AH770" s="3143"/>
      <c r="AI770" s="3143"/>
      <c r="AJ770" s="3143"/>
      <c r="AK770" s="3143"/>
      <c r="AL770" s="3143"/>
      <c r="AM770" s="3143"/>
      <c r="AN770" s="3143"/>
      <c r="AO770" s="3143"/>
      <c r="AP770" s="3143"/>
      <c r="AQ770" s="3143"/>
      <c r="AR770" s="3143"/>
      <c r="AS770" s="3143"/>
      <c r="AT770" s="3143"/>
      <c r="AU770" s="3143"/>
      <c r="AV770" s="3143"/>
      <c r="AW770" s="3143"/>
      <c r="AX770" s="3143"/>
      <c r="AY770" s="3143"/>
      <c r="AZ770" s="3143"/>
      <c r="BA770" s="3143"/>
      <c r="BB770" s="3143"/>
      <c r="BC770" s="3143"/>
      <c r="BD770" s="3143"/>
      <c r="BE770" s="3143"/>
      <c r="BF770" s="3143"/>
      <c r="BG770" s="3143"/>
      <c r="BH770" s="3143"/>
      <c r="BI770" s="3143"/>
      <c r="BJ770" s="3143"/>
      <c r="BK770" s="3143"/>
      <c r="BL770" s="3143"/>
      <c r="BM770" s="3143"/>
      <c r="BN770" s="3143"/>
      <c r="BO770" s="3143"/>
      <c r="BP770" s="3143"/>
      <c r="BQ770" s="3143"/>
      <c r="BR770" s="3143"/>
      <c r="BS770" s="3143"/>
      <c r="BT770" s="3143"/>
      <c r="BU770" s="3143"/>
      <c r="BV770" s="3143"/>
      <c r="BW770" s="3143"/>
      <c r="BX770" s="3143"/>
      <c r="BY770" s="3143"/>
      <c r="BZ770" s="3143"/>
      <c r="CA770" s="3143"/>
      <c r="CB770" s="3143"/>
      <c r="CC770" s="3143"/>
      <c r="CD770" s="3143"/>
      <c r="CE770" s="3143"/>
      <c r="CF770" s="3143"/>
      <c r="CG770" s="3143"/>
      <c r="CH770" s="3143"/>
      <c r="CI770" s="3143"/>
      <c r="CJ770" s="3143"/>
      <c r="CK770" s="3143"/>
      <c r="CL770" s="3143"/>
      <c r="CM770" s="3143"/>
      <c r="CN770" s="3143"/>
      <c r="CO770" s="3143"/>
      <c r="CP770" s="3143"/>
      <c r="CQ770" s="3143"/>
      <c r="CR770" s="3143"/>
      <c r="CS770" s="3143"/>
      <c r="CT770" s="3143"/>
      <c r="CU770" s="3143"/>
      <c r="CV770" s="3143"/>
      <c r="CW770" s="3143"/>
      <c r="CX770" s="3143"/>
      <c r="CY770" s="3143"/>
      <c r="CZ770" s="3143"/>
      <c r="DA770" s="3143"/>
      <c r="DB770" s="3143"/>
      <c r="DC770" s="3143"/>
      <c r="DD770" s="3143"/>
      <c r="DE770" s="3143"/>
      <c r="DF770" s="3143"/>
      <c r="DG770" s="3143"/>
      <c r="DH770" s="3143"/>
      <c r="DI770" s="3143"/>
      <c r="DJ770" s="3143"/>
      <c r="DK770" s="3143"/>
      <c r="DL770" s="3143"/>
      <c r="DM770" s="3143"/>
      <c r="DN770" s="3143"/>
      <c r="DO770" s="3143"/>
      <c r="DP770" s="3143"/>
      <c r="DQ770" s="3143"/>
      <c r="DR770" s="3143"/>
      <c r="DS770" s="3143"/>
    </row>
    <row r="771" spans="1:255" s="604" customFormat="1" ht="13.5" customHeight="1">
      <c r="A771" s="595"/>
      <c r="B771" s="596"/>
      <c r="C771" s="597"/>
      <c r="D771" s="719" t="s">
        <v>278</v>
      </c>
      <c r="E771" s="599"/>
      <c r="F771" s="600"/>
      <c r="G771" s="289"/>
      <c r="H771" s="601"/>
      <c r="I771" s="1620"/>
      <c r="J771" s="3135"/>
      <c r="K771" s="1581"/>
      <c r="L771" s="1581"/>
      <c r="M771" s="1581"/>
      <c r="N771" s="1581"/>
      <c r="O771" s="1581"/>
      <c r="P771" s="1581"/>
      <c r="Q771" s="1581"/>
      <c r="R771" s="1581"/>
      <c r="S771" s="1581"/>
      <c r="T771" s="3134"/>
      <c r="U771" s="605"/>
      <c r="W771" s="605"/>
    </row>
    <row r="772" spans="1:255" s="888" customFormat="1" ht="13.5" customHeight="1">
      <c r="A772" s="3130">
        <v>35</v>
      </c>
      <c r="B772" s="3131">
        <v>271</v>
      </c>
      <c r="C772" s="3131" t="s">
        <v>4923</v>
      </c>
      <c r="D772" s="3131" t="s">
        <v>4924</v>
      </c>
      <c r="E772" s="3131" t="s">
        <v>205</v>
      </c>
      <c r="F772" s="2905">
        <f>ROUND(SUM(F773),3)</f>
        <v>1</v>
      </c>
      <c r="G772" s="288"/>
      <c r="H772" s="568">
        <f t="shared" ref="H772" si="29">ROUND(F772*G772,2)</f>
        <v>0</v>
      </c>
      <c r="I772" s="613" t="s">
        <v>111</v>
      </c>
      <c r="J772" s="3132"/>
      <c r="K772" s="3133"/>
      <c r="L772" s="3133"/>
      <c r="M772" s="3133"/>
      <c r="N772" s="3133"/>
      <c r="O772" s="3133"/>
      <c r="P772" s="3133"/>
      <c r="Q772" s="3133"/>
      <c r="R772" s="3133"/>
      <c r="S772" s="3133"/>
      <c r="T772" s="3134"/>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657"/>
      <c r="IA772" s="2657"/>
      <c r="IB772" s="2657"/>
      <c r="IC772" s="2657"/>
      <c r="ID772" s="2657"/>
      <c r="IE772" s="2657"/>
      <c r="IF772" s="2657"/>
      <c r="IG772" s="2657"/>
      <c r="IH772" s="2657"/>
      <c r="II772" s="2657"/>
      <c r="IJ772" s="2657"/>
      <c r="IK772" s="2657"/>
      <c r="IL772" s="2657"/>
      <c r="IM772" s="2657"/>
      <c r="IN772" s="2657"/>
      <c r="IO772" s="2657"/>
      <c r="IP772" s="2657"/>
      <c r="IQ772" s="2657"/>
      <c r="IR772" s="2657"/>
      <c r="IS772" s="2657"/>
      <c r="IT772" s="2657"/>
      <c r="IU772" s="2657"/>
    </row>
    <row r="773" spans="1:255" s="604" customFormat="1" ht="13.5" customHeight="1">
      <c r="A773" s="595"/>
      <c r="B773" s="596"/>
      <c r="C773" s="597"/>
      <c r="D773" s="1619" t="s">
        <v>4925</v>
      </c>
      <c r="E773" s="599"/>
      <c r="F773" s="600">
        <v>1</v>
      </c>
      <c r="G773" s="289"/>
      <c r="H773" s="601"/>
      <c r="I773" s="1590"/>
      <c r="J773" s="3135"/>
      <c r="K773" s="1581"/>
      <c r="L773" s="1581"/>
      <c r="M773" s="1581"/>
      <c r="N773" s="1581"/>
      <c r="O773" s="1581"/>
      <c r="P773" s="1581"/>
      <c r="Q773" s="1581"/>
      <c r="R773" s="1581"/>
      <c r="S773" s="1581"/>
      <c r="T773" s="3134"/>
      <c r="U773" s="605"/>
      <c r="W773" s="605"/>
    </row>
    <row r="774" spans="1:255" s="3144" customFormat="1" ht="40.5" customHeight="1">
      <c r="A774" s="3136"/>
      <c r="B774" s="3137"/>
      <c r="C774" s="3138"/>
      <c r="D774" s="719" t="s">
        <v>4913</v>
      </c>
      <c r="E774" s="719"/>
      <c r="F774" s="3139"/>
      <c r="G774" s="3213"/>
      <c r="H774" s="3140"/>
      <c r="I774" s="1590"/>
      <c r="J774" s="3135"/>
      <c r="K774" s="1581"/>
      <c r="L774" s="1581"/>
      <c r="M774" s="1581"/>
      <c r="N774" s="1581"/>
      <c r="O774" s="1581"/>
      <c r="P774" s="1581"/>
      <c r="Q774" s="1581"/>
      <c r="R774" s="1581"/>
      <c r="S774" s="1581"/>
      <c r="T774" s="3134"/>
      <c r="U774" s="3141"/>
      <c r="V774" s="3142"/>
      <c r="W774" s="3142"/>
      <c r="X774" s="1913"/>
      <c r="Y774" s="1913"/>
      <c r="Z774" s="3143"/>
      <c r="AA774" s="3143"/>
      <c r="AB774" s="3143"/>
      <c r="AC774" s="3143"/>
      <c r="AD774" s="3143"/>
      <c r="AE774" s="3143"/>
      <c r="AF774" s="3143"/>
      <c r="AG774" s="3143"/>
      <c r="AH774" s="3143"/>
      <c r="AI774" s="3143"/>
      <c r="AJ774" s="3143"/>
      <c r="AK774" s="3143"/>
      <c r="AL774" s="3143"/>
      <c r="AM774" s="3143"/>
      <c r="AN774" s="3143"/>
      <c r="AO774" s="3143"/>
      <c r="AP774" s="3143"/>
      <c r="AQ774" s="3143"/>
      <c r="AR774" s="3143"/>
      <c r="AS774" s="3143"/>
      <c r="AT774" s="3143"/>
      <c r="AU774" s="3143"/>
      <c r="AV774" s="3143"/>
      <c r="AW774" s="3143"/>
      <c r="AX774" s="3143"/>
      <c r="AY774" s="3143"/>
      <c r="AZ774" s="3143"/>
      <c r="BA774" s="3143"/>
      <c r="BB774" s="3143"/>
      <c r="BC774" s="3143"/>
      <c r="BD774" s="3143"/>
      <c r="BE774" s="3143"/>
      <c r="BF774" s="3143"/>
      <c r="BG774" s="3143"/>
      <c r="BH774" s="3143"/>
      <c r="BI774" s="3143"/>
      <c r="BJ774" s="3143"/>
      <c r="BK774" s="3143"/>
      <c r="BL774" s="3143"/>
      <c r="BM774" s="3143"/>
      <c r="BN774" s="3143"/>
      <c r="BO774" s="3143"/>
      <c r="BP774" s="3143"/>
      <c r="BQ774" s="3143"/>
      <c r="BR774" s="3143"/>
      <c r="BS774" s="3143"/>
      <c r="BT774" s="3143"/>
      <c r="BU774" s="3143"/>
      <c r="BV774" s="3143"/>
      <c r="BW774" s="3143"/>
      <c r="BX774" s="3143"/>
      <c r="BY774" s="3143"/>
      <c r="BZ774" s="3143"/>
      <c r="CA774" s="3143"/>
      <c r="CB774" s="3143"/>
      <c r="CC774" s="3143"/>
      <c r="CD774" s="3143"/>
      <c r="CE774" s="3143"/>
      <c r="CF774" s="3143"/>
      <c r="CG774" s="3143"/>
      <c r="CH774" s="3143"/>
      <c r="CI774" s="3143"/>
      <c r="CJ774" s="3143"/>
      <c r="CK774" s="3143"/>
      <c r="CL774" s="3143"/>
      <c r="CM774" s="3143"/>
      <c r="CN774" s="3143"/>
      <c r="CO774" s="3143"/>
      <c r="CP774" s="3143"/>
      <c r="CQ774" s="3143"/>
      <c r="CR774" s="3143"/>
      <c r="CS774" s="3143"/>
      <c r="CT774" s="3143"/>
      <c r="CU774" s="3143"/>
      <c r="CV774" s="3143"/>
      <c r="CW774" s="3143"/>
      <c r="CX774" s="3143"/>
      <c r="CY774" s="3143"/>
      <c r="CZ774" s="3143"/>
      <c r="DA774" s="3143"/>
      <c r="DB774" s="3143"/>
      <c r="DC774" s="3143"/>
      <c r="DD774" s="3143"/>
      <c r="DE774" s="3143"/>
      <c r="DF774" s="3143"/>
      <c r="DG774" s="3143"/>
      <c r="DH774" s="3143"/>
      <c r="DI774" s="3143"/>
      <c r="DJ774" s="3143"/>
      <c r="DK774" s="3143"/>
      <c r="DL774" s="3143"/>
      <c r="DM774" s="3143"/>
      <c r="DN774" s="3143"/>
      <c r="DO774" s="3143"/>
      <c r="DP774" s="3143"/>
      <c r="DQ774" s="3143"/>
      <c r="DR774" s="3143"/>
      <c r="DS774" s="3143"/>
    </row>
    <row r="775" spans="1:255" s="604" customFormat="1" ht="13.5" customHeight="1">
      <c r="A775" s="595"/>
      <c r="B775" s="596"/>
      <c r="C775" s="597"/>
      <c r="D775" s="719" t="s">
        <v>278</v>
      </c>
      <c r="E775" s="599"/>
      <c r="F775" s="600"/>
      <c r="G775" s="289"/>
      <c r="H775" s="601"/>
      <c r="I775" s="1620"/>
      <c r="J775" s="3135"/>
      <c r="K775" s="1581"/>
      <c r="L775" s="1581"/>
      <c r="M775" s="1581"/>
      <c r="N775" s="1581"/>
      <c r="O775" s="1581"/>
      <c r="P775" s="1581"/>
      <c r="Q775" s="1581"/>
      <c r="R775" s="1581"/>
      <c r="S775" s="1581"/>
      <c r="T775" s="3134"/>
      <c r="U775" s="605"/>
      <c r="W775" s="605"/>
    </row>
    <row r="776" spans="1:255" s="888" customFormat="1" ht="13.5" customHeight="1">
      <c r="A776" s="3130">
        <v>36</v>
      </c>
      <c r="B776" s="3131">
        <v>271</v>
      </c>
      <c r="C776" s="3131" t="s">
        <v>4926</v>
      </c>
      <c r="D776" s="3131" t="s">
        <v>4927</v>
      </c>
      <c r="E776" s="3131" t="s">
        <v>205</v>
      </c>
      <c r="F776" s="2905">
        <f>ROUND(SUM(F777),3)</f>
        <v>1</v>
      </c>
      <c r="G776" s="288"/>
      <c r="H776" s="568">
        <f t="shared" ref="H776" si="30">ROUND(F776*G776,2)</f>
        <v>0</v>
      </c>
      <c r="I776" s="613" t="s">
        <v>111</v>
      </c>
      <c r="J776" s="3132"/>
      <c r="K776" s="3133"/>
      <c r="L776" s="3133"/>
      <c r="M776" s="3133"/>
      <c r="N776" s="3133"/>
      <c r="O776" s="3133"/>
      <c r="P776" s="3133"/>
      <c r="Q776" s="3133"/>
      <c r="R776" s="3133"/>
      <c r="S776" s="3133"/>
      <c r="T776" s="3134"/>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657"/>
      <c r="ET776" s="2657"/>
      <c r="EU776" s="2657"/>
      <c r="EV776" s="2657"/>
      <c r="EW776" s="2657"/>
      <c r="EX776" s="2657"/>
      <c r="EY776" s="2657"/>
      <c r="EZ776" s="2657"/>
      <c r="FA776" s="2657"/>
      <c r="FB776" s="2657"/>
      <c r="FC776" s="2657"/>
      <c r="FD776" s="2657"/>
      <c r="FE776" s="2657"/>
      <c r="FF776" s="2657"/>
      <c r="FG776" s="2657"/>
      <c r="FH776" s="2657"/>
      <c r="FI776" s="2657"/>
      <c r="FJ776" s="2657"/>
      <c r="FK776" s="2657"/>
      <c r="FL776" s="2657"/>
      <c r="FM776" s="2657"/>
      <c r="FN776" s="2657"/>
      <c r="FO776" s="2657"/>
      <c r="FP776" s="2657"/>
      <c r="FQ776" s="2657"/>
      <c r="FR776" s="2657"/>
      <c r="FS776" s="2657"/>
      <c r="FT776" s="2657"/>
      <c r="FU776" s="2657"/>
      <c r="FV776" s="2657"/>
      <c r="FW776" s="2657"/>
      <c r="FX776" s="2657"/>
      <c r="FY776" s="2657"/>
      <c r="FZ776" s="2657"/>
      <c r="GA776" s="2657"/>
      <c r="GB776" s="2657"/>
      <c r="GC776" s="2657"/>
      <c r="GD776" s="2657"/>
      <c r="GE776" s="2657"/>
      <c r="GF776" s="2657"/>
      <c r="GG776" s="2657"/>
      <c r="GH776" s="2657"/>
      <c r="GI776" s="2657"/>
      <c r="GJ776" s="2657"/>
      <c r="GK776" s="2657"/>
      <c r="GL776" s="2657"/>
      <c r="GM776" s="2657"/>
      <c r="GN776" s="2657"/>
      <c r="GO776" s="2657"/>
      <c r="GP776" s="2657"/>
      <c r="GQ776" s="2657"/>
      <c r="GR776" s="2657"/>
      <c r="GS776" s="2657"/>
      <c r="GT776" s="2657"/>
      <c r="GU776" s="2657"/>
      <c r="GV776" s="2657"/>
      <c r="GW776" s="2657"/>
      <c r="GX776" s="2657"/>
      <c r="GY776" s="2657"/>
      <c r="GZ776" s="2657"/>
      <c r="HA776" s="2657"/>
      <c r="HB776" s="2657"/>
      <c r="HC776" s="2657"/>
      <c r="HD776" s="2657"/>
      <c r="HE776" s="2657"/>
      <c r="HF776" s="2657"/>
      <c r="HG776" s="2657"/>
      <c r="HH776" s="2657"/>
      <c r="HI776" s="2657"/>
      <c r="HJ776" s="2657"/>
      <c r="HK776" s="2657"/>
      <c r="HL776" s="2657"/>
      <c r="HM776" s="2657"/>
      <c r="HN776" s="2657"/>
      <c r="HO776" s="2657"/>
      <c r="HP776" s="2657"/>
      <c r="HQ776" s="2657"/>
      <c r="HR776" s="2657"/>
      <c r="HS776" s="2657"/>
      <c r="HT776" s="2657"/>
      <c r="HU776" s="2657"/>
      <c r="HV776" s="2657"/>
      <c r="HW776" s="2657"/>
      <c r="HX776" s="2657"/>
      <c r="HY776" s="2657"/>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row>
    <row r="777" spans="1:255" s="604" customFormat="1" ht="13.5" customHeight="1">
      <c r="A777" s="595"/>
      <c r="B777" s="596"/>
      <c r="C777" s="597"/>
      <c r="D777" s="1619" t="s">
        <v>4928</v>
      </c>
      <c r="E777" s="599"/>
      <c r="F777" s="600">
        <v>1</v>
      </c>
      <c r="G777" s="289"/>
      <c r="H777" s="601"/>
      <c r="I777" s="1590"/>
      <c r="J777" s="3135"/>
      <c r="K777" s="1581"/>
      <c r="L777" s="1581"/>
      <c r="M777" s="1581"/>
      <c r="N777" s="1581"/>
      <c r="O777" s="1581"/>
      <c r="P777" s="1581"/>
      <c r="Q777" s="1581"/>
      <c r="R777" s="1581"/>
      <c r="S777" s="1581"/>
      <c r="T777" s="3134"/>
      <c r="U777" s="605"/>
      <c r="W777" s="605"/>
    </row>
    <row r="778" spans="1:255" s="3144" customFormat="1" ht="40.5" customHeight="1">
      <c r="A778" s="3136"/>
      <c r="B778" s="3137"/>
      <c r="C778" s="3138"/>
      <c r="D778" s="719" t="s">
        <v>4913</v>
      </c>
      <c r="E778" s="719"/>
      <c r="F778" s="3139"/>
      <c r="G778" s="3213"/>
      <c r="H778" s="3140"/>
      <c r="I778" s="1590"/>
      <c r="J778" s="3135"/>
      <c r="K778" s="1581"/>
      <c r="L778" s="1581"/>
      <c r="M778" s="1581"/>
      <c r="N778" s="1581"/>
      <c r="O778" s="1581"/>
      <c r="P778" s="1581"/>
      <c r="Q778" s="1581"/>
      <c r="R778" s="1581"/>
      <c r="S778" s="1581"/>
      <c r="T778" s="3134"/>
      <c r="U778" s="3141"/>
      <c r="V778" s="3142"/>
      <c r="W778" s="3142"/>
      <c r="X778" s="1913"/>
      <c r="Y778" s="1913"/>
      <c r="Z778" s="3143"/>
      <c r="AA778" s="3143"/>
      <c r="AB778" s="3143"/>
      <c r="AC778" s="3143"/>
      <c r="AD778" s="3143"/>
      <c r="AE778" s="3143"/>
      <c r="AF778" s="3143"/>
      <c r="AG778" s="3143"/>
      <c r="AH778" s="3143"/>
      <c r="AI778" s="3143"/>
      <c r="AJ778" s="3143"/>
      <c r="AK778" s="3143"/>
      <c r="AL778" s="3143"/>
      <c r="AM778" s="3143"/>
      <c r="AN778" s="3143"/>
      <c r="AO778" s="3143"/>
      <c r="AP778" s="3143"/>
      <c r="AQ778" s="3143"/>
      <c r="AR778" s="3143"/>
      <c r="AS778" s="3143"/>
      <c r="AT778" s="3143"/>
      <c r="AU778" s="3143"/>
      <c r="AV778" s="3143"/>
      <c r="AW778" s="3143"/>
      <c r="AX778" s="3143"/>
      <c r="AY778" s="3143"/>
      <c r="AZ778" s="3143"/>
      <c r="BA778" s="3143"/>
      <c r="BB778" s="3143"/>
      <c r="BC778" s="3143"/>
      <c r="BD778" s="3143"/>
      <c r="BE778" s="3143"/>
      <c r="BF778" s="3143"/>
      <c r="BG778" s="3143"/>
      <c r="BH778" s="3143"/>
      <c r="BI778" s="3143"/>
      <c r="BJ778" s="3143"/>
      <c r="BK778" s="3143"/>
      <c r="BL778" s="3143"/>
      <c r="BM778" s="3143"/>
      <c r="BN778" s="3143"/>
      <c r="BO778" s="3143"/>
      <c r="BP778" s="3143"/>
      <c r="BQ778" s="3143"/>
      <c r="BR778" s="3143"/>
      <c r="BS778" s="3143"/>
      <c r="BT778" s="3143"/>
      <c r="BU778" s="3143"/>
      <c r="BV778" s="3143"/>
      <c r="BW778" s="3143"/>
      <c r="BX778" s="3143"/>
      <c r="BY778" s="3143"/>
      <c r="BZ778" s="3143"/>
      <c r="CA778" s="3143"/>
      <c r="CB778" s="3143"/>
      <c r="CC778" s="3143"/>
      <c r="CD778" s="3143"/>
      <c r="CE778" s="3143"/>
      <c r="CF778" s="3143"/>
      <c r="CG778" s="3143"/>
      <c r="CH778" s="3143"/>
      <c r="CI778" s="3143"/>
      <c r="CJ778" s="3143"/>
      <c r="CK778" s="3143"/>
      <c r="CL778" s="3143"/>
      <c r="CM778" s="3143"/>
      <c r="CN778" s="3143"/>
      <c r="CO778" s="3143"/>
      <c r="CP778" s="3143"/>
      <c r="CQ778" s="3143"/>
      <c r="CR778" s="3143"/>
      <c r="CS778" s="3143"/>
      <c r="CT778" s="3143"/>
      <c r="CU778" s="3143"/>
      <c r="CV778" s="3143"/>
      <c r="CW778" s="3143"/>
      <c r="CX778" s="3143"/>
      <c r="CY778" s="3143"/>
      <c r="CZ778" s="3143"/>
      <c r="DA778" s="3143"/>
      <c r="DB778" s="3143"/>
      <c r="DC778" s="3143"/>
      <c r="DD778" s="3143"/>
      <c r="DE778" s="3143"/>
      <c r="DF778" s="3143"/>
      <c r="DG778" s="3143"/>
      <c r="DH778" s="3143"/>
      <c r="DI778" s="3143"/>
      <c r="DJ778" s="3143"/>
      <c r="DK778" s="3143"/>
      <c r="DL778" s="3143"/>
      <c r="DM778" s="3143"/>
      <c r="DN778" s="3143"/>
      <c r="DO778" s="3143"/>
      <c r="DP778" s="3143"/>
      <c r="DQ778" s="3143"/>
      <c r="DR778" s="3143"/>
      <c r="DS778" s="3143"/>
    </row>
    <row r="779" spans="1:255" s="604" customFormat="1" ht="13.5" customHeight="1">
      <c r="A779" s="595"/>
      <c r="B779" s="596"/>
      <c r="C779" s="597"/>
      <c r="D779" s="719" t="s">
        <v>278</v>
      </c>
      <c r="E779" s="599"/>
      <c r="F779" s="600"/>
      <c r="G779" s="289"/>
      <c r="H779" s="601"/>
      <c r="I779" s="1620"/>
      <c r="J779" s="3135"/>
      <c r="K779" s="1581"/>
      <c r="L779" s="1581"/>
      <c r="M779" s="1581"/>
      <c r="N779" s="1581"/>
      <c r="O779" s="1581"/>
      <c r="P779" s="1581"/>
      <c r="Q779" s="1581"/>
      <c r="R779" s="1581"/>
      <c r="S779" s="1581"/>
      <c r="T779" s="3134"/>
      <c r="U779" s="605"/>
      <c r="W779" s="605"/>
    </row>
    <row r="780" spans="1:255" s="888" customFormat="1" ht="13.5" customHeight="1">
      <c r="A780" s="3130">
        <v>37</v>
      </c>
      <c r="B780" s="3131">
        <v>271</v>
      </c>
      <c r="C780" s="3131" t="s">
        <v>4929</v>
      </c>
      <c r="D780" s="3131" t="s">
        <v>4930</v>
      </c>
      <c r="E780" s="3131" t="s">
        <v>205</v>
      </c>
      <c r="F780" s="2905">
        <f>ROUND(SUM(F781),3)</f>
        <v>1</v>
      </c>
      <c r="G780" s="288"/>
      <c r="H780" s="568">
        <f t="shared" ref="H780" si="31">ROUND(F780*G780,2)</f>
        <v>0</v>
      </c>
      <c r="I780" s="613" t="s">
        <v>111</v>
      </c>
      <c r="J780" s="3132"/>
      <c r="K780" s="3133"/>
      <c r="L780" s="3133"/>
      <c r="M780" s="3133"/>
      <c r="N780" s="3133"/>
      <c r="O780" s="3133"/>
      <c r="P780" s="3133"/>
      <c r="Q780" s="3133"/>
      <c r="R780" s="3133"/>
      <c r="S780" s="3133"/>
      <c r="T780" s="3134"/>
      <c r="BN780" s="2657"/>
      <c r="BO780" s="2657"/>
      <c r="BP780" s="2657"/>
      <c r="BQ780" s="2657"/>
      <c r="BR780" s="2657"/>
      <c r="BS780" s="2657"/>
      <c r="BT780" s="2657"/>
      <c r="BU780" s="2657"/>
      <c r="BV780" s="2657"/>
      <c r="BW780" s="2657"/>
      <c r="BX780" s="2657"/>
      <c r="BY780" s="2657"/>
      <c r="BZ780" s="2657"/>
      <c r="CA780" s="2657"/>
      <c r="CB780" s="2657"/>
      <c r="CC780" s="2657"/>
      <c r="CD780" s="2657"/>
      <c r="CE780" s="2657"/>
      <c r="CF780" s="2657"/>
      <c r="CG780" s="2657"/>
      <c r="CH780" s="2657"/>
      <c r="CI780" s="2657"/>
      <c r="CJ780" s="2657"/>
      <c r="CK780" s="2657"/>
      <c r="CL780" s="2657"/>
      <c r="CM780" s="2657"/>
      <c r="CN780" s="2657"/>
      <c r="CO780" s="2657"/>
      <c r="CP780" s="2657"/>
      <c r="CQ780" s="2657"/>
      <c r="CR780" s="2657"/>
      <c r="CS780" s="2657"/>
      <c r="CT780" s="2657"/>
      <c r="CU780" s="2657"/>
      <c r="CV780" s="2657"/>
      <c r="CW780" s="2657"/>
      <c r="CX780" s="2657"/>
      <c r="CY780" s="2657"/>
      <c r="CZ780" s="2657"/>
      <c r="DA780" s="2657"/>
      <c r="DB780" s="2657"/>
      <c r="DC780" s="2657"/>
      <c r="DD780" s="2657"/>
      <c r="DE780" s="2657"/>
      <c r="DF780" s="2657"/>
      <c r="DG780" s="2657"/>
      <c r="DH780" s="2657"/>
      <c r="DI780" s="2657"/>
      <c r="DJ780" s="2657"/>
      <c r="DK780" s="2657"/>
      <c r="DL780" s="2657"/>
      <c r="DM780" s="2657"/>
      <c r="DN780" s="2657"/>
      <c r="DO780" s="2657"/>
      <c r="DP780" s="2657"/>
      <c r="DQ780" s="2657"/>
      <c r="DR780" s="2657"/>
      <c r="DS780" s="2657"/>
      <c r="DT780" s="2657"/>
      <c r="DU780" s="2657"/>
      <c r="DV780" s="2657"/>
      <c r="DW780" s="2657"/>
      <c r="DX780" s="2657"/>
      <c r="DY780" s="2657"/>
      <c r="DZ780" s="2657"/>
      <c r="EA780" s="2657"/>
      <c r="EB780" s="2657"/>
      <c r="EC780" s="2657"/>
      <c r="ED780" s="2657"/>
      <c r="EE780" s="2657"/>
      <c r="EF780" s="2657"/>
      <c r="EG780" s="2657"/>
      <c r="EH780" s="2657"/>
      <c r="EI780" s="2657"/>
      <c r="EJ780" s="2657"/>
      <c r="EK780" s="2657"/>
      <c r="EL780" s="2657"/>
      <c r="EM780" s="2657"/>
      <c r="EN780" s="2657"/>
      <c r="EO780" s="2657"/>
      <c r="EP780" s="2657"/>
      <c r="EQ780" s="2657"/>
      <c r="ER780" s="2657"/>
      <c r="ES780" s="2657"/>
      <c r="ET780" s="2657"/>
      <c r="EU780" s="2657"/>
      <c r="EV780" s="2657"/>
      <c r="EW780" s="2657"/>
      <c r="EX780" s="2657"/>
      <c r="EY780" s="2657"/>
      <c r="EZ780" s="2657"/>
      <c r="FA780" s="2657"/>
      <c r="FB780" s="2657"/>
      <c r="FC780" s="2657"/>
      <c r="FD780" s="2657"/>
      <c r="FE780" s="2657"/>
      <c r="FF780" s="2657"/>
      <c r="FG780" s="2657"/>
      <c r="FH780" s="2657"/>
      <c r="FI780" s="2657"/>
      <c r="FJ780" s="2657"/>
      <c r="FK780" s="2657"/>
      <c r="FL780" s="2657"/>
      <c r="FM780" s="2657"/>
      <c r="FN780" s="2657"/>
      <c r="FO780" s="2657"/>
      <c r="FP780" s="2657"/>
      <c r="FQ780" s="2657"/>
      <c r="FR780" s="2657"/>
      <c r="FS780" s="2657"/>
      <c r="FT780" s="2657"/>
      <c r="FU780" s="2657"/>
      <c r="FV780" s="2657"/>
      <c r="FW780" s="2657"/>
      <c r="FX780" s="2657"/>
      <c r="FY780" s="2657"/>
      <c r="FZ780" s="2657"/>
      <c r="GA780" s="2657"/>
      <c r="GB780" s="2657"/>
      <c r="GC780" s="2657"/>
      <c r="GD780" s="2657"/>
      <c r="GE780" s="2657"/>
      <c r="GF780" s="2657"/>
      <c r="GG780" s="2657"/>
      <c r="GH780" s="2657"/>
      <c r="GI780" s="2657"/>
      <c r="GJ780" s="2657"/>
      <c r="GK780" s="2657"/>
      <c r="GL780" s="2657"/>
      <c r="GM780" s="2657"/>
      <c r="GN780" s="2657"/>
      <c r="GO780" s="2657"/>
      <c r="GP780" s="2657"/>
      <c r="GQ780" s="2657"/>
      <c r="GR780" s="2657"/>
      <c r="GS780" s="2657"/>
      <c r="GT780" s="2657"/>
      <c r="GU780" s="2657"/>
      <c r="GV780" s="2657"/>
      <c r="GW780" s="2657"/>
      <c r="GX780" s="2657"/>
      <c r="GY780" s="2657"/>
      <c r="GZ780" s="2657"/>
      <c r="HA780" s="2657"/>
      <c r="HB780" s="2657"/>
      <c r="HC780" s="2657"/>
      <c r="HD780" s="2657"/>
      <c r="HE780" s="2657"/>
      <c r="HF780" s="2657"/>
      <c r="HG780" s="2657"/>
      <c r="HH780" s="2657"/>
      <c r="HI780" s="2657"/>
      <c r="HJ780" s="2657"/>
      <c r="HK780" s="2657"/>
      <c r="HL780" s="2657"/>
      <c r="HM780" s="2657"/>
      <c r="HN780" s="2657"/>
      <c r="HO780" s="2657"/>
      <c r="HP780" s="2657"/>
      <c r="HQ780" s="2657"/>
      <c r="HR780" s="2657"/>
      <c r="HS780" s="2657"/>
      <c r="HT780" s="2657"/>
      <c r="HU780" s="2657"/>
      <c r="HV780" s="2657"/>
      <c r="HW780" s="2657"/>
      <c r="HX780" s="2657"/>
      <c r="HY780" s="2657"/>
      <c r="HZ780" s="2657"/>
      <c r="IA780" s="2657"/>
      <c r="IB780" s="2657"/>
      <c r="IC780" s="2657"/>
      <c r="ID780" s="2657"/>
      <c r="IE780" s="2657"/>
      <c r="IF780" s="2657"/>
      <c r="IG780" s="2657"/>
      <c r="IH780" s="2657"/>
      <c r="II780" s="2657"/>
      <c r="IJ780" s="2657"/>
      <c r="IK780" s="2657"/>
      <c r="IL780" s="2657"/>
      <c r="IM780" s="2657"/>
      <c r="IN780" s="2657"/>
      <c r="IO780" s="2657"/>
      <c r="IP780" s="2657"/>
      <c r="IQ780" s="2657"/>
      <c r="IR780" s="2657"/>
      <c r="IS780" s="2657"/>
      <c r="IT780" s="2657"/>
      <c r="IU780" s="2657"/>
    </row>
    <row r="781" spans="1:255" s="604" customFormat="1" ht="13.5" customHeight="1">
      <c r="A781" s="595"/>
      <c r="B781" s="596"/>
      <c r="C781" s="597"/>
      <c r="D781" s="1619" t="s">
        <v>4931</v>
      </c>
      <c r="E781" s="599"/>
      <c r="F781" s="600">
        <v>1</v>
      </c>
      <c r="G781" s="289"/>
      <c r="H781" s="601"/>
      <c r="I781" s="1590"/>
      <c r="J781" s="3135"/>
      <c r="K781" s="1581"/>
      <c r="L781" s="1581"/>
      <c r="M781" s="1581"/>
      <c r="N781" s="1581"/>
      <c r="O781" s="1581"/>
      <c r="P781" s="1581"/>
      <c r="Q781" s="1581"/>
      <c r="R781" s="1581"/>
      <c r="S781" s="1581"/>
      <c r="T781" s="3134"/>
      <c r="U781" s="605"/>
      <c r="W781" s="605"/>
    </row>
    <row r="782" spans="1:255" s="3144" customFormat="1" ht="40.5" customHeight="1">
      <c r="A782" s="3136"/>
      <c r="B782" s="3137"/>
      <c r="C782" s="3138"/>
      <c r="D782" s="719" t="s">
        <v>4913</v>
      </c>
      <c r="E782" s="719"/>
      <c r="F782" s="3139"/>
      <c r="G782" s="3213"/>
      <c r="H782" s="3140"/>
      <c r="I782" s="1590"/>
      <c r="J782" s="3135"/>
      <c r="K782" s="1581"/>
      <c r="L782" s="1581"/>
      <c r="M782" s="1581"/>
      <c r="N782" s="1581"/>
      <c r="O782" s="1581"/>
      <c r="P782" s="1581"/>
      <c r="Q782" s="1581"/>
      <c r="R782" s="1581"/>
      <c r="S782" s="1581"/>
      <c r="T782" s="3134"/>
      <c r="U782" s="3141"/>
      <c r="V782" s="3142"/>
      <c r="W782" s="3142"/>
      <c r="X782" s="1913"/>
      <c r="Y782" s="1913"/>
      <c r="Z782" s="3143"/>
      <c r="AA782" s="3143"/>
      <c r="AB782" s="3143"/>
      <c r="AC782" s="3143"/>
      <c r="AD782" s="3143"/>
      <c r="AE782" s="3143"/>
      <c r="AF782" s="3143"/>
      <c r="AG782" s="3143"/>
      <c r="AH782" s="3143"/>
      <c r="AI782" s="3143"/>
      <c r="AJ782" s="3143"/>
      <c r="AK782" s="3143"/>
      <c r="AL782" s="3143"/>
      <c r="AM782" s="3143"/>
      <c r="AN782" s="3143"/>
      <c r="AO782" s="3143"/>
      <c r="AP782" s="3143"/>
      <c r="AQ782" s="3143"/>
      <c r="AR782" s="3143"/>
      <c r="AS782" s="3143"/>
      <c r="AT782" s="3143"/>
      <c r="AU782" s="3143"/>
      <c r="AV782" s="3143"/>
      <c r="AW782" s="3143"/>
      <c r="AX782" s="3143"/>
      <c r="AY782" s="3143"/>
      <c r="AZ782" s="3143"/>
      <c r="BA782" s="3143"/>
      <c r="BB782" s="3143"/>
      <c r="BC782" s="3143"/>
      <c r="BD782" s="3143"/>
      <c r="BE782" s="3143"/>
      <c r="BF782" s="3143"/>
      <c r="BG782" s="3143"/>
      <c r="BH782" s="3143"/>
      <c r="BI782" s="3143"/>
      <c r="BJ782" s="3143"/>
      <c r="BK782" s="3143"/>
      <c r="BL782" s="3143"/>
      <c r="BM782" s="3143"/>
      <c r="BN782" s="3143"/>
      <c r="BO782" s="3143"/>
      <c r="BP782" s="3143"/>
      <c r="BQ782" s="3143"/>
      <c r="BR782" s="3143"/>
      <c r="BS782" s="3143"/>
      <c r="BT782" s="3143"/>
      <c r="BU782" s="3143"/>
      <c r="BV782" s="3143"/>
      <c r="BW782" s="3143"/>
      <c r="BX782" s="3143"/>
      <c r="BY782" s="3143"/>
      <c r="BZ782" s="3143"/>
      <c r="CA782" s="3143"/>
      <c r="CB782" s="3143"/>
      <c r="CC782" s="3143"/>
      <c r="CD782" s="3143"/>
      <c r="CE782" s="3143"/>
      <c r="CF782" s="3143"/>
      <c r="CG782" s="3143"/>
      <c r="CH782" s="3143"/>
      <c r="CI782" s="3143"/>
      <c r="CJ782" s="3143"/>
      <c r="CK782" s="3143"/>
      <c r="CL782" s="3143"/>
      <c r="CM782" s="3143"/>
      <c r="CN782" s="3143"/>
      <c r="CO782" s="3143"/>
      <c r="CP782" s="3143"/>
      <c r="CQ782" s="3143"/>
      <c r="CR782" s="3143"/>
      <c r="CS782" s="3143"/>
      <c r="CT782" s="3143"/>
      <c r="CU782" s="3143"/>
      <c r="CV782" s="3143"/>
      <c r="CW782" s="3143"/>
      <c r="CX782" s="3143"/>
      <c r="CY782" s="3143"/>
      <c r="CZ782" s="3143"/>
      <c r="DA782" s="3143"/>
      <c r="DB782" s="3143"/>
      <c r="DC782" s="3143"/>
      <c r="DD782" s="3143"/>
      <c r="DE782" s="3143"/>
      <c r="DF782" s="3143"/>
      <c r="DG782" s="3143"/>
      <c r="DH782" s="3143"/>
      <c r="DI782" s="3143"/>
      <c r="DJ782" s="3143"/>
      <c r="DK782" s="3143"/>
      <c r="DL782" s="3143"/>
      <c r="DM782" s="3143"/>
      <c r="DN782" s="3143"/>
      <c r="DO782" s="3143"/>
      <c r="DP782" s="3143"/>
      <c r="DQ782" s="3143"/>
      <c r="DR782" s="3143"/>
      <c r="DS782" s="3143"/>
    </row>
    <row r="783" spans="1:255" s="604" customFormat="1" ht="13.5" customHeight="1">
      <c r="A783" s="595"/>
      <c r="B783" s="596"/>
      <c r="C783" s="597"/>
      <c r="D783" s="719" t="s">
        <v>278</v>
      </c>
      <c r="E783" s="599"/>
      <c r="F783" s="600"/>
      <c r="G783" s="289"/>
      <c r="H783" s="601"/>
      <c r="I783" s="1620"/>
      <c r="J783" s="3135"/>
      <c r="K783" s="1581"/>
      <c r="L783" s="1581"/>
      <c r="M783" s="1581"/>
      <c r="N783" s="1581"/>
      <c r="O783" s="1581"/>
      <c r="P783" s="1581"/>
      <c r="Q783" s="1581"/>
      <c r="R783" s="1581"/>
      <c r="S783" s="1581"/>
      <c r="T783" s="3134"/>
      <c r="U783" s="605"/>
      <c r="W783" s="605"/>
    </row>
    <row r="784" spans="1:255" s="888" customFormat="1" ht="13.5" customHeight="1">
      <c r="A784" s="3130">
        <v>38</v>
      </c>
      <c r="B784" s="3131">
        <v>271</v>
      </c>
      <c r="C784" s="3131" t="s">
        <v>4932</v>
      </c>
      <c r="D784" s="3131" t="s">
        <v>4933</v>
      </c>
      <c r="E784" s="3131" t="s">
        <v>205</v>
      </c>
      <c r="F784" s="2905">
        <f>ROUND(SUM(F785),3)</f>
        <v>1</v>
      </c>
      <c r="G784" s="288"/>
      <c r="H784" s="568">
        <f t="shared" ref="H784" si="32">ROUND(F784*G784,2)</f>
        <v>0</v>
      </c>
      <c r="I784" s="613" t="s">
        <v>111</v>
      </c>
      <c r="J784" s="3132"/>
      <c r="K784" s="3133"/>
      <c r="L784" s="3133"/>
      <c r="M784" s="3133"/>
      <c r="N784" s="3133"/>
      <c r="O784" s="3133"/>
      <c r="P784" s="3133"/>
      <c r="Q784" s="3133"/>
      <c r="R784" s="3133"/>
      <c r="S784" s="3133"/>
      <c r="T784" s="3134"/>
      <c r="BN784" s="2657"/>
      <c r="BO784" s="2657"/>
      <c r="BP784" s="2657"/>
      <c r="BQ784" s="2657"/>
      <c r="BR784" s="2657"/>
      <c r="BS784" s="2657"/>
      <c r="BT784" s="2657"/>
      <c r="BU784" s="2657"/>
      <c r="BV784" s="2657"/>
      <c r="BW784" s="2657"/>
      <c r="BX784" s="2657"/>
      <c r="BY784" s="2657"/>
      <c r="BZ784" s="2657"/>
      <c r="CA784" s="2657"/>
      <c r="CB784" s="2657"/>
      <c r="CC784" s="2657"/>
      <c r="CD784" s="2657"/>
      <c r="CE784" s="2657"/>
      <c r="CF784" s="2657"/>
      <c r="CG784" s="2657"/>
      <c r="CH784" s="2657"/>
      <c r="CI784" s="2657"/>
      <c r="CJ784" s="2657"/>
      <c r="CK784" s="2657"/>
      <c r="CL784" s="2657"/>
      <c r="CM784" s="2657"/>
      <c r="CN784" s="2657"/>
      <c r="CO784" s="2657"/>
      <c r="CP784" s="2657"/>
      <c r="CQ784" s="2657"/>
      <c r="CR784" s="2657"/>
      <c r="CS784" s="2657"/>
      <c r="CT784" s="2657"/>
      <c r="CU784" s="2657"/>
      <c r="CV784" s="2657"/>
      <c r="CW784" s="2657"/>
      <c r="CX784" s="2657"/>
      <c r="CY784" s="2657"/>
      <c r="CZ784" s="2657"/>
      <c r="DA784" s="2657"/>
      <c r="DB784" s="2657"/>
      <c r="DC784" s="2657"/>
      <c r="DD784" s="2657"/>
      <c r="DE784" s="2657"/>
      <c r="DF784" s="2657"/>
      <c r="DG784" s="2657"/>
      <c r="DH784" s="2657"/>
      <c r="DI784" s="2657"/>
      <c r="DJ784" s="2657"/>
      <c r="DK784" s="2657"/>
      <c r="DL784" s="2657"/>
      <c r="DM784" s="2657"/>
      <c r="DN784" s="2657"/>
      <c r="DO784" s="2657"/>
      <c r="DP784" s="2657"/>
      <c r="DQ784" s="2657"/>
      <c r="DR784" s="2657"/>
      <c r="DS784" s="2657"/>
      <c r="DT784" s="2657"/>
      <c r="DU784" s="2657"/>
      <c r="DV784" s="2657"/>
      <c r="DW784" s="2657"/>
      <c r="DX784" s="2657"/>
      <c r="DY784" s="2657"/>
      <c r="DZ784" s="2657"/>
      <c r="EA784" s="2657"/>
      <c r="EB784" s="2657"/>
      <c r="EC784" s="2657"/>
      <c r="ED784" s="2657"/>
      <c r="EE784" s="2657"/>
      <c r="EF784" s="2657"/>
      <c r="EG784" s="2657"/>
      <c r="EH784" s="2657"/>
      <c r="EI784" s="2657"/>
      <c r="EJ784" s="2657"/>
      <c r="EK784" s="2657"/>
      <c r="EL784" s="2657"/>
      <c r="EM784" s="2657"/>
      <c r="EN784" s="2657"/>
      <c r="EO784" s="2657"/>
      <c r="EP784" s="2657"/>
      <c r="EQ784" s="2657"/>
      <c r="ER784" s="2657"/>
      <c r="ES784" s="2657"/>
      <c r="ET784" s="2657"/>
      <c r="EU784" s="2657"/>
      <c r="EV784" s="2657"/>
      <c r="EW784" s="2657"/>
      <c r="EX784" s="2657"/>
      <c r="EY784" s="2657"/>
      <c r="EZ784" s="2657"/>
      <c r="FA784" s="2657"/>
      <c r="FB784" s="2657"/>
      <c r="FC784" s="2657"/>
      <c r="FD784" s="2657"/>
      <c r="FE784" s="2657"/>
      <c r="FF784" s="2657"/>
      <c r="FG784" s="2657"/>
      <c r="FH784" s="2657"/>
      <c r="FI784" s="2657"/>
      <c r="FJ784" s="2657"/>
      <c r="FK784" s="2657"/>
      <c r="FL784" s="2657"/>
      <c r="FM784" s="2657"/>
      <c r="FN784" s="2657"/>
      <c r="FO784" s="2657"/>
      <c r="FP784" s="2657"/>
      <c r="FQ784" s="2657"/>
      <c r="FR784" s="2657"/>
      <c r="FS784" s="2657"/>
      <c r="FT784" s="2657"/>
      <c r="FU784" s="2657"/>
      <c r="FV784" s="2657"/>
      <c r="FW784" s="2657"/>
      <c r="FX784" s="2657"/>
      <c r="FY784" s="2657"/>
      <c r="FZ784" s="2657"/>
      <c r="GA784" s="2657"/>
      <c r="GB784" s="2657"/>
      <c r="GC784" s="2657"/>
      <c r="GD784" s="2657"/>
      <c r="GE784" s="2657"/>
      <c r="GF784" s="2657"/>
      <c r="GG784" s="2657"/>
      <c r="GH784" s="2657"/>
      <c r="GI784" s="2657"/>
      <c r="GJ784" s="2657"/>
      <c r="GK784" s="2657"/>
      <c r="GL784" s="2657"/>
      <c r="GM784" s="2657"/>
      <c r="GN784" s="2657"/>
      <c r="GO784" s="2657"/>
      <c r="GP784" s="2657"/>
      <c r="GQ784" s="2657"/>
      <c r="GR784" s="2657"/>
      <c r="GS784" s="2657"/>
      <c r="GT784" s="2657"/>
      <c r="GU784" s="2657"/>
      <c r="GV784" s="2657"/>
      <c r="GW784" s="2657"/>
      <c r="GX784" s="2657"/>
      <c r="GY784" s="2657"/>
      <c r="GZ784" s="2657"/>
      <c r="HA784" s="2657"/>
      <c r="HB784" s="2657"/>
      <c r="HC784" s="2657"/>
      <c r="HD784" s="2657"/>
      <c r="HE784" s="2657"/>
      <c r="HF784" s="2657"/>
      <c r="HG784" s="2657"/>
      <c r="HH784" s="2657"/>
      <c r="HI784" s="2657"/>
      <c r="HJ784" s="2657"/>
      <c r="HK784" s="2657"/>
      <c r="HL784" s="2657"/>
      <c r="HM784" s="2657"/>
      <c r="HN784" s="2657"/>
      <c r="HO784" s="2657"/>
      <c r="HP784" s="2657"/>
      <c r="HQ784" s="2657"/>
      <c r="HR784" s="2657"/>
      <c r="HS784" s="2657"/>
      <c r="HT784" s="2657"/>
      <c r="HU784" s="2657"/>
      <c r="HV784" s="2657"/>
      <c r="HW784" s="2657"/>
      <c r="HX784" s="2657"/>
      <c r="HY784" s="2657"/>
      <c r="HZ784" s="2657"/>
      <c r="IA784" s="2657"/>
      <c r="IB784" s="2657"/>
      <c r="IC784" s="2657"/>
      <c r="ID784" s="2657"/>
      <c r="IE784" s="2657"/>
      <c r="IF784" s="2657"/>
      <c r="IG784" s="2657"/>
      <c r="IH784" s="2657"/>
      <c r="II784" s="2657"/>
      <c r="IJ784" s="2657"/>
      <c r="IK784" s="2657"/>
      <c r="IL784" s="2657"/>
      <c r="IM784" s="2657"/>
      <c r="IN784" s="2657"/>
      <c r="IO784" s="2657"/>
      <c r="IP784" s="2657"/>
      <c r="IQ784" s="2657"/>
      <c r="IR784" s="2657"/>
      <c r="IS784" s="2657"/>
      <c r="IT784" s="2657"/>
      <c r="IU784" s="2657"/>
    </row>
    <row r="785" spans="1:255" s="604" customFormat="1" ht="13.5" customHeight="1">
      <c r="A785" s="595"/>
      <c r="B785" s="596"/>
      <c r="C785" s="597"/>
      <c r="D785" s="1619" t="s">
        <v>4934</v>
      </c>
      <c r="E785" s="599"/>
      <c r="F785" s="600">
        <v>1</v>
      </c>
      <c r="G785" s="289"/>
      <c r="H785" s="601"/>
      <c r="I785" s="1590"/>
      <c r="J785" s="3135"/>
      <c r="K785" s="1581"/>
      <c r="L785" s="1581"/>
      <c r="M785" s="1581"/>
      <c r="N785" s="1581"/>
      <c r="O785" s="1581"/>
      <c r="P785" s="1581"/>
      <c r="Q785" s="1581"/>
      <c r="R785" s="1581"/>
      <c r="S785" s="1581"/>
      <c r="T785" s="3134"/>
      <c r="U785" s="605"/>
      <c r="W785" s="605"/>
    </row>
    <row r="786" spans="1:255" s="3144" customFormat="1" ht="40.5" customHeight="1">
      <c r="A786" s="3136"/>
      <c r="B786" s="3137"/>
      <c r="C786" s="3138"/>
      <c r="D786" s="719" t="s">
        <v>4913</v>
      </c>
      <c r="E786" s="719"/>
      <c r="F786" s="3139"/>
      <c r="G786" s="3213"/>
      <c r="H786" s="3140"/>
      <c r="I786" s="1590"/>
      <c r="J786" s="3135"/>
      <c r="K786" s="1581"/>
      <c r="L786" s="1581"/>
      <c r="M786" s="1581"/>
      <c r="N786" s="1581"/>
      <c r="O786" s="1581"/>
      <c r="P786" s="1581"/>
      <c r="Q786" s="1581"/>
      <c r="R786" s="1581"/>
      <c r="S786" s="1581"/>
      <c r="T786" s="3134"/>
      <c r="U786" s="3141"/>
      <c r="V786" s="3142"/>
      <c r="W786" s="3142"/>
      <c r="X786" s="1913"/>
      <c r="Y786" s="1913"/>
      <c r="Z786" s="3143"/>
      <c r="AA786" s="3143"/>
      <c r="AB786" s="3143"/>
      <c r="AC786" s="3143"/>
      <c r="AD786" s="3143"/>
      <c r="AE786" s="3143"/>
      <c r="AF786" s="3143"/>
      <c r="AG786" s="3143"/>
      <c r="AH786" s="3143"/>
      <c r="AI786" s="3143"/>
      <c r="AJ786" s="3143"/>
      <c r="AK786" s="3143"/>
      <c r="AL786" s="3143"/>
      <c r="AM786" s="3143"/>
      <c r="AN786" s="3143"/>
      <c r="AO786" s="3143"/>
      <c r="AP786" s="3143"/>
      <c r="AQ786" s="3143"/>
      <c r="AR786" s="3143"/>
      <c r="AS786" s="3143"/>
      <c r="AT786" s="3143"/>
      <c r="AU786" s="3143"/>
      <c r="AV786" s="3143"/>
      <c r="AW786" s="3143"/>
      <c r="AX786" s="3143"/>
      <c r="AY786" s="3143"/>
      <c r="AZ786" s="3143"/>
      <c r="BA786" s="3143"/>
      <c r="BB786" s="3143"/>
      <c r="BC786" s="3143"/>
      <c r="BD786" s="3143"/>
      <c r="BE786" s="3143"/>
      <c r="BF786" s="3143"/>
      <c r="BG786" s="3143"/>
      <c r="BH786" s="3143"/>
      <c r="BI786" s="3143"/>
      <c r="BJ786" s="3143"/>
      <c r="BK786" s="3143"/>
      <c r="BL786" s="3143"/>
      <c r="BM786" s="3143"/>
      <c r="BN786" s="3143"/>
      <c r="BO786" s="3143"/>
      <c r="BP786" s="3143"/>
      <c r="BQ786" s="3143"/>
      <c r="BR786" s="3143"/>
      <c r="BS786" s="3143"/>
      <c r="BT786" s="3143"/>
      <c r="BU786" s="3143"/>
      <c r="BV786" s="3143"/>
      <c r="BW786" s="3143"/>
      <c r="BX786" s="3143"/>
      <c r="BY786" s="3143"/>
      <c r="BZ786" s="3143"/>
      <c r="CA786" s="3143"/>
      <c r="CB786" s="3143"/>
      <c r="CC786" s="3143"/>
      <c r="CD786" s="3143"/>
      <c r="CE786" s="3143"/>
      <c r="CF786" s="3143"/>
      <c r="CG786" s="3143"/>
      <c r="CH786" s="3143"/>
      <c r="CI786" s="3143"/>
      <c r="CJ786" s="3143"/>
      <c r="CK786" s="3143"/>
      <c r="CL786" s="3143"/>
      <c r="CM786" s="3143"/>
      <c r="CN786" s="3143"/>
      <c r="CO786" s="3143"/>
      <c r="CP786" s="3143"/>
      <c r="CQ786" s="3143"/>
      <c r="CR786" s="3143"/>
      <c r="CS786" s="3143"/>
      <c r="CT786" s="3143"/>
      <c r="CU786" s="3143"/>
      <c r="CV786" s="3143"/>
      <c r="CW786" s="3143"/>
      <c r="CX786" s="3143"/>
      <c r="CY786" s="3143"/>
      <c r="CZ786" s="3143"/>
      <c r="DA786" s="3143"/>
      <c r="DB786" s="3143"/>
      <c r="DC786" s="3143"/>
      <c r="DD786" s="3143"/>
      <c r="DE786" s="3143"/>
      <c r="DF786" s="3143"/>
      <c r="DG786" s="3143"/>
      <c r="DH786" s="3143"/>
      <c r="DI786" s="3143"/>
      <c r="DJ786" s="3143"/>
      <c r="DK786" s="3143"/>
      <c r="DL786" s="3143"/>
      <c r="DM786" s="3143"/>
      <c r="DN786" s="3143"/>
      <c r="DO786" s="3143"/>
      <c r="DP786" s="3143"/>
      <c r="DQ786" s="3143"/>
      <c r="DR786" s="3143"/>
      <c r="DS786" s="3143"/>
    </row>
    <row r="787" spans="1:255" s="604" customFormat="1" ht="13.5" customHeight="1">
      <c r="A787" s="595"/>
      <c r="B787" s="596"/>
      <c r="C787" s="597"/>
      <c r="D787" s="719" t="s">
        <v>278</v>
      </c>
      <c r="E787" s="599"/>
      <c r="F787" s="600"/>
      <c r="G787" s="289"/>
      <c r="H787" s="601"/>
      <c r="I787" s="1620"/>
      <c r="J787" s="3135"/>
      <c r="K787" s="1581"/>
      <c r="L787" s="1581"/>
      <c r="M787" s="1581"/>
      <c r="N787" s="1581"/>
      <c r="O787" s="1581"/>
      <c r="P787" s="1581"/>
      <c r="Q787" s="1581"/>
      <c r="R787" s="1581"/>
      <c r="S787" s="1581"/>
      <c r="T787" s="3134"/>
      <c r="U787" s="605"/>
      <c r="W787" s="605"/>
    </row>
    <row r="788" spans="1:255" s="888" customFormat="1" ht="13.5" customHeight="1">
      <c r="A788" s="3130">
        <v>39</v>
      </c>
      <c r="B788" s="3131">
        <v>271</v>
      </c>
      <c r="C788" s="3131" t="s">
        <v>4935</v>
      </c>
      <c r="D788" s="3131" t="s">
        <v>4936</v>
      </c>
      <c r="E788" s="3131" t="s">
        <v>205</v>
      </c>
      <c r="F788" s="2905">
        <f>ROUND(SUM(F789),3)</f>
        <v>1</v>
      </c>
      <c r="G788" s="288"/>
      <c r="H788" s="568">
        <f t="shared" ref="H788" si="33">ROUND(F788*G788,2)</f>
        <v>0</v>
      </c>
      <c r="I788" s="613" t="s">
        <v>111</v>
      </c>
      <c r="J788" s="3132"/>
      <c r="K788" s="3133"/>
      <c r="L788" s="3133"/>
      <c r="M788" s="3133"/>
      <c r="N788" s="3133"/>
      <c r="O788" s="3133"/>
      <c r="P788" s="3133"/>
      <c r="Q788" s="3133"/>
      <c r="R788" s="3133"/>
      <c r="S788" s="3133"/>
      <c r="T788" s="3134"/>
      <c r="BN788" s="2657"/>
      <c r="BO788" s="2657"/>
      <c r="BP788" s="2657"/>
      <c r="BQ788" s="2657"/>
      <c r="BR788" s="2657"/>
      <c r="BS788" s="2657"/>
      <c r="BT788" s="2657"/>
      <c r="BU788" s="2657"/>
      <c r="BV788" s="2657"/>
      <c r="BW788" s="2657"/>
      <c r="BX788" s="2657"/>
      <c r="BY788" s="2657"/>
      <c r="BZ788" s="2657"/>
      <c r="CA788" s="2657"/>
      <c r="CB788" s="2657"/>
      <c r="CC788" s="2657"/>
      <c r="CD788" s="2657"/>
      <c r="CE788" s="2657"/>
      <c r="CF788" s="2657"/>
      <c r="CG788" s="2657"/>
      <c r="CH788" s="2657"/>
      <c r="CI788" s="2657"/>
      <c r="CJ788" s="2657"/>
      <c r="CK788" s="2657"/>
      <c r="CL788" s="2657"/>
      <c r="CM788" s="2657"/>
      <c r="CN788" s="2657"/>
      <c r="CO788" s="2657"/>
      <c r="CP788" s="2657"/>
      <c r="CQ788" s="2657"/>
      <c r="CR788" s="2657"/>
      <c r="CS788" s="2657"/>
      <c r="CT788" s="2657"/>
      <c r="CU788" s="2657"/>
      <c r="CV788" s="2657"/>
      <c r="CW788" s="2657"/>
      <c r="CX788" s="2657"/>
      <c r="CY788" s="2657"/>
      <c r="CZ788" s="2657"/>
      <c r="DA788" s="2657"/>
      <c r="DB788" s="2657"/>
      <c r="DC788" s="2657"/>
      <c r="DD788" s="2657"/>
      <c r="DE788" s="2657"/>
      <c r="DF788" s="2657"/>
      <c r="DG788" s="2657"/>
      <c r="DH788" s="2657"/>
      <c r="DI788" s="2657"/>
      <c r="DJ788" s="2657"/>
      <c r="DK788" s="2657"/>
      <c r="DL788" s="2657"/>
      <c r="DM788" s="2657"/>
      <c r="DN788" s="2657"/>
      <c r="DO788" s="2657"/>
      <c r="DP788" s="2657"/>
      <c r="DQ788" s="2657"/>
      <c r="DR788" s="2657"/>
      <c r="DS788" s="2657"/>
      <c r="DT788" s="2657"/>
      <c r="DU788" s="2657"/>
      <c r="DV788" s="2657"/>
      <c r="DW788" s="2657"/>
      <c r="DX788" s="2657"/>
      <c r="DY788" s="2657"/>
      <c r="DZ788" s="2657"/>
      <c r="EA788" s="2657"/>
      <c r="EB788" s="2657"/>
      <c r="EC788" s="2657"/>
      <c r="ED788" s="2657"/>
      <c r="EE788" s="2657"/>
      <c r="EF788" s="2657"/>
      <c r="EG788" s="2657"/>
      <c r="EH788" s="2657"/>
      <c r="EI788" s="2657"/>
      <c r="EJ788" s="2657"/>
      <c r="EK788" s="2657"/>
      <c r="EL788" s="2657"/>
      <c r="EM788" s="2657"/>
      <c r="EN788" s="2657"/>
      <c r="EO788" s="2657"/>
      <c r="EP788" s="2657"/>
      <c r="EQ788" s="2657"/>
      <c r="ER788" s="2657"/>
      <c r="ES788" s="2657"/>
      <c r="ET788" s="2657"/>
      <c r="EU788" s="2657"/>
      <c r="EV788" s="2657"/>
      <c r="EW788" s="2657"/>
      <c r="EX788" s="2657"/>
      <c r="EY788" s="2657"/>
      <c r="EZ788" s="2657"/>
      <c r="FA788" s="2657"/>
      <c r="FB788" s="2657"/>
      <c r="FC788" s="2657"/>
      <c r="FD788" s="2657"/>
      <c r="FE788" s="2657"/>
      <c r="FF788" s="2657"/>
      <c r="FG788" s="2657"/>
      <c r="FH788" s="2657"/>
      <c r="FI788" s="2657"/>
      <c r="FJ788" s="2657"/>
      <c r="FK788" s="2657"/>
      <c r="FL788" s="2657"/>
      <c r="FM788" s="2657"/>
      <c r="FN788" s="2657"/>
      <c r="FO788" s="2657"/>
      <c r="FP788" s="2657"/>
      <c r="FQ788" s="2657"/>
      <c r="FR788" s="2657"/>
      <c r="FS788" s="2657"/>
      <c r="FT788" s="2657"/>
      <c r="FU788" s="2657"/>
      <c r="FV788" s="2657"/>
      <c r="FW788" s="2657"/>
      <c r="FX788" s="2657"/>
      <c r="FY788" s="2657"/>
      <c r="FZ788" s="2657"/>
      <c r="GA788" s="2657"/>
      <c r="GB788" s="2657"/>
      <c r="GC788" s="2657"/>
      <c r="GD788" s="2657"/>
      <c r="GE788" s="2657"/>
      <c r="GF788" s="2657"/>
      <c r="GG788" s="2657"/>
      <c r="GH788" s="2657"/>
      <c r="GI788" s="2657"/>
      <c r="GJ788" s="2657"/>
      <c r="GK788" s="2657"/>
      <c r="GL788" s="2657"/>
      <c r="GM788" s="2657"/>
      <c r="GN788" s="2657"/>
      <c r="GO788" s="2657"/>
      <c r="GP788" s="2657"/>
      <c r="GQ788" s="2657"/>
      <c r="GR788" s="2657"/>
      <c r="GS788" s="2657"/>
      <c r="GT788" s="2657"/>
      <c r="GU788" s="2657"/>
      <c r="GV788" s="2657"/>
      <c r="GW788" s="2657"/>
      <c r="GX788" s="2657"/>
      <c r="GY788" s="2657"/>
      <c r="GZ788" s="2657"/>
      <c r="HA788" s="2657"/>
      <c r="HB788" s="2657"/>
      <c r="HC788" s="2657"/>
      <c r="HD788" s="2657"/>
      <c r="HE788" s="2657"/>
      <c r="HF788" s="2657"/>
      <c r="HG788" s="2657"/>
      <c r="HH788" s="2657"/>
      <c r="HI788" s="2657"/>
      <c r="HJ788" s="2657"/>
      <c r="HK788" s="2657"/>
      <c r="HL788" s="2657"/>
      <c r="HM788" s="2657"/>
      <c r="HN788" s="2657"/>
      <c r="HO788" s="2657"/>
      <c r="HP788" s="2657"/>
      <c r="HQ788" s="2657"/>
      <c r="HR788" s="2657"/>
      <c r="HS788" s="2657"/>
      <c r="HT788" s="2657"/>
      <c r="HU788" s="2657"/>
      <c r="HV788" s="2657"/>
      <c r="HW788" s="2657"/>
      <c r="HX788" s="2657"/>
      <c r="HY788" s="2657"/>
      <c r="HZ788" s="2657"/>
      <c r="IA788" s="2657"/>
      <c r="IB788" s="2657"/>
      <c r="IC788" s="2657"/>
      <c r="ID788" s="2657"/>
      <c r="IE788" s="2657"/>
      <c r="IF788" s="2657"/>
      <c r="IG788" s="2657"/>
      <c r="IH788" s="2657"/>
      <c r="II788" s="2657"/>
      <c r="IJ788" s="2657"/>
      <c r="IK788" s="2657"/>
      <c r="IL788" s="2657"/>
      <c r="IM788" s="2657"/>
      <c r="IN788" s="2657"/>
      <c r="IO788" s="2657"/>
      <c r="IP788" s="2657"/>
      <c r="IQ788" s="2657"/>
      <c r="IR788" s="2657"/>
      <c r="IS788" s="2657"/>
      <c r="IT788" s="2657"/>
      <c r="IU788" s="2657"/>
    </row>
    <row r="789" spans="1:255" s="604" customFormat="1" ht="27" customHeight="1">
      <c r="A789" s="595"/>
      <c r="B789" s="596"/>
      <c r="C789" s="597"/>
      <c r="D789" s="1619" t="s">
        <v>4937</v>
      </c>
      <c r="E789" s="599"/>
      <c r="F789" s="600">
        <v>1</v>
      </c>
      <c r="G789" s="289"/>
      <c r="H789" s="601"/>
      <c r="I789" s="1590"/>
      <c r="J789" s="3135"/>
      <c r="K789" s="1581"/>
      <c r="L789" s="1581"/>
      <c r="M789" s="1581"/>
      <c r="N789" s="1581"/>
      <c r="O789" s="1581"/>
      <c r="P789" s="1581"/>
      <c r="Q789" s="1581"/>
      <c r="R789" s="1581"/>
      <c r="S789" s="1581"/>
      <c r="T789" s="3134"/>
      <c r="U789" s="605"/>
      <c r="W789" s="605"/>
    </row>
    <row r="790" spans="1:255" s="3144" customFormat="1" ht="40.5" customHeight="1">
      <c r="A790" s="3136"/>
      <c r="B790" s="3137"/>
      <c r="C790" s="3138"/>
      <c r="D790" s="719" t="s">
        <v>4913</v>
      </c>
      <c r="E790" s="719"/>
      <c r="F790" s="3139"/>
      <c r="G790" s="3213"/>
      <c r="H790" s="3140"/>
      <c r="I790" s="1590"/>
      <c r="J790" s="3135"/>
      <c r="K790" s="1581"/>
      <c r="L790" s="1581"/>
      <c r="M790" s="1581"/>
      <c r="N790" s="1581"/>
      <c r="O790" s="1581"/>
      <c r="P790" s="1581"/>
      <c r="Q790" s="1581"/>
      <c r="R790" s="1581"/>
      <c r="S790" s="1581"/>
      <c r="T790" s="3134"/>
      <c r="U790" s="3141"/>
      <c r="V790" s="3142"/>
      <c r="W790" s="3142"/>
      <c r="X790" s="1913"/>
      <c r="Y790" s="1913"/>
      <c r="Z790" s="3143"/>
      <c r="AA790" s="3143"/>
      <c r="AB790" s="3143"/>
      <c r="AC790" s="3143"/>
      <c r="AD790" s="3143"/>
      <c r="AE790" s="3143"/>
      <c r="AF790" s="3143"/>
      <c r="AG790" s="3143"/>
      <c r="AH790" s="3143"/>
      <c r="AI790" s="3143"/>
      <c r="AJ790" s="3143"/>
      <c r="AK790" s="3143"/>
      <c r="AL790" s="3143"/>
      <c r="AM790" s="3143"/>
      <c r="AN790" s="3143"/>
      <c r="AO790" s="3143"/>
      <c r="AP790" s="3143"/>
      <c r="AQ790" s="3143"/>
      <c r="AR790" s="3143"/>
      <c r="AS790" s="3143"/>
      <c r="AT790" s="3143"/>
      <c r="AU790" s="3143"/>
      <c r="AV790" s="3143"/>
      <c r="AW790" s="3143"/>
      <c r="AX790" s="3143"/>
      <c r="AY790" s="3143"/>
      <c r="AZ790" s="3143"/>
      <c r="BA790" s="3143"/>
      <c r="BB790" s="3143"/>
      <c r="BC790" s="3143"/>
      <c r="BD790" s="3143"/>
      <c r="BE790" s="3143"/>
      <c r="BF790" s="3143"/>
      <c r="BG790" s="3143"/>
      <c r="BH790" s="3143"/>
      <c r="BI790" s="3143"/>
      <c r="BJ790" s="3143"/>
      <c r="BK790" s="3143"/>
      <c r="BL790" s="3143"/>
      <c r="BM790" s="3143"/>
      <c r="BN790" s="3143"/>
      <c r="BO790" s="3143"/>
      <c r="BP790" s="3143"/>
      <c r="BQ790" s="3143"/>
      <c r="BR790" s="3143"/>
      <c r="BS790" s="3143"/>
      <c r="BT790" s="3143"/>
      <c r="BU790" s="3143"/>
      <c r="BV790" s="3143"/>
      <c r="BW790" s="3143"/>
      <c r="BX790" s="3143"/>
      <c r="BY790" s="3143"/>
      <c r="BZ790" s="3143"/>
      <c r="CA790" s="3143"/>
      <c r="CB790" s="3143"/>
      <c r="CC790" s="3143"/>
      <c r="CD790" s="3143"/>
      <c r="CE790" s="3143"/>
      <c r="CF790" s="3143"/>
      <c r="CG790" s="3143"/>
      <c r="CH790" s="3143"/>
      <c r="CI790" s="3143"/>
      <c r="CJ790" s="3143"/>
      <c r="CK790" s="3143"/>
      <c r="CL790" s="3143"/>
      <c r="CM790" s="3143"/>
      <c r="CN790" s="3143"/>
      <c r="CO790" s="3143"/>
      <c r="CP790" s="3143"/>
      <c r="CQ790" s="3143"/>
      <c r="CR790" s="3143"/>
      <c r="CS790" s="3143"/>
      <c r="CT790" s="3143"/>
      <c r="CU790" s="3143"/>
      <c r="CV790" s="3143"/>
      <c r="CW790" s="3143"/>
      <c r="CX790" s="3143"/>
      <c r="CY790" s="3143"/>
      <c r="CZ790" s="3143"/>
      <c r="DA790" s="3143"/>
      <c r="DB790" s="3143"/>
      <c r="DC790" s="3143"/>
      <c r="DD790" s="3143"/>
      <c r="DE790" s="3143"/>
      <c r="DF790" s="3143"/>
      <c r="DG790" s="3143"/>
      <c r="DH790" s="3143"/>
      <c r="DI790" s="3143"/>
      <c r="DJ790" s="3143"/>
      <c r="DK790" s="3143"/>
      <c r="DL790" s="3143"/>
      <c r="DM790" s="3143"/>
      <c r="DN790" s="3143"/>
      <c r="DO790" s="3143"/>
      <c r="DP790" s="3143"/>
      <c r="DQ790" s="3143"/>
      <c r="DR790" s="3143"/>
      <c r="DS790" s="3143"/>
    </row>
    <row r="791" spans="1:255" s="604" customFormat="1" ht="13.5" customHeight="1">
      <c r="A791" s="595"/>
      <c r="B791" s="596"/>
      <c r="C791" s="597"/>
      <c r="D791" s="719" t="s">
        <v>278</v>
      </c>
      <c r="E791" s="599"/>
      <c r="F791" s="600"/>
      <c r="G791" s="289"/>
      <c r="H791" s="601"/>
      <c r="I791" s="1620"/>
      <c r="J791" s="3135"/>
      <c r="K791" s="1581"/>
      <c r="L791" s="1581"/>
      <c r="M791" s="1581"/>
      <c r="N791" s="1581"/>
      <c r="O791" s="1581"/>
      <c r="P791" s="1581"/>
      <c r="Q791" s="1581"/>
      <c r="R791" s="1581"/>
      <c r="S791" s="1581"/>
      <c r="T791" s="3134"/>
      <c r="U791" s="605"/>
      <c r="W791" s="605"/>
    </row>
    <row r="792" spans="1:255" s="888" customFormat="1" ht="13.5" customHeight="1">
      <c r="A792" s="3130">
        <v>40</v>
      </c>
      <c r="B792" s="3131">
        <v>271</v>
      </c>
      <c r="C792" s="3131" t="s">
        <v>4938</v>
      </c>
      <c r="D792" s="3131" t="s">
        <v>4936</v>
      </c>
      <c r="E792" s="3131" t="s">
        <v>205</v>
      </c>
      <c r="F792" s="2905">
        <f>ROUND(SUM(F793),3)</f>
        <v>1</v>
      </c>
      <c r="G792" s="288"/>
      <c r="H792" s="568">
        <f t="shared" ref="H792" si="34">ROUND(F792*G792,2)</f>
        <v>0</v>
      </c>
      <c r="I792" s="613" t="s">
        <v>111</v>
      </c>
      <c r="J792" s="3132"/>
      <c r="K792" s="3133"/>
      <c r="L792" s="3133"/>
      <c r="M792" s="3133"/>
      <c r="N792" s="3133"/>
      <c r="O792" s="3133"/>
      <c r="P792" s="3133"/>
      <c r="Q792" s="3133"/>
      <c r="R792" s="3133"/>
      <c r="S792" s="3133"/>
      <c r="T792" s="3134"/>
      <c r="BN792" s="2657"/>
      <c r="BO792" s="2657"/>
      <c r="BP792" s="2657"/>
      <c r="BQ792" s="2657"/>
      <c r="BR792" s="2657"/>
      <c r="BS792" s="2657"/>
      <c r="BT792" s="2657"/>
      <c r="BU792" s="2657"/>
      <c r="BV792" s="2657"/>
      <c r="BW792" s="2657"/>
      <c r="BX792" s="2657"/>
      <c r="BY792" s="2657"/>
      <c r="BZ792" s="2657"/>
      <c r="CA792" s="2657"/>
      <c r="CB792" s="2657"/>
      <c r="CC792" s="2657"/>
      <c r="CD792" s="2657"/>
      <c r="CE792" s="2657"/>
      <c r="CF792" s="2657"/>
      <c r="CG792" s="2657"/>
      <c r="CH792" s="2657"/>
      <c r="CI792" s="2657"/>
      <c r="CJ792" s="2657"/>
      <c r="CK792" s="2657"/>
      <c r="CL792" s="2657"/>
      <c r="CM792" s="2657"/>
      <c r="CN792" s="2657"/>
      <c r="CO792" s="2657"/>
      <c r="CP792" s="2657"/>
      <c r="CQ792" s="2657"/>
      <c r="CR792" s="2657"/>
      <c r="CS792" s="2657"/>
      <c r="CT792" s="2657"/>
      <c r="CU792" s="2657"/>
      <c r="CV792" s="2657"/>
      <c r="CW792" s="2657"/>
      <c r="CX792" s="2657"/>
      <c r="CY792" s="2657"/>
      <c r="CZ792" s="2657"/>
      <c r="DA792" s="2657"/>
      <c r="DB792" s="2657"/>
      <c r="DC792" s="2657"/>
      <c r="DD792" s="2657"/>
      <c r="DE792" s="2657"/>
      <c r="DF792" s="2657"/>
      <c r="DG792" s="2657"/>
      <c r="DH792" s="2657"/>
      <c r="DI792" s="2657"/>
      <c r="DJ792" s="2657"/>
      <c r="DK792" s="2657"/>
      <c r="DL792" s="2657"/>
      <c r="DM792" s="2657"/>
      <c r="DN792" s="2657"/>
      <c r="DO792" s="2657"/>
      <c r="DP792" s="2657"/>
      <c r="DQ792" s="2657"/>
      <c r="DR792" s="2657"/>
      <c r="DS792" s="2657"/>
      <c r="DT792" s="2657"/>
      <c r="DU792" s="2657"/>
      <c r="DV792" s="2657"/>
      <c r="DW792" s="2657"/>
      <c r="DX792" s="2657"/>
      <c r="DY792" s="2657"/>
      <c r="DZ792" s="2657"/>
      <c r="EA792" s="2657"/>
      <c r="EB792" s="2657"/>
      <c r="EC792" s="2657"/>
      <c r="ED792" s="2657"/>
      <c r="EE792" s="2657"/>
      <c r="EF792" s="2657"/>
      <c r="EG792" s="2657"/>
      <c r="EH792" s="2657"/>
      <c r="EI792" s="2657"/>
      <c r="EJ792" s="2657"/>
      <c r="EK792" s="2657"/>
      <c r="EL792" s="2657"/>
      <c r="EM792" s="2657"/>
      <c r="EN792" s="2657"/>
      <c r="EO792" s="2657"/>
      <c r="EP792" s="2657"/>
      <c r="EQ792" s="2657"/>
      <c r="ER792" s="2657"/>
      <c r="ES792" s="2657"/>
      <c r="ET792" s="2657"/>
      <c r="EU792" s="2657"/>
      <c r="EV792" s="2657"/>
      <c r="EW792" s="2657"/>
      <c r="EX792" s="2657"/>
      <c r="EY792" s="2657"/>
      <c r="EZ792" s="2657"/>
      <c r="FA792" s="2657"/>
      <c r="FB792" s="2657"/>
      <c r="FC792" s="2657"/>
      <c r="FD792" s="2657"/>
      <c r="FE792" s="2657"/>
      <c r="FF792" s="2657"/>
      <c r="FG792" s="2657"/>
      <c r="FH792" s="2657"/>
      <c r="FI792" s="2657"/>
      <c r="FJ792" s="2657"/>
      <c r="FK792" s="2657"/>
      <c r="FL792" s="2657"/>
      <c r="FM792" s="2657"/>
      <c r="FN792" s="2657"/>
      <c r="FO792" s="2657"/>
      <c r="FP792" s="2657"/>
      <c r="FQ792" s="2657"/>
      <c r="FR792" s="2657"/>
      <c r="FS792" s="2657"/>
      <c r="FT792" s="2657"/>
      <c r="FU792" s="2657"/>
      <c r="FV792" s="2657"/>
      <c r="FW792" s="2657"/>
      <c r="FX792" s="2657"/>
      <c r="FY792" s="2657"/>
      <c r="FZ792" s="2657"/>
      <c r="GA792" s="2657"/>
      <c r="GB792" s="2657"/>
      <c r="GC792" s="2657"/>
      <c r="GD792" s="2657"/>
      <c r="GE792" s="2657"/>
      <c r="GF792" s="2657"/>
      <c r="GG792" s="2657"/>
      <c r="GH792" s="2657"/>
      <c r="GI792" s="2657"/>
      <c r="GJ792" s="2657"/>
      <c r="GK792" s="2657"/>
      <c r="GL792" s="2657"/>
      <c r="GM792" s="2657"/>
      <c r="GN792" s="2657"/>
      <c r="GO792" s="2657"/>
      <c r="GP792" s="2657"/>
      <c r="GQ792" s="2657"/>
      <c r="GR792" s="2657"/>
      <c r="GS792" s="2657"/>
      <c r="GT792" s="2657"/>
      <c r="GU792" s="2657"/>
      <c r="GV792" s="2657"/>
      <c r="GW792" s="2657"/>
      <c r="GX792" s="2657"/>
      <c r="GY792" s="2657"/>
      <c r="GZ792" s="2657"/>
      <c r="HA792" s="2657"/>
      <c r="HB792" s="2657"/>
      <c r="HC792" s="2657"/>
      <c r="HD792" s="2657"/>
      <c r="HE792" s="2657"/>
      <c r="HF792" s="2657"/>
      <c r="HG792" s="2657"/>
      <c r="HH792" s="2657"/>
      <c r="HI792" s="2657"/>
      <c r="HJ792" s="2657"/>
      <c r="HK792" s="2657"/>
      <c r="HL792" s="2657"/>
      <c r="HM792" s="2657"/>
      <c r="HN792" s="2657"/>
      <c r="HO792" s="2657"/>
      <c r="HP792" s="2657"/>
      <c r="HQ792" s="2657"/>
      <c r="HR792" s="2657"/>
      <c r="HS792" s="2657"/>
      <c r="HT792" s="2657"/>
      <c r="HU792" s="2657"/>
      <c r="HV792" s="2657"/>
      <c r="HW792" s="2657"/>
      <c r="HX792" s="2657"/>
      <c r="HY792" s="2657"/>
      <c r="HZ792" s="2657"/>
      <c r="IA792" s="2657"/>
      <c r="IB792" s="2657"/>
      <c r="IC792" s="2657"/>
      <c r="ID792" s="2657"/>
      <c r="IE792" s="2657"/>
      <c r="IF792" s="2657"/>
      <c r="IG792" s="2657"/>
      <c r="IH792" s="2657"/>
      <c r="II792" s="2657"/>
      <c r="IJ792" s="2657"/>
      <c r="IK792" s="2657"/>
      <c r="IL792" s="2657"/>
      <c r="IM792" s="2657"/>
      <c r="IN792" s="2657"/>
      <c r="IO792" s="2657"/>
      <c r="IP792" s="2657"/>
      <c r="IQ792" s="2657"/>
      <c r="IR792" s="2657"/>
      <c r="IS792" s="2657"/>
      <c r="IT792" s="2657"/>
      <c r="IU792" s="2657"/>
    </row>
    <row r="793" spans="1:255" s="604" customFormat="1" ht="27" customHeight="1">
      <c r="A793" s="595"/>
      <c r="B793" s="596"/>
      <c r="C793" s="597"/>
      <c r="D793" s="1619" t="s">
        <v>4939</v>
      </c>
      <c r="E793" s="599"/>
      <c r="F793" s="600">
        <v>1</v>
      </c>
      <c r="G793" s="289"/>
      <c r="H793" s="601"/>
      <c r="I793" s="1590"/>
      <c r="J793" s="3135"/>
      <c r="K793" s="1581"/>
      <c r="L793" s="1581"/>
      <c r="M793" s="1581"/>
      <c r="N793" s="1581"/>
      <c r="O793" s="1581"/>
      <c r="P793" s="1581"/>
      <c r="Q793" s="1581"/>
      <c r="R793" s="1581"/>
      <c r="S793" s="1581"/>
      <c r="T793" s="3134"/>
      <c r="U793" s="605"/>
      <c r="W793" s="605"/>
    </row>
    <row r="794" spans="1:255" s="3144" customFormat="1" ht="40.5" customHeight="1">
      <c r="A794" s="3136"/>
      <c r="B794" s="3137"/>
      <c r="C794" s="3138"/>
      <c r="D794" s="719" t="s">
        <v>4913</v>
      </c>
      <c r="E794" s="719"/>
      <c r="F794" s="3139"/>
      <c r="G794" s="3213"/>
      <c r="H794" s="3140"/>
      <c r="I794" s="1590"/>
      <c r="J794" s="3135"/>
      <c r="K794" s="1581"/>
      <c r="L794" s="1581"/>
      <c r="M794" s="1581"/>
      <c r="N794" s="1581"/>
      <c r="O794" s="1581"/>
      <c r="P794" s="1581"/>
      <c r="Q794" s="1581"/>
      <c r="R794" s="1581"/>
      <c r="S794" s="1581"/>
      <c r="T794" s="3134"/>
      <c r="U794" s="3141"/>
      <c r="V794" s="3142"/>
      <c r="W794" s="3142"/>
      <c r="X794" s="1913"/>
      <c r="Y794" s="1913"/>
      <c r="Z794" s="3143"/>
      <c r="AA794" s="3143"/>
      <c r="AB794" s="3143"/>
      <c r="AC794" s="3143"/>
      <c r="AD794" s="3143"/>
      <c r="AE794" s="3143"/>
      <c r="AF794" s="3143"/>
      <c r="AG794" s="3143"/>
      <c r="AH794" s="3143"/>
      <c r="AI794" s="3143"/>
      <c r="AJ794" s="3143"/>
      <c r="AK794" s="3143"/>
      <c r="AL794" s="3143"/>
      <c r="AM794" s="3143"/>
      <c r="AN794" s="3143"/>
      <c r="AO794" s="3143"/>
      <c r="AP794" s="3143"/>
      <c r="AQ794" s="3143"/>
      <c r="AR794" s="3143"/>
      <c r="AS794" s="3143"/>
      <c r="AT794" s="3143"/>
      <c r="AU794" s="3143"/>
      <c r="AV794" s="3143"/>
      <c r="AW794" s="3143"/>
      <c r="AX794" s="3143"/>
      <c r="AY794" s="3143"/>
      <c r="AZ794" s="3143"/>
      <c r="BA794" s="3143"/>
      <c r="BB794" s="3143"/>
      <c r="BC794" s="3143"/>
      <c r="BD794" s="3143"/>
      <c r="BE794" s="3143"/>
      <c r="BF794" s="3143"/>
      <c r="BG794" s="3143"/>
      <c r="BH794" s="3143"/>
      <c r="BI794" s="3143"/>
      <c r="BJ794" s="3143"/>
      <c r="BK794" s="3143"/>
      <c r="BL794" s="3143"/>
      <c r="BM794" s="3143"/>
      <c r="BN794" s="3143"/>
      <c r="BO794" s="3143"/>
      <c r="BP794" s="3143"/>
      <c r="BQ794" s="3143"/>
      <c r="BR794" s="3143"/>
      <c r="BS794" s="3143"/>
      <c r="BT794" s="3143"/>
      <c r="BU794" s="3143"/>
      <c r="BV794" s="3143"/>
      <c r="BW794" s="3143"/>
      <c r="BX794" s="3143"/>
      <c r="BY794" s="3143"/>
      <c r="BZ794" s="3143"/>
      <c r="CA794" s="3143"/>
      <c r="CB794" s="3143"/>
      <c r="CC794" s="3143"/>
      <c r="CD794" s="3143"/>
      <c r="CE794" s="3143"/>
      <c r="CF794" s="3143"/>
      <c r="CG794" s="3143"/>
      <c r="CH794" s="3143"/>
      <c r="CI794" s="3143"/>
      <c r="CJ794" s="3143"/>
      <c r="CK794" s="3143"/>
      <c r="CL794" s="3143"/>
      <c r="CM794" s="3143"/>
      <c r="CN794" s="3143"/>
      <c r="CO794" s="3143"/>
      <c r="CP794" s="3143"/>
      <c r="CQ794" s="3143"/>
      <c r="CR794" s="3143"/>
      <c r="CS794" s="3143"/>
      <c r="CT794" s="3143"/>
      <c r="CU794" s="3143"/>
      <c r="CV794" s="3143"/>
      <c r="CW794" s="3143"/>
      <c r="CX794" s="3143"/>
      <c r="CY794" s="3143"/>
      <c r="CZ794" s="3143"/>
      <c r="DA794" s="3143"/>
      <c r="DB794" s="3143"/>
      <c r="DC794" s="3143"/>
      <c r="DD794" s="3143"/>
      <c r="DE794" s="3143"/>
      <c r="DF794" s="3143"/>
      <c r="DG794" s="3143"/>
      <c r="DH794" s="3143"/>
      <c r="DI794" s="3143"/>
      <c r="DJ794" s="3143"/>
      <c r="DK794" s="3143"/>
      <c r="DL794" s="3143"/>
      <c r="DM794" s="3143"/>
      <c r="DN794" s="3143"/>
      <c r="DO794" s="3143"/>
      <c r="DP794" s="3143"/>
      <c r="DQ794" s="3143"/>
      <c r="DR794" s="3143"/>
      <c r="DS794" s="3143"/>
    </row>
    <row r="795" spans="1:255" s="604" customFormat="1" ht="13.5" customHeight="1">
      <c r="A795" s="595"/>
      <c r="B795" s="596"/>
      <c r="C795" s="597"/>
      <c r="D795" s="719" t="s">
        <v>278</v>
      </c>
      <c r="E795" s="599"/>
      <c r="F795" s="600"/>
      <c r="G795" s="289"/>
      <c r="H795" s="601"/>
      <c r="I795" s="1620"/>
      <c r="J795" s="3135"/>
      <c r="K795" s="1581"/>
      <c r="L795" s="1581"/>
      <c r="M795" s="1581"/>
      <c r="N795" s="1581"/>
      <c r="O795" s="1581"/>
      <c r="P795" s="1581"/>
      <c r="Q795" s="1581"/>
      <c r="R795" s="1581"/>
      <c r="S795" s="1581"/>
      <c r="T795" s="3134"/>
      <c r="U795" s="605"/>
      <c r="W795" s="605"/>
    </row>
    <row r="796" spans="1:255" s="888" customFormat="1" ht="13.5" customHeight="1">
      <c r="A796" s="3130">
        <v>41</v>
      </c>
      <c r="B796" s="3131">
        <v>271</v>
      </c>
      <c r="C796" s="3131" t="s">
        <v>4940</v>
      </c>
      <c r="D796" s="3131" t="s">
        <v>4941</v>
      </c>
      <c r="E796" s="3131" t="s">
        <v>205</v>
      </c>
      <c r="F796" s="2905">
        <f>ROUND(SUM(F797),3)</f>
        <v>1</v>
      </c>
      <c r="G796" s="288"/>
      <c r="H796" s="568">
        <f t="shared" ref="H796" si="35">ROUND(F796*G796,2)</f>
        <v>0</v>
      </c>
      <c r="I796" s="613" t="s">
        <v>111</v>
      </c>
      <c r="J796" s="3132"/>
      <c r="K796" s="3133"/>
      <c r="L796" s="3133"/>
      <c r="M796" s="3133"/>
      <c r="N796" s="3133"/>
      <c r="O796" s="3133"/>
      <c r="P796" s="3133"/>
      <c r="Q796" s="3133"/>
      <c r="R796" s="3133"/>
      <c r="S796" s="3133"/>
      <c r="T796" s="3134"/>
      <c r="BN796" s="2657"/>
      <c r="BO796" s="2657"/>
      <c r="BP796" s="2657"/>
      <c r="BQ796" s="2657"/>
      <c r="BR796" s="2657"/>
      <c r="BS796" s="2657"/>
      <c r="BT796" s="2657"/>
      <c r="BU796" s="2657"/>
      <c r="BV796" s="2657"/>
      <c r="BW796" s="2657"/>
      <c r="BX796" s="2657"/>
      <c r="BY796" s="2657"/>
      <c r="BZ796" s="2657"/>
      <c r="CA796" s="2657"/>
      <c r="CB796" s="2657"/>
      <c r="CC796" s="2657"/>
      <c r="CD796" s="2657"/>
      <c r="CE796" s="2657"/>
      <c r="CF796" s="2657"/>
      <c r="CG796" s="2657"/>
      <c r="CH796" s="2657"/>
      <c r="CI796" s="2657"/>
      <c r="CJ796" s="2657"/>
      <c r="CK796" s="2657"/>
      <c r="CL796" s="2657"/>
      <c r="CM796" s="2657"/>
      <c r="CN796" s="2657"/>
      <c r="CO796" s="2657"/>
      <c r="CP796" s="2657"/>
      <c r="CQ796" s="2657"/>
      <c r="CR796" s="2657"/>
      <c r="CS796" s="2657"/>
      <c r="CT796" s="2657"/>
      <c r="CU796" s="2657"/>
      <c r="CV796" s="2657"/>
      <c r="CW796" s="2657"/>
      <c r="CX796" s="2657"/>
      <c r="CY796" s="2657"/>
      <c r="CZ796" s="2657"/>
      <c r="DA796" s="2657"/>
      <c r="DB796" s="2657"/>
      <c r="DC796" s="2657"/>
      <c r="DD796" s="2657"/>
      <c r="DE796" s="2657"/>
      <c r="DF796" s="2657"/>
      <c r="DG796" s="2657"/>
      <c r="DH796" s="2657"/>
      <c r="DI796" s="2657"/>
      <c r="DJ796" s="2657"/>
      <c r="DK796" s="2657"/>
      <c r="DL796" s="2657"/>
      <c r="DM796" s="2657"/>
      <c r="DN796" s="2657"/>
      <c r="DO796" s="2657"/>
      <c r="DP796" s="2657"/>
      <c r="DQ796" s="2657"/>
      <c r="DR796" s="2657"/>
      <c r="DS796" s="2657"/>
      <c r="DT796" s="2657"/>
      <c r="DU796" s="2657"/>
      <c r="DV796" s="2657"/>
      <c r="DW796" s="2657"/>
      <c r="DX796" s="2657"/>
      <c r="DY796" s="2657"/>
      <c r="DZ796" s="2657"/>
      <c r="EA796" s="2657"/>
      <c r="EB796" s="2657"/>
      <c r="EC796" s="2657"/>
      <c r="ED796" s="2657"/>
      <c r="EE796" s="2657"/>
      <c r="EF796" s="2657"/>
      <c r="EG796" s="2657"/>
      <c r="EH796" s="2657"/>
      <c r="EI796" s="2657"/>
      <c r="EJ796" s="2657"/>
      <c r="EK796" s="2657"/>
      <c r="EL796" s="2657"/>
      <c r="EM796" s="2657"/>
      <c r="EN796" s="2657"/>
      <c r="EO796" s="2657"/>
      <c r="EP796" s="2657"/>
      <c r="EQ796" s="2657"/>
      <c r="ER796" s="2657"/>
      <c r="ES796" s="2657"/>
      <c r="ET796" s="2657"/>
      <c r="EU796" s="2657"/>
      <c r="EV796" s="2657"/>
      <c r="EW796" s="2657"/>
      <c r="EX796" s="2657"/>
      <c r="EY796" s="2657"/>
      <c r="EZ796" s="2657"/>
      <c r="FA796" s="2657"/>
      <c r="FB796" s="2657"/>
      <c r="FC796" s="2657"/>
      <c r="FD796" s="2657"/>
      <c r="FE796" s="2657"/>
      <c r="FF796" s="2657"/>
      <c r="FG796" s="2657"/>
      <c r="FH796" s="2657"/>
      <c r="FI796" s="2657"/>
      <c r="FJ796" s="2657"/>
      <c r="FK796" s="2657"/>
      <c r="FL796" s="2657"/>
      <c r="FM796" s="2657"/>
      <c r="FN796" s="2657"/>
      <c r="FO796" s="2657"/>
      <c r="FP796" s="2657"/>
      <c r="FQ796" s="2657"/>
      <c r="FR796" s="2657"/>
      <c r="FS796" s="2657"/>
      <c r="FT796" s="2657"/>
      <c r="FU796" s="2657"/>
      <c r="FV796" s="2657"/>
      <c r="FW796" s="2657"/>
      <c r="FX796" s="2657"/>
      <c r="FY796" s="2657"/>
      <c r="FZ796" s="2657"/>
      <c r="GA796" s="2657"/>
      <c r="GB796" s="2657"/>
      <c r="GC796" s="2657"/>
      <c r="GD796" s="2657"/>
      <c r="GE796" s="2657"/>
      <c r="GF796" s="2657"/>
      <c r="GG796" s="2657"/>
      <c r="GH796" s="2657"/>
      <c r="GI796" s="2657"/>
      <c r="GJ796" s="2657"/>
      <c r="GK796" s="2657"/>
      <c r="GL796" s="2657"/>
      <c r="GM796" s="2657"/>
      <c r="GN796" s="2657"/>
      <c r="GO796" s="2657"/>
      <c r="GP796" s="2657"/>
      <c r="GQ796" s="2657"/>
      <c r="GR796" s="2657"/>
      <c r="GS796" s="2657"/>
      <c r="GT796" s="2657"/>
      <c r="GU796" s="2657"/>
      <c r="GV796" s="2657"/>
      <c r="GW796" s="2657"/>
      <c r="GX796" s="2657"/>
      <c r="GY796" s="2657"/>
      <c r="GZ796" s="2657"/>
      <c r="HA796" s="2657"/>
      <c r="HB796" s="2657"/>
      <c r="HC796" s="2657"/>
      <c r="HD796" s="2657"/>
      <c r="HE796" s="2657"/>
      <c r="HF796" s="2657"/>
      <c r="HG796" s="2657"/>
      <c r="HH796" s="2657"/>
      <c r="HI796" s="2657"/>
      <c r="HJ796" s="2657"/>
      <c r="HK796" s="2657"/>
      <c r="HL796" s="2657"/>
      <c r="HM796" s="2657"/>
      <c r="HN796" s="2657"/>
      <c r="HO796" s="2657"/>
      <c r="HP796" s="2657"/>
      <c r="HQ796" s="2657"/>
      <c r="HR796" s="2657"/>
      <c r="HS796" s="2657"/>
      <c r="HT796" s="2657"/>
      <c r="HU796" s="2657"/>
      <c r="HV796" s="2657"/>
      <c r="HW796" s="2657"/>
      <c r="HX796" s="2657"/>
      <c r="HY796" s="2657"/>
      <c r="HZ796" s="2657"/>
      <c r="IA796" s="2657"/>
      <c r="IB796" s="2657"/>
      <c r="IC796" s="2657"/>
      <c r="ID796" s="2657"/>
      <c r="IE796" s="2657"/>
      <c r="IF796" s="2657"/>
      <c r="IG796" s="2657"/>
      <c r="IH796" s="2657"/>
      <c r="II796" s="2657"/>
      <c r="IJ796" s="2657"/>
      <c r="IK796" s="2657"/>
      <c r="IL796" s="2657"/>
      <c r="IM796" s="2657"/>
      <c r="IN796" s="2657"/>
      <c r="IO796" s="2657"/>
      <c r="IP796" s="2657"/>
      <c r="IQ796" s="2657"/>
      <c r="IR796" s="2657"/>
      <c r="IS796" s="2657"/>
      <c r="IT796" s="2657"/>
      <c r="IU796" s="2657"/>
    </row>
    <row r="797" spans="1:255" s="604" customFormat="1" ht="13.5" customHeight="1">
      <c r="A797" s="595"/>
      <c r="B797" s="596"/>
      <c r="C797" s="597"/>
      <c r="D797" s="1619" t="s">
        <v>4942</v>
      </c>
      <c r="E797" s="599"/>
      <c r="F797" s="600">
        <v>1</v>
      </c>
      <c r="G797" s="289"/>
      <c r="H797" s="601"/>
      <c r="I797" s="1590"/>
      <c r="J797" s="3135"/>
      <c r="K797" s="1581"/>
      <c r="L797" s="1581"/>
      <c r="M797" s="1581"/>
      <c r="N797" s="1581"/>
      <c r="O797" s="1581"/>
      <c r="P797" s="1581"/>
      <c r="Q797" s="1581"/>
      <c r="R797" s="1581"/>
      <c r="S797" s="1581"/>
      <c r="T797" s="3134"/>
      <c r="U797" s="605"/>
      <c r="W797" s="605"/>
    </row>
    <row r="798" spans="1:255" s="3144" customFormat="1" ht="40.5" customHeight="1">
      <c r="A798" s="3136"/>
      <c r="B798" s="3137"/>
      <c r="C798" s="3138"/>
      <c r="D798" s="719" t="s">
        <v>4913</v>
      </c>
      <c r="E798" s="719"/>
      <c r="F798" s="3139"/>
      <c r="G798" s="3213"/>
      <c r="H798" s="3140"/>
      <c r="I798" s="1590"/>
      <c r="J798" s="3135"/>
      <c r="K798" s="1581"/>
      <c r="L798" s="1581"/>
      <c r="M798" s="1581"/>
      <c r="N798" s="1581"/>
      <c r="O798" s="1581"/>
      <c r="P798" s="1581"/>
      <c r="Q798" s="1581"/>
      <c r="R798" s="1581"/>
      <c r="S798" s="1581"/>
      <c r="T798" s="3134"/>
      <c r="U798" s="3141"/>
      <c r="V798" s="3142"/>
      <c r="W798" s="3142"/>
      <c r="X798" s="1913"/>
      <c r="Y798" s="1913"/>
      <c r="Z798" s="3143"/>
      <c r="AA798" s="3143"/>
      <c r="AB798" s="3143"/>
      <c r="AC798" s="3143"/>
      <c r="AD798" s="3143"/>
      <c r="AE798" s="3143"/>
      <c r="AF798" s="3143"/>
      <c r="AG798" s="3143"/>
      <c r="AH798" s="3143"/>
      <c r="AI798" s="3143"/>
      <c r="AJ798" s="3143"/>
      <c r="AK798" s="3143"/>
      <c r="AL798" s="3143"/>
      <c r="AM798" s="3143"/>
      <c r="AN798" s="3143"/>
      <c r="AO798" s="3143"/>
      <c r="AP798" s="3143"/>
      <c r="AQ798" s="3143"/>
      <c r="AR798" s="3143"/>
      <c r="AS798" s="3143"/>
      <c r="AT798" s="3143"/>
      <c r="AU798" s="3143"/>
      <c r="AV798" s="3143"/>
      <c r="AW798" s="3143"/>
      <c r="AX798" s="3143"/>
      <c r="AY798" s="3143"/>
      <c r="AZ798" s="3143"/>
      <c r="BA798" s="3143"/>
      <c r="BB798" s="3143"/>
      <c r="BC798" s="3143"/>
      <c r="BD798" s="3143"/>
      <c r="BE798" s="3143"/>
      <c r="BF798" s="3143"/>
      <c r="BG798" s="3143"/>
      <c r="BH798" s="3143"/>
      <c r="BI798" s="3143"/>
      <c r="BJ798" s="3143"/>
      <c r="BK798" s="3143"/>
      <c r="BL798" s="3143"/>
      <c r="BM798" s="3143"/>
      <c r="BN798" s="3143"/>
      <c r="BO798" s="3143"/>
      <c r="BP798" s="3143"/>
      <c r="BQ798" s="3143"/>
      <c r="BR798" s="3143"/>
      <c r="BS798" s="3143"/>
      <c r="BT798" s="3143"/>
      <c r="BU798" s="3143"/>
      <c r="BV798" s="3143"/>
      <c r="BW798" s="3143"/>
      <c r="BX798" s="3143"/>
      <c r="BY798" s="3143"/>
      <c r="BZ798" s="3143"/>
      <c r="CA798" s="3143"/>
      <c r="CB798" s="3143"/>
      <c r="CC798" s="3143"/>
      <c r="CD798" s="3143"/>
      <c r="CE798" s="3143"/>
      <c r="CF798" s="3143"/>
      <c r="CG798" s="3143"/>
      <c r="CH798" s="3143"/>
      <c r="CI798" s="3143"/>
      <c r="CJ798" s="3143"/>
      <c r="CK798" s="3143"/>
      <c r="CL798" s="3143"/>
      <c r="CM798" s="3143"/>
      <c r="CN798" s="3143"/>
      <c r="CO798" s="3143"/>
      <c r="CP798" s="3143"/>
      <c r="CQ798" s="3143"/>
      <c r="CR798" s="3143"/>
      <c r="CS798" s="3143"/>
      <c r="CT798" s="3143"/>
      <c r="CU798" s="3143"/>
      <c r="CV798" s="3143"/>
      <c r="CW798" s="3143"/>
      <c r="CX798" s="3143"/>
      <c r="CY798" s="3143"/>
      <c r="CZ798" s="3143"/>
      <c r="DA798" s="3143"/>
      <c r="DB798" s="3143"/>
      <c r="DC798" s="3143"/>
      <c r="DD798" s="3143"/>
      <c r="DE798" s="3143"/>
      <c r="DF798" s="3143"/>
      <c r="DG798" s="3143"/>
      <c r="DH798" s="3143"/>
      <c r="DI798" s="3143"/>
      <c r="DJ798" s="3143"/>
      <c r="DK798" s="3143"/>
      <c r="DL798" s="3143"/>
      <c r="DM798" s="3143"/>
      <c r="DN798" s="3143"/>
      <c r="DO798" s="3143"/>
      <c r="DP798" s="3143"/>
      <c r="DQ798" s="3143"/>
      <c r="DR798" s="3143"/>
      <c r="DS798" s="3143"/>
    </row>
    <row r="799" spans="1:255" s="604" customFormat="1" ht="13.5" customHeight="1">
      <c r="A799" s="595"/>
      <c r="B799" s="596"/>
      <c r="C799" s="597"/>
      <c r="D799" s="719" t="s">
        <v>278</v>
      </c>
      <c r="E799" s="599"/>
      <c r="F799" s="600"/>
      <c r="G799" s="289"/>
      <c r="H799" s="601"/>
      <c r="I799" s="1620"/>
      <c r="J799" s="3135"/>
      <c r="K799" s="1581"/>
      <c r="L799" s="1581"/>
      <c r="M799" s="1581"/>
      <c r="N799" s="1581"/>
      <c r="O799" s="1581"/>
      <c r="P799" s="1581"/>
      <c r="Q799" s="1581"/>
      <c r="R799" s="1581"/>
      <c r="S799" s="1581"/>
      <c r="T799" s="3134"/>
      <c r="U799" s="605"/>
      <c r="W799" s="605"/>
    </row>
    <row r="800" spans="1:255" s="888" customFormat="1" ht="13.5" customHeight="1">
      <c r="A800" s="3130">
        <v>42</v>
      </c>
      <c r="B800" s="3131">
        <v>271</v>
      </c>
      <c r="C800" s="3131" t="s">
        <v>4943</v>
      </c>
      <c r="D800" s="3131" t="s">
        <v>4944</v>
      </c>
      <c r="E800" s="3131" t="s">
        <v>205</v>
      </c>
      <c r="F800" s="2905">
        <f>ROUND(SUM(F801),3)</f>
        <v>1</v>
      </c>
      <c r="G800" s="288"/>
      <c r="H800" s="568">
        <f t="shared" ref="H800" si="36">ROUND(F800*G800,2)</f>
        <v>0</v>
      </c>
      <c r="I800" s="613" t="s">
        <v>111</v>
      </c>
      <c r="J800" s="3132"/>
      <c r="K800" s="3133"/>
      <c r="L800" s="3133"/>
      <c r="M800" s="3133"/>
      <c r="N800" s="3133"/>
      <c r="O800" s="3133"/>
      <c r="P800" s="3133"/>
      <c r="Q800" s="3133"/>
      <c r="R800" s="3133"/>
      <c r="S800" s="3133"/>
      <c r="T800" s="3134"/>
      <c r="BN800" s="2657"/>
      <c r="BO800" s="2657"/>
      <c r="BP800" s="2657"/>
      <c r="BQ800" s="2657"/>
      <c r="BR800" s="2657"/>
      <c r="BS800" s="2657"/>
      <c r="BT800" s="2657"/>
      <c r="BU800" s="2657"/>
      <c r="BV800" s="2657"/>
      <c r="BW800" s="2657"/>
      <c r="BX800" s="2657"/>
      <c r="BY800" s="2657"/>
      <c r="BZ800" s="2657"/>
      <c r="CA800" s="2657"/>
      <c r="CB800" s="2657"/>
      <c r="CC800" s="2657"/>
      <c r="CD800" s="2657"/>
      <c r="CE800" s="2657"/>
      <c r="CF800" s="2657"/>
      <c r="CG800" s="2657"/>
      <c r="CH800" s="2657"/>
      <c r="CI800" s="2657"/>
      <c r="CJ800" s="2657"/>
      <c r="CK800" s="2657"/>
      <c r="CL800" s="2657"/>
      <c r="CM800" s="2657"/>
      <c r="CN800" s="2657"/>
      <c r="CO800" s="2657"/>
      <c r="CP800" s="2657"/>
      <c r="CQ800" s="2657"/>
      <c r="CR800" s="2657"/>
      <c r="CS800" s="2657"/>
      <c r="CT800" s="2657"/>
      <c r="CU800" s="2657"/>
      <c r="CV800" s="2657"/>
      <c r="CW800" s="2657"/>
      <c r="CX800" s="2657"/>
      <c r="CY800" s="2657"/>
      <c r="CZ800" s="2657"/>
      <c r="DA800" s="2657"/>
      <c r="DB800" s="2657"/>
      <c r="DC800" s="2657"/>
      <c r="DD800" s="2657"/>
      <c r="DE800" s="2657"/>
      <c r="DF800" s="2657"/>
      <c r="DG800" s="2657"/>
      <c r="DH800" s="2657"/>
      <c r="DI800" s="2657"/>
      <c r="DJ800" s="2657"/>
      <c r="DK800" s="2657"/>
      <c r="DL800" s="2657"/>
      <c r="DM800" s="2657"/>
      <c r="DN800" s="2657"/>
      <c r="DO800" s="2657"/>
      <c r="DP800" s="2657"/>
      <c r="DQ800" s="2657"/>
      <c r="DR800" s="2657"/>
      <c r="DS800" s="2657"/>
      <c r="DT800" s="2657"/>
      <c r="DU800" s="2657"/>
      <c r="DV800" s="2657"/>
      <c r="DW800" s="2657"/>
      <c r="DX800" s="2657"/>
      <c r="DY800" s="2657"/>
      <c r="DZ800" s="2657"/>
      <c r="EA800" s="2657"/>
      <c r="EB800" s="2657"/>
      <c r="EC800" s="2657"/>
      <c r="ED800" s="2657"/>
      <c r="EE800" s="2657"/>
      <c r="EF800" s="2657"/>
      <c r="EG800" s="2657"/>
      <c r="EH800" s="2657"/>
      <c r="EI800" s="2657"/>
      <c r="EJ800" s="2657"/>
      <c r="EK800" s="2657"/>
      <c r="EL800" s="2657"/>
      <c r="EM800" s="2657"/>
      <c r="EN800" s="2657"/>
      <c r="EO800" s="2657"/>
      <c r="EP800" s="2657"/>
      <c r="EQ800" s="2657"/>
      <c r="ER800" s="2657"/>
      <c r="ES800" s="2657"/>
      <c r="ET800" s="2657"/>
      <c r="EU800" s="2657"/>
      <c r="EV800" s="2657"/>
      <c r="EW800" s="2657"/>
      <c r="EX800" s="2657"/>
      <c r="EY800" s="2657"/>
      <c r="EZ800" s="2657"/>
      <c r="FA800" s="2657"/>
      <c r="FB800" s="2657"/>
      <c r="FC800" s="2657"/>
      <c r="FD800" s="2657"/>
      <c r="FE800" s="2657"/>
      <c r="FF800" s="2657"/>
      <c r="FG800" s="2657"/>
      <c r="FH800" s="2657"/>
      <c r="FI800" s="2657"/>
      <c r="FJ800" s="2657"/>
      <c r="FK800" s="2657"/>
      <c r="FL800" s="2657"/>
      <c r="FM800" s="2657"/>
      <c r="FN800" s="2657"/>
      <c r="FO800" s="2657"/>
      <c r="FP800" s="2657"/>
      <c r="FQ800" s="2657"/>
      <c r="FR800" s="2657"/>
      <c r="FS800" s="2657"/>
      <c r="FT800" s="2657"/>
      <c r="FU800" s="2657"/>
      <c r="FV800" s="2657"/>
      <c r="FW800" s="2657"/>
      <c r="FX800" s="2657"/>
      <c r="FY800" s="2657"/>
      <c r="FZ800" s="2657"/>
      <c r="GA800" s="2657"/>
      <c r="GB800" s="2657"/>
      <c r="GC800" s="2657"/>
      <c r="GD800" s="2657"/>
      <c r="GE800" s="2657"/>
      <c r="GF800" s="2657"/>
      <c r="GG800" s="2657"/>
      <c r="GH800" s="2657"/>
      <c r="GI800" s="2657"/>
      <c r="GJ800" s="2657"/>
      <c r="GK800" s="2657"/>
      <c r="GL800" s="2657"/>
      <c r="GM800" s="2657"/>
      <c r="GN800" s="2657"/>
      <c r="GO800" s="2657"/>
      <c r="GP800" s="2657"/>
      <c r="GQ800" s="2657"/>
      <c r="GR800" s="2657"/>
      <c r="GS800" s="2657"/>
      <c r="GT800" s="2657"/>
      <c r="GU800" s="2657"/>
      <c r="GV800" s="2657"/>
      <c r="GW800" s="2657"/>
      <c r="GX800" s="2657"/>
      <c r="GY800" s="2657"/>
      <c r="GZ800" s="2657"/>
      <c r="HA800" s="2657"/>
      <c r="HB800" s="2657"/>
      <c r="HC800" s="2657"/>
      <c r="HD800" s="2657"/>
      <c r="HE800" s="2657"/>
      <c r="HF800" s="2657"/>
      <c r="HG800" s="2657"/>
      <c r="HH800" s="2657"/>
      <c r="HI800" s="2657"/>
      <c r="HJ800" s="2657"/>
      <c r="HK800" s="2657"/>
      <c r="HL800" s="2657"/>
      <c r="HM800" s="2657"/>
      <c r="HN800" s="2657"/>
      <c r="HO800" s="2657"/>
      <c r="HP800" s="2657"/>
      <c r="HQ800" s="2657"/>
      <c r="HR800" s="2657"/>
      <c r="HS800" s="2657"/>
      <c r="HT800" s="2657"/>
      <c r="HU800" s="2657"/>
      <c r="HV800" s="2657"/>
      <c r="HW800" s="2657"/>
      <c r="HX800" s="2657"/>
      <c r="HY800" s="2657"/>
      <c r="HZ800" s="2657"/>
      <c r="IA800" s="2657"/>
      <c r="IB800" s="2657"/>
      <c r="IC800" s="2657"/>
      <c r="ID800" s="2657"/>
      <c r="IE800" s="2657"/>
      <c r="IF800" s="2657"/>
      <c r="IG800" s="2657"/>
      <c r="IH800" s="2657"/>
      <c r="II800" s="2657"/>
      <c r="IJ800" s="2657"/>
      <c r="IK800" s="2657"/>
      <c r="IL800" s="2657"/>
      <c r="IM800" s="2657"/>
      <c r="IN800" s="2657"/>
      <c r="IO800" s="2657"/>
      <c r="IP800" s="2657"/>
      <c r="IQ800" s="2657"/>
      <c r="IR800" s="2657"/>
      <c r="IS800" s="2657"/>
      <c r="IT800" s="2657"/>
      <c r="IU800" s="2657"/>
    </row>
    <row r="801" spans="1:255" s="604" customFormat="1" ht="13.5" customHeight="1">
      <c r="A801" s="595"/>
      <c r="B801" s="596"/>
      <c r="C801" s="597"/>
      <c r="D801" s="1619" t="s">
        <v>4945</v>
      </c>
      <c r="E801" s="599"/>
      <c r="F801" s="600">
        <v>1</v>
      </c>
      <c r="G801" s="289"/>
      <c r="H801" s="601"/>
      <c r="I801" s="1590"/>
      <c r="J801" s="3135"/>
      <c r="K801" s="1581"/>
      <c r="L801" s="1581"/>
      <c r="M801" s="1581"/>
      <c r="N801" s="1581"/>
      <c r="O801" s="1581"/>
      <c r="P801" s="1581"/>
      <c r="Q801" s="1581"/>
      <c r="R801" s="1581"/>
      <c r="S801" s="1581"/>
      <c r="T801" s="3134"/>
      <c r="U801" s="605"/>
      <c r="W801" s="605"/>
    </row>
    <row r="802" spans="1:255" s="3144" customFormat="1" ht="40.5" customHeight="1">
      <c r="A802" s="3136"/>
      <c r="B802" s="3137"/>
      <c r="C802" s="3138"/>
      <c r="D802" s="719" t="s">
        <v>4913</v>
      </c>
      <c r="E802" s="719"/>
      <c r="F802" s="3139"/>
      <c r="G802" s="3213"/>
      <c r="H802" s="3140"/>
      <c r="I802" s="1590"/>
      <c r="J802" s="3135"/>
      <c r="K802" s="1581"/>
      <c r="L802" s="1581"/>
      <c r="M802" s="1581"/>
      <c r="N802" s="1581"/>
      <c r="O802" s="1581"/>
      <c r="P802" s="1581"/>
      <c r="Q802" s="1581"/>
      <c r="R802" s="1581"/>
      <c r="S802" s="1581"/>
      <c r="T802" s="3134"/>
      <c r="U802" s="3141"/>
      <c r="V802" s="3142"/>
      <c r="W802" s="3142"/>
      <c r="X802" s="1913"/>
      <c r="Y802" s="1913"/>
      <c r="Z802" s="3143"/>
      <c r="AA802" s="3143"/>
      <c r="AB802" s="3143"/>
      <c r="AC802" s="3143"/>
      <c r="AD802" s="3143"/>
      <c r="AE802" s="3143"/>
      <c r="AF802" s="3143"/>
      <c r="AG802" s="3143"/>
      <c r="AH802" s="3143"/>
      <c r="AI802" s="3143"/>
      <c r="AJ802" s="3143"/>
      <c r="AK802" s="3143"/>
      <c r="AL802" s="3143"/>
      <c r="AM802" s="3143"/>
      <c r="AN802" s="3143"/>
      <c r="AO802" s="3143"/>
      <c r="AP802" s="3143"/>
      <c r="AQ802" s="3143"/>
      <c r="AR802" s="3143"/>
      <c r="AS802" s="3143"/>
      <c r="AT802" s="3143"/>
      <c r="AU802" s="3143"/>
      <c r="AV802" s="3143"/>
      <c r="AW802" s="3143"/>
      <c r="AX802" s="3143"/>
      <c r="AY802" s="3143"/>
      <c r="AZ802" s="3143"/>
      <c r="BA802" s="3143"/>
      <c r="BB802" s="3143"/>
      <c r="BC802" s="3143"/>
      <c r="BD802" s="3143"/>
      <c r="BE802" s="3143"/>
      <c r="BF802" s="3143"/>
      <c r="BG802" s="3143"/>
      <c r="BH802" s="3143"/>
      <c r="BI802" s="3143"/>
      <c r="BJ802" s="3143"/>
      <c r="BK802" s="3143"/>
      <c r="BL802" s="3143"/>
      <c r="BM802" s="3143"/>
      <c r="BN802" s="3143"/>
      <c r="BO802" s="3143"/>
      <c r="BP802" s="3143"/>
      <c r="BQ802" s="3143"/>
      <c r="BR802" s="3143"/>
      <c r="BS802" s="3143"/>
      <c r="BT802" s="3143"/>
      <c r="BU802" s="3143"/>
      <c r="BV802" s="3143"/>
      <c r="BW802" s="3143"/>
      <c r="BX802" s="3143"/>
      <c r="BY802" s="3143"/>
      <c r="BZ802" s="3143"/>
      <c r="CA802" s="3143"/>
      <c r="CB802" s="3143"/>
      <c r="CC802" s="3143"/>
      <c r="CD802" s="3143"/>
      <c r="CE802" s="3143"/>
      <c r="CF802" s="3143"/>
      <c r="CG802" s="3143"/>
      <c r="CH802" s="3143"/>
      <c r="CI802" s="3143"/>
      <c r="CJ802" s="3143"/>
      <c r="CK802" s="3143"/>
      <c r="CL802" s="3143"/>
      <c r="CM802" s="3143"/>
      <c r="CN802" s="3143"/>
      <c r="CO802" s="3143"/>
      <c r="CP802" s="3143"/>
      <c r="CQ802" s="3143"/>
      <c r="CR802" s="3143"/>
      <c r="CS802" s="3143"/>
      <c r="CT802" s="3143"/>
      <c r="CU802" s="3143"/>
      <c r="CV802" s="3143"/>
      <c r="CW802" s="3143"/>
      <c r="CX802" s="3143"/>
      <c r="CY802" s="3143"/>
      <c r="CZ802" s="3143"/>
      <c r="DA802" s="3143"/>
      <c r="DB802" s="3143"/>
      <c r="DC802" s="3143"/>
      <c r="DD802" s="3143"/>
      <c r="DE802" s="3143"/>
      <c r="DF802" s="3143"/>
      <c r="DG802" s="3143"/>
      <c r="DH802" s="3143"/>
      <c r="DI802" s="3143"/>
      <c r="DJ802" s="3143"/>
      <c r="DK802" s="3143"/>
      <c r="DL802" s="3143"/>
      <c r="DM802" s="3143"/>
      <c r="DN802" s="3143"/>
      <c r="DO802" s="3143"/>
      <c r="DP802" s="3143"/>
      <c r="DQ802" s="3143"/>
      <c r="DR802" s="3143"/>
      <c r="DS802" s="3143"/>
    </row>
    <row r="803" spans="1:255" s="604" customFormat="1" ht="13.5" customHeight="1">
      <c r="A803" s="595"/>
      <c r="B803" s="596"/>
      <c r="C803" s="597"/>
      <c r="D803" s="719" t="s">
        <v>278</v>
      </c>
      <c r="E803" s="599"/>
      <c r="F803" s="600"/>
      <c r="G803" s="289"/>
      <c r="H803" s="601"/>
      <c r="I803" s="1620"/>
      <c r="J803" s="3135"/>
      <c r="K803" s="1581"/>
      <c r="L803" s="1581"/>
      <c r="M803" s="1581"/>
      <c r="N803" s="1581"/>
      <c r="O803" s="1581"/>
      <c r="P803" s="1581"/>
      <c r="Q803" s="1581"/>
      <c r="R803" s="1581"/>
      <c r="S803" s="1581"/>
      <c r="T803" s="3134"/>
      <c r="U803" s="605"/>
      <c r="W803" s="605"/>
    </row>
    <row r="804" spans="1:255" s="888" customFormat="1" ht="13.5" customHeight="1">
      <c r="A804" s="3130">
        <v>43</v>
      </c>
      <c r="B804" s="3131">
        <v>271</v>
      </c>
      <c r="C804" s="3131" t="s">
        <v>4946</v>
      </c>
      <c r="D804" s="3131" t="s">
        <v>4947</v>
      </c>
      <c r="E804" s="3131" t="s">
        <v>205</v>
      </c>
      <c r="F804" s="2905">
        <f>ROUND(SUM(F805),3)</f>
        <v>1</v>
      </c>
      <c r="G804" s="288"/>
      <c r="H804" s="568">
        <f t="shared" ref="H804" si="37">ROUND(F804*G804,2)</f>
        <v>0</v>
      </c>
      <c r="I804" s="613" t="s">
        <v>111</v>
      </c>
      <c r="J804" s="3132"/>
      <c r="K804" s="3133"/>
      <c r="L804" s="3133"/>
      <c r="M804" s="3133"/>
      <c r="N804" s="3133"/>
      <c r="O804" s="3133"/>
      <c r="P804" s="3133"/>
      <c r="Q804" s="3133"/>
      <c r="R804" s="3133"/>
      <c r="S804" s="3133"/>
      <c r="T804" s="3134"/>
      <c r="BN804" s="2657"/>
      <c r="BO804" s="2657"/>
      <c r="BP804" s="2657"/>
      <c r="BQ804" s="2657"/>
      <c r="BR804" s="2657"/>
      <c r="BS804" s="2657"/>
      <c r="BT804" s="2657"/>
      <c r="BU804" s="2657"/>
      <c r="BV804" s="2657"/>
      <c r="BW804" s="2657"/>
      <c r="BX804" s="2657"/>
      <c r="BY804" s="2657"/>
      <c r="BZ804" s="2657"/>
      <c r="CA804" s="2657"/>
      <c r="CB804" s="2657"/>
      <c r="CC804" s="2657"/>
      <c r="CD804" s="2657"/>
      <c r="CE804" s="2657"/>
      <c r="CF804" s="2657"/>
      <c r="CG804" s="2657"/>
      <c r="CH804" s="2657"/>
      <c r="CI804" s="2657"/>
      <c r="CJ804" s="2657"/>
      <c r="CK804" s="2657"/>
      <c r="CL804" s="2657"/>
      <c r="CM804" s="2657"/>
      <c r="CN804" s="2657"/>
      <c r="CO804" s="2657"/>
      <c r="CP804" s="2657"/>
      <c r="CQ804" s="2657"/>
      <c r="CR804" s="2657"/>
      <c r="CS804" s="2657"/>
      <c r="CT804" s="2657"/>
      <c r="CU804" s="2657"/>
      <c r="CV804" s="2657"/>
      <c r="CW804" s="2657"/>
      <c r="CX804" s="2657"/>
      <c r="CY804" s="2657"/>
      <c r="CZ804" s="2657"/>
      <c r="DA804" s="2657"/>
      <c r="DB804" s="2657"/>
      <c r="DC804" s="2657"/>
      <c r="DD804" s="2657"/>
      <c r="DE804" s="2657"/>
      <c r="DF804" s="2657"/>
      <c r="DG804" s="2657"/>
      <c r="DH804" s="2657"/>
      <c r="DI804" s="2657"/>
      <c r="DJ804" s="2657"/>
      <c r="DK804" s="2657"/>
      <c r="DL804" s="2657"/>
      <c r="DM804" s="2657"/>
      <c r="DN804" s="2657"/>
      <c r="DO804" s="2657"/>
      <c r="DP804" s="2657"/>
      <c r="DQ804" s="2657"/>
      <c r="DR804" s="2657"/>
      <c r="DS804" s="2657"/>
      <c r="DT804" s="2657"/>
      <c r="DU804" s="2657"/>
      <c r="DV804" s="2657"/>
      <c r="DW804" s="2657"/>
      <c r="DX804" s="2657"/>
      <c r="DY804" s="2657"/>
      <c r="DZ804" s="2657"/>
      <c r="EA804" s="2657"/>
      <c r="EB804" s="2657"/>
      <c r="EC804" s="2657"/>
      <c r="ED804" s="2657"/>
      <c r="EE804" s="2657"/>
      <c r="EF804" s="2657"/>
      <c r="EG804" s="2657"/>
      <c r="EH804" s="2657"/>
      <c r="EI804" s="2657"/>
      <c r="EJ804" s="2657"/>
      <c r="EK804" s="2657"/>
      <c r="EL804" s="2657"/>
      <c r="EM804" s="2657"/>
      <c r="EN804" s="2657"/>
      <c r="EO804" s="2657"/>
      <c r="EP804" s="2657"/>
      <c r="EQ804" s="2657"/>
      <c r="ER804" s="2657"/>
      <c r="ES804" s="2657"/>
      <c r="ET804" s="2657"/>
      <c r="EU804" s="2657"/>
      <c r="EV804" s="2657"/>
      <c r="EW804" s="2657"/>
      <c r="EX804" s="2657"/>
      <c r="EY804" s="2657"/>
      <c r="EZ804" s="2657"/>
      <c r="FA804" s="2657"/>
      <c r="FB804" s="2657"/>
      <c r="FC804" s="2657"/>
      <c r="FD804" s="2657"/>
      <c r="FE804" s="2657"/>
      <c r="FF804" s="2657"/>
      <c r="FG804" s="2657"/>
      <c r="FH804" s="2657"/>
      <c r="FI804" s="2657"/>
      <c r="FJ804" s="2657"/>
      <c r="FK804" s="2657"/>
      <c r="FL804" s="2657"/>
      <c r="FM804" s="2657"/>
      <c r="FN804" s="2657"/>
      <c r="FO804" s="2657"/>
      <c r="FP804" s="2657"/>
      <c r="FQ804" s="2657"/>
      <c r="FR804" s="2657"/>
      <c r="FS804" s="2657"/>
      <c r="FT804" s="2657"/>
      <c r="FU804" s="2657"/>
      <c r="FV804" s="2657"/>
      <c r="FW804" s="2657"/>
      <c r="FX804" s="2657"/>
      <c r="FY804" s="2657"/>
      <c r="FZ804" s="2657"/>
      <c r="GA804" s="2657"/>
      <c r="GB804" s="2657"/>
      <c r="GC804" s="2657"/>
      <c r="GD804" s="2657"/>
      <c r="GE804" s="2657"/>
      <c r="GF804" s="2657"/>
      <c r="GG804" s="2657"/>
      <c r="GH804" s="2657"/>
      <c r="GI804" s="2657"/>
      <c r="GJ804" s="2657"/>
      <c r="GK804" s="2657"/>
      <c r="GL804" s="2657"/>
      <c r="GM804" s="2657"/>
      <c r="GN804" s="2657"/>
      <c r="GO804" s="2657"/>
      <c r="GP804" s="2657"/>
      <c r="GQ804" s="2657"/>
      <c r="GR804" s="2657"/>
      <c r="GS804" s="2657"/>
      <c r="GT804" s="2657"/>
      <c r="GU804" s="2657"/>
      <c r="GV804" s="2657"/>
      <c r="GW804" s="2657"/>
      <c r="GX804" s="2657"/>
      <c r="GY804" s="2657"/>
      <c r="GZ804" s="2657"/>
      <c r="HA804" s="2657"/>
      <c r="HB804" s="2657"/>
      <c r="HC804" s="2657"/>
      <c r="HD804" s="2657"/>
      <c r="HE804" s="2657"/>
      <c r="HF804" s="2657"/>
      <c r="HG804" s="2657"/>
      <c r="HH804" s="2657"/>
      <c r="HI804" s="2657"/>
      <c r="HJ804" s="2657"/>
      <c r="HK804" s="2657"/>
      <c r="HL804" s="2657"/>
      <c r="HM804" s="2657"/>
      <c r="HN804" s="2657"/>
      <c r="HO804" s="2657"/>
      <c r="HP804" s="2657"/>
      <c r="HQ804" s="2657"/>
      <c r="HR804" s="2657"/>
      <c r="HS804" s="2657"/>
      <c r="HT804" s="2657"/>
      <c r="HU804" s="2657"/>
      <c r="HV804" s="2657"/>
      <c r="HW804" s="2657"/>
      <c r="HX804" s="2657"/>
      <c r="HY804" s="2657"/>
      <c r="HZ804" s="2657"/>
      <c r="IA804" s="2657"/>
      <c r="IB804" s="2657"/>
      <c r="IC804" s="2657"/>
      <c r="ID804" s="2657"/>
      <c r="IE804" s="2657"/>
      <c r="IF804" s="2657"/>
      <c r="IG804" s="2657"/>
      <c r="IH804" s="2657"/>
      <c r="II804" s="2657"/>
      <c r="IJ804" s="2657"/>
      <c r="IK804" s="2657"/>
      <c r="IL804" s="2657"/>
      <c r="IM804" s="2657"/>
      <c r="IN804" s="2657"/>
      <c r="IO804" s="2657"/>
      <c r="IP804" s="2657"/>
      <c r="IQ804" s="2657"/>
      <c r="IR804" s="2657"/>
      <c r="IS804" s="2657"/>
      <c r="IT804" s="2657"/>
      <c r="IU804" s="2657"/>
    </row>
    <row r="805" spans="1:255" s="604" customFormat="1" ht="13.5" customHeight="1">
      <c r="A805" s="595"/>
      <c r="B805" s="596"/>
      <c r="C805" s="597"/>
      <c r="D805" s="1619" t="s">
        <v>4948</v>
      </c>
      <c r="E805" s="599"/>
      <c r="F805" s="600">
        <v>1</v>
      </c>
      <c r="G805" s="289"/>
      <c r="H805" s="601"/>
      <c r="I805" s="1590"/>
      <c r="J805" s="3135"/>
      <c r="K805" s="1581"/>
      <c r="L805" s="1581"/>
      <c r="M805" s="1581"/>
      <c r="N805" s="1581"/>
      <c r="O805" s="1581"/>
      <c r="P805" s="1581"/>
      <c r="Q805" s="1581"/>
      <c r="R805" s="1581"/>
      <c r="S805" s="1581"/>
      <c r="T805" s="3134"/>
      <c r="U805" s="605"/>
      <c r="W805" s="605"/>
    </row>
    <row r="806" spans="1:255" s="3144" customFormat="1" ht="40.5" customHeight="1">
      <c r="A806" s="3136"/>
      <c r="B806" s="3137"/>
      <c r="C806" s="3138"/>
      <c r="D806" s="719" t="s">
        <v>4913</v>
      </c>
      <c r="E806" s="719"/>
      <c r="F806" s="3139"/>
      <c r="G806" s="3213"/>
      <c r="H806" s="3140"/>
      <c r="I806" s="1590"/>
      <c r="J806" s="3135"/>
      <c r="K806" s="1581"/>
      <c r="L806" s="1581"/>
      <c r="M806" s="1581"/>
      <c r="N806" s="1581"/>
      <c r="O806" s="1581"/>
      <c r="P806" s="1581"/>
      <c r="Q806" s="1581"/>
      <c r="R806" s="1581"/>
      <c r="S806" s="1581"/>
      <c r="T806" s="3134"/>
      <c r="U806" s="3141"/>
      <c r="V806" s="3142"/>
      <c r="W806" s="3142"/>
      <c r="X806" s="1913"/>
      <c r="Y806" s="1913"/>
      <c r="Z806" s="3143"/>
      <c r="AA806" s="3143"/>
      <c r="AB806" s="3143"/>
      <c r="AC806" s="3143"/>
      <c r="AD806" s="3143"/>
      <c r="AE806" s="3143"/>
      <c r="AF806" s="3143"/>
      <c r="AG806" s="3143"/>
      <c r="AH806" s="3143"/>
      <c r="AI806" s="3143"/>
      <c r="AJ806" s="3143"/>
      <c r="AK806" s="3143"/>
      <c r="AL806" s="3143"/>
      <c r="AM806" s="3143"/>
      <c r="AN806" s="3143"/>
      <c r="AO806" s="3143"/>
      <c r="AP806" s="3143"/>
      <c r="AQ806" s="3143"/>
      <c r="AR806" s="3143"/>
      <c r="AS806" s="3143"/>
      <c r="AT806" s="3143"/>
      <c r="AU806" s="3143"/>
      <c r="AV806" s="3143"/>
      <c r="AW806" s="3143"/>
      <c r="AX806" s="3143"/>
      <c r="AY806" s="3143"/>
      <c r="AZ806" s="3143"/>
      <c r="BA806" s="3143"/>
      <c r="BB806" s="3143"/>
      <c r="BC806" s="3143"/>
      <c r="BD806" s="3143"/>
      <c r="BE806" s="3143"/>
      <c r="BF806" s="3143"/>
      <c r="BG806" s="3143"/>
      <c r="BH806" s="3143"/>
      <c r="BI806" s="3143"/>
      <c r="BJ806" s="3143"/>
      <c r="BK806" s="3143"/>
      <c r="BL806" s="3143"/>
      <c r="BM806" s="3143"/>
      <c r="BN806" s="3143"/>
      <c r="BO806" s="3143"/>
      <c r="BP806" s="3143"/>
      <c r="BQ806" s="3143"/>
      <c r="BR806" s="3143"/>
      <c r="BS806" s="3143"/>
      <c r="BT806" s="3143"/>
      <c r="BU806" s="3143"/>
      <c r="BV806" s="3143"/>
      <c r="BW806" s="3143"/>
      <c r="BX806" s="3143"/>
      <c r="BY806" s="3143"/>
      <c r="BZ806" s="3143"/>
      <c r="CA806" s="3143"/>
      <c r="CB806" s="3143"/>
      <c r="CC806" s="3143"/>
      <c r="CD806" s="3143"/>
      <c r="CE806" s="3143"/>
      <c r="CF806" s="3143"/>
      <c r="CG806" s="3143"/>
      <c r="CH806" s="3143"/>
      <c r="CI806" s="3143"/>
      <c r="CJ806" s="3143"/>
      <c r="CK806" s="3143"/>
      <c r="CL806" s="3143"/>
      <c r="CM806" s="3143"/>
      <c r="CN806" s="3143"/>
      <c r="CO806" s="3143"/>
      <c r="CP806" s="3143"/>
      <c r="CQ806" s="3143"/>
      <c r="CR806" s="3143"/>
      <c r="CS806" s="3143"/>
      <c r="CT806" s="3143"/>
      <c r="CU806" s="3143"/>
      <c r="CV806" s="3143"/>
      <c r="CW806" s="3143"/>
      <c r="CX806" s="3143"/>
      <c r="CY806" s="3143"/>
      <c r="CZ806" s="3143"/>
      <c r="DA806" s="3143"/>
      <c r="DB806" s="3143"/>
      <c r="DC806" s="3143"/>
      <c r="DD806" s="3143"/>
      <c r="DE806" s="3143"/>
      <c r="DF806" s="3143"/>
      <c r="DG806" s="3143"/>
      <c r="DH806" s="3143"/>
      <c r="DI806" s="3143"/>
      <c r="DJ806" s="3143"/>
      <c r="DK806" s="3143"/>
      <c r="DL806" s="3143"/>
      <c r="DM806" s="3143"/>
      <c r="DN806" s="3143"/>
      <c r="DO806" s="3143"/>
      <c r="DP806" s="3143"/>
      <c r="DQ806" s="3143"/>
      <c r="DR806" s="3143"/>
      <c r="DS806" s="3143"/>
    </row>
    <row r="807" spans="1:255" s="604" customFormat="1" ht="13.5" customHeight="1">
      <c r="A807" s="595"/>
      <c r="B807" s="596"/>
      <c r="C807" s="597"/>
      <c r="D807" s="719" t="s">
        <v>278</v>
      </c>
      <c r="E807" s="599"/>
      <c r="F807" s="600"/>
      <c r="G807" s="289"/>
      <c r="H807" s="601"/>
      <c r="I807" s="1620"/>
      <c r="J807" s="3135"/>
      <c r="K807" s="1581"/>
      <c r="L807" s="1581"/>
      <c r="M807" s="1581"/>
      <c r="N807" s="1581"/>
      <c r="O807" s="1581"/>
      <c r="P807" s="1581"/>
      <c r="Q807" s="1581"/>
      <c r="R807" s="1581"/>
      <c r="S807" s="1581"/>
      <c r="T807" s="3134"/>
      <c r="U807" s="605"/>
      <c r="W807" s="605"/>
    </row>
    <row r="808" spans="1:255" s="888" customFormat="1" ht="13.5" customHeight="1">
      <c r="A808" s="3130">
        <v>44</v>
      </c>
      <c r="B808" s="3131">
        <v>271</v>
      </c>
      <c r="C808" s="3131" t="s">
        <v>4949</v>
      </c>
      <c r="D808" s="3131" t="s">
        <v>4950</v>
      </c>
      <c r="E808" s="3131" t="s">
        <v>205</v>
      </c>
      <c r="F808" s="2905">
        <f>ROUND(SUM(F809),3)</f>
        <v>1</v>
      </c>
      <c r="G808" s="288"/>
      <c r="H808" s="568">
        <f t="shared" ref="H808" si="38">ROUND(F808*G808,2)</f>
        <v>0</v>
      </c>
      <c r="I808" s="613" t="s">
        <v>111</v>
      </c>
      <c r="J808" s="3132"/>
      <c r="K808" s="3133"/>
      <c r="L808" s="3133"/>
      <c r="M808" s="3133"/>
      <c r="N808" s="3133"/>
      <c r="O808" s="3133"/>
      <c r="P808" s="3133"/>
      <c r="Q808" s="3133"/>
      <c r="R808" s="3133"/>
      <c r="S808" s="3133"/>
      <c r="T808" s="3134"/>
      <c r="BN808" s="2657"/>
      <c r="BO808" s="2657"/>
      <c r="BP808" s="2657"/>
      <c r="BQ808" s="2657"/>
      <c r="BR808" s="2657"/>
      <c r="BS808" s="2657"/>
      <c r="BT808" s="2657"/>
      <c r="BU808" s="2657"/>
      <c r="BV808" s="2657"/>
      <c r="BW808" s="2657"/>
      <c r="BX808" s="2657"/>
      <c r="BY808" s="2657"/>
      <c r="BZ808" s="2657"/>
      <c r="CA808" s="2657"/>
      <c r="CB808" s="2657"/>
      <c r="CC808" s="2657"/>
      <c r="CD808" s="2657"/>
      <c r="CE808" s="2657"/>
      <c r="CF808" s="2657"/>
      <c r="CG808" s="2657"/>
      <c r="CH808" s="2657"/>
      <c r="CI808" s="2657"/>
      <c r="CJ808" s="2657"/>
      <c r="CK808" s="2657"/>
      <c r="CL808" s="2657"/>
      <c r="CM808" s="2657"/>
      <c r="CN808" s="2657"/>
      <c r="CO808" s="2657"/>
      <c r="CP808" s="2657"/>
      <c r="CQ808" s="2657"/>
      <c r="CR808" s="2657"/>
      <c r="CS808" s="2657"/>
      <c r="CT808" s="2657"/>
      <c r="CU808" s="2657"/>
      <c r="CV808" s="2657"/>
      <c r="CW808" s="2657"/>
      <c r="CX808" s="2657"/>
      <c r="CY808" s="2657"/>
      <c r="CZ808" s="2657"/>
      <c r="DA808" s="2657"/>
      <c r="DB808" s="2657"/>
      <c r="DC808" s="2657"/>
      <c r="DD808" s="2657"/>
      <c r="DE808" s="2657"/>
      <c r="DF808" s="2657"/>
      <c r="DG808" s="2657"/>
      <c r="DH808" s="2657"/>
      <c r="DI808" s="2657"/>
      <c r="DJ808" s="2657"/>
      <c r="DK808" s="2657"/>
      <c r="DL808" s="2657"/>
      <c r="DM808" s="2657"/>
      <c r="DN808" s="2657"/>
      <c r="DO808" s="2657"/>
      <c r="DP808" s="2657"/>
      <c r="DQ808" s="2657"/>
      <c r="DR808" s="2657"/>
      <c r="DS808" s="2657"/>
      <c r="DT808" s="2657"/>
      <c r="DU808" s="2657"/>
      <c r="DV808" s="2657"/>
      <c r="DW808" s="2657"/>
      <c r="DX808" s="2657"/>
      <c r="DY808" s="2657"/>
      <c r="DZ808" s="2657"/>
      <c r="EA808" s="2657"/>
      <c r="EB808" s="2657"/>
      <c r="EC808" s="2657"/>
      <c r="ED808" s="2657"/>
      <c r="EE808" s="2657"/>
      <c r="EF808" s="2657"/>
      <c r="EG808" s="2657"/>
      <c r="EH808" s="2657"/>
      <c r="EI808" s="2657"/>
      <c r="EJ808" s="2657"/>
      <c r="EK808" s="2657"/>
      <c r="EL808" s="2657"/>
      <c r="EM808" s="2657"/>
      <c r="EN808" s="2657"/>
      <c r="EO808" s="2657"/>
      <c r="EP808" s="2657"/>
      <c r="EQ808" s="2657"/>
      <c r="ER808" s="2657"/>
      <c r="ES808" s="2657"/>
      <c r="ET808" s="2657"/>
      <c r="EU808" s="2657"/>
      <c r="EV808" s="2657"/>
      <c r="EW808" s="2657"/>
      <c r="EX808" s="2657"/>
      <c r="EY808" s="2657"/>
      <c r="EZ808" s="2657"/>
      <c r="FA808" s="2657"/>
      <c r="FB808" s="2657"/>
      <c r="FC808" s="2657"/>
      <c r="FD808" s="2657"/>
      <c r="FE808" s="2657"/>
      <c r="FF808" s="2657"/>
      <c r="FG808" s="2657"/>
      <c r="FH808" s="2657"/>
      <c r="FI808" s="2657"/>
      <c r="FJ808" s="2657"/>
      <c r="FK808" s="2657"/>
      <c r="FL808" s="2657"/>
      <c r="FM808" s="2657"/>
      <c r="FN808" s="2657"/>
      <c r="FO808" s="2657"/>
      <c r="FP808" s="2657"/>
      <c r="FQ808" s="2657"/>
      <c r="FR808" s="2657"/>
      <c r="FS808" s="2657"/>
      <c r="FT808" s="2657"/>
      <c r="FU808" s="2657"/>
      <c r="FV808" s="2657"/>
      <c r="FW808" s="2657"/>
      <c r="FX808" s="2657"/>
      <c r="FY808" s="2657"/>
      <c r="FZ808" s="2657"/>
      <c r="GA808" s="2657"/>
      <c r="GB808" s="2657"/>
      <c r="GC808" s="2657"/>
      <c r="GD808" s="2657"/>
      <c r="GE808" s="2657"/>
      <c r="GF808" s="2657"/>
      <c r="GG808" s="2657"/>
      <c r="GH808" s="2657"/>
      <c r="GI808" s="2657"/>
      <c r="GJ808" s="2657"/>
      <c r="GK808" s="2657"/>
      <c r="GL808" s="2657"/>
      <c r="GM808" s="2657"/>
      <c r="GN808" s="2657"/>
      <c r="GO808" s="2657"/>
      <c r="GP808" s="2657"/>
      <c r="GQ808" s="2657"/>
      <c r="GR808" s="2657"/>
      <c r="GS808" s="2657"/>
      <c r="GT808" s="2657"/>
      <c r="GU808" s="2657"/>
      <c r="GV808" s="2657"/>
      <c r="GW808" s="2657"/>
      <c r="GX808" s="2657"/>
      <c r="GY808" s="2657"/>
      <c r="GZ808" s="2657"/>
      <c r="HA808" s="2657"/>
      <c r="HB808" s="2657"/>
      <c r="HC808" s="2657"/>
      <c r="HD808" s="2657"/>
      <c r="HE808" s="2657"/>
      <c r="HF808" s="2657"/>
      <c r="HG808" s="2657"/>
      <c r="HH808" s="2657"/>
      <c r="HI808" s="2657"/>
      <c r="HJ808" s="2657"/>
      <c r="HK808" s="2657"/>
      <c r="HL808" s="2657"/>
      <c r="HM808" s="2657"/>
      <c r="HN808" s="2657"/>
      <c r="HO808" s="2657"/>
      <c r="HP808" s="2657"/>
      <c r="HQ808" s="2657"/>
      <c r="HR808" s="2657"/>
      <c r="HS808" s="2657"/>
      <c r="HT808" s="2657"/>
      <c r="HU808" s="2657"/>
      <c r="HV808" s="2657"/>
      <c r="HW808" s="2657"/>
      <c r="HX808" s="2657"/>
      <c r="HY808" s="2657"/>
      <c r="HZ808" s="2657"/>
      <c r="IA808" s="2657"/>
      <c r="IB808" s="2657"/>
      <c r="IC808" s="2657"/>
      <c r="ID808" s="2657"/>
      <c r="IE808" s="2657"/>
      <c r="IF808" s="2657"/>
      <c r="IG808" s="2657"/>
      <c r="IH808" s="2657"/>
      <c r="II808" s="2657"/>
      <c r="IJ808" s="2657"/>
      <c r="IK808" s="2657"/>
      <c r="IL808" s="2657"/>
      <c r="IM808" s="2657"/>
      <c r="IN808" s="2657"/>
      <c r="IO808" s="2657"/>
      <c r="IP808" s="2657"/>
      <c r="IQ808" s="2657"/>
      <c r="IR808" s="2657"/>
      <c r="IS808" s="2657"/>
      <c r="IT808" s="2657"/>
      <c r="IU808" s="2657"/>
    </row>
    <row r="809" spans="1:255" s="604" customFormat="1" ht="13.5" customHeight="1">
      <c r="A809" s="595"/>
      <c r="B809" s="596"/>
      <c r="C809" s="597"/>
      <c r="D809" s="1619" t="s">
        <v>4951</v>
      </c>
      <c r="E809" s="599"/>
      <c r="F809" s="600">
        <v>1</v>
      </c>
      <c r="G809" s="289"/>
      <c r="H809" s="601"/>
      <c r="I809" s="1590"/>
      <c r="J809" s="3135"/>
      <c r="K809" s="1581"/>
      <c r="L809" s="1581"/>
      <c r="M809" s="1581"/>
      <c r="N809" s="1581"/>
      <c r="O809" s="1581"/>
      <c r="P809" s="1581"/>
      <c r="Q809" s="1581"/>
      <c r="R809" s="1581"/>
      <c r="S809" s="1581"/>
      <c r="T809" s="3134"/>
      <c r="U809" s="605"/>
      <c r="W809" s="605"/>
    </row>
    <row r="810" spans="1:255" s="3144" customFormat="1" ht="40.5" customHeight="1">
      <c r="A810" s="3136"/>
      <c r="B810" s="3137"/>
      <c r="C810" s="3138"/>
      <c r="D810" s="719" t="s">
        <v>4913</v>
      </c>
      <c r="E810" s="719"/>
      <c r="F810" s="3139"/>
      <c r="G810" s="3213"/>
      <c r="H810" s="3140"/>
      <c r="I810" s="1590"/>
      <c r="J810" s="3135"/>
      <c r="K810" s="1581"/>
      <c r="L810" s="1581"/>
      <c r="M810" s="1581"/>
      <c r="N810" s="1581"/>
      <c r="O810" s="1581"/>
      <c r="P810" s="1581"/>
      <c r="Q810" s="1581"/>
      <c r="R810" s="1581"/>
      <c r="S810" s="1581"/>
      <c r="T810" s="3134"/>
      <c r="U810" s="3141"/>
      <c r="V810" s="3142"/>
      <c r="W810" s="3142"/>
      <c r="X810" s="1913"/>
      <c r="Y810" s="1913"/>
      <c r="Z810" s="3143"/>
      <c r="AA810" s="3143"/>
      <c r="AB810" s="3143"/>
      <c r="AC810" s="3143"/>
      <c r="AD810" s="3143"/>
      <c r="AE810" s="3143"/>
      <c r="AF810" s="3143"/>
      <c r="AG810" s="3143"/>
      <c r="AH810" s="3143"/>
      <c r="AI810" s="3143"/>
      <c r="AJ810" s="3143"/>
      <c r="AK810" s="3143"/>
      <c r="AL810" s="3143"/>
      <c r="AM810" s="3143"/>
      <c r="AN810" s="3143"/>
      <c r="AO810" s="3143"/>
      <c r="AP810" s="3143"/>
      <c r="AQ810" s="3143"/>
      <c r="AR810" s="3143"/>
      <c r="AS810" s="3143"/>
      <c r="AT810" s="3143"/>
      <c r="AU810" s="3143"/>
      <c r="AV810" s="3143"/>
      <c r="AW810" s="3143"/>
      <c r="AX810" s="3143"/>
      <c r="AY810" s="3143"/>
      <c r="AZ810" s="3143"/>
      <c r="BA810" s="3143"/>
      <c r="BB810" s="3143"/>
      <c r="BC810" s="3143"/>
      <c r="BD810" s="3143"/>
      <c r="BE810" s="3143"/>
      <c r="BF810" s="3143"/>
      <c r="BG810" s="3143"/>
      <c r="BH810" s="3143"/>
      <c r="BI810" s="3143"/>
      <c r="BJ810" s="3143"/>
      <c r="BK810" s="3143"/>
      <c r="BL810" s="3143"/>
      <c r="BM810" s="3143"/>
      <c r="BN810" s="3143"/>
      <c r="BO810" s="3143"/>
      <c r="BP810" s="3143"/>
      <c r="BQ810" s="3143"/>
      <c r="BR810" s="3143"/>
      <c r="BS810" s="3143"/>
      <c r="BT810" s="3143"/>
      <c r="BU810" s="3143"/>
      <c r="BV810" s="3143"/>
      <c r="BW810" s="3143"/>
      <c r="BX810" s="3143"/>
      <c r="BY810" s="3143"/>
      <c r="BZ810" s="3143"/>
      <c r="CA810" s="3143"/>
      <c r="CB810" s="3143"/>
      <c r="CC810" s="3143"/>
      <c r="CD810" s="3143"/>
      <c r="CE810" s="3143"/>
      <c r="CF810" s="3143"/>
      <c r="CG810" s="3143"/>
      <c r="CH810" s="3143"/>
      <c r="CI810" s="3143"/>
      <c r="CJ810" s="3143"/>
      <c r="CK810" s="3143"/>
      <c r="CL810" s="3143"/>
      <c r="CM810" s="3143"/>
      <c r="CN810" s="3143"/>
      <c r="CO810" s="3143"/>
      <c r="CP810" s="3143"/>
      <c r="CQ810" s="3143"/>
      <c r="CR810" s="3143"/>
      <c r="CS810" s="3143"/>
      <c r="CT810" s="3143"/>
      <c r="CU810" s="3143"/>
      <c r="CV810" s="3143"/>
      <c r="CW810" s="3143"/>
      <c r="CX810" s="3143"/>
      <c r="CY810" s="3143"/>
      <c r="CZ810" s="3143"/>
      <c r="DA810" s="3143"/>
      <c r="DB810" s="3143"/>
      <c r="DC810" s="3143"/>
      <c r="DD810" s="3143"/>
      <c r="DE810" s="3143"/>
      <c r="DF810" s="3143"/>
      <c r="DG810" s="3143"/>
      <c r="DH810" s="3143"/>
      <c r="DI810" s="3143"/>
      <c r="DJ810" s="3143"/>
      <c r="DK810" s="3143"/>
      <c r="DL810" s="3143"/>
      <c r="DM810" s="3143"/>
      <c r="DN810" s="3143"/>
      <c r="DO810" s="3143"/>
      <c r="DP810" s="3143"/>
      <c r="DQ810" s="3143"/>
      <c r="DR810" s="3143"/>
      <c r="DS810" s="3143"/>
    </row>
    <row r="811" spans="1:255" s="604" customFormat="1" ht="13.5" customHeight="1">
      <c r="A811" s="595"/>
      <c r="B811" s="596"/>
      <c r="C811" s="597"/>
      <c r="D811" s="719" t="s">
        <v>278</v>
      </c>
      <c r="E811" s="599"/>
      <c r="F811" s="600"/>
      <c r="G811" s="289"/>
      <c r="H811" s="601"/>
      <c r="I811" s="1620"/>
      <c r="J811" s="3135"/>
      <c r="K811" s="1581"/>
      <c r="L811" s="1581"/>
      <c r="M811" s="1581"/>
      <c r="N811" s="1581"/>
      <c r="O811" s="1581"/>
      <c r="P811" s="1581"/>
      <c r="Q811" s="1581"/>
      <c r="R811" s="1581"/>
      <c r="S811" s="1581"/>
      <c r="T811" s="3134"/>
      <c r="U811" s="605"/>
      <c r="W811" s="605"/>
    </row>
    <row r="812" spans="1:255" s="888" customFormat="1" ht="13.5" customHeight="1">
      <c r="A812" s="3130">
        <v>45</v>
      </c>
      <c r="B812" s="3131">
        <v>271</v>
      </c>
      <c r="C812" s="3131" t="s">
        <v>4952</v>
      </c>
      <c r="D812" s="3131" t="s">
        <v>4953</v>
      </c>
      <c r="E812" s="3131" t="s">
        <v>205</v>
      </c>
      <c r="F812" s="2905">
        <f>ROUND(SUM(F813),3)</f>
        <v>1</v>
      </c>
      <c r="G812" s="288"/>
      <c r="H812" s="568">
        <f t="shared" ref="H812" si="39">ROUND(F812*G812,2)</f>
        <v>0</v>
      </c>
      <c r="I812" s="613" t="s">
        <v>111</v>
      </c>
      <c r="J812" s="3132"/>
      <c r="K812" s="3133"/>
      <c r="L812" s="3133"/>
      <c r="M812" s="3133"/>
      <c r="N812" s="3133"/>
      <c r="O812" s="3133"/>
      <c r="P812" s="3133"/>
      <c r="Q812" s="3133"/>
      <c r="R812" s="3133"/>
      <c r="S812" s="3133"/>
      <c r="T812" s="3134"/>
      <c r="BN812" s="2657"/>
      <c r="BO812" s="2657"/>
      <c r="BP812" s="2657"/>
      <c r="BQ812" s="2657"/>
      <c r="BR812" s="2657"/>
      <c r="BS812" s="2657"/>
      <c r="BT812" s="2657"/>
      <c r="BU812" s="2657"/>
      <c r="BV812" s="2657"/>
      <c r="BW812" s="2657"/>
      <c r="BX812" s="2657"/>
      <c r="BY812" s="2657"/>
      <c r="BZ812" s="2657"/>
      <c r="CA812" s="2657"/>
      <c r="CB812" s="2657"/>
      <c r="CC812" s="2657"/>
      <c r="CD812" s="2657"/>
      <c r="CE812" s="2657"/>
      <c r="CF812" s="2657"/>
      <c r="CG812" s="2657"/>
      <c r="CH812" s="2657"/>
      <c r="CI812" s="2657"/>
      <c r="CJ812" s="2657"/>
      <c r="CK812" s="2657"/>
      <c r="CL812" s="2657"/>
      <c r="CM812" s="2657"/>
      <c r="CN812" s="2657"/>
      <c r="CO812" s="2657"/>
      <c r="CP812" s="2657"/>
      <c r="CQ812" s="2657"/>
      <c r="CR812" s="2657"/>
      <c r="CS812" s="2657"/>
      <c r="CT812" s="2657"/>
      <c r="CU812" s="2657"/>
      <c r="CV812" s="2657"/>
      <c r="CW812" s="2657"/>
      <c r="CX812" s="2657"/>
      <c r="CY812" s="2657"/>
      <c r="CZ812" s="2657"/>
      <c r="DA812" s="2657"/>
      <c r="DB812" s="2657"/>
      <c r="DC812" s="2657"/>
      <c r="DD812" s="2657"/>
      <c r="DE812" s="2657"/>
      <c r="DF812" s="2657"/>
      <c r="DG812" s="2657"/>
      <c r="DH812" s="2657"/>
      <c r="DI812" s="2657"/>
      <c r="DJ812" s="2657"/>
      <c r="DK812" s="2657"/>
      <c r="DL812" s="2657"/>
      <c r="DM812" s="2657"/>
      <c r="DN812" s="2657"/>
      <c r="DO812" s="2657"/>
      <c r="DP812" s="2657"/>
      <c r="DQ812" s="2657"/>
      <c r="DR812" s="2657"/>
      <c r="DS812" s="2657"/>
      <c r="DT812" s="2657"/>
      <c r="DU812" s="2657"/>
      <c r="DV812" s="2657"/>
      <c r="DW812" s="2657"/>
      <c r="DX812" s="2657"/>
      <c r="DY812" s="2657"/>
      <c r="DZ812" s="2657"/>
      <c r="EA812" s="2657"/>
      <c r="EB812" s="2657"/>
      <c r="EC812" s="2657"/>
      <c r="ED812" s="2657"/>
      <c r="EE812" s="2657"/>
      <c r="EF812" s="2657"/>
      <c r="EG812" s="2657"/>
      <c r="EH812" s="2657"/>
      <c r="EI812" s="2657"/>
      <c r="EJ812" s="2657"/>
      <c r="EK812" s="2657"/>
      <c r="EL812" s="2657"/>
      <c r="EM812" s="2657"/>
      <c r="EN812" s="2657"/>
      <c r="EO812" s="2657"/>
      <c r="EP812" s="2657"/>
      <c r="EQ812" s="2657"/>
      <c r="ER812" s="2657"/>
      <c r="ES812" s="2657"/>
      <c r="ET812" s="2657"/>
      <c r="EU812" s="2657"/>
      <c r="EV812" s="2657"/>
      <c r="EW812" s="2657"/>
      <c r="EX812" s="2657"/>
      <c r="EY812" s="2657"/>
      <c r="EZ812" s="2657"/>
      <c r="FA812" s="2657"/>
      <c r="FB812" s="2657"/>
      <c r="FC812" s="2657"/>
      <c r="FD812" s="2657"/>
      <c r="FE812" s="2657"/>
      <c r="FF812" s="2657"/>
      <c r="FG812" s="2657"/>
      <c r="FH812" s="2657"/>
      <c r="FI812" s="2657"/>
      <c r="FJ812" s="2657"/>
      <c r="FK812" s="2657"/>
      <c r="FL812" s="2657"/>
      <c r="FM812" s="2657"/>
      <c r="FN812" s="2657"/>
      <c r="FO812" s="2657"/>
      <c r="FP812" s="2657"/>
      <c r="FQ812" s="2657"/>
      <c r="FR812" s="2657"/>
      <c r="FS812" s="2657"/>
      <c r="FT812" s="2657"/>
      <c r="FU812" s="2657"/>
      <c r="FV812" s="2657"/>
      <c r="FW812" s="2657"/>
      <c r="FX812" s="2657"/>
      <c r="FY812" s="2657"/>
      <c r="FZ812" s="2657"/>
      <c r="GA812" s="2657"/>
      <c r="GB812" s="2657"/>
      <c r="GC812" s="2657"/>
      <c r="GD812" s="2657"/>
      <c r="GE812" s="2657"/>
      <c r="GF812" s="2657"/>
      <c r="GG812" s="2657"/>
      <c r="GH812" s="2657"/>
      <c r="GI812" s="2657"/>
      <c r="GJ812" s="2657"/>
      <c r="GK812" s="2657"/>
      <c r="GL812" s="2657"/>
      <c r="GM812" s="2657"/>
      <c r="GN812" s="2657"/>
      <c r="GO812" s="2657"/>
      <c r="GP812" s="2657"/>
      <c r="GQ812" s="2657"/>
      <c r="GR812" s="2657"/>
      <c r="GS812" s="2657"/>
      <c r="GT812" s="2657"/>
      <c r="GU812" s="2657"/>
      <c r="GV812" s="2657"/>
      <c r="GW812" s="2657"/>
      <c r="GX812" s="2657"/>
      <c r="GY812" s="2657"/>
      <c r="GZ812" s="2657"/>
      <c r="HA812" s="2657"/>
      <c r="HB812" s="2657"/>
      <c r="HC812" s="2657"/>
      <c r="HD812" s="2657"/>
      <c r="HE812" s="2657"/>
      <c r="HF812" s="2657"/>
      <c r="HG812" s="2657"/>
      <c r="HH812" s="2657"/>
      <c r="HI812" s="2657"/>
      <c r="HJ812" s="2657"/>
      <c r="HK812" s="2657"/>
      <c r="HL812" s="2657"/>
      <c r="HM812" s="2657"/>
      <c r="HN812" s="2657"/>
      <c r="HO812" s="2657"/>
      <c r="HP812" s="2657"/>
      <c r="HQ812" s="2657"/>
      <c r="HR812" s="2657"/>
      <c r="HS812" s="2657"/>
      <c r="HT812" s="2657"/>
      <c r="HU812" s="2657"/>
      <c r="HV812" s="2657"/>
      <c r="HW812" s="2657"/>
      <c r="HX812" s="2657"/>
      <c r="HY812" s="2657"/>
      <c r="HZ812" s="2657"/>
      <c r="IA812" s="2657"/>
      <c r="IB812" s="2657"/>
      <c r="IC812" s="2657"/>
      <c r="ID812" s="2657"/>
      <c r="IE812" s="2657"/>
      <c r="IF812" s="2657"/>
      <c r="IG812" s="2657"/>
      <c r="IH812" s="2657"/>
      <c r="II812" s="2657"/>
      <c r="IJ812" s="2657"/>
      <c r="IK812" s="2657"/>
      <c r="IL812" s="2657"/>
      <c r="IM812" s="2657"/>
      <c r="IN812" s="2657"/>
      <c r="IO812" s="2657"/>
      <c r="IP812" s="2657"/>
      <c r="IQ812" s="2657"/>
      <c r="IR812" s="2657"/>
      <c r="IS812" s="2657"/>
      <c r="IT812" s="2657"/>
      <c r="IU812" s="2657"/>
    </row>
    <row r="813" spans="1:255" s="604" customFormat="1" ht="13.5" customHeight="1">
      <c r="A813" s="595"/>
      <c r="B813" s="596"/>
      <c r="C813" s="597"/>
      <c r="D813" s="1619" t="s">
        <v>4954</v>
      </c>
      <c r="E813" s="599"/>
      <c r="F813" s="600">
        <v>1</v>
      </c>
      <c r="G813" s="289"/>
      <c r="H813" s="601"/>
      <c r="I813" s="1590"/>
      <c r="J813" s="3135"/>
      <c r="K813" s="1581"/>
      <c r="L813" s="1581"/>
      <c r="M813" s="1581"/>
      <c r="N813" s="1581"/>
      <c r="O813" s="1581"/>
      <c r="P813" s="1581"/>
      <c r="Q813" s="1581"/>
      <c r="R813" s="1581"/>
      <c r="S813" s="1581"/>
      <c r="T813" s="3134"/>
      <c r="U813" s="605"/>
      <c r="W813" s="605"/>
    </row>
    <row r="814" spans="1:255" s="3144" customFormat="1" ht="40.5" customHeight="1">
      <c r="A814" s="3136"/>
      <c r="B814" s="3137"/>
      <c r="C814" s="3138"/>
      <c r="D814" s="719" t="s">
        <v>4913</v>
      </c>
      <c r="E814" s="719"/>
      <c r="F814" s="3139"/>
      <c r="G814" s="3213"/>
      <c r="H814" s="3140"/>
      <c r="I814" s="1590"/>
      <c r="J814" s="3135"/>
      <c r="K814" s="1581"/>
      <c r="L814" s="1581"/>
      <c r="M814" s="1581"/>
      <c r="N814" s="1581"/>
      <c r="O814" s="1581"/>
      <c r="P814" s="1581"/>
      <c r="Q814" s="1581"/>
      <c r="R814" s="1581"/>
      <c r="S814" s="1581"/>
      <c r="T814" s="3134"/>
      <c r="U814" s="3141"/>
      <c r="V814" s="3142"/>
      <c r="W814" s="3142"/>
      <c r="X814" s="1913"/>
      <c r="Y814" s="1913"/>
      <c r="Z814" s="3143"/>
      <c r="AA814" s="3143"/>
      <c r="AB814" s="3143"/>
      <c r="AC814" s="3143"/>
      <c r="AD814" s="3143"/>
      <c r="AE814" s="3143"/>
      <c r="AF814" s="3143"/>
      <c r="AG814" s="3143"/>
      <c r="AH814" s="3143"/>
      <c r="AI814" s="3143"/>
      <c r="AJ814" s="3143"/>
      <c r="AK814" s="3143"/>
      <c r="AL814" s="3143"/>
      <c r="AM814" s="3143"/>
      <c r="AN814" s="3143"/>
      <c r="AO814" s="3143"/>
      <c r="AP814" s="3143"/>
      <c r="AQ814" s="3143"/>
      <c r="AR814" s="3143"/>
      <c r="AS814" s="3143"/>
      <c r="AT814" s="3143"/>
      <c r="AU814" s="3143"/>
      <c r="AV814" s="3143"/>
      <c r="AW814" s="3143"/>
      <c r="AX814" s="3143"/>
      <c r="AY814" s="3143"/>
      <c r="AZ814" s="3143"/>
      <c r="BA814" s="3143"/>
      <c r="BB814" s="3143"/>
      <c r="BC814" s="3143"/>
      <c r="BD814" s="3143"/>
      <c r="BE814" s="3143"/>
      <c r="BF814" s="3143"/>
      <c r="BG814" s="3143"/>
      <c r="BH814" s="3143"/>
      <c r="BI814" s="3143"/>
      <c r="BJ814" s="3143"/>
      <c r="BK814" s="3143"/>
      <c r="BL814" s="3143"/>
      <c r="BM814" s="3143"/>
      <c r="BN814" s="3143"/>
      <c r="BO814" s="3143"/>
      <c r="BP814" s="3143"/>
      <c r="BQ814" s="3143"/>
      <c r="BR814" s="3143"/>
      <c r="BS814" s="3143"/>
      <c r="BT814" s="3143"/>
      <c r="BU814" s="3143"/>
      <c r="BV814" s="3143"/>
      <c r="BW814" s="3143"/>
      <c r="BX814" s="3143"/>
      <c r="BY814" s="3143"/>
      <c r="BZ814" s="3143"/>
      <c r="CA814" s="3143"/>
      <c r="CB814" s="3143"/>
      <c r="CC814" s="3143"/>
      <c r="CD814" s="3143"/>
      <c r="CE814" s="3143"/>
      <c r="CF814" s="3143"/>
      <c r="CG814" s="3143"/>
      <c r="CH814" s="3143"/>
      <c r="CI814" s="3143"/>
      <c r="CJ814" s="3143"/>
      <c r="CK814" s="3143"/>
      <c r="CL814" s="3143"/>
      <c r="CM814" s="3143"/>
      <c r="CN814" s="3143"/>
      <c r="CO814" s="3143"/>
      <c r="CP814" s="3143"/>
      <c r="CQ814" s="3143"/>
      <c r="CR814" s="3143"/>
      <c r="CS814" s="3143"/>
      <c r="CT814" s="3143"/>
      <c r="CU814" s="3143"/>
      <c r="CV814" s="3143"/>
      <c r="CW814" s="3143"/>
      <c r="CX814" s="3143"/>
      <c r="CY814" s="3143"/>
      <c r="CZ814" s="3143"/>
      <c r="DA814" s="3143"/>
      <c r="DB814" s="3143"/>
      <c r="DC814" s="3143"/>
      <c r="DD814" s="3143"/>
      <c r="DE814" s="3143"/>
      <c r="DF814" s="3143"/>
      <c r="DG814" s="3143"/>
      <c r="DH814" s="3143"/>
      <c r="DI814" s="3143"/>
      <c r="DJ814" s="3143"/>
      <c r="DK814" s="3143"/>
      <c r="DL814" s="3143"/>
      <c r="DM814" s="3143"/>
      <c r="DN814" s="3143"/>
      <c r="DO814" s="3143"/>
      <c r="DP814" s="3143"/>
      <c r="DQ814" s="3143"/>
      <c r="DR814" s="3143"/>
      <c r="DS814" s="3143"/>
    </row>
    <row r="815" spans="1:255" s="604" customFormat="1" ht="13.5" customHeight="1">
      <c r="A815" s="595"/>
      <c r="B815" s="596"/>
      <c r="C815" s="597"/>
      <c r="D815" s="719" t="s">
        <v>278</v>
      </c>
      <c r="E815" s="599"/>
      <c r="F815" s="600"/>
      <c r="G815" s="289"/>
      <c r="H815" s="601"/>
      <c r="I815" s="1620"/>
      <c r="J815" s="3135"/>
      <c r="K815" s="1581"/>
      <c r="L815" s="1581"/>
      <c r="M815" s="1581"/>
      <c r="N815" s="1581"/>
      <c r="O815" s="1581"/>
      <c r="P815" s="1581"/>
      <c r="Q815" s="1581"/>
      <c r="R815" s="1581"/>
      <c r="S815" s="1581"/>
      <c r="T815" s="3134"/>
      <c r="U815" s="605"/>
      <c r="W815" s="605"/>
    </row>
    <row r="816" spans="1:255" s="888" customFormat="1" ht="13.5" customHeight="1">
      <c r="A816" s="3130">
        <v>46</v>
      </c>
      <c r="B816" s="3131">
        <v>271</v>
      </c>
      <c r="C816" s="3131" t="s">
        <v>4955</v>
      </c>
      <c r="D816" s="3131" t="s">
        <v>4956</v>
      </c>
      <c r="E816" s="3131" t="s">
        <v>205</v>
      </c>
      <c r="F816" s="2905">
        <f>ROUND(SUM(F817),3)</f>
        <v>1</v>
      </c>
      <c r="G816" s="288"/>
      <c r="H816" s="568">
        <f t="shared" ref="H816" si="40">ROUND(F816*G816,2)</f>
        <v>0</v>
      </c>
      <c r="I816" s="613" t="s">
        <v>111</v>
      </c>
      <c r="J816" s="3132"/>
      <c r="K816" s="3133"/>
      <c r="L816" s="3133"/>
      <c r="M816" s="3133"/>
      <c r="N816" s="3133"/>
      <c r="O816" s="3133"/>
      <c r="P816" s="3133"/>
      <c r="Q816" s="3133"/>
      <c r="R816" s="3133"/>
      <c r="S816" s="3133"/>
      <c r="T816" s="3134"/>
      <c r="BN816" s="2657"/>
      <c r="BO816" s="2657"/>
      <c r="BP816" s="2657"/>
      <c r="BQ816" s="2657"/>
      <c r="BR816" s="2657"/>
      <c r="BS816" s="2657"/>
      <c r="BT816" s="2657"/>
      <c r="BU816" s="2657"/>
      <c r="BV816" s="2657"/>
      <c r="BW816" s="2657"/>
      <c r="BX816" s="2657"/>
      <c r="BY816" s="2657"/>
      <c r="BZ816" s="2657"/>
      <c r="CA816" s="2657"/>
      <c r="CB816" s="2657"/>
      <c r="CC816" s="2657"/>
      <c r="CD816" s="2657"/>
      <c r="CE816" s="2657"/>
      <c r="CF816" s="2657"/>
      <c r="CG816" s="2657"/>
      <c r="CH816" s="2657"/>
      <c r="CI816" s="2657"/>
      <c r="CJ816" s="2657"/>
      <c r="CK816" s="2657"/>
      <c r="CL816" s="2657"/>
      <c r="CM816" s="2657"/>
      <c r="CN816" s="2657"/>
      <c r="CO816" s="2657"/>
      <c r="CP816" s="2657"/>
      <c r="CQ816" s="2657"/>
      <c r="CR816" s="2657"/>
      <c r="CS816" s="2657"/>
      <c r="CT816" s="2657"/>
      <c r="CU816" s="2657"/>
      <c r="CV816" s="2657"/>
      <c r="CW816" s="2657"/>
      <c r="CX816" s="2657"/>
      <c r="CY816" s="2657"/>
      <c r="CZ816" s="2657"/>
      <c r="DA816" s="2657"/>
      <c r="DB816" s="2657"/>
      <c r="DC816" s="2657"/>
      <c r="DD816" s="2657"/>
      <c r="DE816" s="2657"/>
      <c r="DF816" s="2657"/>
      <c r="DG816" s="2657"/>
      <c r="DH816" s="2657"/>
      <c r="DI816" s="2657"/>
      <c r="DJ816" s="2657"/>
      <c r="DK816" s="2657"/>
      <c r="DL816" s="2657"/>
      <c r="DM816" s="2657"/>
      <c r="DN816" s="2657"/>
      <c r="DO816" s="2657"/>
      <c r="DP816" s="2657"/>
      <c r="DQ816" s="2657"/>
      <c r="DR816" s="2657"/>
      <c r="DS816" s="2657"/>
      <c r="DT816" s="2657"/>
      <c r="DU816" s="2657"/>
      <c r="DV816" s="2657"/>
      <c r="DW816" s="2657"/>
      <c r="DX816" s="2657"/>
      <c r="DY816" s="2657"/>
      <c r="DZ816" s="2657"/>
      <c r="EA816" s="2657"/>
      <c r="EB816" s="2657"/>
      <c r="EC816" s="2657"/>
      <c r="ED816" s="2657"/>
      <c r="EE816" s="2657"/>
      <c r="EF816" s="2657"/>
      <c r="EG816" s="2657"/>
      <c r="EH816" s="2657"/>
      <c r="EI816" s="2657"/>
      <c r="EJ816" s="2657"/>
      <c r="EK816" s="2657"/>
      <c r="EL816" s="2657"/>
      <c r="EM816" s="2657"/>
      <c r="EN816" s="2657"/>
      <c r="EO816" s="2657"/>
      <c r="EP816" s="2657"/>
      <c r="EQ816" s="2657"/>
      <c r="ER816" s="2657"/>
      <c r="ES816" s="2657"/>
      <c r="ET816" s="2657"/>
      <c r="EU816" s="2657"/>
      <c r="EV816" s="2657"/>
      <c r="EW816" s="2657"/>
      <c r="EX816" s="2657"/>
      <c r="EY816" s="2657"/>
      <c r="EZ816" s="2657"/>
      <c r="FA816" s="2657"/>
      <c r="FB816" s="2657"/>
      <c r="FC816" s="2657"/>
      <c r="FD816" s="2657"/>
      <c r="FE816" s="2657"/>
      <c r="FF816" s="2657"/>
      <c r="FG816" s="2657"/>
      <c r="FH816" s="2657"/>
      <c r="FI816" s="2657"/>
      <c r="FJ816" s="2657"/>
      <c r="FK816" s="2657"/>
      <c r="FL816" s="2657"/>
      <c r="FM816" s="2657"/>
      <c r="FN816" s="2657"/>
      <c r="FO816" s="2657"/>
      <c r="FP816" s="2657"/>
      <c r="FQ816" s="2657"/>
      <c r="FR816" s="2657"/>
      <c r="FS816" s="2657"/>
      <c r="FT816" s="2657"/>
      <c r="FU816" s="2657"/>
      <c r="FV816" s="2657"/>
      <c r="FW816" s="2657"/>
      <c r="FX816" s="2657"/>
      <c r="FY816" s="2657"/>
      <c r="FZ816" s="2657"/>
      <c r="GA816" s="2657"/>
      <c r="GB816" s="2657"/>
      <c r="GC816" s="2657"/>
      <c r="GD816" s="2657"/>
      <c r="GE816" s="2657"/>
      <c r="GF816" s="2657"/>
      <c r="GG816" s="2657"/>
      <c r="GH816" s="2657"/>
      <c r="GI816" s="2657"/>
      <c r="GJ816" s="2657"/>
      <c r="GK816" s="2657"/>
      <c r="GL816" s="2657"/>
      <c r="GM816" s="2657"/>
      <c r="GN816" s="2657"/>
      <c r="GO816" s="2657"/>
      <c r="GP816" s="2657"/>
      <c r="GQ816" s="2657"/>
      <c r="GR816" s="2657"/>
      <c r="GS816" s="2657"/>
      <c r="GT816" s="2657"/>
      <c r="GU816" s="2657"/>
      <c r="GV816" s="2657"/>
      <c r="GW816" s="2657"/>
      <c r="GX816" s="2657"/>
      <c r="GY816" s="2657"/>
      <c r="GZ816" s="2657"/>
      <c r="HA816" s="2657"/>
      <c r="HB816" s="2657"/>
      <c r="HC816" s="2657"/>
      <c r="HD816" s="2657"/>
      <c r="HE816" s="2657"/>
      <c r="HF816" s="2657"/>
      <c r="HG816" s="2657"/>
      <c r="HH816" s="2657"/>
      <c r="HI816" s="2657"/>
      <c r="HJ816" s="2657"/>
      <c r="HK816" s="2657"/>
      <c r="HL816" s="2657"/>
      <c r="HM816" s="2657"/>
      <c r="HN816" s="2657"/>
      <c r="HO816" s="2657"/>
      <c r="HP816" s="2657"/>
      <c r="HQ816" s="2657"/>
      <c r="HR816" s="2657"/>
      <c r="HS816" s="2657"/>
      <c r="HT816" s="2657"/>
      <c r="HU816" s="2657"/>
      <c r="HV816" s="2657"/>
      <c r="HW816" s="2657"/>
      <c r="HX816" s="2657"/>
      <c r="HY816" s="2657"/>
      <c r="HZ816" s="2657"/>
      <c r="IA816" s="2657"/>
      <c r="IB816" s="2657"/>
      <c r="IC816" s="2657"/>
      <c r="ID816" s="2657"/>
      <c r="IE816" s="2657"/>
      <c r="IF816" s="2657"/>
      <c r="IG816" s="2657"/>
      <c r="IH816" s="2657"/>
      <c r="II816" s="2657"/>
      <c r="IJ816" s="2657"/>
      <c r="IK816" s="2657"/>
      <c r="IL816" s="2657"/>
      <c r="IM816" s="2657"/>
      <c r="IN816" s="2657"/>
      <c r="IO816" s="2657"/>
      <c r="IP816" s="2657"/>
      <c r="IQ816" s="2657"/>
      <c r="IR816" s="2657"/>
      <c r="IS816" s="2657"/>
      <c r="IT816" s="2657"/>
      <c r="IU816" s="2657"/>
    </row>
    <row r="817" spans="1:255" s="604" customFormat="1" ht="13.5" customHeight="1">
      <c r="A817" s="595"/>
      <c r="B817" s="596"/>
      <c r="C817" s="597"/>
      <c r="D817" s="1619" t="s">
        <v>4957</v>
      </c>
      <c r="E817" s="599"/>
      <c r="F817" s="600">
        <v>1</v>
      </c>
      <c r="G817" s="289"/>
      <c r="H817" s="601"/>
      <c r="I817" s="1590"/>
      <c r="J817" s="3135"/>
      <c r="K817" s="1581"/>
      <c r="L817" s="1581"/>
      <c r="M817" s="1581"/>
      <c r="N817" s="1581"/>
      <c r="O817" s="1581"/>
      <c r="P817" s="1581"/>
      <c r="Q817" s="1581"/>
      <c r="R817" s="1581"/>
      <c r="S817" s="1581"/>
      <c r="T817" s="3134"/>
      <c r="U817" s="605"/>
      <c r="W817" s="605"/>
    </row>
    <row r="818" spans="1:255" s="3144" customFormat="1" ht="40.5" customHeight="1">
      <c r="A818" s="3136"/>
      <c r="B818" s="3137"/>
      <c r="C818" s="3138"/>
      <c r="D818" s="719" t="s">
        <v>4913</v>
      </c>
      <c r="E818" s="719"/>
      <c r="F818" s="3139"/>
      <c r="G818" s="3213"/>
      <c r="H818" s="3140"/>
      <c r="I818" s="1590"/>
      <c r="J818" s="3135"/>
      <c r="K818" s="1581"/>
      <c r="L818" s="1581"/>
      <c r="M818" s="1581"/>
      <c r="N818" s="1581"/>
      <c r="O818" s="1581"/>
      <c r="P818" s="1581"/>
      <c r="Q818" s="1581"/>
      <c r="R818" s="1581"/>
      <c r="S818" s="1581"/>
      <c r="T818" s="3134"/>
      <c r="U818" s="3141"/>
      <c r="V818" s="3142"/>
      <c r="W818" s="3142"/>
      <c r="X818" s="1913"/>
      <c r="Y818" s="1913"/>
      <c r="Z818" s="3143"/>
      <c r="AA818" s="3143"/>
      <c r="AB818" s="3143"/>
      <c r="AC818" s="3143"/>
      <c r="AD818" s="3143"/>
      <c r="AE818" s="3143"/>
      <c r="AF818" s="3143"/>
      <c r="AG818" s="3143"/>
      <c r="AH818" s="3143"/>
      <c r="AI818" s="3143"/>
      <c r="AJ818" s="3143"/>
      <c r="AK818" s="3143"/>
      <c r="AL818" s="3143"/>
      <c r="AM818" s="3143"/>
      <c r="AN818" s="3143"/>
      <c r="AO818" s="3143"/>
      <c r="AP818" s="3143"/>
      <c r="AQ818" s="3143"/>
      <c r="AR818" s="3143"/>
      <c r="AS818" s="3143"/>
      <c r="AT818" s="3143"/>
      <c r="AU818" s="3143"/>
      <c r="AV818" s="3143"/>
      <c r="AW818" s="3143"/>
      <c r="AX818" s="3143"/>
      <c r="AY818" s="3143"/>
      <c r="AZ818" s="3143"/>
      <c r="BA818" s="3143"/>
      <c r="BB818" s="3143"/>
      <c r="BC818" s="3143"/>
      <c r="BD818" s="3143"/>
      <c r="BE818" s="3143"/>
      <c r="BF818" s="3143"/>
      <c r="BG818" s="3143"/>
      <c r="BH818" s="3143"/>
      <c r="BI818" s="3143"/>
      <c r="BJ818" s="3143"/>
      <c r="BK818" s="3143"/>
      <c r="BL818" s="3143"/>
      <c r="BM818" s="3143"/>
      <c r="BN818" s="3143"/>
      <c r="BO818" s="3143"/>
      <c r="BP818" s="3143"/>
      <c r="BQ818" s="3143"/>
      <c r="BR818" s="3143"/>
      <c r="BS818" s="3143"/>
      <c r="BT818" s="3143"/>
      <c r="BU818" s="3143"/>
      <c r="BV818" s="3143"/>
      <c r="BW818" s="3143"/>
      <c r="BX818" s="3143"/>
      <c r="BY818" s="3143"/>
      <c r="BZ818" s="3143"/>
      <c r="CA818" s="3143"/>
      <c r="CB818" s="3143"/>
      <c r="CC818" s="3143"/>
      <c r="CD818" s="3143"/>
      <c r="CE818" s="3143"/>
      <c r="CF818" s="3143"/>
      <c r="CG818" s="3143"/>
      <c r="CH818" s="3143"/>
      <c r="CI818" s="3143"/>
      <c r="CJ818" s="3143"/>
      <c r="CK818" s="3143"/>
      <c r="CL818" s="3143"/>
      <c r="CM818" s="3143"/>
      <c r="CN818" s="3143"/>
      <c r="CO818" s="3143"/>
      <c r="CP818" s="3143"/>
      <c r="CQ818" s="3143"/>
      <c r="CR818" s="3143"/>
      <c r="CS818" s="3143"/>
      <c r="CT818" s="3143"/>
      <c r="CU818" s="3143"/>
      <c r="CV818" s="3143"/>
      <c r="CW818" s="3143"/>
      <c r="CX818" s="3143"/>
      <c r="CY818" s="3143"/>
      <c r="CZ818" s="3143"/>
      <c r="DA818" s="3143"/>
      <c r="DB818" s="3143"/>
      <c r="DC818" s="3143"/>
      <c r="DD818" s="3143"/>
      <c r="DE818" s="3143"/>
      <c r="DF818" s="3143"/>
      <c r="DG818" s="3143"/>
      <c r="DH818" s="3143"/>
      <c r="DI818" s="3143"/>
      <c r="DJ818" s="3143"/>
      <c r="DK818" s="3143"/>
      <c r="DL818" s="3143"/>
      <c r="DM818" s="3143"/>
      <c r="DN818" s="3143"/>
      <c r="DO818" s="3143"/>
      <c r="DP818" s="3143"/>
      <c r="DQ818" s="3143"/>
      <c r="DR818" s="3143"/>
      <c r="DS818" s="3143"/>
    </row>
    <row r="819" spans="1:255" s="604" customFormat="1" ht="13.5" customHeight="1">
      <c r="A819" s="595"/>
      <c r="B819" s="596"/>
      <c r="C819" s="597"/>
      <c r="D819" s="719" t="s">
        <v>278</v>
      </c>
      <c r="E819" s="599"/>
      <c r="F819" s="600"/>
      <c r="G819" s="288"/>
      <c r="H819" s="601"/>
      <c r="I819" s="1620"/>
      <c r="J819" s="3135"/>
      <c r="K819" s="1581"/>
      <c r="L819" s="1581"/>
      <c r="M819" s="1581"/>
      <c r="N819" s="1581"/>
      <c r="O819" s="1581"/>
      <c r="P819" s="1581"/>
      <c r="Q819" s="1581"/>
      <c r="R819" s="1581"/>
      <c r="S819" s="1581"/>
      <c r="T819" s="3134"/>
      <c r="U819" s="605"/>
      <c r="W819" s="605"/>
    </row>
    <row r="820" spans="1:255" s="888" customFormat="1" ht="13.5" customHeight="1">
      <c r="A820" s="3130">
        <v>47</v>
      </c>
      <c r="B820" s="3131">
        <v>271</v>
      </c>
      <c r="C820" s="3131" t="s">
        <v>4958</v>
      </c>
      <c r="D820" s="3131" t="s">
        <v>4959</v>
      </c>
      <c r="E820" s="3131" t="s">
        <v>205</v>
      </c>
      <c r="F820" s="2905">
        <f>ROUND(SUM(F821),3)</f>
        <v>1</v>
      </c>
      <c r="G820" s="288"/>
      <c r="H820" s="568">
        <f t="shared" ref="H820" si="41">ROUND(F820*G820,2)</f>
        <v>0</v>
      </c>
      <c r="I820" s="613" t="s">
        <v>111</v>
      </c>
      <c r="J820" s="3132"/>
      <c r="K820" s="3133"/>
      <c r="L820" s="3133"/>
      <c r="M820" s="3133"/>
      <c r="N820" s="3133"/>
      <c r="O820" s="3133"/>
      <c r="P820" s="3133"/>
      <c r="Q820" s="3133"/>
      <c r="R820" s="3133"/>
      <c r="S820" s="3133"/>
      <c r="T820" s="3134"/>
      <c r="BN820" s="2657"/>
      <c r="BO820" s="2657"/>
      <c r="BP820" s="2657"/>
      <c r="BQ820" s="2657"/>
      <c r="BR820" s="2657"/>
      <c r="BS820" s="2657"/>
      <c r="BT820" s="2657"/>
      <c r="BU820" s="2657"/>
      <c r="BV820" s="2657"/>
      <c r="BW820" s="2657"/>
      <c r="BX820" s="2657"/>
      <c r="BY820" s="2657"/>
      <c r="BZ820" s="2657"/>
      <c r="CA820" s="2657"/>
      <c r="CB820" s="2657"/>
      <c r="CC820" s="2657"/>
      <c r="CD820" s="2657"/>
      <c r="CE820" s="2657"/>
      <c r="CF820" s="2657"/>
      <c r="CG820" s="2657"/>
      <c r="CH820" s="2657"/>
      <c r="CI820" s="2657"/>
      <c r="CJ820" s="2657"/>
      <c r="CK820" s="2657"/>
      <c r="CL820" s="2657"/>
      <c r="CM820" s="2657"/>
      <c r="CN820" s="2657"/>
      <c r="CO820" s="2657"/>
      <c r="CP820" s="2657"/>
      <c r="CQ820" s="2657"/>
      <c r="CR820" s="2657"/>
      <c r="CS820" s="2657"/>
      <c r="CT820" s="2657"/>
      <c r="CU820" s="2657"/>
      <c r="CV820" s="2657"/>
      <c r="CW820" s="2657"/>
      <c r="CX820" s="2657"/>
      <c r="CY820" s="2657"/>
      <c r="CZ820" s="2657"/>
      <c r="DA820" s="2657"/>
      <c r="DB820" s="2657"/>
      <c r="DC820" s="2657"/>
      <c r="DD820" s="2657"/>
      <c r="DE820" s="2657"/>
      <c r="DF820" s="2657"/>
      <c r="DG820" s="2657"/>
      <c r="DH820" s="2657"/>
      <c r="DI820" s="2657"/>
      <c r="DJ820" s="2657"/>
      <c r="DK820" s="2657"/>
      <c r="DL820" s="2657"/>
      <c r="DM820" s="2657"/>
      <c r="DN820" s="2657"/>
      <c r="DO820" s="2657"/>
      <c r="DP820" s="2657"/>
      <c r="DQ820" s="2657"/>
      <c r="DR820" s="2657"/>
      <c r="DS820" s="2657"/>
      <c r="DT820" s="2657"/>
      <c r="DU820" s="2657"/>
      <c r="DV820" s="2657"/>
      <c r="DW820" s="2657"/>
      <c r="DX820" s="2657"/>
      <c r="DY820" s="2657"/>
      <c r="DZ820" s="2657"/>
      <c r="EA820" s="2657"/>
      <c r="EB820" s="2657"/>
      <c r="EC820" s="2657"/>
      <c r="ED820" s="2657"/>
      <c r="EE820" s="2657"/>
      <c r="EF820" s="2657"/>
      <c r="EG820" s="2657"/>
      <c r="EH820" s="2657"/>
      <c r="EI820" s="2657"/>
      <c r="EJ820" s="2657"/>
      <c r="EK820" s="2657"/>
      <c r="EL820" s="2657"/>
      <c r="EM820" s="2657"/>
      <c r="EN820" s="2657"/>
      <c r="EO820" s="2657"/>
      <c r="EP820" s="2657"/>
      <c r="EQ820" s="2657"/>
      <c r="ER820" s="2657"/>
      <c r="ES820" s="2657"/>
      <c r="ET820" s="2657"/>
      <c r="EU820" s="2657"/>
      <c r="EV820" s="2657"/>
      <c r="EW820" s="2657"/>
      <c r="EX820" s="2657"/>
      <c r="EY820" s="2657"/>
      <c r="EZ820" s="2657"/>
      <c r="FA820" s="2657"/>
      <c r="FB820" s="2657"/>
      <c r="FC820" s="2657"/>
      <c r="FD820" s="2657"/>
      <c r="FE820" s="2657"/>
      <c r="FF820" s="2657"/>
      <c r="FG820" s="2657"/>
      <c r="FH820" s="2657"/>
      <c r="FI820" s="2657"/>
      <c r="FJ820" s="2657"/>
      <c r="FK820" s="2657"/>
      <c r="FL820" s="2657"/>
      <c r="FM820" s="2657"/>
      <c r="FN820" s="2657"/>
      <c r="FO820" s="2657"/>
      <c r="FP820" s="2657"/>
      <c r="FQ820" s="2657"/>
      <c r="FR820" s="2657"/>
      <c r="FS820" s="2657"/>
      <c r="FT820" s="2657"/>
      <c r="FU820" s="2657"/>
      <c r="FV820" s="2657"/>
      <c r="FW820" s="2657"/>
      <c r="FX820" s="2657"/>
      <c r="FY820" s="2657"/>
      <c r="FZ820" s="2657"/>
      <c r="GA820" s="2657"/>
      <c r="GB820" s="2657"/>
      <c r="GC820" s="2657"/>
      <c r="GD820" s="2657"/>
      <c r="GE820" s="2657"/>
      <c r="GF820" s="2657"/>
      <c r="GG820" s="2657"/>
      <c r="GH820" s="2657"/>
      <c r="GI820" s="2657"/>
      <c r="GJ820" s="2657"/>
      <c r="GK820" s="2657"/>
      <c r="GL820" s="2657"/>
      <c r="GM820" s="2657"/>
      <c r="GN820" s="2657"/>
      <c r="GO820" s="2657"/>
      <c r="GP820" s="2657"/>
      <c r="GQ820" s="2657"/>
      <c r="GR820" s="2657"/>
      <c r="GS820" s="2657"/>
      <c r="GT820" s="2657"/>
      <c r="GU820" s="2657"/>
      <c r="GV820" s="2657"/>
      <c r="GW820" s="2657"/>
      <c r="GX820" s="2657"/>
      <c r="GY820" s="2657"/>
      <c r="GZ820" s="2657"/>
      <c r="HA820" s="2657"/>
      <c r="HB820" s="2657"/>
      <c r="HC820" s="2657"/>
      <c r="HD820" s="2657"/>
      <c r="HE820" s="2657"/>
      <c r="HF820" s="2657"/>
      <c r="HG820" s="2657"/>
      <c r="HH820" s="2657"/>
      <c r="HI820" s="2657"/>
      <c r="HJ820" s="2657"/>
      <c r="HK820" s="2657"/>
      <c r="HL820" s="2657"/>
      <c r="HM820" s="2657"/>
      <c r="HN820" s="2657"/>
      <c r="HO820" s="2657"/>
      <c r="HP820" s="2657"/>
      <c r="HQ820" s="2657"/>
      <c r="HR820" s="2657"/>
      <c r="HS820" s="2657"/>
      <c r="HT820" s="2657"/>
      <c r="HU820" s="2657"/>
      <c r="HV820" s="2657"/>
      <c r="HW820" s="2657"/>
      <c r="HX820" s="2657"/>
      <c r="HY820" s="2657"/>
      <c r="HZ820" s="2657"/>
      <c r="IA820" s="2657"/>
      <c r="IB820" s="2657"/>
      <c r="IC820" s="2657"/>
      <c r="ID820" s="2657"/>
      <c r="IE820" s="2657"/>
      <c r="IF820" s="2657"/>
      <c r="IG820" s="2657"/>
      <c r="IH820" s="2657"/>
      <c r="II820" s="2657"/>
      <c r="IJ820" s="2657"/>
      <c r="IK820" s="2657"/>
      <c r="IL820" s="2657"/>
      <c r="IM820" s="2657"/>
      <c r="IN820" s="2657"/>
      <c r="IO820" s="2657"/>
      <c r="IP820" s="2657"/>
      <c r="IQ820" s="2657"/>
      <c r="IR820" s="2657"/>
      <c r="IS820" s="2657"/>
      <c r="IT820" s="2657"/>
      <c r="IU820" s="2657"/>
    </row>
    <row r="821" spans="1:255" s="604" customFormat="1" ht="13.5" customHeight="1">
      <c r="A821" s="595"/>
      <c r="B821" s="596"/>
      <c r="C821" s="597"/>
      <c r="D821" s="1619" t="s">
        <v>4960</v>
      </c>
      <c r="E821" s="599"/>
      <c r="F821" s="600">
        <v>1</v>
      </c>
      <c r="G821" s="289"/>
      <c r="H821" s="601"/>
      <c r="I821" s="1590"/>
      <c r="J821" s="3135"/>
      <c r="K821" s="1581"/>
      <c r="L821" s="1581"/>
      <c r="M821" s="1581"/>
      <c r="N821" s="1581"/>
      <c r="O821" s="1581"/>
      <c r="P821" s="1581"/>
      <c r="Q821" s="1581"/>
      <c r="R821" s="1581"/>
      <c r="S821" s="1581"/>
      <c r="T821" s="3134"/>
      <c r="U821" s="605"/>
      <c r="W821" s="605"/>
    </row>
    <row r="822" spans="1:255" s="3144" customFormat="1" ht="40.5" customHeight="1">
      <c r="A822" s="3136"/>
      <c r="B822" s="3137"/>
      <c r="C822" s="3138"/>
      <c r="D822" s="719" t="s">
        <v>4913</v>
      </c>
      <c r="E822" s="719"/>
      <c r="F822" s="3139"/>
      <c r="G822" s="3213"/>
      <c r="H822" s="3140"/>
      <c r="I822" s="1590"/>
      <c r="J822" s="3135"/>
      <c r="K822" s="1581"/>
      <c r="L822" s="1581"/>
      <c r="M822" s="1581"/>
      <c r="N822" s="1581"/>
      <c r="O822" s="1581"/>
      <c r="P822" s="1581"/>
      <c r="Q822" s="1581"/>
      <c r="R822" s="1581"/>
      <c r="S822" s="1581"/>
      <c r="T822" s="3134"/>
      <c r="U822" s="3141"/>
      <c r="V822" s="3142"/>
      <c r="W822" s="3142"/>
      <c r="X822" s="1913"/>
      <c r="Y822" s="1913"/>
      <c r="Z822" s="3143"/>
      <c r="AA822" s="3143"/>
      <c r="AB822" s="3143"/>
      <c r="AC822" s="3143"/>
      <c r="AD822" s="3143"/>
      <c r="AE822" s="3143"/>
      <c r="AF822" s="3143"/>
      <c r="AG822" s="3143"/>
      <c r="AH822" s="3143"/>
      <c r="AI822" s="3143"/>
      <c r="AJ822" s="3143"/>
      <c r="AK822" s="3143"/>
      <c r="AL822" s="3143"/>
      <c r="AM822" s="3143"/>
      <c r="AN822" s="3143"/>
      <c r="AO822" s="3143"/>
      <c r="AP822" s="3143"/>
      <c r="AQ822" s="3143"/>
      <c r="AR822" s="3143"/>
      <c r="AS822" s="3143"/>
      <c r="AT822" s="3143"/>
      <c r="AU822" s="3143"/>
      <c r="AV822" s="3143"/>
      <c r="AW822" s="3143"/>
      <c r="AX822" s="3143"/>
      <c r="AY822" s="3143"/>
      <c r="AZ822" s="3143"/>
      <c r="BA822" s="3143"/>
      <c r="BB822" s="3143"/>
      <c r="BC822" s="3143"/>
      <c r="BD822" s="3143"/>
      <c r="BE822" s="3143"/>
      <c r="BF822" s="3143"/>
      <c r="BG822" s="3143"/>
      <c r="BH822" s="3143"/>
      <c r="BI822" s="3143"/>
      <c r="BJ822" s="3143"/>
      <c r="BK822" s="3143"/>
      <c r="BL822" s="3143"/>
      <c r="BM822" s="3143"/>
      <c r="BN822" s="3143"/>
      <c r="BO822" s="3143"/>
      <c r="BP822" s="3143"/>
      <c r="BQ822" s="3143"/>
      <c r="BR822" s="3143"/>
      <c r="BS822" s="3143"/>
      <c r="BT822" s="3143"/>
      <c r="BU822" s="3143"/>
      <c r="BV822" s="3143"/>
      <c r="BW822" s="3143"/>
      <c r="BX822" s="3143"/>
      <c r="BY822" s="3143"/>
      <c r="BZ822" s="3143"/>
      <c r="CA822" s="3143"/>
      <c r="CB822" s="3143"/>
      <c r="CC822" s="3143"/>
      <c r="CD822" s="3143"/>
      <c r="CE822" s="3143"/>
      <c r="CF822" s="3143"/>
      <c r="CG822" s="3143"/>
      <c r="CH822" s="3143"/>
      <c r="CI822" s="3143"/>
      <c r="CJ822" s="3143"/>
      <c r="CK822" s="3143"/>
      <c r="CL822" s="3143"/>
      <c r="CM822" s="3143"/>
      <c r="CN822" s="3143"/>
      <c r="CO822" s="3143"/>
      <c r="CP822" s="3143"/>
      <c r="CQ822" s="3143"/>
      <c r="CR822" s="3143"/>
      <c r="CS822" s="3143"/>
      <c r="CT822" s="3143"/>
      <c r="CU822" s="3143"/>
      <c r="CV822" s="3143"/>
      <c r="CW822" s="3143"/>
      <c r="CX822" s="3143"/>
      <c r="CY822" s="3143"/>
      <c r="CZ822" s="3143"/>
      <c r="DA822" s="3143"/>
      <c r="DB822" s="3143"/>
      <c r="DC822" s="3143"/>
      <c r="DD822" s="3143"/>
      <c r="DE822" s="3143"/>
      <c r="DF822" s="3143"/>
      <c r="DG822" s="3143"/>
      <c r="DH822" s="3143"/>
      <c r="DI822" s="3143"/>
      <c r="DJ822" s="3143"/>
      <c r="DK822" s="3143"/>
      <c r="DL822" s="3143"/>
      <c r="DM822" s="3143"/>
      <c r="DN822" s="3143"/>
      <c r="DO822" s="3143"/>
      <c r="DP822" s="3143"/>
      <c r="DQ822" s="3143"/>
      <c r="DR822" s="3143"/>
      <c r="DS822" s="3143"/>
    </row>
    <row r="823" spans="1:255" s="604" customFormat="1" ht="13.5" customHeight="1">
      <c r="A823" s="595"/>
      <c r="B823" s="596"/>
      <c r="C823" s="597"/>
      <c r="D823" s="719" t="s">
        <v>278</v>
      </c>
      <c r="E823" s="599"/>
      <c r="F823" s="600"/>
      <c r="G823" s="289"/>
      <c r="H823" s="601"/>
      <c r="I823" s="1620"/>
      <c r="J823" s="3135"/>
      <c r="K823" s="1581"/>
      <c r="L823" s="1581"/>
      <c r="M823" s="1581"/>
      <c r="N823" s="1581"/>
      <c r="O823" s="1581"/>
      <c r="P823" s="1581"/>
      <c r="Q823" s="1581"/>
      <c r="R823" s="1581"/>
      <c r="S823" s="1581"/>
      <c r="T823" s="3134"/>
      <c r="U823" s="605"/>
      <c r="W823" s="605"/>
    </row>
    <row r="824" spans="1:255" s="888" customFormat="1" ht="13.5" customHeight="1">
      <c r="A824" s="3130">
        <v>48</v>
      </c>
      <c r="B824" s="3131">
        <v>271</v>
      </c>
      <c r="C824" s="3131" t="s">
        <v>4961</v>
      </c>
      <c r="D824" s="3131" t="s">
        <v>4962</v>
      </c>
      <c r="E824" s="3131" t="s">
        <v>205</v>
      </c>
      <c r="F824" s="2905">
        <f>ROUND(SUM(F825),3)</f>
        <v>1</v>
      </c>
      <c r="G824" s="288"/>
      <c r="H824" s="568">
        <f t="shared" ref="H824" si="42">ROUND(F824*G824,2)</f>
        <v>0</v>
      </c>
      <c r="I824" s="613" t="s">
        <v>111</v>
      </c>
      <c r="J824" s="3132"/>
      <c r="K824" s="3133"/>
      <c r="L824" s="3133"/>
      <c r="M824" s="3133"/>
      <c r="N824" s="3133"/>
      <c r="O824" s="3133"/>
      <c r="P824" s="3133"/>
      <c r="Q824" s="3133"/>
      <c r="R824" s="3133"/>
      <c r="S824" s="3133"/>
      <c r="T824" s="3134"/>
      <c r="BN824" s="2657"/>
      <c r="BO824" s="2657"/>
      <c r="BP824" s="2657"/>
      <c r="BQ824" s="2657"/>
      <c r="BR824" s="2657"/>
      <c r="BS824" s="2657"/>
      <c r="BT824" s="2657"/>
      <c r="BU824" s="2657"/>
      <c r="BV824" s="2657"/>
      <c r="BW824" s="2657"/>
      <c r="BX824" s="2657"/>
      <c r="BY824" s="2657"/>
      <c r="BZ824" s="2657"/>
      <c r="CA824" s="2657"/>
      <c r="CB824" s="2657"/>
      <c r="CC824" s="2657"/>
      <c r="CD824" s="2657"/>
      <c r="CE824" s="2657"/>
      <c r="CF824" s="2657"/>
      <c r="CG824" s="2657"/>
      <c r="CH824" s="2657"/>
      <c r="CI824" s="2657"/>
      <c r="CJ824" s="2657"/>
      <c r="CK824" s="2657"/>
      <c r="CL824" s="2657"/>
      <c r="CM824" s="2657"/>
      <c r="CN824" s="2657"/>
      <c r="CO824" s="2657"/>
      <c r="CP824" s="2657"/>
      <c r="CQ824" s="2657"/>
      <c r="CR824" s="2657"/>
      <c r="CS824" s="2657"/>
      <c r="CT824" s="2657"/>
      <c r="CU824" s="2657"/>
      <c r="CV824" s="2657"/>
      <c r="CW824" s="2657"/>
      <c r="CX824" s="2657"/>
      <c r="CY824" s="2657"/>
      <c r="CZ824" s="2657"/>
      <c r="DA824" s="2657"/>
      <c r="DB824" s="2657"/>
      <c r="DC824" s="2657"/>
      <c r="DD824" s="2657"/>
      <c r="DE824" s="2657"/>
      <c r="DF824" s="2657"/>
      <c r="DG824" s="2657"/>
      <c r="DH824" s="2657"/>
      <c r="DI824" s="2657"/>
      <c r="DJ824" s="2657"/>
      <c r="DK824" s="2657"/>
      <c r="DL824" s="2657"/>
      <c r="DM824" s="2657"/>
      <c r="DN824" s="2657"/>
      <c r="DO824" s="2657"/>
      <c r="DP824" s="2657"/>
      <c r="DQ824" s="2657"/>
      <c r="DR824" s="2657"/>
      <c r="DS824" s="2657"/>
      <c r="DT824" s="2657"/>
      <c r="DU824" s="2657"/>
      <c r="DV824" s="2657"/>
      <c r="DW824" s="2657"/>
      <c r="DX824" s="2657"/>
      <c r="DY824" s="2657"/>
      <c r="DZ824" s="2657"/>
      <c r="EA824" s="2657"/>
      <c r="EB824" s="2657"/>
      <c r="EC824" s="2657"/>
      <c r="ED824" s="2657"/>
      <c r="EE824" s="2657"/>
      <c r="EF824" s="2657"/>
      <c r="EG824" s="2657"/>
      <c r="EH824" s="2657"/>
      <c r="EI824" s="2657"/>
      <c r="EJ824" s="2657"/>
      <c r="EK824" s="2657"/>
      <c r="EL824" s="2657"/>
      <c r="EM824" s="2657"/>
      <c r="EN824" s="2657"/>
      <c r="EO824" s="2657"/>
      <c r="EP824" s="2657"/>
      <c r="EQ824" s="2657"/>
      <c r="ER824" s="2657"/>
      <c r="ES824" s="2657"/>
      <c r="ET824" s="2657"/>
      <c r="EU824" s="2657"/>
      <c r="EV824" s="2657"/>
      <c r="EW824" s="2657"/>
      <c r="EX824" s="2657"/>
      <c r="EY824" s="2657"/>
      <c r="EZ824" s="2657"/>
      <c r="FA824" s="2657"/>
      <c r="FB824" s="2657"/>
      <c r="FC824" s="2657"/>
      <c r="FD824" s="2657"/>
      <c r="FE824" s="2657"/>
      <c r="FF824" s="2657"/>
      <c r="FG824" s="2657"/>
      <c r="FH824" s="2657"/>
      <c r="FI824" s="2657"/>
      <c r="FJ824" s="2657"/>
      <c r="FK824" s="2657"/>
      <c r="FL824" s="2657"/>
      <c r="FM824" s="2657"/>
      <c r="FN824" s="2657"/>
      <c r="FO824" s="2657"/>
      <c r="FP824" s="2657"/>
      <c r="FQ824" s="2657"/>
      <c r="FR824" s="2657"/>
      <c r="FS824" s="2657"/>
      <c r="FT824" s="2657"/>
      <c r="FU824" s="2657"/>
      <c r="FV824" s="2657"/>
      <c r="FW824" s="2657"/>
      <c r="FX824" s="2657"/>
      <c r="FY824" s="2657"/>
      <c r="FZ824" s="2657"/>
      <c r="GA824" s="2657"/>
      <c r="GB824" s="2657"/>
      <c r="GC824" s="2657"/>
      <c r="GD824" s="2657"/>
      <c r="GE824" s="2657"/>
      <c r="GF824" s="2657"/>
      <c r="GG824" s="2657"/>
      <c r="GH824" s="2657"/>
      <c r="GI824" s="2657"/>
      <c r="GJ824" s="2657"/>
      <c r="GK824" s="2657"/>
      <c r="GL824" s="2657"/>
      <c r="GM824" s="2657"/>
      <c r="GN824" s="2657"/>
      <c r="GO824" s="2657"/>
      <c r="GP824" s="2657"/>
      <c r="GQ824" s="2657"/>
      <c r="GR824" s="2657"/>
      <c r="GS824" s="2657"/>
      <c r="GT824" s="2657"/>
      <c r="GU824" s="2657"/>
      <c r="GV824" s="2657"/>
      <c r="GW824" s="2657"/>
      <c r="GX824" s="2657"/>
      <c r="GY824" s="2657"/>
      <c r="GZ824" s="2657"/>
      <c r="HA824" s="2657"/>
      <c r="HB824" s="2657"/>
      <c r="HC824" s="2657"/>
      <c r="HD824" s="2657"/>
      <c r="HE824" s="2657"/>
      <c r="HF824" s="2657"/>
      <c r="HG824" s="2657"/>
      <c r="HH824" s="2657"/>
      <c r="HI824" s="2657"/>
      <c r="HJ824" s="2657"/>
      <c r="HK824" s="2657"/>
      <c r="HL824" s="2657"/>
      <c r="HM824" s="2657"/>
      <c r="HN824" s="2657"/>
      <c r="HO824" s="2657"/>
      <c r="HP824" s="2657"/>
      <c r="HQ824" s="2657"/>
      <c r="HR824" s="2657"/>
      <c r="HS824" s="2657"/>
      <c r="HT824" s="2657"/>
      <c r="HU824" s="2657"/>
      <c r="HV824" s="2657"/>
      <c r="HW824" s="2657"/>
      <c r="HX824" s="2657"/>
      <c r="HY824" s="2657"/>
      <c r="HZ824" s="2657"/>
      <c r="IA824" s="2657"/>
      <c r="IB824" s="2657"/>
      <c r="IC824" s="2657"/>
      <c r="ID824" s="2657"/>
      <c r="IE824" s="2657"/>
      <c r="IF824" s="2657"/>
      <c r="IG824" s="2657"/>
      <c r="IH824" s="2657"/>
      <c r="II824" s="2657"/>
      <c r="IJ824" s="2657"/>
      <c r="IK824" s="2657"/>
      <c r="IL824" s="2657"/>
      <c r="IM824" s="2657"/>
      <c r="IN824" s="2657"/>
      <c r="IO824" s="2657"/>
      <c r="IP824" s="2657"/>
      <c r="IQ824" s="2657"/>
      <c r="IR824" s="2657"/>
      <c r="IS824" s="2657"/>
      <c r="IT824" s="2657"/>
      <c r="IU824" s="2657"/>
    </row>
    <row r="825" spans="1:255" s="604" customFormat="1" ht="13.5" customHeight="1">
      <c r="A825" s="595"/>
      <c r="B825" s="596"/>
      <c r="C825" s="597"/>
      <c r="D825" s="1619" t="s">
        <v>4963</v>
      </c>
      <c r="E825" s="599"/>
      <c r="F825" s="600">
        <v>1</v>
      </c>
      <c r="G825" s="289"/>
      <c r="H825" s="601"/>
      <c r="I825" s="1590"/>
      <c r="J825" s="3135"/>
      <c r="K825" s="1581"/>
      <c r="L825" s="1581"/>
      <c r="M825" s="1581"/>
      <c r="N825" s="1581"/>
      <c r="O825" s="1581"/>
      <c r="P825" s="1581"/>
      <c r="Q825" s="1581"/>
      <c r="R825" s="1581"/>
      <c r="S825" s="1581"/>
      <c r="T825" s="3134"/>
      <c r="U825" s="605"/>
      <c r="W825" s="605"/>
    </row>
    <row r="826" spans="1:255" s="3144" customFormat="1" ht="40.5" customHeight="1">
      <c r="A826" s="3136"/>
      <c r="B826" s="3137"/>
      <c r="C826" s="3138"/>
      <c r="D826" s="719" t="s">
        <v>4913</v>
      </c>
      <c r="E826" s="719"/>
      <c r="F826" s="3139"/>
      <c r="G826" s="3213"/>
      <c r="H826" s="3140"/>
      <c r="I826" s="1590"/>
      <c r="J826" s="3135"/>
      <c r="K826" s="1581"/>
      <c r="L826" s="1581"/>
      <c r="M826" s="1581"/>
      <c r="N826" s="1581"/>
      <c r="O826" s="1581"/>
      <c r="P826" s="1581"/>
      <c r="Q826" s="1581"/>
      <c r="R826" s="1581"/>
      <c r="S826" s="1581"/>
      <c r="T826" s="3134"/>
      <c r="U826" s="3141"/>
      <c r="V826" s="3142"/>
      <c r="W826" s="3142"/>
      <c r="X826" s="1913"/>
      <c r="Y826" s="1913"/>
      <c r="Z826" s="3143"/>
      <c r="AA826" s="3143"/>
      <c r="AB826" s="3143"/>
      <c r="AC826" s="3143"/>
      <c r="AD826" s="3143"/>
      <c r="AE826" s="3143"/>
      <c r="AF826" s="3143"/>
      <c r="AG826" s="3143"/>
      <c r="AH826" s="3143"/>
      <c r="AI826" s="3143"/>
      <c r="AJ826" s="3143"/>
      <c r="AK826" s="3143"/>
      <c r="AL826" s="3143"/>
      <c r="AM826" s="3143"/>
      <c r="AN826" s="3143"/>
      <c r="AO826" s="3143"/>
      <c r="AP826" s="3143"/>
      <c r="AQ826" s="3143"/>
      <c r="AR826" s="3143"/>
      <c r="AS826" s="3143"/>
      <c r="AT826" s="3143"/>
      <c r="AU826" s="3143"/>
      <c r="AV826" s="3143"/>
      <c r="AW826" s="3143"/>
      <c r="AX826" s="3143"/>
      <c r="AY826" s="3143"/>
      <c r="AZ826" s="3143"/>
      <c r="BA826" s="3143"/>
      <c r="BB826" s="3143"/>
      <c r="BC826" s="3143"/>
      <c r="BD826" s="3143"/>
      <c r="BE826" s="3143"/>
      <c r="BF826" s="3143"/>
      <c r="BG826" s="3143"/>
      <c r="BH826" s="3143"/>
      <c r="BI826" s="3143"/>
      <c r="BJ826" s="3143"/>
      <c r="BK826" s="3143"/>
      <c r="BL826" s="3143"/>
      <c r="BM826" s="3143"/>
      <c r="BN826" s="3143"/>
      <c r="BO826" s="3143"/>
      <c r="BP826" s="3143"/>
      <c r="BQ826" s="3143"/>
      <c r="BR826" s="3143"/>
      <c r="BS826" s="3143"/>
      <c r="BT826" s="3143"/>
      <c r="BU826" s="3143"/>
      <c r="BV826" s="3143"/>
      <c r="BW826" s="3143"/>
      <c r="BX826" s="3143"/>
      <c r="BY826" s="3143"/>
      <c r="BZ826" s="3143"/>
      <c r="CA826" s="3143"/>
      <c r="CB826" s="3143"/>
      <c r="CC826" s="3143"/>
      <c r="CD826" s="3143"/>
      <c r="CE826" s="3143"/>
      <c r="CF826" s="3143"/>
      <c r="CG826" s="3143"/>
      <c r="CH826" s="3143"/>
      <c r="CI826" s="3143"/>
      <c r="CJ826" s="3143"/>
      <c r="CK826" s="3143"/>
      <c r="CL826" s="3143"/>
      <c r="CM826" s="3143"/>
      <c r="CN826" s="3143"/>
      <c r="CO826" s="3143"/>
      <c r="CP826" s="3143"/>
      <c r="CQ826" s="3143"/>
      <c r="CR826" s="3143"/>
      <c r="CS826" s="3143"/>
      <c r="CT826" s="3143"/>
      <c r="CU826" s="3143"/>
      <c r="CV826" s="3143"/>
      <c r="CW826" s="3143"/>
      <c r="CX826" s="3143"/>
      <c r="CY826" s="3143"/>
      <c r="CZ826" s="3143"/>
      <c r="DA826" s="3143"/>
      <c r="DB826" s="3143"/>
      <c r="DC826" s="3143"/>
      <c r="DD826" s="3143"/>
      <c r="DE826" s="3143"/>
      <c r="DF826" s="3143"/>
      <c r="DG826" s="3143"/>
      <c r="DH826" s="3143"/>
      <c r="DI826" s="3143"/>
      <c r="DJ826" s="3143"/>
      <c r="DK826" s="3143"/>
      <c r="DL826" s="3143"/>
      <c r="DM826" s="3143"/>
      <c r="DN826" s="3143"/>
      <c r="DO826" s="3143"/>
      <c r="DP826" s="3143"/>
      <c r="DQ826" s="3143"/>
      <c r="DR826" s="3143"/>
      <c r="DS826" s="3143"/>
    </row>
    <row r="827" spans="1:255" s="604" customFormat="1" ht="13.5" customHeight="1">
      <c r="A827" s="595"/>
      <c r="B827" s="596"/>
      <c r="C827" s="597"/>
      <c r="D827" s="719" t="s">
        <v>278</v>
      </c>
      <c r="E827" s="599"/>
      <c r="F827" s="600"/>
      <c r="G827" s="289"/>
      <c r="H827" s="601"/>
      <c r="I827" s="1620"/>
      <c r="J827" s="3135"/>
      <c r="K827" s="1581"/>
      <c r="L827" s="1581"/>
      <c r="M827" s="1581"/>
      <c r="N827" s="1581"/>
      <c r="O827" s="1581"/>
      <c r="P827" s="1581"/>
      <c r="Q827" s="1581"/>
      <c r="R827" s="1581"/>
      <c r="S827" s="1581"/>
      <c r="T827" s="3134"/>
      <c r="U827" s="605"/>
      <c r="W827" s="605"/>
    </row>
    <row r="828" spans="1:255" s="888" customFormat="1" ht="13.5" customHeight="1">
      <c r="A828" s="3130">
        <v>49</v>
      </c>
      <c r="B828" s="3131">
        <v>271</v>
      </c>
      <c r="C828" s="3131" t="s">
        <v>4964</v>
      </c>
      <c r="D828" s="3131" t="s">
        <v>4965</v>
      </c>
      <c r="E828" s="3131" t="s">
        <v>205</v>
      </c>
      <c r="F828" s="2905">
        <f>ROUND(SUM(F829),3)</f>
        <v>1</v>
      </c>
      <c r="G828" s="288"/>
      <c r="H828" s="568">
        <f t="shared" ref="H828" si="43">ROUND(F828*G828,2)</f>
        <v>0</v>
      </c>
      <c r="I828" s="613" t="s">
        <v>111</v>
      </c>
      <c r="J828" s="3132"/>
      <c r="K828" s="3133"/>
      <c r="L828" s="3133"/>
      <c r="M828" s="3133"/>
      <c r="N828" s="3133"/>
      <c r="O828" s="3133"/>
      <c r="P828" s="3133"/>
      <c r="Q828" s="3133"/>
      <c r="R828" s="3133"/>
      <c r="S828" s="3133"/>
      <c r="T828" s="3134"/>
      <c r="BN828" s="2657"/>
      <c r="BO828" s="2657"/>
      <c r="BP828" s="2657"/>
      <c r="BQ828" s="2657"/>
      <c r="BR828" s="2657"/>
      <c r="BS828" s="2657"/>
      <c r="BT828" s="2657"/>
      <c r="BU828" s="2657"/>
      <c r="BV828" s="2657"/>
      <c r="BW828" s="2657"/>
      <c r="BX828" s="2657"/>
      <c r="BY828" s="2657"/>
      <c r="BZ828" s="2657"/>
      <c r="CA828" s="2657"/>
      <c r="CB828" s="2657"/>
      <c r="CC828" s="2657"/>
      <c r="CD828" s="2657"/>
      <c r="CE828" s="2657"/>
      <c r="CF828" s="2657"/>
      <c r="CG828" s="2657"/>
      <c r="CH828" s="2657"/>
      <c r="CI828" s="2657"/>
      <c r="CJ828" s="2657"/>
      <c r="CK828" s="2657"/>
      <c r="CL828" s="2657"/>
      <c r="CM828" s="2657"/>
      <c r="CN828" s="2657"/>
      <c r="CO828" s="2657"/>
      <c r="CP828" s="2657"/>
      <c r="CQ828" s="2657"/>
      <c r="CR828" s="2657"/>
      <c r="CS828" s="2657"/>
      <c r="CT828" s="2657"/>
      <c r="CU828" s="2657"/>
      <c r="CV828" s="2657"/>
      <c r="CW828" s="2657"/>
      <c r="CX828" s="2657"/>
      <c r="CY828" s="2657"/>
      <c r="CZ828" s="2657"/>
      <c r="DA828" s="2657"/>
      <c r="DB828" s="2657"/>
      <c r="DC828" s="2657"/>
      <c r="DD828" s="2657"/>
      <c r="DE828" s="2657"/>
      <c r="DF828" s="2657"/>
      <c r="DG828" s="2657"/>
      <c r="DH828" s="2657"/>
      <c r="DI828" s="2657"/>
      <c r="DJ828" s="2657"/>
      <c r="DK828" s="2657"/>
      <c r="DL828" s="2657"/>
      <c r="DM828" s="2657"/>
      <c r="DN828" s="2657"/>
      <c r="DO828" s="2657"/>
      <c r="DP828" s="2657"/>
      <c r="DQ828" s="2657"/>
      <c r="DR828" s="2657"/>
      <c r="DS828" s="2657"/>
      <c r="DT828" s="2657"/>
      <c r="DU828" s="2657"/>
      <c r="DV828" s="2657"/>
      <c r="DW828" s="2657"/>
      <c r="DX828" s="2657"/>
      <c r="DY828" s="2657"/>
      <c r="DZ828" s="2657"/>
      <c r="EA828" s="2657"/>
      <c r="EB828" s="2657"/>
      <c r="EC828" s="2657"/>
      <c r="ED828" s="2657"/>
      <c r="EE828" s="2657"/>
      <c r="EF828" s="2657"/>
      <c r="EG828" s="2657"/>
      <c r="EH828" s="2657"/>
      <c r="EI828" s="2657"/>
      <c r="EJ828" s="2657"/>
      <c r="EK828" s="2657"/>
      <c r="EL828" s="2657"/>
      <c r="EM828" s="2657"/>
      <c r="EN828" s="2657"/>
      <c r="EO828" s="2657"/>
      <c r="EP828" s="2657"/>
      <c r="EQ828" s="2657"/>
      <c r="ER828" s="2657"/>
      <c r="ES828" s="2657"/>
      <c r="ET828" s="2657"/>
      <c r="EU828" s="2657"/>
      <c r="EV828" s="2657"/>
      <c r="EW828" s="2657"/>
      <c r="EX828" s="2657"/>
      <c r="EY828" s="2657"/>
      <c r="EZ828" s="2657"/>
      <c r="FA828" s="2657"/>
      <c r="FB828" s="2657"/>
      <c r="FC828" s="2657"/>
      <c r="FD828" s="2657"/>
      <c r="FE828" s="2657"/>
      <c r="FF828" s="2657"/>
      <c r="FG828" s="2657"/>
      <c r="FH828" s="2657"/>
      <c r="FI828" s="2657"/>
      <c r="FJ828" s="2657"/>
      <c r="FK828" s="2657"/>
      <c r="FL828" s="2657"/>
      <c r="FM828" s="2657"/>
      <c r="FN828" s="2657"/>
      <c r="FO828" s="2657"/>
      <c r="FP828" s="2657"/>
      <c r="FQ828" s="2657"/>
      <c r="FR828" s="2657"/>
      <c r="FS828" s="2657"/>
      <c r="FT828" s="2657"/>
      <c r="FU828" s="2657"/>
      <c r="FV828" s="2657"/>
      <c r="FW828" s="2657"/>
      <c r="FX828" s="2657"/>
      <c r="FY828" s="2657"/>
      <c r="FZ828" s="2657"/>
      <c r="GA828" s="2657"/>
      <c r="GB828" s="2657"/>
      <c r="GC828" s="2657"/>
      <c r="GD828" s="2657"/>
      <c r="GE828" s="2657"/>
      <c r="GF828" s="2657"/>
      <c r="GG828" s="2657"/>
      <c r="GH828" s="2657"/>
      <c r="GI828" s="2657"/>
      <c r="GJ828" s="2657"/>
      <c r="GK828" s="2657"/>
      <c r="GL828" s="2657"/>
      <c r="GM828" s="2657"/>
      <c r="GN828" s="2657"/>
      <c r="GO828" s="2657"/>
      <c r="GP828" s="2657"/>
      <c r="GQ828" s="2657"/>
      <c r="GR828" s="2657"/>
      <c r="GS828" s="2657"/>
      <c r="GT828" s="2657"/>
      <c r="GU828" s="2657"/>
      <c r="GV828" s="2657"/>
      <c r="GW828" s="2657"/>
      <c r="GX828" s="2657"/>
      <c r="GY828" s="2657"/>
      <c r="GZ828" s="2657"/>
      <c r="HA828" s="2657"/>
      <c r="HB828" s="2657"/>
      <c r="HC828" s="2657"/>
      <c r="HD828" s="2657"/>
      <c r="HE828" s="2657"/>
      <c r="HF828" s="2657"/>
      <c r="HG828" s="2657"/>
      <c r="HH828" s="2657"/>
      <c r="HI828" s="2657"/>
      <c r="HJ828" s="2657"/>
      <c r="HK828" s="2657"/>
      <c r="HL828" s="2657"/>
      <c r="HM828" s="2657"/>
      <c r="HN828" s="2657"/>
      <c r="HO828" s="2657"/>
      <c r="HP828" s="2657"/>
      <c r="HQ828" s="2657"/>
      <c r="HR828" s="2657"/>
      <c r="HS828" s="2657"/>
      <c r="HT828" s="2657"/>
      <c r="HU828" s="2657"/>
      <c r="HV828" s="2657"/>
      <c r="HW828" s="2657"/>
      <c r="HX828" s="2657"/>
      <c r="HY828" s="2657"/>
      <c r="HZ828" s="2657"/>
      <c r="IA828" s="2657"/>
      <c r="IB828" s="2657"/>
      <c r="IC828" s="2657"/>
      <c r="ID828" s="2657"/>
      <c r="IE828" s="2657"/>
      <c r="IF828" s="2657"/>
      <c r="IG828" s="2657"/>
      <c r="IH828" s="2657"/>
      <c r="II828" s="2657"/>
      <c r="IJ828" s="2657"/>
      <c r="IK828" s="2657"/>
      <c r="IL828" s="2657"/>
      <c r="IM828" s="2657"/>
      <c r="IN828" s="2657"/>
      <c r="IO828" s="2657"/>
      <c r="IP828" s="2657"/>
      <c r="IQ828" s="2657"/>
      <c r="IR828" s="2657"/>
      <c r="IS828" s="2657"/>
      <c r="IT828" s="2657"/>
      <c r="IU828" s="2657"/>
    </row>
    <row r="829" spans="1:255" s="604" customFormat="1" ht="13.5" customHeight="1">
      <c r="A829" s="595"/>
      <c r="B829" s="596"/>
      <c r="C829" s="597"/>
      <c r="D829" s="1619" t="s">
        <v>4966</v>
      </c>
      <c r="E829" s="599"/>
      <c r="F829" s="600">
        <v>1</v>
      </c>
      <c r="G829" s="289"/>
      <c r="H829" s="601"/>
      <c r="I829" s="1590"/>
      <c r="J829" s="3135"/>
      <c r="K829" s="1581"/>
      <c r="L829" s="1581"/>
      <c r="M829" s="1581"/>
      <c r="N829" s="1581"/>
      <c r="O829" s="1581"/>
      <c r="P829" s="1581"/>
      <c r="Q829" s="1581"/>
      <c r="R829" s="1581"/>
      <c r="S829" s="1581"/>
      <c r="T829" s="3134"/>
      <c r="U829" s="605"/>
      <c r="W829" s="605"/>
    </row>
    <row r="830" spans="1:255" s="3144" customFormat="1" ht="40.5" customHeight="1">
      <c r="A830" s="3136"/>
      <c r="B830" s="3137"/>
      <c r="C830" s="3138"/>
      <c r="D830" s="719" t="s">
        <v>4913</v>
      </c>
      <c r="E830" s="719"/>
      <c r="F830" s="3139"/>
      <c r="G830" s="3213"/>
      <c r="H830" s="3140"/>
      <c r="I830" s="1590"/>
      <c r="J830" s="3135"/>
      <c r="K830" s="1581"/>
      <c r="L830" s="1581"/>
      <c r="M830" s="1581"/>
      <c r="N830" s="1581"/>
      <c r="O830" s="1581"/>
      <c r="P830" s="1581"/>
      <c r="Q830" s="1581"/>
      <c r="R830" s="1581"/>
      <c r="S830" s="1581"/>
      <c r="T830" s="3134"/>
      <c r="U830" s="3141"/>
      <c r="V830" s="3142"/>
      <c r="W830" s="3142"/>
      <c r="X830" s="1913"/>
      <c r="Y830" s="1913"/>
      <c r="Z830" s="3143"/>
      <c r="AA830" s="3143"/>
      <c r="AB830" s="3143"/>
      <c r="AC830" s="3143"/>
      <c r="AD830" s="3143"/>
      <c r="AE830" s="3143"/>
      <c r="AF830" s="3143"/>
      <c r="AG830" s="3143"/>
      <c r="AH830" s="3143"/>
      <c r="AI830" s="3143"/>
      <c r="AJ830" s="3143"/>
      <c r="AK830" s="3143"/>
      <c r="AL830" s="3143"/>
      <c r="AM830" s="3143"/>
      <c r="AN830" s="3143"/>
      <c r="AO830" s="3143"/>
      <c r="AP830" s="3143"/>
      <c r="AQ830" s="3143"/>
      <c r="AR830" s="3143"/>
      <c r="AS830" s="3143"/>
      <c r="AT830" s="3143"/>
      <c r="AU830" s="3143"/>
      <c r="AV830" s="3143"/>
      <c r="AW830" s="3143"/>
      <c r="AX830" s="3143"/>
      <c r="AY830" s="3143"/>
      <c r="AZ830" s="3143"/>
      <c r="BA830" s="3143"/>
      <c r="BB830" s="3143"/>
      <c r="BC830" s="3143"/>
      <c r="BD830" s="3143"/>
      <c r="BE830" s="3143"/>
      <c r="BF830" s="3143"/>
      <c r="BG830" s="3143"/>
      <c r="BH830" s="3143"/>
      <c r="BI830" s="3143"/>
      <c r="BJ830" s="3143"/>
      <c r="BK830" s="3143"/>
      <c r="BL830" s="3143"/>
      <c r="BM830" s="3143"/>
      <c r="BN830" s="3143"/>
      <c r="BO830" s="3143"/>
      <c r="BP830" s="3143"/>
      <c r="BQ830" s="3143"/>
      <c r="BR830" s="3143"/>
      <c r="BS830" s="3143"/>
      <c r="BT830" s="3143"/>
      <c r="BU830" s="3143"/>
      <c r="BV830" s="3143"/>
      <c r="BW830" s="3143"/>
      <c r="BX830" s="3143"/>
      <c r="BY830" s="3143"/>
      <c r="BZ830" s="3143"/>
      <c r="CA830" s="3143"/>
      <c r="CB830" s="3143"/>
      <c r="CC830" s="3143"/>
      <c r="CD830" s="3143"/>
      <c r="CE830" s="3143"/>
      <c r="CF830" s="3143"/>
      <c r="CG830" s="3143"/>
      <c r="CH830" s="3143"/>
      <c r="CI830" s="3143"/>
      <c r="CJ830" s="3143"/>
      <c r="CK830" s="3143"/>
      <c r="CL830" s="3143"/>
      <c r="CM830" s="3143"/>
      <c r="CN830" s="3143"/>
      <c r="CO830" s="3143"/>
      <c r="CP830" s="3143"/>
      <c r="CQ830" s="3143"/>
      <c r="CR830" s="3143"/>
      <c r="CS830" s="3143"/>
      <c r="CT830" s="3143"/>
      <c r="CU830" s="3143"/>
      <c r="CV830" s="3143"/>
      <c r="CW830" s="3143"/>
      <c r="CX830" s="3143"/>
      <c r="CY830" s="3143"/>
      <c r="CZ830" s="3143"/>
      <c r="DA830" s="3143"/>
      <c r="DB830" s="3143"/>
      <c r="DC830" s="3143"/>
      <c r="DD830" s="3143"/>
      <c r="DE830" s="3143"/>
      <c r="DF830" s="3143"/>
      <c r="DG830" s="3143"/>
      <c r="DH830" s="3143"/>
      <c r="DI830" s="3143"/>
      <c r="DJ830" s="3143"/>
      <c r="DK830" s="3143"/>
      <c r="DL830" s="3143"/>
      <c r="DM830" s="3143"/>
      <c r="DN830" s="3143"/>
      <c r="DO830" s="3143"/>
      <c r="DP830" s="3143"/>
      <c r="DQ830" s="3143"/>
      <c r="DR830" s="3143"/>
      <c r="DS830" s="3143"/>
    </row>
    <row r="831" spans="1:255" s="604" customFormat="1" ht="13.5" customHeight="1">
      <c r="A831" s="595"/>
      <c r="B831" s="596"/>
      <c r="C831" s="597"/>
      <c r="D831" s="719" t="s">
        <v>278</v>
      </c>
      <c r="E831" s="599"/>
      <c r="F831" s="600"/>
      <c r="G831" s="289"/>
      <c r="H831" s="601"/>
      <c r="I831" s="1620"/>
      <c r="J831" s="3135"/>
      <c r="K831" s="1581"/>
      <c r="L831" s="1581"/>
      <c r="M831" s="1581"/>
      <c r="N831" s="1581"/>
      <c r="O831" s="1581"/>
      <c r="P831" s="1581"/>
      <c r="Q831" s="1581"/>
      <c r="R831" s="1581"/>
      <c r="S831" s="1581"/>
      <c r="T831" s="3134"/>
      <c r="U831" s="605"/>
      <c r="W831" s="605"/>
    </row>
    <row r="832" spans="1:255" s="888" customFormat="1" ht="13.5" customHeight="1">
      <c r="A832" s="3130">
        <v>50</v>
      </c>
      <c r="B832" s="3131">
        <v>271</v>
      </c>
      <c r="C832" s="3131" t="s">
        <v>4967</v>
      </c>
      <c r="D832" s="3131" t="s">
        <v>4968</v>
      </c>
      <c r="E832" s="3131" t="s">
        <v>205</v>
      </c>
      <c r="F832" s="2905">
        <f>ROUND(SUM(F833),3)</f>
        <v>1</v>
      </c>
      <c r="G832" s="288"/>
      <c r="H832" s="568">
        <f t="shared" ref="H832" si="44">ROUND(F832*G832,2)</f>
        <v>0</v>
      </c>
      <c r="I832" s="613" t="s">
        <v>111</v>
      </c>
      <c r="J832" s="3132"/>
      <c r="K832" s="3133"/>
      <c r="L832" s="3133"/>
      <c r="M832" s="3133"/>
      <c r="N832" s="3133"/>
      <c r="O832" s="3133"/>
      <c r="P832" s="3133"/>
      <c r="Q832" s="3133"/>
      <c r="R832" s="3133"/>
      <c r="S832" s="3133"/>
      <c r="T832" s="3134"/>
      <c r="BN832" s="2657"/>
      <c r="BO832" s="2657"/>
      <c r="BP832" s="2657"/>
      <c r="BQ832" s="2657"/>
      <c r="BR832" s="2657"/>
      <c r="BS832" s="2657"/>
      <c r="BT832" s="2657"/>
      <c r="BU832" s="2657"/>
      <c r="BV832" s="2657"/>
      <c r="BW832" s="2657"/>
      <c r="BX832" s="2657"/>
      <c r="BY832" s="2657"/>
      <c r="BZ832" s="2657"/>
      <c r="CA832" s="2657"/>
      <c r="CB832" s="2657"/>
      <c r="CC832" s="2657"/>
      <c r="CD832" s="2657"/>
      <c r="CE832" s="2657"/>
      <c r="CF832" s="2657"/>
      <c r="CG832" s="2657"/>
      <c r="CH832" s="2657"/>
      <c r="CI832" s="2657"/>
      <c r="CJ832" s="2657"/>
      <c r="CK832" s="2657"/>
      <c r="CL832" s="2657"/>
      <c r="CM832" s="2657"/>
      <c r="CN832" s="2657"/>
      <c r="CO832" s="2657"/>
      <c r="CP832" s="2657"/>
      <c r="CQ832" s="2657"/>
      <c r="CR832" s="2657"/>
      <c r="CS832" s="2657"/>
      <c r="CT832" s="2657"/>
      <c r="CU832" s="2657"/>
      <c r="CV832" s="2657"/>
      <c r="CW832" s="2657"/>
      <c r="CX832" s="2657"/>
      <c r="CY832" s="2657"/>
      <c r="CZ832" s="2657"/>
      <c r="DA832" s="2657"/>
      <c r="DB832" s="2657"/>
      <c r="DC832" s="2657"/>
      <c r="DD832" s="2657"/>
      <c r="DE832" s="2657"/>
      <c r="DF832" s="2657"/>
      <c r="DG832" s="2657"/>
      <c r="DH832" s="2657"/>
      <c r="DI832" s="2657"/>
      <c r="DJ832" s="2657"/>
      <c r="DK832" s="2657"/>
      <c r="DL832" s="2657"/>
      <c r="DM832" s="2657"/>
      <c r="DN832" s="2657"/>
      <c r="DO832" s="2657"/>
      <c r="DP832" s="2657"/>
      <c r="DQ832" s="2657"/>
      <c r="DR832" s="2657"/>
      <c r="DS832" s="2657"/>
      <c r="DT832" s="2657"/>
      <c r="DU832" s="2657"/>
      <c r="DV832" s="2657"/>
      <c r="DW832" s="2657"/>
      <c r="DX832" s="2657"/>
      <c r="DY832" s="2657"/>
      <c r="DZ832" s="2657"/>
      <c r="EA832" s="2657"/>
      <c r="EB832" s="2657"/>
      <c r="EC832" s="2657"/>
      <c r="ED832" s="2657"/>
      <c r="EE832" s="2657"/>
      <c r="EF832" s="2657"/>
      <c r="EG832" s="2657"/>
      <c r="EH832" s="2657"/>
      <c r="EI832" s="2657"/>
      <c r="EJ832" s="2657"/>
      <c r="EK832" s="2657"/>
      <c r="EL832" s="2657"/>
      <c r="EM832" s="2657"/>
      <c r="EN832" s="2657"/>
      <c r="EO832" s="2657"/>
      <c r="EP832" s="2657"/>
      <c r="EQ832" s="2657"/>
      <c r="ER832" s="2657"/>
      <c r="ES832" s="2657"/>
      <c r="ET832" s="2657"/>
      <c r="EU832" s="2657"/>
      <c r="EV832" s="2657"/>
      <c r="EW832" s="2657"/>
      <c r="EX832" s="2657"/>
      <c r="EY832" s="2657"/>
      <c r="EZ832" s="2657"/>
      <c r="FA832" s="2657"/>
      <c r="FB832" s="2657"/>
      <c r="FC832" s="2657"/>
      <c r="FD832" s="2657"/>
      <c r="FE832" s="2657"/>
      <c r="FF832" s="2657"/>
      <c r="FG832" s="2657"/>
      <c r="FH832" s="2657"/>
      <c r="FI832" s="2657"/>
      <c r="FJ832" s="2657"/>
      <c r="FK832" s="2657"/>
      <c r="FL832" s="2657"/>
      <c r="FM832" s="2657"/>
      <c r="FN832" s="2657"/>
      <c r="FO832" s="2657"/>
      <c r="FP832" s="2657"/>
      <c r="FQ832" s="2657"/>
      <c r="FR832" s="2657"/>
      <c r="FS832" s="2657"/>
      <c r="FT832" s="2657"/>
      <c r="FU832" s="2657"/>
      <c r="FV832" s="2657"/>
      <c r="FW832" s="2657"/>
      <c r="FX832" s="2657"/>
      <c r="FY832" s="2657"/>
      <c r="FZ832" s="2657"/>
      <c r="GA832" s="2657"/>
      <c r="GB832" s="2657"/>
      <c r="GC832" s="2657"/>
      <c r="GD832" s="2657"/>
      <c r="GE832" s="2657"/>
      <c r="GF832" s="2657"/>
      <c r="GG832" s="2657"/>
      <c r="GH832" s="2657"/>
      <c r="GI832" s="2657"/>
      <c r="GJ832" s="2657"/>
      <c r="GK832" s="2657"/>
      <c r="GL832" s="2657"/>
      <c r="GM832" s="2657"/>
      <c r="GN832" s="2657"/>
      <c r="GO832" s="2657"/>
      <c r="GP832" s="2657"/>
      <c r="GQ832" s="2657"/>
      <c r="GR832" s="2657"/>
      <c r="GS832" s="2657"/>
      <c r="GT832" s="2657"/>
      <c r="GU832" s="2657"/>
      <c r="GV832" s="2657"/>
      <c r="GW832" s="2657"/>
      <c r="GX832" s="2657"/>
      <c r="GY832" s="2657"/>
      <c r="GZ832" s="2657"/>
      <c r="HA832" s="2657"/>
      <c r="HB832" s="2657"/>
      <c r="HC832" s="2657"/>
      <c r="HD832" s="2657"/>
      <c r="HE832" s="2657"/>
      <c r="HF832" s="2657"/>
      <c r="HG832" s="2657"/>
      <c r="HH832" s="2657"/>
      <c r="HI832" s="2657"/>
      <c r="HJ832" s="2657"/>
      <c r="HK832" s="2657"/>
      <c r="HL832" s="2657"/>
      <c r="HM832" s="2657"/>
      <c r="HN832" s="2657"/>
      <c r="HO832" s="2657"/>
      <c r="HP832" s="2657"/>
      <c r="HQ832" s="2657"/>
      <c r="HR832" s="2657"/>
      <c r="HS832" s="2657"/>
      <c r="HT832" s="2657"/>
      <c r="HU832" s="2657"/>
      <c r="HV832" s="2657"/>
      <c r="HW832" s="2657"/>
      <c r="HX832" s="2657"/>
      <c r="HY832" s="2657"/>
      <c r="HZ832" s="2657"/>
      <c r="IA832" s="2657"/>
      <c r="IB832" s="2657"/>
      <c r="IC832" s="2657"/>
      <c r="ID832" s="2657"/>
      <c r="IE832" s="2657"/>
      <c r="IF832" s="2657"/>
      <c r="IG832" s="2657"/>
      <c r="IH832" s="2657"/>
      <c r="II832" s="2657"/>
      <c r="IJ832" s="2657"/>
      <c r="IK832" s="2657"/>
      <c r="IL832" s="2657"/>
      <c r="IM832" s="2657"/>
      <c r="IN832" s="2657"/>
      <c r="IO832" s="2657"/>
      <c r="IP832" s="2657"/>
      <c r="IQ832" s="2657"/>
      <c r="IR832" s="2657"/>
      <c r="IS832" s="2657"/>
      <c r="IT832" s="2657"/>
      <c r="IU832" s="2657"/>
    </row>
    <row r="833" spans="1:255" s="604" customFormat="1" ht="13.5" customHeight="1">
      <c r="A833" s="595"/>
      <c r="B833" s="596"/>
      <c r="C833" s="597"/>
      <c r="D833" s="1619" t="s">
        <v>4969</v>
      </c>
      <c r="E833" s="599"/>
      <c r="F833" s="600">
        <v>1</v>
      </c>
      <c r="G833" s="289"/>
      <c r="H833" s="601"/>
      <c r="I833" s="1590"/>
      <c r="J833" s="3135"/>
      <c r="K833" s="1581"/>
      <c r="L833" s="1581"/>
      <c r="M833" s="1581"/>
      <c r="N833" s="1581"/>
      <c r="O833" s="1581"/>
      <c r="P833" s="1581"/>
      <c r="Q833" s="1581"/>
      <c r="R833" s="1581"/>
      <c r="S833" s="1581"/>
      <c r="T833" s="3134"/>
      <c r="U833" s="605"/>
      <c r="W833" s="605"/>
    </row>
    <row r="834" spans="1:255" s="3144" customFormat="1" ht="40.5" customHeight="1">
      <c r="A834" s="3136"/>
      <c r="B834" s="3137"/>
      <c r="C834" s="3138"/>
      <c r="D834" s="719" t="s">
        <v>4913</v>
      </c>
      <c r="E834" s="719"/>
      <c r="F834" s="3139"/>
      <c r="G834" s="3213"/>
      <c r="H834" s="3140"/>
      <c r="I834" s="1590"/>
      <c r="J834" s="3135"/>
      <c r="K834" s="1581"/>
      <c r="L834" s="1581"/>
      <c r="M834" s="1581"/>
      <c r="N834" s="1581"/>
      <c r="O834" s="1581"/>
      <c r="P834" s="1581"/>
      <c r="Q834" s="1581"/>
      <c r="R834" s="1581"/>
      <c r="S834" s="1581"/>
      <c r="T834" s="3134"/>
      <c r="U834" s="3141"/>
      <c r="V834" s="3142"/>
      <c r="W834" s="3142"/>
      <c r="X834" s="1913"/>
      <c r="Y834" s="1913"/>
      <c r="Z834" s="3143"/>
      <c r="AA834" s="3143"/>
      <c r="AB834" s="3143"/>
      <c r="AC834" s="3143"/>
      <c r="AD834" s="3143"/>
      <c r="AE834" s="3143"/>
      <c r="AF834" s="3143"/>
      <c r="AG834" s="3143"/>
      <c r="AH834" s="3143"/>
      <c r="AI834" s="3143"/>
      <c r="AJ834" s="3143"/>
      <c r="AK834" s="3143"/>
      <c r="AL834" s="3143"/>
      <c r="AM834" s="3143"/>
      <c r="AN834" s="3143"/>
      <c r="AO834" s="3143"/>
      <c r="AP834" s="3143"/>
      <c r="AQ834" s="3143"/>
      <c r="AR834" s="3143"/>
      <c r="AS834" s="3143"/>
      <c r="AT834" s="3143"/>
      <c r="AU834" s="3143"/>
      <c r="AV834" s="3143"/>
      <c r="AW834" s="3143"/>
      <c r="AX834" s="3143"/>
      <c r="AY834" s="3143"/>
      <c r="AZ834" s="3143"/>
      <c r="BA834" s="3143"/>
      <c r="BB834" s="3143"/>
      <c r="BC834" s="3143"/>
      <c r="BD834" s="3143"/>
      <c r="BE834" s="3143"/>
      <c r="BF834" s="3143"/>
      <c r="BG834" s="3143"/>
      <c r="BH834" s="3143"/>
      <c r="BI834" s="3143"/>
      <c r="BJ834" s="3143"/>
      <c r="BK834" s="3143"/>
      <c r="BL834" s="3143"/>
      <c r="BM834" s="3143"/>
      <c r="BN834" s="3143"/>
      <c r="BO834" s="3143"/>
      <c r="BP834" s="3143"/>
      <c r="BQ834" s="3143"/>
      <c r="BR834" s="3143"/>
      <c r="BS834" s="3143"/>
      <c r="BT834" s="3143"/>
      <c r="BU834" s="3143"/>
      <c r="BV834" s="3143"/>
      <c r="BW834" s="3143"/>
      <c r="BX834" s="3143"/>
      <c r="BY834" s="3143"/>
      <c r="BZ834" s="3143"/>
      <c r="CA834" s="3143"/>
      <c r="CB834" s="3143"/>
      <c r="CC834" s="3143"/>
      <c r="CD834" s="3143"/>
      <c r="CE834" s="3143"/>
      <c r="CF834" s="3143"/>
      <c r="CG834" s="3143"/>
      <c r="CH834" s="3143"/>
      <c r="CI834" s="3143"/>
      <c r="CJ834" s="3143"/>
      <c r="CK834" s="3143"/>
      <c r="CL834" s="3143"/>
      <c r="CM834" s="3143"/>
      <c r="CN834" s="3143"/>
      <c r="CO834" s="3143"/>
      <c r="CP834" s="3143"/>
      <c r="CQ834" s="3143"/>
      <c r="CR834" s="3143"/>
      <c r="CS834" s="3143"/>
      <c r="CT834" s="3143"/>
      <c r="CU834" s="3143"/>
      <c r="CV834" s="3143"/>
      <c r="CW834" s="3143"/>
      <c r="CX834" s="3143"/>
      <c r="CY834" s="3143"/>
      <c r="CZ834" s="3143"/>
      <c r="DA834" s="3143"/>
      <c r="DB834" s="3143"/>
      <c r="DC834" s="3143"/>
      <c r="DD834" s="3143"/>
      <c r="DE834" s="3143"/>
      <c r="DF834" s="3143"/>
      <c r="DG834" s="3143"/>
      <c r="DH834" s="3143"/>
      <c r="DI834" s="3143"/>
      <c r="DJ834" s="3143"/>
      <c r="DK834" s="3143"/>
      <c r="DL834" s="3143"/>
      <c r="DM834" s="3143"/>
      <c r="DN834" s="3143"/>
      <c r="DO834" s="3143"/>
      <c r="DP834" s="3143"/>
      <c r="DQ834" s="3143"/>
      <c r="DR834" s="3143"/>
      <c r="DS834" s="3143"/>
    </row>
    <row r="835" spans="1:255" s="604" customFormat="1" ht="13.5" customHeight="1">
      <c r="A835" s="595"/>
      <c r="B835" s="596"/>
      <c r="C835" s="597"/>
      <c r="D835" s="719" t="s">
        <v>278</v>
      </c>
      <c r="E835" s="599"/>
      <c r="F835" s="600"/>
      <c r="G835" s="289"/>
      <c r="H835" s="601"/>
      <c r="I835" s="1620"/>
      <c r="J835" s="3135"/>
      <c r="K835" s="1581"/>
      <c r="L835" s="1581"/>
      <c r="M835" s="1581"/>
      <c r="N835" s="1581"/>
      <c r="O835" s="1581"/>
      <c r="P835" s="1581"/>
      <c r="Q835" s="1581"/>
      <c r="R835" s="1581"/>
      <c r="S835" s="1581"/>
      <c r="T835" s="3134"/>
      <c r="U835" s="605"/>
      <c r="W835" s="605"/>
    </row>
    <row r="836" spans="1:255" s="888" customFormat="1" ht="13.5" customHeight="1">
      <c r="A836" s="3130">
        <v>51</v>
      </c>
      <c r="B836" s="3131">
        <v>271</v>
      </c>
      <c r="C836" s="3131" t="s">
        <v>4970</v>
      </c>
      <c r="D836" s="3131" t="s">
        <v>4971</v>
      </c>
      <c r="E836" s="3131" t="s">
        <v>205</v>
      </c>
      <c r="F836" s="2905">
        <f>ROUND(SUM(F837),3)</f>
        <v>1</v>
      </c>
      <c r="G836" s="288"/>
      <c r="H836" s="568">
        <f t="shared" ref="H836" si="45">ROUND(F836*G836,2)</f>
        <v>0</v>
      </c>
      <c r="I836" s="613" t="s">
        <v>111</v>
      </c>
      <c r="J836" s="3132"/>
      <c r="K836" s="3133"/>
      <c r="L836" s="3133"/>
      <c r="M836" s="3133"/>
      <c r="N836" s="3133"/>
      <c r="O836" s="3133"/>
      <c r="P836" s="3133"/>
      <c r="Q836" s="3133"/>
      <c r="R836" s="3133"/>
      <c r="S836" s="3133"/>
      <c r="T836" s="3134"/>
      <c r="BN836" s="2657"/>
      <c r="BO836" s="2657"/>
      <c r="BP836" s="2657"/>
      <c r="BQ836" s="2657"/>
      <c r="BR836" s="2657"/>
      <c r="BS836" s="2657"/>
      <c r="BT836" s="2657"/>
      <c r="BU836" s="2657"/>
      <c r="BV836" s="2657"/>
      <c r="BW836" s="2657"/>
      <c r="BX836" s="2657"/>
      <c r="BY836" s="2657"/>
      <c r="BZ836" s="2657"/>
      <c r="CA836" s="2657"/>
      <c r="CB836" s="2657"/>
      <c r="CC836" s="2657"/>
      <c r="CD836" s="2657"/>
      <c r="CE836" s="2657"/>
      <c r="CF836" s="2657"/>
      <c r="CG836" s="2657"/>
      <c r="CH836" s="2657"/>
      <c r="CI836" s="2657"/>
      <c r="CJ836" s="2657"/>
      <c r="CK836" s="2657"/>
      <c r="CL836" s="2657"/>
      <c r="CM836" s="2657"/>
      <c r="CN836" s="2657"/>
      <c r="CO836" s="2657"/>
      <c r="CP836" s="2657"/>
      <c r="CQ836" s="2657"/>
      <c r="CR836" s="2657"/>
      <c r="CS836" s="2657"/>
      <c r="CT836" s="2657"/>
      <c r="CU836" s="2657"/>
      <c r="CV836" s="2657"/>
      <c r="CW836" s="2657"/>
      <c r="CX836" s="2657"/>
      <c r="CY836" s="2657"/>
      <c r="CZ836" s="2657"/>
      <c r="DA836" s="2657"/>
      <c r="DB836" s="2657"/>
      <c r="DC836" s="2657"/>
      <c r="DD836" s="2657"/>
      <c r="DE836" s="2657"/>
      <c r="DF836" s="2657"/>
      <c r="DG836" s="2657"/>
      <c r="DH836" s="2657"/>
      <c r="DI836" s="2657"/>
      <c r="DJ836" s="2657"/>
      <c r="DK836" s="2657"/>
      <c r="DL836" s="2657"/>
      <c r="DM836" s="2657"/>
      <c r="DN836" s="2657"/>
      <c r="DO836" s="2657"/>
      <c r="DP836" s="2657"/>
      <c r="DQ836" s="2657"/>
      <c r="DR836" s="2657"/>
      <c r="DS836" s="2657"/>
      <c r="DT836" s="2657"/>
      <c r="DU836" s="2657"/>
      <c r="DV836" s="2657"/>
      <c r="DW836" s="2657"/>
      <c r="DX836" s="2657"/>
      <c r="DY836" s="2657"/>
      <c r="DZ836" s="2657"/>
      <c r="EA836" s="2657"/>
      <c r="EB836" s="2657"/>
      <c r="EC836" s="2657"/>
      <c r="ED836" s="2657"/>
      <c r="EE836" s="2657"/>
      <c r="EF836" s="2657"/>
      <c r="EG836" s="2657"/>
      <c r="EH836" s="2657"/>
      <c r="EI836" s="2657"/>
      <c r="EJ836" s="2657"/>
      <c r="EK836" s="2657"/>
      <c r="EL836" s="2657"/>
      <c r="EM836" s="2657"/>
      <c r="EN836" s="2657"/>
      <c r="EO836" s="2657"/>
      <c r="EP836" s="2657"/>
      <c r="EQ836" s="2657"/>
      <c r="ER836" s="2657"/>
      <c r="ES836" s="2657"/>
      <c r="ET836" s="2657"/>
      <c r="EU836" s="2657"/>
      <c r="EV836" s="2657"/>
      <c r="EW836" s="2657"/>
      <c r="EX836" s="2657"/>
      <c r="EY836" s="2657"/>
      <c r="EZ836" s="2657"/>
      <c r="FA836" s="2657"/>
      <c r="FB836" s="2657"/>
      <c r="FC836" s="2657"/>
      <c r="FD836" s="2657"/>
      <c r="FE836" s="2657"/>
      <c r="FF836" s="2657"/>
      <c r="FG836" s="2657"/>
      <c r="FH836" s="2657"/>
      <c r="FI836" s="2657"/>
      <c r="FJ836" s="2657"/>
      <c r="FK836" s="2657"/>
      <c r="FL836" s="2657"/>
      <c r="FM836" s="2657"/>
      <c r="FN836" s="2657"/>
      <c r="FO836" s="2657"/>
      <c r="FP836" s="2657"/>
      <c r="FQ836" s="2657"/>
      <c r="FR836" s="2657"/>
      <c r="FS836" s="2657"/>
      <c r="FT836" s="2657"/>
      <c r="FU836" s="2657"/>
      <c r="FV836" s="2657"/>
      <c r="FW836" s="2657"/>
      <c r="FX836" s="2657"/>
      <c r="FY836" s="2657"/>
      <c r="FZ836" s="2657"/>
      <c r="GA836" s="2657"/>
      <c r="GB836" s="2657"/>
      <c r="GC836" s="2657"/>
      <c r="GD836" s="2657"/>
      <c r="GE836" s="2657"/>
      <c r="GF836" s="2657"/>
      <c r="GG836" s="2657"/>
      <c r="GH836" s="2657"/>
      <c r="GI836" s="2657"/>
      <c r="GJ836" s="2657"/>
      <c r="GK836" s="2657"/>
      <c r="GL836" s="2657"/>
      <c r="GM836" s="2657"/>
      <c r="GN836" s="2657"/>
      <c r="GO836" s="2657"/>
      <c r="GP836" s="2657"/>
      <c r="GQ836" s="2657"/>
      <c r="GR836" s="2657"/>
      <c r="GS836" s="2657"/>
      <c r="GT836" s="2657"/>
      <c r="GU836" s="2657"/>
      <c r="GV836" s="2657"/>
      <c r="GW836" s="2657"/>
      <c r="GX836" s="2657"/>
      <c r="GY836" s="2657"/>
      <c r="GZ836" s="2657"/>
      <c r="HA836" s="2657"/>
      <c r="HB836" s="2657"/>
      <c r="HC836" s="2657"/>
      <c r="HD836" s="2657"/>
      <c r="HE836" s="2657"/>
      <c r="HF836" s="2657"/>
      <c r="HG836" s="2657"/>
      <c r="HH836" s="2657"/>
      <c r="HI836" s="2657"/>
      <c r="HJ836" s="2657"/>
      <c r="HK836" s="2657"/>
      <c r="HL836" s="2657"/>
      <c r="HM836" s="2657"/>
      <c r="HN836" s="2657"/>
      <c r="HO836" s="2657"/>
      <c r="HP836" s="2657"/>
      <c r="HQ836" s="2657"/>
      <c r="HR836" s="2657"/>
      <c r="HS836" s="2657"/>
      <c r="HT836" s="2657"/>
      <c r="HU836" s="2657"/>
      <c r="HV836" s="2657"/>
      <c r="HW836" s="2657"/>
      <c r="HX836" s="2657"/>
      <c r="HY836" s="2657"/>
      <c r="HZ836" s="2657"/>
      <c r="IA836" s="2657"/>
      <c r="IB836" s="2657"/>
      <c r="IC836" s="2657"/>
      <c r="ID836" s="2657"/>
      <c r="IE836" s="2657"/>
      <c r="IF836" s="2657"/>
      <c r="IG836" s="2657"/>
      <c r="IH836" s="2657"/>
      <c r="II836" s="2657"/>
      <c r="IJ836" s="2657"/>
      <c r="IK836" s="2657"/>
      <c r="IL836" s="2657"/>
      <c r="IM836" s="2657"/>
      <c r="IN836" s="2657"/>
      <c r="IO836" s="2657"/>
      <c r="IP836" s="2657"/>
      <c r="IQ836" s="2657"/>
      <c r="IR836" s="2657"/>
      <c r="IS836" s="2657"/>
      <c r="IT836" s="2657"/>
      <c r="IU836" s="2657"/>
    </row>
    <row r="837" spans="1:255" s="604" customFormat="1" ht="13.5" customHeight="1">
      <c r="A837" s="595"/>
      <c r="B837" s="596"/>
      <c r="C837" s="597"/>
      <c r="D837" s="1619" t="s">
        <v>4972</v>
      </c>
      <c r="E837" s="599"/>
      <c r="F837" s="600">
        <v>1</v>
      </c>
      <c r="G837" s="289"/>
      <c r="H837" s="601"/>
      <c r="I837" s="1590"/>
      <c r="J837" s="3135"/>
      <c r="K837" s="1581"/>
      <c r="L837" s="1581"/>
      <c r="M837" s="1581"/>
      <c r="N837" s="1581"/>
      <c r="O837" s="1581"/>
      <c r="P837" s="1581"/>
      <c r="Q837" s="1581"/>
      <c r="R837" s="1581"/>
      <c r="S837" s="1581"/>
      <c r="T837" s="3134"/>
      <c r="U837" s="605"/>
      <c r="W837" s="605"/>
    </row>
    <row r="838" spans="1:255" s="3144" customFormat="1" ht="40.5" customHeight="1">
      <c r="A838" s="3136"/>
      <c r="B838" s="3137"/>
      <c r="C838" s="3138"/>
      <c r="D838" s="719" t="s">
        <v>4913</v>
      </c>
      <c r="E838" s="719"/>
      <c r="F838" s="3139"/>
      <c r="G838" s="3213"/>
      <c r="H838" s="3140"/>
      <c r="I838" s="1590"/>
      <c r="J838" s="3135"/>
      <c r="K838" s="1581"/>
      <c r="L838" s="1581"/>
      <c r="M838" s="1581"/>
      <c r="N838" s="1581"/>
      <c r="O838" s="1581"/>
      <c r="P838" s="1581"/>
      <c r="Q838" s="1581"/>
      <c r="R838" s="1581"/>
      <c r="S838" s="1581"/>
      <c r="T838" s="3134"/>
      <c r="U838" s="3141"/>
      <c r="V838" s="3142"/>
      <c r="W838" s="3142"/>
      <c r="X838" s="1913"/>
      <c r="Y838" s="1913"/>
      <c r="Z838" s="3143"/>
      <c r="AA838" s="3143"/>
      <c r="AB838" s="3143"/>
      <c r="AC838" s="3143"/>
      <c r="AD838" s="3143"/>
      <c r="AE838" s="3143"/>
      <c r="AF838" s="3143"/>
      <c r="AG838" s="3143"/>
      <c r="AH838" s="3143"/>
      <c r="AI838" s="3143"/>
      <c r="AJ838" s="3143"/>
      <c r="AK838" s="3143"/>
      <c r="AL838" s="3143"/>
      <c r="AM838" s="3143"/>
      <c r="AN838" s="3143"/>
      <c r="AO838" s="3143"/>
      <c r="AP838" s="3143"/>
      <c r="AQ838" s="3143"/>
      <c r="AR838" s="3143"/>
      <c r="AS838" s="3143"/>
      <c r="AT838" s="3143"/>
      <c r="AU838" s="3143"/>
      <c r="AV838" s="3143"/>
      <c r="AW838" s="3143"/>
      <c r="AX838" s="3143"/>
      <c r="AY838" s="3143"/>
      <c r="AZ838" s="3143"/>
      <c r="BA838" s="3143"/>
      <c r="BB838" s="3143"/>
      <c r="BC838" s="3143"/>
      <c r="BD838" s="3143"/>
      <c r="BE838" s="3143"/>
      <c r="BF838" s="3143"/>
      <c r="BG838" s="3143"/>
      <c r="BH838" s="3143"/>
      <c r="BI838" s="3143"/>
      <c r="BJ838" s="3143"/>
      <c r="BK838" s="3143"/>
      <c r="BL838" s="3143"/>
      <c r="BM838" s="3143"/>
      <c r="BN838" s="3143"/>
      <c r="BO838" s="3143"/>
      <c r="BP838" s="3143"/>
      <c r="BQ838" s="3143"/>
      <c r="BR838" s="3143"/>
      <c r="BS838" s="3143"/>
      <c r="BT838" s="3143"/>
      <c r="BU838" s="3143"/>
      <c r="BV838" s="3143"/>
      <c r="BW838" s="3143"/>
      <c r="BX838" s="3143"/>
      <c r="BY838" s="3143"/>
      <c r="BZ838" s="3143"/>
      <c r="CA838" s="3143"/>
      <c r="CB838" s="3143"/>
      <c r="CC838" s="3143"/>
      <c r="CD838" s="3143"/>
      <c r="CE838" s="3143"/>
      <c r="CF838" s="3143"/>
      <c r="CG838" s="3143"/>
      <c r="CH838" s="3143"/>
      <c r="CI838" s="3143"/>
      <c r="CJ838" s="3143"/>
      <c r="CK838" s="3143"/>
      <c r="CL838" s="3143"/>
      <c r="CM838" s="3143"/>
      <c r="CN838" s="3143"/>
      <c r="CO838" s="3143"/>
      <c r="CP838" s="3143"/>
      <c r="CQ838" s="3143"/>
      <c r="CR838" s="3143"/>
      <c r="CS838" s="3143"/>
      <c r="CT838" s="3143"/>
      <c r="CU838" s="3143"/>
      <c r="CV838" s="3143"/>
      <c r="CW838" s="3143"/>
      <c r="CX838" s="3143"/>
      <c r="CY838" s="3143"/>
      <c r="CZ838" s="3143"/>
      <c r="DA838" s="3143"/>
      <c r="DB838" s="3143"/>
      <c r="DC838" s="3143"/>
      <c r="DD838" s="3143"/>
      <c r="DE838" s="3143"/>
      <c r="DF838" s="3143"/>
      <c r="DG838" s="3143"/>
      <c r="DH838" s="3143"/>
      <c r="DI838" s="3143"/>
      <c r="DJ838" s="3143"/>
      <c r="DK838" s="3143"/>
      <c r="DL838" s="3143"/>
      <c r="DM838" s="3143"/>
      <c r="DN838" s="3143"/>
      <c r="DO838" s="3143"/>
      <c r="DP838" s="3143"/>
      <c r="DQ838" s="3143"/>
      <c r="DR838" s="3143"/>
      <c r="DS838" s="3143"/>
    </row>
    <row r="839" spans="1:255" s="604" customFormat="1" ht="13.5" customHeight="1">
      <c r="A839" s="595"/>
      <c r="B839" s="596"/>
      <c r="C839" s="597"/>
      <c r="D839" s="719" t="s">
        <v>278</v>
      </c>
      <c r="E839" s="599"/>
      <c r="F839" s="600"/>
      <c r="G839" s="289"/>
      <c r="H839" s="601"/>
      <c r="I839" s="1620"/>
      <c r="J839" s="3135"/>
      <c r="K839" s="1581"/>
      <c r="L839" s="1581"/>
      <c r="M839" s="1581"/>
      <c r="N839" s="1581"/>
      <c r="O839" s="1581"/>
      <c r="P839" s="1581"/>
      <c r="Q839" s="1581"/>
      <c r="R839" s="1581"/>
      <c r="S839" s="1581"/>
      <c r="T839" s="3134"/>
      <c r="U839" s="605"/>
      <c r="W839" s="605"/>
    </row>
    <row r="840" spans="1:255" s="888" customFormat="1" ht="13.5" customHeight="1">
      <c r="A840" s="3130">
        <v>52</v>
      </c>
      <c r="B840" s="3131">
        <v>271</v>
      </c>
      <c r="C840" s="3131" t="s">
        <v>4973</v>
      </c>
      <c r="D840" s="3131" t="s">
        <v>4974</v>
      </c>
      <c r="E840" s="3131" t="s">
        <v>205</v>
      </c>
      <c r="F840" s="2905">
        <f>ROUND(SUM(F841),3)</f>
        <v>1</v>
      </c>
      <c r="G840" s="288"/>
      <c r="H840" s="568">
        <f t="shared" ref="H840" si="46">ROUND(F840*G840,2)</f>
        <v>0</v>
      </c>
      <c r="I840" s="613" t="s">
        <v>111</v>
      </c>
      <c r="J840" s="2747"/>
      <c r="BN840" s="2657"/>
      <c r="BO840" s="2657"/>
      <c r="BP840" s="2657"/>
      <c r="BQ840" s="2657"/>
      <c r="BR840" s="2657"/>
      <c r="BS840" s="2657"/>
      <c r="BT840" s="2657"/>
      <c r="BU840" s="2657"/>
      <c r="BV840" s="2657"/>
      <c r="BW840" s="2657"/>
      <c r="BX840" s="2657"/>
      <c r="BY840" s="2657"/>
      <c r="BZ840" s="2657"/>
      <c r="CA840" s="2657"/>
      <c r="CB840" s="2657"/>
      <c r="CC840" s="2657"/>
      <c r="CD840" s="2657"/>
      <c r="CE840" s="2657"/>
      <c r="CF840" s="2657"/>
      <c r="CG840" s="2657"/>
      <c r="CH840" s="2657"/>
      <c r="CI840" s="2657"/>
      <c r="CJ840" s="2657"/>
      <c r="CK840" s="2657"/>
      <c r="CL840" s="2657"/>
      <c r="CM840" s="2657"/>
      <c r="CN840" s="2657"/>
      <c r="CO840" s="2657"/>
      <c r="CP840" s="2657"/>
      <c r="CQ840" s="2657"/>
      <c r="CR840" s="2657"/>
      <c r="CS840" s="2657"/>
      <c r="CT840" s="2657"/>
      <c r="CU840" s="2657"/>
      <c r="CV840" s="2657"/>
      <c r="CW840" s="2657"/>
      <c r="CX840" s="2657"/>
      <c r="CY840" s="2657"/>
      <c r="CZ840" s="2657"/>
      <c r="DA840" s="2657"/>
      <c r="DB840" s="2657"/>
      <c r="DC840" s="2657"/>
      <c r="DD840" s="2657"/>
      <c r="DE840" s="2657"/>
      <c r="DF840" s="2657"/>
      <c r="DG840" s="2657"/>
      <c r="DH840" s="2657"/>
      <c r="DI840" s="2657"/>
      <c r="DJ840" s="2657"/>
      <c r="DK840" s="2657"/>
      <c r="DL840" s="2657"/>
      <c r="DM840" s="2657"/>
      <c r="DN840" s="2657"/>
      <c r="DO840" s="2657"/>
      <c r="DP840" s="2657"/>
      <c r="DQ840" s="2657"/>
      <c r="DR840" s="2657"/>
      <c r="DS840" s="2657"/>
      <c r="DT840" s="2657"/>
      <c r="DU840" s="2657"/>
      <c r="DV840" s="2657"/>
      <c r="DW840" s="2657"/>
      <c r="DX840" s="2657"/>
      <c r="DY840" s="2657"/>
      <c r="DZ840" s="2657"/>
      <c r="EA840" s="2657"/>
      <c r="EB840" s="2657"/>
      <c r="EC840" s="2657"/>
      <c r="ED840" s="2657"/>
      <c r="EE840" s="2657"/>
      <c r="EF840" s="2657"/>
      <c r="EG840" s="2657"/>
      <c r="EH840" s="2657"/>
      <c r="EI840" s="2657"/>
      <c r="EJ840" s="2657"/>
      <c r="EK840" s="2657"/>
      <c r="EL840" s="2657"/>
      <c r="EM840" s="2657"/>
      <c r="EN840" s="2657"/>
      <c r="EO840" s="2657"/>
      <c r="EP840" s="2657"/>
      <c r="EQ840" s="2657"/>
      <c r="ER840" s="2657"/>
      <c r="ES840" s="2657"/>
      <c r="ET840" s="2657"/>
      <c r="EU840" s="2657"/>
      <c r="EV840" s="2657"/>
      <c r="EW840" s="2657"/>
      <c r="EX840" s="2657"/>
      <c r="EY840" s="2657"/>
      <c r="EZ840" s="2657"/>
      <c r="FA840" s="2657"/>
      <c r="FB840" s="2657"/>
      <c r="FC840" s="2657"/>
      <c r="FD840" s="2657"/>
      <c r="FE840" s="2657"/>
      <c r="FF840" s="2657"/>
      <c r="FG840" s="2657"/>
      <c r="FH840" s="2657"/>
      <c r="FI840" s="2657"/>
      <c r="FJ840" s="2657"/>
      <c r="FK840" s="2657"/>
      <c r="FL840" s="2657"/>
      <c r="FM840" s="2657"/>
      <c r="FN840" s="2657"/>
      <c r="FO840" s="2657"/>
      <c r="FP840" s="2657"/>
      <c r="FQ840" s="2657"/>
      <c r="FR840" s="2657"/>
      <c r="FS840" s="2657"/>
      <c r="FT840" s="2657"/>
      <c r="FU840" s="2657"/>
      <c r="FV840" s="2657"/>
      <c r="FW840" s="2657"/>
      <c r="FX840" s="2657"/>
      <c r="FY840" s="2657"/>
      <c r="FZ840" s="2657"/>
      <c r="GA840" s="2657"/>
      <c r="GB840" s="2657"/>
      <c r="GC840" s="2657"/>
      <c r="GD840" s="2657"/>
      <c r="GE840" s="2657"/>
      <c r="GF840" s="2657"/>
      <c r="GG840" s="2657"/>
      <c r="GH840" s="2657"/>
      <c r="GI840" s="2657"/>
      <c r="GJ840" s="2657"/>
      <c r="GK840" s="2657"/>
      <c r="GL840" s="2657"/>
      <c r="GM840" s="2657"/>
      <c r="GN840" s="2657"/>
      <c r="GO840" s="2657"/>
      <c r="GP840" s="2657"/>
      <c r="GQ840" s="2657"/>
      <c r="GR840" s="2657"/>
      <c r="GS840" s="2657"/>
      <c r="GT840" s="2657"/>
      <c r="GU840" s="2657"/>
      <c r="GV840" s="2657"/>
      <c r="GW840" s="2657"/>
      <c r="GX840" s="2657"/>
      <c r="GY840" s="2657"/>
      <c r="GZ840" s="2657"/>
      <c r="HA840" s="2657"/>
      <c r="HB840" s="2657"/>
      <c r="HC840" s="2657"/>
      <c r="HD840" s="2657"/>
      <c r="HE840" s="2657"/>
      <c r="HF840" s="2657"/>
      <c r="HG840" s="2657"/>
      <c r="HH840" s="2657"/>
      <c r="HI840" s="2657"/>
      <c r="HJ840" s="2657"/>
      <c r="HK840" s="2657"/>
      <c r="HL840" s="2657"/>
      <c r="HM840" s="2657"/>
      <c r="HN840" s="2657"/>
      <c r="HO840" s="2657"/>
      <c r="HP840" s="2657"/>
      <c r="HQ840" s="2657"/>
      <c r="HR840" s="2657"/>
      <c r="HS840" s="2657"/>
      <c r="HT840" s="2657"/>
      <c r="HU840" s="2657"/>
      <c r="HV840" s="2657"/>
      <c r="HW840" s="2657"/>
      <c r="HX840" s="2657"/>
      <c r="HY840" s="2657"/>
      <c r="HZ840" s="2657"/>
      <c r="IA840" s="2657"/>
      <c r="IB840" s="2657"/>
      <c r="IC840" s="2657"/>
      <c r="ID840" s="2657"/>
      <c r="IE840" s="2657"/>
      <c r="IF840" s="2657"/>
      <c r="IG840" s="2657"/>
      <c r="IH840" s="2657"/>
      <c r="II840" s="2657"/>
      <c r="IJ840" s="2657"/>
      <c r="IK840" s="2657"/>
      <c r="IL840" s="2657"/>
      <c r="IM840" s="2657"/>
      <c r="IN840" s="2657"/>
      <c r="IO840" s="2657"/>
      <c r="IP840" s="2657"/>
      <c r="IQ840" s="2657"/>
      <c r="IR840" s="2657"/>
      <c r="IS840" s="2657"/>
      <c r="IT840" s="2657"/>
      <c r="IU840" s="2657"/>
    </row>
    <row r="841" spans="1:255" s="604" customFormat="1" ht="13.5" customHeight="1">
      <c r="A841" s="595"/>
      <c r="B841" s="596"/>
      <c r="C841" s="597"/>
      <c r="D841" s="719" t="s">
        <v>4975</v>
      </c>
      <c r="E841" s="599"/>
      <c r="F841" s="600">
        <v>1</v>
      </c>
      <c r="G841" s="289"/>
      <c r="H841" s="601"/>
      <c r="I841" s="602"/>
      <c r="J841" s="606"/>
      <c r="U841" s="605"/>
      <c r="W841" s="605"/>
    </row>
    <row r="842" spans="1:255" s="604" customFormat="1" ht="54" customHeight="1">
      <c r="A842" s="595"/>
      <c r="B842" s="596"/>
      <c r="C842" s="597"/>
      <c r="D842" s="719" t="s">
        <v>4976</v>
      </c>
      <c r="E842" s="599"/>
      <c r="F842" s="600"/>
      <c r="G842" s="289"/>
      <c r="H842" s="601"/>
      <c r="I842" s="3145"/>
      <c r="J842" s="606"/>
      <c r="U842" s="605"/>
      <c r="W842" s="605"/>
    </row>
    <row r="843" spans="1:255" s="604" customFormat="1" ht="27" customHeight="1">
      <c r="A843" s="595"/>
      <c r="B843" s="596"/>
      <c r="C843" s="597"/>
      <c r="D843" s="719" t="s">
        <v>4977</v>
      </c>
      <c r="E843" s="599"/>
      <c r="F843" s="600"/>
      <c r="G843" s="289"/>
      <c r="H843" s="601"/>
      <c r="I843" s="602"/>
      <c r="J843" s="3135"/>
      <c r="K843" s="1581"/>
      <c r="L843" s="1581"/>
      <c r="M843" s="1581"/>
      <c r="N843" s="1581"/>
      <c r="O843" s="1581"/>
      <c r="P843" s="1581"/>
      <c r="Q843" s="1581"/>
      <c r="R843" s="1581"/>
      <c r="S843" s="1581"/>
      <c r="T843" s="3134"/>
      <c r="U843" s="605"/>
      <c r="W843" s="605"/>
    </row>
    <row r="844" spans="1:255" s="888" customFormat="1" ht="13.5" customHeight="1">
      <c r="A844" s="3072">
        <v>53</v>
      </c>
      <c r="B844" s="2666">
        <v>271</v>
      </c>
      <c r="C844" s="2666" t="s">
        <v>4973</v>
      </c>
      <c r="D844" s="2666" t="s">
        <v>4978</v>
      </c>
      <c r="E844" s="2666" t="s">
        <v>141</v>
      </c>
      <c r="F844" s="566">
        <f>ROUND(SUM(F846:F846),3)</f>
        <v>7.8</v>
      </c>
      <c r="G844" s="304"/>
      <c r="H844" s="568">
        <f>ROUND(F844*G844,2)</f>
        <v>0</v>
      </c>
      <c r="I844" s="613" t="s">
        <v>111</v>
      </c>
      <c r="J844" s="3146"/>
      <c r="K844" s="3147"/>
      <c r="L844" s="3148"/>
      <c r="M844" s="3094"/>
      <c r="N844" s="3094"/>
      <c r="O844" s="3149"/>
      <c r="P844" s="3094"/>
      <c r="Q844" s="3150"/>
      <c r="R844" s="3151"/>
      <c r="S844" s="3151"/>
      <c r="T844" s="3152"/>
    </row>
    <row r="845" spans="1:255" s="888" customFormat="1" ht="27" customHeight="1">
      <c r="A845" s="3072"/>
      <c r="B845" s="2666"/>
      <c r="C845" s="2666"/>
      <c r="D845" s="3153" t="s">
        <v>4979</v>
      </c>
      <c r="E845" s="2666"/>
      <c r="F845" s="600"/>
      <c r="G845" s="304"/>
      <c r="H845" s="2667"/>
      <c r="I845" s="2846"/>
      <c r="J845" s="3146"/>
      <c r="K845" s="2656"/>
      <c r="L845" s="3148"/>
      <c r="M845" s="3094"/>
      <c r="N845" s="3094"/>
      <c r="O845" s="3149"/>
      <c r="P845" s="3094"/>
      <c r="Q845" s="3150"/>
      <c r="R845" s="3151"/>
      <c r="S845" s="3151"/>
      <c r="T845" s="3152"/>
    </row>
    <row r="846" spans="1:255" s="888" customFormat="1" ht="13.5" customHeight="1">
      <c r="A846" s="3072"/>
      <c r="B846" s="2666"/>
      <c r="C846" s="2666"/>
      <c r="D846" s="3075" t="s">
        <v>4980</v>
      </c>
      <c r="E846" s="2666"/>
      <c r="F846" s="600">
        <f>7.8</f>
        <v>7.8</v>
      </c>
      <c r="G846" s="304"/>
      <c r="H846" s="2667"/>
      <c r="I846" s="2846"/>
      <c r="J846" s="3146"/>
      <c r="K846" s="2656"/>
      <c r="L846" s="3148"/>
      <c r="M846" s="3094"/>
      <c r="N846" s="3094"/>
      <c r="O846" s="3149"/>
      <c r="P846" s="3094"/>
      <c r="Q846" s="3150"/>
      <c r="R846" s="3151"/>
      <c r="S846" s="3151"/>
      <c r="T846" s="3152"/>
    </row>
    <row r="847" spans="1:255" s="3144" customFormat="1" ht="40.5" customHeight="1">
      <c r="A847" s="3136"/>
      <c r="B847" s="3137"/>
      <c r="C847" s="719"/>
      <c r="D847" s="1619" t="s">
        <v>4981</v>
      </c>
      <c r="E847" s="719"/>
      <c r="F847" s="3139"/>
      <c r="G847" s="3213"/>
      <c r="H847" s="3140"/>
      <c r="I847" s="3154"/>
      <c r="J847" s="3142"/>
      <c r="K847" s="3141"/>
      <c r="L847" s="3142"/>
      <c r="M847" s="3142"/>
      <c r="N847" s="3142"/>
      <c r="O847" s="3142"/>
      <c r="P847" s="3142"/>
      <c r="Q847" s="3142"/>
      <c r="R847" s="3142"/>
      <c r="S847" s="3142"/>
      <c r="T847" s="3142"/>
      <c r="U847" s="3141"/>
      <c r="V847" s="3142"/>
      <c r="W847" s="3142"/>
      <c r="X847" s="1913"/>
      <c r="Y847" s="1913"/>
      <c r="Z847" s="3143"/>
      <c r="AA847" s="3143"/>
      <c r="AB847" s="3143"/>
      <c r="AC847" s="3143"/>
      <c r="AD847" s="3143"/>
      <c r="AE847" s="3143"/>
      <c r="AF847" s="3143"/>
      <c r="AG847" s="3143"/>
      <c r="AH847" s="3143"/>
      <c r="AI847" s="3143"/>
      <c r="AJ847" s="3143"/>
      <c r="AK847" s="3143"/>
      <c r="AL847" s="3143"/>
      <c r="AM847" s="3143"/>
      <c r="AN847" s="3143"/>
      <c r="AO847" s="3143"/>
      <c r="AP847" s="3143"/>
      <c r="AQ847" s="3143"/>
      <c r="AR847" s="3143"/>
      <c r="AS847" s="3143"/>
      <c r="AT847" s="3143"/>
      <c r="AU847" s="3143"/>
      <c r="AV847" s="3143"/>
      <c r="AW847" s="3143"/>
      <c r="AX847" s="3143"/>
      <c r="AY847" s="3143"/>
      <c r="AZ847" s="3143"/>
      <c r="BA847" s="3143"/>
      <c r="BB847" s="3143"/>
      <c r="BC847" s="3143"/>
      <c r="BD847" s="3143"/>
      <c r="BE847" s="3143"/>
      <c r="BF847" s="3143"/>
      <c r="BG847" s="3143"/>
      <c r="BH847" s="3143"/>
      <c r="BI847" s="3143"/>
      <c r="BJ847" s="3143"/>
      <c r="BK847" s="3143"/>
      <c r="BL847" s="3143"/>
      <c r="BM847" s="3143"/>
      <c r="BN847" s="3143"/>
      <c r="BO847" s="3143"/>
      <c r="BP847" s="3143"/>
      <c r="BQ847" s="3143"/>
      <c r="BR847" s="3143"/>
      <c r="BS847" s="3143"/>
      <c r="BT847" s="3143"/>
      <c r="BU847" s="3143"/>
      <c r="BV847" s="3143"/>
      <c r="BW847" s="3143"/>
      <c r="BX847" s="3143"/>
      <c r="BY847" s="3143"/>
      <c r="BZ847" s="3143"/>
      <c r="CA847" s="3143"/>
      <c r="CB847" s="3143"/>
      <c r="CC847" s="3143"/>
      <c r="CD847" s="3143"/>
      <c r="CE847" s="3143"/>
      <c r="CF847" s="3143"/>
      <c r="CG847" s="3143"/>
      <c r="CH847" s="3143"/>
      <c r="CI847" s="3143"/>
      <c r="CJ847" s="3143"/>
      <c r="CK847" s="3143"/>
      <c r="CL847" s="3143"/>
      <c r="CM847" s="3143"/>
      <c r="CN847" s="3143"/>
      <c r="CO847" s="3143"/>
      <c r="CP847" s="3143"/>
      <c r="CQ847" s="3143"/>
      <c r="CR847" s="3143"/>
      <c r="CS847" s="3143"/>
      <c r="CT847" s="3143"/>
      <c r="CU847" s="3143"/>
      <c r="CV847" s="3143"/>
      <c r="CW847" s="3143"/>
      <c r="CX847" s="3143"/>
      <c r="CY847" s="3143"/>
      <c r="CZ847" s="3143"/>
      <c r="DA847" s="3143"/>
      <c r="DB847" s="3143"/>
      <c r="DC847" s="3143"/>
      <c r="DD847" s="3143"/>
      <c r="DE847" s="3143"/>
      <c r="DF847" s="3143"/>
      <c r="DG847" s="3143"/>
      <c r="DH847" s="3143"/>
      <c r="DI847" s="3143"/>
      <c r="DJ847" s="3143"/>
      <c r="DK847" s="3143"/>
      <c r="DL847" s="3143"/>
      <c r="DM847" s="3143"/>
      <c r="DN847" s="3143"/>
      <c r="DO847" s="3143"/>
      <c r="DP847" s="3143"/>
      <c r="DQ847" s="3143"/>
      <c r="DR847" s="3143"/>
      <c r="DS847" s="3143"/>
    </row>
    <row r="848" spans="1:255" s="888" customFormat="1" ht="67.5" customHeight="1">
      <c r="A848" s="3155"/>
      <c r="B848" s="3156"/>
      <c r="C848" s="3157"/>
      <c r="D848" s="1275" t="s">
        <v>310</v>
      </c>
      <c r="E848" s="3153"/>
      <c r="F848" s="3158"/>
      <c r="G848" s="305"/>
      <c r="H848" s="3158"/>
      <c r="I848" s="3159"/>
      <c r="J848" s="3160"/>
      <c r="K848" s="3161"/>
      <c r="L848" s="3162"/>
      <c r="M848" s="3163"/>
      <c r="N848" s="3163"/>
      <c r="O848" s="3164"/>
      <c r="P848" s="3163"/>
      <c r="Q848" s="3165"/>
      <c r="R848" s="3166"/>
      <c r="S848" s="3160"/>
      <c r="T848" s="3161"/>
    </row>
    <row r="849" spans="1:255" s="888" customFormat="1" ht="13.5" customHeight="1">
      <c r="A849" s="3072">
        <v>54</v>
      </c>
      <c r="B849" s="2666">
        <v>271</v>
      </c>
      <c r="C849" s="2666" t="s">
        <v>4982</v>
      </c>
      <c r="D849" s="2666" t="s">
        <v>4978</v>
      </c>
      <c r="E849" s="2666" t="s">
        <v>141</v>
      </c>
      <c r="F849" s="566">
        <f>ROUND(SUM(F851:F851),3)</f>
        <v>3</v>
      </c>
      <c r="G849" s="304"/>
      <c r="H849" s="568">
        <f>ROUND(F849*G849,2)</f>
        <v>0</v>
      </c>
      <c r="I849" s="613" t="s">
        <v>111</v>
      </c>
      <c r="J849" s="3146"/>
      <c r="K849" s="3147"/>
      <c r="L849" s="3148"/>
      <c r="M849" s="3094"/>
      <c r="N849" s="3094"/>
      <c r="O849" s="3149"/>
      <c r="P849" s="3094"/>
      <c r="Q849" s="3150"/>
      <c r="R849" s="3151"/>
      <c r="S849" s="3151"/>
      <c r="T849" s="3152"/>
    </row>
    <row r="850" spans="1:255" s="888" customFormat="1" ht="27" customHeight="1">
      <c r="A850" s="3072"/>
      <c r="B850" s="2666"/>
      <c r="C850" s="2666"/>
      <c r="D850" s="3153" t="s">
        <v>4983</v>
      </c>
      <c r="E850" s="2666"/>
      <c r="F850" s="600"/>
      <c r="G850" s="304"/>
      <c r="H850" s="2667"/>
      <c r="I850" s="2846"/>
      <c r="J850" s="3146"/>
      <c r="K850" s="2656"/>
      <c r="L850" s="3148"/>
      <c r="M850" s="3094"/>
      <c r="N850" s="3094"/>
      <c r="O850" s="3149"/>
      <c r="P850" s="3094"/>
      <c r="Q850" s="3150"/>
      <c r="R850" s="3151"/>
      <c r="S850" s="3151"/>
      <c r="T850" s="3152"/>
    </row>
    <row r="851" spans="1:255" s="888" customFormat="1" ht="13.5" customHeight="1">
      <c r="A851" s="3072"/>
      <c r="B851" s="2666"/>
      <c r="C851" s="2666"/>
      <c r="D851" s="3075" t="s">
        <v>4984</v>
      </c>
      <c r="E851" s="2666"/>
      <c r="F851" s="600">
        <f>3</f>
        <v>3</v>
      </c>
      <c r="G851" s="304"/>
      <c r="H851" s="2667"/>
      <c r="I851" s="2846"/>
      <c r="J851" s="3146"/>
      <c r="K851" s="2656"/>
      <c r="L851" s="3148"/>
      <c r="M851" s="3094"/>
      <c r="N851" s="3094"/>
      <c r="O851" s="3149"/>
      <c r="P851" s="3094"/>
      <c r="Q851" s="3150"/>
      <c r="R851" s="3151"/>
      <c r="S851" s="3151"/>
      <c r="T851" s="3152"/>
    </row>
    <row r="852" spans="1:255" s="3144" customFormat="1" ht="40.5" customHeight="1">
      <c r="A852" s="3136"/>
      <c r="B852" s="3137"/>
      <c r="C852" s="719"/>
      <c r="D852" s="719" t="s">
        <v>4985</v>
      </c>
      <c r="E852" s="719"/>
      <c r="F852" s="3139"/>
      <c r="G852" s="3213"/>
      <c r="H852" s="3140"/>
      <c r="I852" s="3154"/>
      <c r="J852" s="3142"/>
      <c r="K852" s="3141"/>
      <c r="L852" s="3142"/>
      <c r="M852" s="3142"/>
      <c r="N852" s="3142"/>
      <c r="O852" s="3142"/>
      <c r="P852" s="3142"/>
      <c r="Q852" s="3142"/>
      <c r="R852" s="3142"/>
      <c r="S852" s="3142"/>
      <c r="T852" s="3142"/>
      <c r="U852" s="3141"/>
      <c r="V852" s="3142"/>
      <c r="W852" s="3142"/>
      <c r="X852" s="1913"/>
      <c r="Y852" s="1913"/>
      <c r="Z852" s="3143"/>
      <c r="AA852" s="3143"/>
      <c r="AB852" s="3143"/>
      <c r="AC852" s="3143"/>
      <c r="AD852" s="3143"/>
      <c r="AE852" s="3143"/>
      <c r="AF852" s="3143"/>
      <c r="AG852" s="3143"/>
      <c r="AH852" s="3143"/>
      <c r="AI852" s="3143"/>
      <c r="AJ852" s="3143"/>
      <c r="AK852" s="3143"/>
      <c r="AL852" s="3143"/>
      <c r="AM852" s="3143"/>
      <c r="AN852" s="3143"/>
      <c r="AO852" s="3143"/>
      <c r="AP852" s="3143"/>
      <c r="AQ852" s="3143"/>
      <c r="AR852" s="3143"/>
      <c r="AS852" s="3143"/>
      <c r="AT852" s="3143"/>
      <c r="AU852" s="3143"/>
      <c r="AV852" s="3143"/>
      <c r="AW852" s="3143"/>
      <c r="AX852" s="3143"/>
      <c r="AY852" s="3143"/>
      <c r="AZ852" s="3143"/>
      <c r="BA852" s="3143"/>
      <c r="BB852" s="3143"/>
      <c r="BC852" s="3143"/>
      <c r="BD852" s="3143"/>
      <c r="BE852" s="3143"/>
      <c r="BF852" s="3143"/>
      <c r="BG852" s="3143"/>
      <c r="BH852" s="3143"/>
      <c r="BI852" s="3143"/>
      <c r="BJ852" s="3143"/>
      <c r="BK852" s="3143"/>
      <c r="BL852" s="3143"/>
      <c r="BM852" s="3143"/>
      <c r="BN852" s="3143"/>
      <c r="BO852" s="3143"/>
      <c r="BP852" s="3143"/>
      <c r="BQ852" s="3143"/>
      <c r="BR852" s="3143"/>
      <c r="BS852" s="3143"/>
      <c r="BT852" s="3143"/>
      <c r="BU852" s="3143"/>
      <c r="BV852" s="3143"/>
      <c r="BW852" s="3143"/>
      <c r="BX852" s="3143"/>
      <c r="BY852" s="3143"/>
      <c r="BZ852" s="3143"/>
      <c r="CA852" s="3143"/>
      <c r="CB852" s="3143"/>
      <c r="CC852" s="3143"/>
      <c r="CD852" s="3143"/>
      <c r="CE852" s="3143"/>
      <c r="CF852" s="3143"/>
      <c r="CG852" s="3143"/>
      <c r="CH852" s="3143"/>
      <c r="CI852" s="3143"/>
      <c r="CJ852" s="3143"/>
      <c r="CK852" s="3143"/>
      <c r="CL852" s="3143"/>
      <c r="CM852" s="3143"/>
      <c r="CN852" s="3143"/>
      <c r="CO852" s="3143"/>
      <c r="CP852" s="3143"/>
      <c r="CQ852" s="3143"/>
      <c r="CR852" s="3143"/>
      <c r="CS852" s="3143"/>
      <c r="CT852" s="3143"/>
      <c r="CU852" s="3143"/>
      <c r="CV852" s="3143"/>
      <c r="CW852" s="3143"/>
      <c r="CX852" s="3143"/>
      <c r="CY852" s="3143"/>
      <c r="CZ852" s="3143"/>
      <c r="DA852" s="3143"/>
      <c r="DB852" s="3143"/>
      <c r="DC852" s="3143"/>
      <c r="DD852" s="3143"/>
      <c r="DE852" s="3143"/>
      <c r="DF852" s="3143"/>
      <c r="DG852" s="3143"/>
      <c r="DH852" s="3143"/>
      <c r="DI852" s="3143"/>
      <c r="DJ852" s="3143"/>
      <c r="DK852" s="3143"/>
      <c r="DL852" s="3143"/>
      <c r="DM852" s="3143"/>
      <c r="DN852" s="3143"/>
      <c r="DO852" s="3143"/>
      <c r="DP852" s="3143"/>
      <c r="DQ852" s="3143"/>
      <c r="DR852" s="3143"/>
      <c r="DS852" s="3143"/>
    </row>
    <row r="853" spans="1:255" s="888" customFormat="1" ht="67.5" customHeight="1">
      <c r="A853" s="3155"/>
      <c r="B853" s="3156"/>
      <c r="C853" s="3157"/>
      <c r="D853" s="1275" t="s">
        <v>310</v>
      </c>
      <c r="E853" s="3153"/>
      <c r="F853" s="3158"/>
      <c r="G853" s="305"/>
      <c r="H853" s="3158"/>
      <c r="I853" s="3159"/>
      <c r="J853" s="3160"/>
      <c r="K853" s="3161"/>
      <c r="L853" s="3162"/>
      <c r="M853" s="3163"/>
      <c r="N853" s="3163"/>
      <c r="O853" s="3164"/>
      <c r="P853" s="3163"/>
      <c r="Q853" s="3165"/>
      <c r="R853" s="3166"/>
      <c r="S853" s="3160"/>
      <c r="T853" s="3161"/>
    </row>
    <row r="854" spans="1:255" s="612" customFormat="1" ht="13.5" customHeight="1">
      <c r="A854" s="608">
        <v>55</v>
      </c>
      <c r="B854" s="557">
        <v>271</v>
      </c>
      <c r="C854" s="557" t="s">
        <v>4910</v>
      </c>
      <c r="D854" s="557" t="s">
        <v>4986</v>
      </c>
      <c r="E854" s="557" t="s">
        <v>205</v>
      </c>
      <c r="F854" s="573">
        <f>ROUND(SUM(F856:F857),3)</f>
        <v>3</v>
      </c>
      <c r="G854" s="288"/>
      <c r="H854" s="568">
        <f t="shared" ref="H854" si="47">ROUND(F854*G854,2)</f>
        <v>0</v>
      </c>
      <c r="I854" s="613" t="s">
        <v>111</v>
      </c>
      <c r="J854" s="306"/>
    </row>
    <row r="855" spans="1:255" s="604" customFormat="1" ht="13.5" customHeight="1">
      <c r="A855" s="3167"/>
      <c r="B855" s="2736"/>
      <c r="C855" s="2737"/>
      <c r="D855" s="2669" t="s">
        <v>4987</v>
      </c>
      <c r="E855" s="2737"/>
      <c r="F855" s="3168"/>
      <c r="G855" s="289"/>
      <c r="H855" s="601"/>
      <c r="I855" s="602"/>
      <c r="J855" s="606"/>
      <c r="U855" s="605"/>
      <c r="W855" s="605"/>
    </row>
    <row r="856" spans="1:255" s="604" customFormat="1" ht="13.5" customHeight="1">
      <c r="A856" s="3167"/>
      <c r="B856" s="2736"/>
      <c r="C856" s="2737"/>
      <c r="D856" s="2669" t="s">
        <v>4988</v>
      </c>
      <c r="E856" s="2737"/>
      <c r="F856" s="3168">
        <f>1</f>
        <v>1</v>
      </c>
      <c r="G856" s="289"/>
      <c r="H856" s="601"/>
      <c r="I856" s="602"/>
      <c r="J856" s="606"/>
      <c r="U856" s="605"/>
      <c r="W856" s="605"/>
    </row>
    <row r="857" spans="1:255" s="604" customFormat="1" ht="13.5" customHeight="1">
      <c r="A857" s="3167"/>
      <c r="B857" s="2736"/>
      <c r="C857" s="2737"/>
      <c r="D857" s="2669" t="s">
        <v>4989</v>
      </c>
      <c r="E857" s="2737"/>
      <c r="F857" s="3168">
        <f>2</f>
        <v>2</v>
      </c>
      <c r="G857" s="289"/>
      <c r="H857" s="601"/>
      <c r="I857" s="602"/>
      <c r="J857" s="606"/>
      <c r="U857" s="605"/>
      <c r="W857" s="605"/>
    </row>
    <row r="858" spans="1:255" s="604" customFormat="1" ht="27" customHeight="1">
      <c r="A858" s="595"/>
      <c r="B858" s="596"/>
      <c r="C858" s="597"/>
      <c r="D858" s="719" t="s">
        <v>4990</v>
      </c>
      <c r="E858" s="599"/>
      <c r="F858" s="600"/>
      <c r="G858" s="289"/>
      <c r="H858" s="601"/>
      <c r="I858" s="602"/>
      <c r="J858" s="606"/>
      <c r="U858" s="605"/>
      <c r="W858" s="605"/>
    </row>
    <row r="859" spans="1:255" s="888" customFormat="1" ht="67.5" customHeight="1">
      <c r="A859" s="3169"/>
      <c r="B859" s="3170"/>
      <c r="C859" s="3171"/>
      <c r="D859" s="584" t="s">
        <v>310</v>
      </c>
      <c r="E859" s="3075"/>
      <c r="F859" s="3076"/>
      <c r="G859" s="291"/>
      <c r="H859" s="2718"/>
      <c r="I859" s="3172"/>
    </row>
    <row r="860" spans="1:255" s="562" customFormat="1" ht="13.5" customHeight="1">
      <c r="A860" s="3173" t="s">
        <v>4991</v>
      </c>
      <c r="B860" s="3131">
        <v>271</v>
      </c>
      <c r="C860" s="3131" t="s">
        <v>4992</v>
      </c>
      <c r="D860" s="3131" t="s">
        <v>4993</v>
      </c>
      <c r="E860" s="3131" t="s">
        <v>49</v>
      </c>
      <c r="F860" s="566">
        <f>ROUND(SUM(F861),3)</f>
        <v>1</v>
      </c>
      <c r="G860" s="294"/>
      <c r="H860" s="568">
        <f t="shared" ref="H860" si="48">ROUND(F860*G860,2)</f>
        <v>0</v>
      </c>
      <c r="I860" s="613" t="s">
        <v>111</v>
      </c>
      <c r="J860" s="3174"/>
      <c r="K860" s="834"/>
      <c r="L860" s="834"/>
      <c r="M860" s="834"/>
      <c r="N860" s="834"/>
      <c r="O860" s="834"/>
      <c r="P860" s="834"/>
      <c r="BN860" s="846"/>
      <c r="BO860" s="846"/>
      <c r="BP860" s="846"/>
      <c r="BQ860" s="846"/>
      <c r="BR860" s="846"/>
      <c r="BS860" s="846"/>
      <c r="BT860" s="846"/>
      <c r="BU860" s="846"/>
      <c r="BV860" s="846"/>
      <c r="BW860" s="846"/>
      <c r="BX860" s="846"/>
      <c r="BY860" s="846"/>
      <c r="BZ860" s="846"/>
      <c r="CA860" s="846"/>
      <c r="CB860" s="846"/>
      <c r="CC860" s="846"/>
      <c r="CD860" s="846"/>
      <c r="CE860" s="846"/>
      <c r="CF860" s="846"/>
      <c r="CG860" s="846"/>
      <c r="CH860" s="846"/>
      <c r="CI860" s="846"/>
      <c r="CJ860" s="846"/>
      <c r="CK860" s="846"/>
      <c r="CL860" s="846"/>
      <c r="CM860" s="846"/>
      <c r="CN860" s="846"/>
      <c r="CO860" s="846"/>
      <c r="CP860" s="846"/>
      <c r="CQ860" s="846"/>
      <c r="CR860" s="846"/>
      <c r="CS860" s="846"/>
      <c r="CT860" s="846"/>
      <c r="CU860" s="846"/>
      <c r="CV860" s="846"/>
      <c r="CW860" s="846"/>
      <c r="CX860" s="846"/>
      <c r="CY860" s="846"/>
      <c r="CZ860" s="846"/>
      <c r="DA860" s="846"/>
      <c r="DB860" s="846"/>
      <c r="DC860" s="846"/>
      <c r="DD860" s="846"/>
      <c r="DE860" s="846"/>
      <c r="DF860" s="846"/>
      <c r="DG860" s="846"/>
      <c r="DH860" s="846"/>
      <c r="DI860" s="846"/>
      <c r="DJ860" s="846"/>
      <c r="DK860" s="846"/>
      <c r="DL860" s="846"/>
      <c r="DM860" s="846"/>
      <c r="DN860" s="846"/>
      <c r="DO860" s="846"/>
      <c r="DP860" s="846"/>
      <c r="DQ860" s="846"/>
      <c r="DR860" s="846"/>
      <c r="DS860" s="846"/>
      <c r="DT860" s="846"/>
      <c r="DU860" s="846"/>
      <c r="DV860" s="846"/>
      <c r="DW860" s="846"/>
      <c r="DX860" s="846"/>
      <c r="DY860" s="846"/>
      <c r="DZ860" s="846"/>
      <c r="EA860" s="846"/>
      <c r="EB860" s="846"/>
      <c r="EC860" s="846"/>
      <c r="ED860" s="846"/>
      <c r="EE860" s="846"/>
      <c r="EF860" s="846"/>
      <c r="EG860" s="846"/>
      <c r="EH860" s="846"/>
      <c r="EI860" s="846"/>
      <c r="EJ860" s="846"/>
      <c r="EK860" s="846"/>
      <c r="EL860" s="846"/>
      <c r="EM860" s="846"/>
      <c r="EN860" s="846"/>
      <c r="EO860" s="846"/>
      <c r="EP860" s="846"/>
      <c r="EQ860" s="846"/>
      <c r="ER860" s="846"/>
      <c r="ES860" s="846"/>
      <c r="ET860" s="846"/>
      <c r="EU860" s="846"/>
      <c r="EV860" s="846"/>
      <c r="EW860" s="846"/>
      <c r="EX860" s="846"/>
      <c r="EY860" s="846"/>
      <c r="EZ860" s="846"/>
      <c r="FA860" s="846"/>
      <c r="FB860" s="846"/>
      <c r="FC860" s="846"/>
      <c r="FD860" s="846"/>
      <c r="FE860" s="846"/>
      <c r="FF860" s="846"/>
      <c r="FG860" s="846"/>
      <c r="FH860" s="846"/>
      <c r="FI860" s="846"/>
      <c r="FJ860" s="846"/>
      <c r="FK860" s="846"/>
      <c r="FL860" s="846"/>
      <c r="FM860" s="846"/>
      <c r="FN860" s="846"/>
      <c r="FO860" s="846"/>
      <c r="FP860" s="846"/>
      <c r="FQ860" s="846"/>
      <c r="FR860" s="846"/>
      <c r="FS860" s="846"/>
      <c r="FT860" s="846"/>
      <c r="FU860" s="846"/>
      <c r="FV860" s="846"/>
      <c r="FW860" s="846"/>
      <c r="FX860" s="846"/>
      <c r="FY860" s="846"/>
      <c r="FZ860" s="846"/>
      <c r="GA860" s="846"/>
      <c r="GB860" s="846"/>
      <c r="GC860" s="846"/>
      <c r="GD860" s="846"/>
      <c r="GE860" s="846"/>
      <c r="GF860" s="846"/>
      <c r="GG860" s="846"/>
      <c r="GH860" s="846"/>
      <c r="GI860" s="846"/>
      <c r="GJ860" s="846"/>
      <c r="GK860" s="846"/>
      <c r="GL860" s="846"/>
      <c r="GM860" s="846"/>
      <c r="GN860" s="846"/>
      <c r="GO860" s="846"/>
      <c r="GP860" s="846"/>
      <c r="GQ860" s="846"/>
      <c r="GR860" s="846"/>
      <c r="GS860" s="846"/>
      <c r="GT860" s="846"/>
      <c r="GU860" s="846"/>
      <c r="GV860" s="846"/>
      <c r="GW860" s="846"/>
      <c r="GX860" s="846"/>
      <c r="GY860" s="846"/>
      <c r="GZ860" s="846"/>
      <c r="HA860" s="846"/>
      <c r="HB860" s="846"/>
      <c r="HC860" s="846"/>
      <c r="HD860" s="846"/>
      <c r="HE860" s="846"/>
      <c r="HF860" s="846"/>
      <c r="HG860" s="846"/>
      <c r="HH860" s="846"/>
      <c r="HI860" s="846"/>
      <c r="HJ860" s="846"/>
      <c r="HK860" s="846"/>
      <c r="HL860" s="846"/>
      <c r="HM860" s="846"/>
      <c r="HN860" s="846"/>
      <c r="HO860" s="846"/>
      <c r="HP860" s="846"/>
      <c r="HQ860" s="846"/>
      <c r="HR860" s="846"/>
      <c r="HS860" s="846"/>
      <c r="HT860" s="846"/>
      <c r="HU860" s="846"/>
      <c r="HV860" s="846"/>
      <c r="HW860" s="846"/>
      <c r="HX860" s="846"/>
      <c r="HY860" s="846"/>
      <c r="HZ860" s="846"/>
      <c r="IA860" s="846"/>
      <c r="IB860" s="846"/>
      <c r="IC860" s="846"/>
      <c r="ID860" s="846"/>
      <c r="IE860" s="846"/>
      <c r="IF860" s="846"/>
      <c r="IG860" s="846"/>
      <c r="IH860" s="846"/>
      <c r="II860" s="846"/>
      <c r="IJ860" s="846"/>
      <c r="IK860" s="846"/>
      <c r="IL860" s="846"/>
      <c r="IM860" s="846"/>
      <c r="IN860" s="846"/>
      <c r="IO860" s="846"/>
      <c r="IP860" s="846"/>
      <c r="IQ860" s="846"/>
      <c r="IR860" s="846"/>
      <c r="IS860" s="846"/>
      <c r="IT860" s="846"/>
      <c r="IU860" s="846"/>
    </row>
    <row r="861" spans="1:255" s="604" customFormat="1" ht="13.5" customHeight="1">
      <c r="A861" s="1586"/>
      <c r="B861" s="596"/>
      <c r="C861" s="597"/>
      <c r="D861" s="719" t="s">
        <v>4994</v>
      </c>
      <c r="E861" s="599"/>
      <c r="F861" s="600">
        <v>1</v>
      </c>
      <c r="G861" s="294"/>
      <c r="H861" s="601"/>
      <c r="I861" s="602"/>
      <c r="J861" s="606"/>
      <c r="U861" s="605"/>
      <c r="W861" s="605"/>
    </row>
    <row r="862" spans="1:255" s="604" customFormat="1" ht="40.5" customHeight="1">
      <c r="A862" s="1586"/>
      <c r="B862" s="596"/>
      <c r="C862" s="597"/>
      <c r="D862" s="719" t="s">
        <v>4995</v>
      </c>
      <c r="E862" s="599"/>
      <c r="F862" s="600"/>
      <c r="G862" s="294"/>
      <c r="H862" s="601"/>
      <c r="I862" s="602"/>
      <c r="J862" s="606"/>
      <c r="U862" s="605"/>
      <c r="W862" s="605"/>
    </row>
    <row r="863" spans="1:255" s="604" customFormat="1" ht="13.5" customHeight="1">
      <c r="A863" s="1586"/>
      <c r="B863" s="596"/>
      <c r="C863" s="597"/>
      <c r="D863" s="719" t="s">
        <v>4996</v>
      </c>
      <c r="E863" s="599"/>
      <c r="F863" s="600"/>
      <c r="G863" s="294"/>
      <c r="H863" s="601"/>
      <c r="I863" s="602"/>
      <c r="J863" s="606"/>
      <c r="M863" s="1589"/>
      <c r="U863" s="605"/>
      <c r="W863" s="605"/>
    </row>
    <row r="864" spans="1:255" s="604" customFormat="1" ht="67.5" customHeight="1">
      <c r="A864" s="1586"/>
      <c r="B864" s="596"/>
      <c r="C864" s="597"/>
      <c r="D864" s="584" t="s">
        <v>310</v>
      </c>
      <c r="E864" s="599"/>
      <c r="F864" s="600"/>
      <c r="G864" s="294"/>
      <c r="H864" s="601"/>
      <c r="I864" s="1620"/>
      <c r="J864" s="606"/>
      <c r="U864" s="605"/>
      <c r="W864" s="605"/>
    </row>
    <row r="865" spans="1:255" s="604" customFormat="1" ht="27" customHeight="1">
      <c r="A865" s="595"/>
      <c r="B865" s="596"/>
      <c r="C865" s="597"/>
      <c r="D865" s="719" t="s">
        <v>4997</v>
      </c>
      <c r="E865" s="599"/>
      <c r="F865" s="600"/>
      <c r="G865" s="289"/>
      <c r="H865" s="601"/>
      <c r="I865" s="602"/>
      <c r="J865" s="606"/>
      <c r="U865" s="605"/>
      <c r="W865" s="605"/>
    </row>
    <row r="866" spans="1:255" s="562" customFormat="1" ht="13.5" customHeight="1">
      <c r="A866" s="3173" t="s">
        <v>4998</v>
      </c>
      <c r="B866" s="3131">
        <v>271</v>
      </c>
      <c r="C866" s="3131" t="s">
        <v>4999</v>
      </c>
      <c r="D866" s="3131" t="s">
        <v>5000</v>
      </c>
      <c r="E866" s="3131" t="s">
        <v>49</v>
      </c>
      <c r="F866" s="566">
        <f>ROUND(SUM(F867),3)</f>
        <v>1</v>
      </c>
      <c r="G866" s="294"/>
      <c r="H866" s="568">
        <f t="shared" ref="H866" si="49">ROUND(F866*G866,2)</f>
        <v>0</v>
      </c>
      <c r="I866" s="613" t="s">
        <v>111</v>
      </c>
      <c r="J866" s="845"/>
      <c r="BN866" s="846"/>
      <c r="BO866" s="846"/>
      <c r="BP866" s="846"/>
      <c r="BQ866" s="846"/>
      <c r="BR866" s="846"/>
      <c r="BS866" s="846"/>
      <c r="BT866" s="846"/>
      <c r="BU866" s="846"/>
      <c r="BV866" s="846"/>
      <c r="BW866" s="846"/>
      <c r="BX866" s="846"/>
      <c r="BY866" s="846"/>
      <c r="BZ866" s="846"/>
      <c r="CA866" s="846"/>
      <c r="CB866" s="846"/>
      <c r="CC866" s="846"/>
      <c r="CD866" s="846"/>
      <c r="CE866" s="846"/>
      <c r="CF866" s="846"/>
      <c r="CG866" s="846"/>
      <c r="CH866" s="846"/>
      <c r="CI866" s="846"/>
      <c r="CJ866" s="846"/>
      <c r="CK866" s="846"/>
      <c r="CL866" s="846"/>
      <c r="CM866" s="846"/>
      <c r="CN866" s="846"/>
      <c r="CO866" s="846"/>
      <c r="CP866" s="846"/>
      <c r="CQ866" s="846"/>
      <c r="CR866" s="846"/>
      <c r="CS866" s="846"/>
      <c r="CT866" s="846"/>
      <c r="CU866" s="846"/>
      <c r="CV866" s="846"/>
      <c r="CW866" s="846"/>
      <c r="CX866" s="846"/>
      <c r="CY866" s="846"/>
      <c r="CZ866" s="846"/>
      <c r="DA866" s="846"/>
      <c r="DB866" s="846"/>
      <c r="DC866" s="846"/>
      <c r="DD866" s="846"/>
      <c r="DE866" s="846"/>
      <c r="DF866" s="846"/>
      <c r="DG866" s="846"/>
      <c r="DH866" s="846"/>
      <c r="DI866" s="846"/>
      <c r="DJ866" s="846"/>
      <c r="DK866" s="846"/>
      <c r="DL866" s="846"/>
      <c r="DM866" s="846"/>
      <c r="DN866" s="846"/>
      <c r="DO866" s="846"/>
      <c r="DP866" s="846"/>
      <c r="DQ866" s="846"/>
      <c r="DR866" s="846"/>
      <c r="DS866" s="846"/>
      <c r="DT866" s="846"/>
      <c r="DU866" s="846"/>
      <c r="DV866" s="846"/>
      <c r="DW866" s="846"/>
      <c r="DX866" s="846"/>
      <c r="DY866" s="846"/>
      <c r="DZ866" s="846"/>
      <c r="EA866" s="846"/>
      <c r="EB866" s="846"/>
      <c r="EC866" s="846"/>
      <c r="ED866" s="846"/>
      <c r="EE866" s="846"/>
      <c r="EF866" s="846"/>
      <c r="EG866" s="846"/>
      <c r="EH866" s="846"/>
      <c r="EI866" s="846"/>
      <c r="EJ866" s="846"/>
      <c r="EK866" s="846"/>
      <c r="EL866" s="846"/>
      <c r="EM866" s="846"/>
      <c r="EN866" s="846"/>
      <c r="EO866" s="846"/>
      <c r="EP866" s="846"/>
      <c r="EQ866" s="846"/>
      <c r="ER866" s="846"/>
      <c r="ES866" s="846"/>
      <c r="ET866" s="846"/>
      <c r="EU866" s="846"/>
      <c r="EV866" s="846"/>
      <c r="EW866" s="846"/>
      <c r="EX866" s="846"/>
      <c r="EY866" s="846"/>
      <c r="EZ866" s="846"/>
      <c r="FA866" s="846"/>
      <c r="FB866" s="846"/>
      <c r="FC866" s="846"/>
      <c r="FD866" s="846"/>
      <c r="FE866" s="846"/>
      <c r="FF866" s="846"/>
      <c r="FG866" s="846"/>
      <c r="FH866" s="846"/>
      <c r="FI866" s="846"/>
      <c r="FJ866" s="846"/>
      <c r="FK866" s="846"/>
      <c r="FL866" s="846"/>
      <c r="FM866" s="846"/>
      <c r="FN866" s="846"/>
      <c r="FO866" s="846"/>
      <c r="FP866" s="846"/>
      <c r="FQ866" s="846"/>
      <c r="FR866" s="846"/>
      <c r="FS866" s="846"/>
      <c r="FT866" s="846"/>
      <c r="FU866" s="846"/>
      <c r="FV866" s="846"/>
      <c r="FW866" s="846"/>
      <c r="FX866" s="846"/>
      <c r="FY866" s="846"/>
      <c r="FZ866" s="846"/>
      <c r="GA866" s="846"/>
      <c r="GB866" s="846"/>
      <c r="GC866" s="846"/>
      <c r="GD866" s="846"/>
      <c r="GE866" s="846"/>
      <c r="GF866" s="846"/>
      <c r="GG866" s="846"/>
      <c r="GH866" s="846"/>
      <c r="GI866" s="846"/>
      <c r="GJ866" s="846"/>
      <c r="GK866" s="846"/>
      <c r="GL866" s="846"/>
      <c r="GM866" s="846"/>
      <c r="GN866" s="846"/>
      <c r="GO866" s="846"/>
      <c r="GP866" s="846"/>
      <c r="GQ866" s="846"/>
      <c r="GR866" s="846"/>
      <c r="GS866" s="846"/>
      <c r="GT866" s="846"/>
      <c r="GU866" s="846"/>
      <c r="GV866" s="846"/>
      <c r="GW866" s="846"/>
      <c r="GX866" s="846"/>
      <c r="GY866" s="846"/>
      <c r="GZ866" s="846"/>
      <c r="HA866" s="846"/>
      <c r="HB866" s="846"/>
      <c r="HC866" s="846"/>
      <c r="HD866" s="846"/>
      <c r="HE866" s="846"/>
      <c r="HF866" s="846"/>
      <c r="HG866" s="846"/>
      <c r="HH866" s="846"/>
      <c r="HI866" s="846"/>
      <c r="HJ866" s="846"/>
      <c r="HK866" s="846"/>
      <c r="HL866" s="846"/>
      <c r="HM866" s="846"/>
      <c r="HN866" s="846"/>
      <c r="HO866" s="846"/>
      <c r="HP866" s="846"/>
      <c r="HQ866" s="846"/>
      <c r="HR866" s="846"/>
      <c r="HS866" s="846"/>
      <c r="HT866" s="846"/>
      <c r="HU866" s="846"/>
      <c r="HV866" s="846"/>
      <c r="HW866" s="846"/>
      <c r="HX866" s="846"/>
      <c r="HY866" s="846"/>
      <c r="HZ866" s="846"/>
      <c r="IA866" s="846"/>
      <c r="IB866" s="846"/>
      <c r="IC866" s="846"/>
      <c r="ID866" s="846"/>
      <c r="IE866" s="846"/>
      <c r="IF866" s="846"/>
      <c r="IG866" s="846"/>
      <c r="IH866" s="846"/>
      <c r="II866" s="846"/>
      <c r="IJ866" s="846"/>
      <c r="IK866" s="846"/>
      <c r="IL866" s="846"/>
      <c r="IM866" s="846"/>
      <c r="IN866" s="846"/>
      <c r="IO866" s="846"/>
      <c r="IP866" s="846"/>
      <c r="IQ866" s="846"/>
      <c r="IR866" s="846"/>
      <c r="IS866" s="846"/>
      <c r="IT866" s="846"/>
      <c r="IU866" s="846"/>
    </row>
    <row r="867" spans="1:255" s="562" customFormat="1" ht="13.5" customHeight="1">
      <c r="A867" s="3175"/>
      <c r="B867" s="565"/>
      <c r="C867" s="565"/>
      <c r="D867" s="575" t="s">
        <v>5001</v>
      </c>
      <c r="E867" s="565"/>
      <c r="F867" s="3176">
        <v>1</v>
      </c>
      <c r="G867" s="294"/>
      <c r="H867" s="567"/>
      <c r="I867" s="561"/>
      <c r="J867" s="3177"/>
      <c r="K867" s="3178"/>
      <c r="L867" s="3179"/>
      <c r="M867" s="871"/>
      <c r="N867" s="871"/>
      <c r="O867" s="3180"/>
      <c r="P867" s="871"/>
      <c r="Q867" s="3181"/>
      <c r="R867" s="875"/>
      <c r="S867" s="875"/>
      <c r="T867" s="3182"/>
    </row>
    <row r="868" spans="1:255" s="692" customFormat="1" ht="54" customHeight="1">
      <c r="A868" s="3175"/>
      <c r="B868" s="572"/>
      <c r="C868" s="565"/>
      <c r="D868" s="575" t="s">
        <v>5002</v>
      </c>
      <c r="E868" s="565"/>
      <c r="F868" s="3176"/>
      <c r="G868" s="294"/>
      <c r="H868" s="567"/>
      <c r="I868" s="561"/>
      <c r="N868" s="3183"/>
    </row>
    <row r="869" spans="1:255" s="562" customFormat="1" ht="13.5" customHeight="1">
      <c r="A869" s="3175"/>
      <c r="B869" s="565"/>
      <c r="C869" s="565"/>
      <c r="D869" s="575" t="s">
        <v>5003</v>
      </c>
      <c r="E869" s="565"/>
      <c r="F869" s="576"/>
      <c r="G869" s="294"/>
      <c r="H869" s="567"/>
      <c r="I869" s="561"/>
      <c r="J869" s="3177"/>
      <c r="K869" s="3178"/>
      <c r="L869" s="3179"/>
      <c r="M869" s="871"/>
      <c r="N869" s="871"/>
      <c r="O869" s="3180"/>
      <c r="P869" s="871"/>
      <c r="Q869" s="3181"/>
      <c r="R869" s="875"/>
      <c r="S869" s="875"/>
      <c r="T869" s="3182"/>
    </row>
    <row r="870" spans="1:255" s="562" customFormat="1" ht="67.5" customHeight="1">
      <c r="A870" s="3175"/>
      <c r="B870" s="565"/>
      <c r="C870" s="565"/>
      <c r="D870" s="584" t="s">
        <v>310</v>
      </c>
      <c r="E870" s="565"/>
      <c r="F870" s="576"/>
      <c r="G870" s="294"/>
      <c r="H870" s="567"/>
      <c r="I870" s="561"/>
      <c r="J870" s="3177"/>
      <c r="K870" s="3178"/>
      <c r="L870" s="3179"/>
      <c r="M870" s="871"/>
      <c r="N870" s="871"/>
      <c r="O870" s="3180"/>
      <c r="P870" s="871"/>
      <c r="Q870" s="3181"/>
      <c r="R870" s="875"/>
      <c r="S870" s="875"/>
      <c r="T870" s="3182"/>
    </row>
    <row r="871" spans="1:255" s="888" customFormat="1" ht="13.5" customHeight="1">
      <c r="A871" s="3130">
        <v>58</v>
      </c>
      <c r="B871" s="3131">
        <v>271</v>
      </c>
      <c r="C871" s="3131" t="s">
        <v>5004</v>
      </c>
      <c r="D871" s="3131" t="s">
        <v>5005</v>
      </c>
      <c r="E871" s="3131" t="s">
        <v>205</v>
      </c>
      <c r="F871" s="566">
        <f>ROUND(SUM(F873:F893),3)</f>
        <v>50</v>
      </c>
      <c r="G871" s="288"/>
      <c r="H871" s="568">
        <f t="shared" ref="H871" si="50">ROUND(F871*G871,2)</f>
        <v>0</v>
      </c>
      <c r="I871" s="613" t="s">
        <v>111</v>
      </c>
      <c r="J871" s="2747"/>
      <c r="BN871" s="2657"/>
      <c r="BO871" s="2657"/>
      <c r="BP871" s="2657"/>
      <c r="BQ871" s="2657"/>
      <c r="BR871" s="2657"/>
      <c r="BS871" s="2657"/>
      <c r="BT871" s="2657"/>
      <c r="BU871" s="2657"/>
      <c r="BV871" s="2657"/>
      <c r="BW871" s="2657"/>
      <c r="BX871" s="2657"/>
      <c r="BY871" s="2657"/>
      <c r="BZ871" s="2657"/>
      <c r="CA871" s="2657"/>
      <c r="CB871" s="2657"/>
      <c r="CC871" s="2657"/>
      <c r="CD871" s="2657"/>
      <c r="CE871" s="2657"/>
      <c r="CF871" s="2657"/>
      <c r="CG871" s="2657"/>
      <c r="CH871" s="2657"/>
      <c r="CI871" s="2657"/>
      <c r="CJ871" s="2657"/>
      <c r="CK871" s="2657"/>
      <c r="CL871" s="2657"/>
      <c r="CM871" s="2657"/>
      <c r="CN871" s="2657"/>
      <c r="CO871" s="2657"/>
      <c r="CP871" s="2657"/>
      <c r="CQ871" s="2657"/>
      <c r="CR871" s="2657"/>
      <c r="CS871" s="2657"/>
      <c r="CT871" s="2657"/>
      <c r="CU871" s="2657"/>
      <c r="CV871" s="2657"/>
      <c r="CW871" s="2657"/>
      <c r="CX871" s="2657"/>
      <c r="CY871" s="2657"/>
      <c r="CZ871" s="2657"/>
      <c r="DA871" s="2657"/>
      <c r="DB871" s="2657"/>
      <c r="DC871" s="2657"/>
      <c r="DD871" s="2657"/>
      <c r="DE871" s="2657"/>
      <c r="DF871" s="2657"/>
      <c r="DG871" s="2657"/>
      <c r="DH871" s="2657"/>
      <c r="DI871" s="2657"/>
      <c r="DJ871" s="2657"/>
      <c r="DK871" s="2657"/>
      <c r="DL871" s="2657"/>
      <c r="DM871" s="2657"/>
      <c r="DN871" s="2657"/>
      <c r="DO871" s="2657"/>
      <c r="DP871" s="2657"/>
      <c r="DQ871" s="2657"/>
      <c r="DR871" s="2657"/>
      <c r="DS871" s="2657"/>
      <c r="DT871" s="2657"/>
      <c r="DU871" s="2657"/>
      <c r="DV871" s="2657"/>
      <c r="DW871" s="2657"/>
      <c r="DX871" s="2657"/>
      <c r="DY871" s="2657"/>
      <c r="DZ871" s="2657"/>
      <c r="EA871" s="2657"/>
      <c r="EB871" s="2657"/>
      <c r="EC871" s="2657"/>
      <c r="ED871" s="2657"/>
      <c r="EE871" s="2657"/>
      <c r="EF871" s="2657"/>
      <c r="EG871" s="2657"/>
      <c r="EH871" s="2657"/>
      <c r="EI871" s="2657"/>
      <c r="EJ871" s="2657"/>
      <c r="EK871" s="2657"/>
      <c r="EL871" s="2657"/>
      <c r="EM871" s="2657"/>
      <c r="EN871" s="2657"/>
      <c r="EO871" s="2657"/>
      <c r="EP871" s="2657"/>
      <c r="EQ871" s="2657"/>
      <c r="ER871" s="2657"/>
      <c r="ES871" s="2657"/>
      <c r="ET871" s="2657"/>
      <c r="EU871" s="2657"/>
      <c r="EV871" s="2657"/>
      <c r="EW871" s="2657"/>
      <c r="EX871" s="2657"/>
      <c r="EY871" s="2657"/>
      <c r="EZ871" s="2657"/>
      <c r="FA871" s="2657"/>
      <c r="FB871" s="2657"/>
      <c r="FC871" s="2657"/>
      <c r="FD871" s="2657"/>
      <c r="FE871" s="2657"/>
      <c r="FF871" s="2657"/>
      <c r="FG871" s="2657"/>
      <c r="FH871" s="2657"/>
      <c r="FI871" s="2657"/>
      <c r="FJ871" s="2657"/>
      <c r="FK871" s="2657"/>
      <c r="FL871" s="2657"/>
      <c r="FM871" s="2657"/>
      <c r="FN871" s="2657"/>
      <c r="FO871" s="2657"/>
      <c r="FP871" s="2657"/>
      <c r="FQ871" s="2657"/>
      <c r="FR871" s="2657"/>
      <c r="FS871" s="2657"/>
      <c r="FT871" s="2657"/>
      <c r="FU871" s="2657"/>
      <c r="FV871" s="2657"/>
      <c r="FW871" s="2657"/>
      <c r="FX871" s="2657"/>
      <c r="FY871" s="2657"/>
      <c r="FZ871" s="2657"/>
      <c r="GA871" s="2657"/>
      <c r="GB871" s="2657"/>
      <c r="GC871" s="2657"/>
      <c r="GD871" s="2657"/>
      <c r="GE871" s="2657"/>
      <c r="GF871" s="2657"/>
      <c r="GG871" s="2657"/>
      <c r="GH871" s="2657"/>
      <c r="GI871" s="2657"/>
      <c r="GJ871" s="2657"/>
      <c r="GK871" s="2657"/>
      <c r="GL871" s="2657"/>
      <c r="GM871" s="2657"/>
      <c r="GN871" s="2657"/>
      <c r="GO871" s="2657"/>
      <c r="GP871" s="2657"/>
      <c r="GQ871" s="2657"/>
      <c r="GR871" s="2657"/>
      <c r="GS871" s="2657"/>
      <c r="GT871" s="2657"/>
      <c r="GU871" s="2657"/>
      <c r="GV871" s="2657"/>
      <c r="GW871" s="2657"/>
      <c r="GX871" s="2657"/>
      <c r="GY871" s="2657"/>
      <c r="GZ871" s="2657"/>
      <c r="HA871" s="2657"/>
      <c r="HB871" s="2657"/>
      <c r="HC871" s="2657"/>
      <c r="HD871" s="2657"/>
      <c r="HE871" s="2657"/>
      <c r="HF871" s="2657"/>
      <c r="HG871" s="2657"/>
      <c r="HH871" s="2657"/>
      <c r="HI871" s="2657"/>
      <c r="HJ871" s="2657"/>
      <c r="HK871" s="2657"/>
      <c r="HL871" s="2657"/>
      <c r="HM871" s="2657"/>
      <c r="HN871" s="2657"/>
      <c r="HO871" s="2657"/>
      <c r="HP871" s="2657"/>
      <c r="HQ871" s="2657"/>
      <c r="HR871" s="2657"/>
      <c r="HS871" s="2657"/>
      <c r="HT871" s="2657"/>
      <c r="HU871" s="2657"/>
      <c r="HV871" s="2657"/>
      <c r="HW871" s="2657"/>
      <c r="HX871" s="2657"/>
      <c r="HY871" s="2657"/>
      <c r="HZ871" s="2657"/>
      <c r="IA871" s="2657"/>
      <c r="IB871" s="2657"/>
      <c r="IC871" s="2657"/>
      <c r="ID871" s="2657"/>
      <c r="IE871" s="2657"/>
      <c r="IF871" s="2657"/>
      <c r="IG871" s="2657"/>
      <c r="IH871" s="2657"/>
      <c r="II871" s="2657"/>
      <c r="IJ871" s="2657"/>
      <c r="IK871" s="2657"/>
      <c r="IL871" s="2657"/>
      <c r="IM871" s="2657"/>
      <c r="IN871" s="2657"/>
      <c r="IO871" s="2657"/>
      <c r="IP871" s="2657"/>
      <c r="IQ871" s="2657"/>
      <c r="IR871" s="2657"/>
      <c r="IS871" s="2657"/>
      <c r="IT871" s="2657"/>
      <c r="IU871" s="2657"/>
    </row>
    <row r="872" spans="1:255" s="604" customFormat="1" ht="13.5" customHeight="1">
      <c r="A872" s="595"/>
      <c r="B872" s="596"/>
      <c r="C872" s="597"/>
      <c r="D872" s="719" t="s">
        <v>5006</v>
      </c>
      <c r="E872" s="599"/>
      <c r="F872" s="600"/>
      <c r="G872" s="289"/>
      <c r="H872" s="601"/>
      <c r="I872" s="602"/>
      <c r="J872" s="848"/>
      <c r="U872" s="605"/>
      <c r="W872" s="605"/>
    </row>
    <row r="873" spans="1:255" s="604" customFormat="1" ht="13.5" customHeight="1">
      <c r="A873" s="595"/>
      <c r="B873" s="596"/>
      <c r="C873" s="597"/>
      <c r="D873" s="719" t="s">
        <v>5007</v>
      </c>
      <c r="E873" s="599"/>
      <c r="F873" s="600">
        <f>2</f>
        <v>2</v>
      </c>
      <c r="G873" s="289"/>
      <c r="H873" s="601"/>
      <c r="I873" s="602"/>
      <c r="J873" s="848"/>
      <c r="U873" s="605"/>
      <c r="W873" s="605"/>
    </row>
    <row r="874" spans="1:255" s="604" customFormat="1" ht="13.5" customHeight="1">
      <c r="A874" s="595"/>
      <c r="B874" s="596"/>
      <c r="C874" s="597"/>
      <c r="D874" s="719" t="s">
        <v>5008</v>
      </c>
      <c r="E874" s="599"/>
      <c r="F874" s="600">
        <f>3</f>
        <v>3</v>
      </c>
      <c r="G874" s="289"/>
      <c r="H874" s="601"/>
      <c r="I874" s="602"/>
      <c r="J874" s="848"/>
      <c r="U874" s="605"/>
      <c r="W874" s="605"/>
    </row>
    <row r="875" spans="1:255" s="604" customFormat="1" ht="13.5" customHeight="1">
      <c r="A875" s="595"/>
      <c r="B875" s="596"/>
      <c r="C875" s="597"/>
      <c r="D875" s="719" t="s">
        <v>5009</v>
      </c>
      <c r="E875" s="599"/>
      <c r="F875" s="600">
        <f>2</f>
        <v>2</v>
      </c>
      <c r="G875" s="289"/>
      <c r="H875" s="601"/>
      <c r="I875" s="602"/>
      <c r="J875" s="848"/>
      <c r="U875" s="605"/>
      <c r="W875" s="605"/>
    </row>
    <row r="876" spans="1:255" s="604" customFormat="1" ht="13.5" customHeight="1">
      <c r="A876" s="595"/>
      <c r="B876" s="596"/>
      <c r="C876" s="597"/>
      <c r="D876" s="719" t="s">
        <v>5010</v>
      </c>
      <c r="E876" s="599"/>
      <c r="F876" s="600">
        <f>3</f>
        <v>3</v>
      </c>
      <c r="G876" s="289"/>
      <c r="H876" s="601"/>
      <c r="I876" s="602"/>
      <c r="J876" s="848"/>
      <c r="U876" s="605"/>
      <c r="W876" s="605"/>
    </row>
    <row r="877" spans="1:255" s="604" customFormat="1" ht="13.5" customHeight="1">
      <c r="A877" s="595"/>
      <c r="B877" s="596"/>
      <c r="C877" s="597"/>
      <c r="D877" s="719" t="s">
        <v>5011</v>
      </c>
      <c r="E877" s="599"/>
      <c r="F877" s="600">
        <f>3</f>
        <v>3</v>
      </c>
      <c r="G877" s="289"/>
      <c r="H877" s="601"/>
      <c r="I877" s="602"/>
      <c r="J877" s="848"/>
      <c r="U877" s="605"/>
      <c r="W877" s="605"/>
    </row>
    <row r="878" spans="1:255" s="604" customFormat="1" ht="13.5" customHeight="1">
      <c r="A878" s="595"/>
      <c r="B878" s="596"/>
      <c r="C878" s="597"/>
      <c r="D878" s="719" t="s">
        <v>5012</v>
      </c>
      <c r="E878" s="599"/>
      <c r="F878" s="600">
        <f>3</f>
        <v>3</v>
      </c>
      <c r="G878" s="289"/>
      <c r="H878" s="601"/>
      <c r="I878" s="602"/>
      <c r="J878" s="848"/>
      <c r="U878" s="605"/>
      <c r="W878" s="605"/>
    </row>
    <row r="879" spans="1:255" s="604" customFormat="1" ht="13.5" customHeight="1">
      <c r="A879" s="595"/>
      <c r="B879" s="596"/>
      <c r="C879" s="597"/>
      <c r="D879" s="719" t="s">
        <v>5013</v>
      </c>
      <c r="E879" s="599"/>
      <c r="F879" s="600">
        <f>3</f>
        <v>3</v>
      </c>
      <c r="G879" s="289"/>
      <c r="H879" s="601"/>
      <c r="I879" s="602"/>
      <c r="J879" s="848"/>
      <c r="U879" s="605"/>
      <c r="W879" s="605"/>
    </row>
    <row r="880" spans="1:255" s="604" customFormat="1" ht="13.5" customHeight="1">
      <c r="A880" s="595"/>
      <c r="B880" s="596"/>
      <c r="C880" s="597"/>
      <c r="D880" s="719" t="s">
        <v>5014</v>
      </c>
      <c r="E880" s="599"/>
      <c r="F880" s="600">
        <f>2</f>
        <v>2</v>
      </c>
      <c r="G880" s="289"/>
      <c r="H880" s="601"/>
      <c r="I880" s="602"/>
      <c r="J880" s="848"/>
      <c r="U880" s="605"/>
      <c r="W880" s="605"/>
    </row>
    <row r="881" spans="1:255" s="604" customFormat="1" ht="13.5" customHeight="1">
      <c r="A881" s="595"/>
      <c r="B881" s="596"/>
      <c r="C881" s="597"/>
      <c r="D881" s="719" t="s">
        <v>5015</v>
      </c>
      <c r="E881" s="599"/>
      <c r="F881" s="600">
        <f>2</f>
        <v>2</v>
      </c>
      <c r="G881" s="289"/>
      <c r="H881" s="601"/>
      <c r="I881" s="602"/>
      <c r="J881" s="848"/>
      <c r="U881" s="605"/>
      <c r="W881" s="605"/>
    </row>
    <row r="882" spans="1:255" s="604" customFormat="1" ht="13.5" customHeight="1">
      <c r="A882" s="595"/>
      <c r="B882" s="596"/>
      <c r="C882" s="597"/>
      <c r="D882" s="719" t="s">
        <v>5016</v>
      </c>
      <c r="E882" s="599"/>
      <c r="F882" s="600">
        <f>2</f>
        <v>2</v>
      </c>
      <c r="G882" s="289"/>
      <c r="H882" s="601"/>
      <c r="I882" s="602"/>
      <c r="J882" s="848"/>
      <c r="U882" s="605"/>
      <c r="W882" s="605"/>
    </row>
    <row r="883" spans="1:255" s="604" customFormat="1" ht="13.5" customHeight="1">
      <c r="A883" s="595"/>
      <c r="B883" s="596"/>
      <c r="C883" s="597"/>
      <c r="D883" s="719" t="s">
        <v>5017</v>
      </c>
      <c r="E883" s="599"/>
      <c r="F883" s="600">
        <f>3</f>
        <v>3</v>
      </c>
      <c r="G883" s="289"/>
      <c r="H883" s="601"/>
      <c r="I883" s="602"/>
      <c r="J883" s="848"/>
      <c r="U883" s="605"/>
      <c r="W883" s="605"/>
    </row>
    <row r="884" spans="1:255" s="604" customFormat="1" ht="13.5" customHeight="1">
      <c r="A884" s="595"/>
      <c r="B884" s="596"/>
      <c r="C884" s="597"/>
      <c r="D884" s="719" t="s">
        <v>5018</v>
      </c>
      <c r="E884" s="599"/>
      <c r="F884" s="600">
        <f>3</f>
        <v>3</v>
      </c>
      <c r="G884" s="289"/>
      <c r="H884" s="601"/>
      <c r="I884" s="602"/>
      <c r="J884" s="848"/>
      <c r="U884" s="605"/>
      <c r="W884" s="605"/>
    </row>
    <row r="885" spans="1:255" s="604" customFormat="1" ht="13.5" customHeight="1">
      <c r="A885" s="595"/>
      <c r="B885" s="596"/>
      <c r="C885" s="597"/>
      <c r="D885" s="719" t="s">
        <v>5019</v>
      </c>
      <c r="E885" s="599"/>
      <c r="F885" s="600">
        <f>2</f>
        <v>2</v>
      </c>
      <c r="G885" s="289"/>
      <c r="H885" s="601"/>
      <c r="I885" s="602"/>
      <c r="J885" s="848"/>
      <c r="U885" s="605"/>
      <c r="W885" s="605"/>
    </row>
    <row r="886" spans="1:255" s="604" customFormat="1" ht="13.5" customHeight="1">
      <c r="A886" s="595"/>
      <c r="B886" s="596"/>
      <c r="C886" s="597"/>
      <c r="D886" s="719" t="s">
        <v>5020</v>
      </c>
      <c r="E886" s="599"/>
      <c r="F886" s="600">
        <f>2</f>
        <v>2</v>
      </c>
      <c r="G886" s="289"/>
      <c r="H886" s="601"/>
      <c r="I886" s="602"/>
      <c r="J886" s="848"/>
      <c r="U886" s="605"/>
      <c r="W886" s="605"/>
    </row>
    <row r="887" spans="1:255" s="604" customFormat="1" ht="13.5" customHeight="1">
      <c r="A887" s="595"/>
      <c r="B887" s="596"/>
      <c r="C887" s="597"/>
      <c r="D887" s="719" t="s">
        <v>5021</v>
      </c>
      <c r="E887" s="599"/>
      <c r="F887" s="600">
        <f>2</f>
        <v>2</v>
      </c>
      <c r="G887" s="289"/>
      <c r="H887" s="601"/>
      <c r="I887" s="602"/>
      <c r="J887" s="848"/>
      <c r="U887" s="605"/>
      <c r="W887" s="605"/>
    </row>
    <row r="888" spans="1:255" s="604" customFormat="1" ht="13.5" customHeight="1">
      <c r="A888" s="595"/>
      <c r="B888" s="596"/>
      <c r="C888" s="597"/>
      <c r="D888" s="719" t="s">
        <v>5022</v>
      </c>
      <c r="E888" s="599"/>
      <c r="F888" s="600">
        <f>3</f>
        <v>3</v>
      </c>
      <c r="G888" s="289"/>
      <c r="H888" s="601"/>
      <c r="I888" s="602"/>
      <c r="J888" s="848"/>
      <c r="U888" s="605"/>
      <c r="W888" s="605"/>
    </row>
    <row r="889" spans="1:255" s="604" customFormat="1" ht="13.5" customHeight="1">
      <c r="A889" s="595"/>
      <c r="B889" s="596"/>
      <c r="C889" s="597"/>
      <c r="D889" s="719" t="s">
        <v>5023</v>
      </c>
      <c r="E889" s="599"/>
      <c r="F889" s="600">
        <f>2</f>
        <v>2</v>
      </c>
      <c r="G889" s="289"/>
      <c r="H889" s="601"/>
      <c r="I889" s="602"/>
      <c r="J889" s="848"/>
      <c r="U889" s="605"/>
      <c r="W889" s="605"/>
    </row>
    <row r="890" spans="1:255" s="604" customFormat="1" ht="13.5" customHeight="1">
      <c r="A890" s="595"/>
      <c r="B890" s="596"/>
      <c r="C890" s="597"/>
      <c r="D890" s="719" t="s">
        <v>5024</v>
      </c>
      <c r="E890" s="599"/>
      <c r="F890" s="600">
        <f>2</f>
        <v>2</v>
      </c>
      <c r="G890" s="289"/>
      <c r="H890" s="601"/>
      <c r="I890" s="602"/>
      <c r="J890" s="848"/>
      <c r="U890" s="605"/>
      <c r="W890" s="605"/>
    </row>
    <row r="891" spans="1:255" s="604" customFormat="1" ht="13.5" customHeight="1">
      <c r="A891" s="595"/>
      <c r="B891" s="596"/>
      <c r="C891" s="597"/>
      <c r="D891" s="719" t="s">
        <v>5025</v>
      </c>
      <c r="E891" s="599"/>
      <c r="F891" s="600">
        <f>2</f>
        <v>2</v>
      </c>
      <c r="G891" s="289"/>
      <c r="H891" s="601"/>
      <c r="I891" s="602"/>
      <c r="J891" s="848"/>
      <c r="U891" s="605"/>
      <c r="W891" s="605"/>
    </row>
    <row r="892" spans="1:255" s="604" customFormat="1" ht="13.5" customHeight="1">
      <c r="A892" s="595"/>
      <c r="B892" s="596"/>
      <c r="C892" s="597"/>
      <c r="D892" s="719" t="s">
        <v>5026</v>
      </c>
      <c r="E892" s="599"/>
      <c r="F892" s="600">
        <f>2</f>
        <v>2</v>
      </c>
      <c r="G892" s="289"/>
      <c r="H892" s="601"/>
      <c r="I892" s="602"/>
      <c r="J892" s="848"/>
      <c r="U892" s="605"/>
      <c r="W892" s="605"/>
    </row>
    <row r="893" spans="1:255" s="604" customFormat="1" ht="13.5" customHeight="1">
      <c r="A893" s="595"/>
      <c r="B893" s="596"/>
      <c r="C893" s="597"/>
      <c r="D893" s="719" t="s">
        <v>5027</v>
      </c>
      <c r="E893" s="599"/>
      <c r="F893" s="600">
        <f>2</f>
        <v>2</v>
      </c>
      <c r="G893" s="289"/>
      <c r="H893" s="601"/>
      <c r="I893" s="602"/>
      <c r="J893" s="848"/>
      <c r="U893" s="605"/>
      <c r="W893" s="605"/>
    </row>
    <row r="894" spans="1:255" s="604" customFormat="1" ht="27" customHeight="1">
      <c r="A894" s="595"/>
      <c r="B894" s="596"/>
      <c r="C894" s="597"/>
      <c r="D894" s="719" t="s">
        <v>5028</v>
      </c>
      <c r="E894" s="599"/>
      <c r="F894" s="600"/>
      <c r="G894" s="289"/>
      <c r="H894" s="601"/>
      <c r="I894" s="602"/>
      <c r="J894" s="606"/>
      <c r="U894" s="605"/>
      <c r="W894" s="605"/>
    </row>
    <row r="895" spans="1:255" s="888" customFormat="1" ht="13.5" customHeight="1">
      <c r="A895" s="3130">
        <v>59</v>
      </c>
      <c r="B895" s="3131">
        <v>271</v>
      </c>
      <c r="C895" s="3131" t="s">
        <v>5029</v>
      </c>
      <c r="D895" s="3131" t="s">
        <v>5030</v>
      </c>
      <c r="E895" s="3131" t="s">
        <v>205</v>
      </c>
      <c r="F895" s="566">
        <f>ROUND(SUM(F897:F897),3)</f>
        <v>2</v>
      </c>
      <c r="G895" s="288"/>
      <c r="H895" s="568">
        <f>ROUND(F895*G895,2)</f>
        <v>0</v>
      </c>
      <c r="I895" s="613" t="s">
        <v>111</v>
      </c>
      <c r="J895" s="3092"/>
      <c r="BN895" s="2657"/>
      <c r="BO895" s="2657"/>
      <c r="BP895" s="2657"/>
      <c r="BQ895" s="2657"/>
      <c r="BR895" s="2657"/>
      <c r="BS895" s="2657"/>
      <c r="BT895" s="2657"/>
      <c r="BU895" s="2657"/>
      <c r="BV895" s="2657"/>
      <c r="BW895" s="2657"/>
      <c r="BX895" s="2657"/>
      <c r="BY895" s="2657"/>
      <c r="BZ895" s="2657"/>
      <c r="CA895" s="2657"/>
      <c r="CB895" s="2657"/>
      <c r="CC895" s="2657"/>
      <c r="CD895" s="2657"/>
      <c r="CE895" s="2657"/>
      <c r="CF895" s="2657"/>
      <c r="CG895" s="2657"/>
      <c r="CH895" s="2657"/>
      <c r="CI895" s="2657"/>
      <c r="CJ895" s="2657"/>
      <c r="CK895" s="2657"/>
      <c r="CL895" s="2657"/>
      <c r="CM895" s="2657"/>
      <c r="CN895" s="2657"/>
      <c r="CO895" s="2657"/>
      <c r="CP895" s="2657"/>
      <c r="CQ895" s="2657"/>
      <c r="CR895" s="2657"/>
      <c r="CS895" s="2657"/>
      <c r="CT895" s="2657"/>
      <c r="CU895" s="2657"/>
      <c r="CV895" s="2657"/>
      <c r="CW895" s="2657"/>
      <c r="CX895" s="2657"/>
      <c r="CY895" s="2657"/>
      <c r="CZ895" s="2657"/>
      <c r="DA895" s="2657"/>
      <c r="DB895" s="2657"/>
      <c r="DC895" s="2657"/>
      <c r="DD895" s="2657"/>
      <c r="DE895" s="2657"/>
      <c r="DF895" s="2657"/>
      <c r="DG895" s="2657"/>
      <c r="DH895" s="2657"/>
      <c r="DI895" s="2657"/>
      <c r="DJ895" s="2657"/>
      <c r="DK895" s="2657"/>
      <c r="DL895" s="2657"/>
      <c r="DM895" s="2657"/>
      <c r="DN895" s="2657"/>
      <c r="DO895" s="2657"/>
      <c r="DP895" s="2657"/>
      <c r="DQ895" s="2657"/>
      <c r="DR895" s="2657"/>
      <c r="DS895" s="2657"/>
      <c r="DT895" s="2657"/>
      <c r="DU895" s="2657"/>
      <c r="DV895" s="2657"/>
      <c r="DW895" s="2657"/>
      <c r="DX895" s="2657"/>
      <c r="DY895" s="2657"/>
      <c r="DZ895" s="2657"/>
      <c r="EA895" s="2657"/>
      <c r="EB895" s="2657"/>
      <c r="EC895" s="2657"/>
      <c r="ED895" s="2657"/>
      <c r="EE895" s="2657"/>
      <c r="EF895" s="2657"/>
      <c r="EG895" s="2657"/>
      <c r="EH895" s="2657"/>
      <c r="EI895" s="2657"/>
      <c r="EJ895" s="2657"/>
      <c r="EK895" s="2657"/>
      <c r="EL895" s="2657"/>
      <c r="EM895" s="2657"/>
      <c r="EN895" s="2657"/>
      <c r="EO895" s="2657"/>
      <c r="EP895" s="2657"/>
      <c r="EQ895" s="2657"/>
      <c r="ER895" s="2657"/>
      <c r="ES895" s="2657"/>
      <c r="ET895" s="2657"/>
      <c r="EU895" s="2657"/>
      <c r="EV895" s="2657"/>
      <c r="EW895" s="2657"/>
      <c r="EX895" s="2657"/>
      <c r="EY895" s="2657"/>
      <c r="EZ895" s="2657"/>
      <c r="FA895" s="2657"/>
      <c r="FB895" s="2657"/>
      <c r="FC895" s="2657"/>
      <c r="FD895" s="2657"/>
      <c r="FE895" s="2657"/>
      <c r="FF895" s="2657"/>
      <c r="FG895" s="2657"/>
      <c r="FH895" s="2657"/>
      <c r="FI895" s="2657"/>
      <c r="FJ895" s="2657"/>
      <c r="FK895" s="2657"/>
      <c r="FL895" s="2657"/>
      <c r="FM895" s="2657"/>
      <c r="FN895" s="2657"/>
      <c r="FO895" s="2657"/>
      <c r="FP895" s="2657"/>
      <c r="FQ895" s="2657"/>
      <c r="FR895" s="2657"/>
      <c r="FS895" s="2657"/>
      <c r="FT895" s="2657"/>
      <c r="FU895" s="2657"/>
      <c r="FV895" s="2657"/>
      <c r="FW895" s="2657"/>
      <c r="FX895" s="2657"/>
      <c r="FY895" s="2657"/>
      <c r="FZ895" s="2657"/>
      <c r="GA895" s="2657"/>
      <c r="GB895" s="2657"/>
      <c r="GC895" s="2657"/>
      <c r="GD895" s="2657"/>
      <c r="GE895" s="2657"/>
      <c r="GF895" s="2657"/>
      <c r="GG895" s="2657"/>
      <c r="GH895" s="2657"/>
      <c r="GI895" s="2657"/>
      <c r="GJ895" s="2657"/>
      <c r="GK895" s="2657"/>
      <c r="GL895" s="2657"/>
      <c r="GM895" s="2657"/>
      <c r="GN895" s="2657"/>
      <c r="GO895" s="2657"/>
      <c r="GP895" s="2657"/>
      <c r="GQ895" s="2657"/>
      <c r="GR895" s="2657"/>
      <c r="GS895" s="2657"/>
      <c r="GT895" s="2657"/>
      <c r="GU895" s="2657"/>
      <c r="GV895" s="2657"/>
      <c r="GW895" s="2657"/>
      <c r="GX895" s="2657"/>
      <c r="GY895" s="2657"/>
      <c r="GZ895" s="2657"/>
      <c r="HA895" s="2657"/>
      <c r="HB895" s="2657"/>
      <c r="HC895" s="2657"/>
      <c r="HD895" s="2657"/>
      <c r="HE895" s="2657"/>
      <c r="HF895" s="2657"/>
      <c r="HG895" s="2657"/>
      <c r="HH895" s="2657"/>
      <c r="HI895" s="2657"/>
      <c r="HJ895" s="2657"/>
      <c r="HK895" s="2657"/>
      <c r="HL895" s="2657"/>
      <c r="HM895" s="2657"/>
      <c r="HN895" s="2657"/>
      <c r="HO895" s="2657"/>
      <c r="HP895" s="2657"/>
      <c r="HQ895" s="2657"/>
      <c r="HR895" s="2657"/>
      <c r="HS895" s="2657"/>
      <c r="HT895" s="2657"/>
      <c r="HU895" s="2657"/>
      <c r="HV895" s="2657"/>
      <c r="HW895" s="2657"/>
      <c r="HX895" s="2657"/>
      <c r="HY895" s="2657"/>
      <c r="HZ895" s="2657"/>
      <c r="IA895" s="2657"/>
      <c r="IB895" s="2657"/>
      <c r="IC895" s="2657"/>
      <c r="ID895" s="2657"/>
      <c r="IE895" s="2657"/>
      <c r="IF895" s="2657"/>
      <c r="IG895" s="2657"/>
      <c r="IH895" s="2657"/>
      <c r="II895" s="2657"/>
      <c r="IJ895" s="2657"/>
      <c r="IK895" s="2657"/>
      <c r="IL895" s="2657"/>
      <c r="IM895" s="2657"/>
      <c r="IN895" s="2657"/>
      <c r="IO895" s="2657"/>
      <c r="IP895" s="2657"/>
      <c r="IQ895" s="2657"/>
      <c r="IR895" s="2657"/>
      <c r="IS895" s="2657"/>
      <c r="IT895" s="2657"/>
      <c r="IU895" s="2657"/>
    </row>
    <row r="896" spans="1:255" s="604" customFormat="1" ht="13.5" customHeight="1">
      <c r="A896" s="595"/>
      <c r="B896" s="596"/>
      <c r="C896" s="597"/>
      <c r="D896" s="719" t="s">
        <v>5031</v>
      </c>
      <c r="E896" s="599"/>
      <c r="F896" s="600"/>
      <c r="G896" s="289"/>
      <c r="H896" s="601"/>
      <c r="I896" s="602"/>
      <c r="J896" s="848"/>
      <c r="U896" s="605"/>
      <c r="W896" s="605"/>
    </row>
    <row r="897" spans="1:255" s="604" customFormat="1" ht="13.5" customHeight="1">
      <c r="A897" s="595"/>
      <c r="B897" s="596"/>
      <c r="C897" s="597"/>
      <c r="D897" s="719" t="s">
        <v>5032</v>
      </c>
      <c r="E897" s="599"/>
      <c r="F897" s="600">
        <v>2</v>
      </c>
      <c r="G897" s="289"/>
      <c r="H897" s="601"/>
      <c r="I897" s="602"/>
      <c r="J897" s="848"/>
      <c r="U897" s="605"/>
      <c r="W897" s="605"/>
    </row>
    <row r="898" spans="1:255" s="604" customFormat="1" ht="27" customHeight="1">
      <c r="A898" s="595"/>
      <c r="B898" s="596"/>
      <c r="C898" s="597"/>
      <c r="D898" s="719" t="s">
        <v>5028</v>
      </c>
      <c r="E898" s="599"/>
      <c r="F898" s="600"/>
      <c r="G898" s="289"/>
      <c r="H898" s="601"/>
      <c r="I898" s="602"/>
      <c r="J898" s="606"/>
      <c r="U898" s="605"/>
      <c r="W898" s="605"/>
    </row>
    <row r="899" spans="1:255" s="888" customFormat="1" ht="13.5" customHeight="1">
      <c r="A899" s="3130">
        <v>60</v>
      </c>
      <c r="B899" s="3131">
        <v>271</v>
      </c>
      <c r="C899" s="3131" t="s">
        <v>5033</v>
      </c>
      <c r="D899" s="3131" t="s">
        <v>5034</v>
      </c>
      <c r="E899" s="3131" t="s">
        <v>205</v>
      </c>
      <c r="F899" s="2905">
        <f>ROUND(SUM(F901:F901),3)</f>
        <v>3</v>
      </c>
      <c r="G899" s="288"/>
      <c r="H899" s="568">
        <f t="shared" ref="H899" si="51">ROUND(F899*G899,2)</f>
        <v>0</v>
      </c>
      <c r="I899" s="613" t="s">
        <v>111</v>
      </c>
      <c r="J899" s="2747"/>
      <c r="BN899" s="2657"/>
      <c r="BO899" s="2657"/>
      <c r="BP899" s="2657"/>
      <c r="BQ899" s="2657"/>
      <c r="BR899" s="2657"/>
      <c r="BS899" s="2657"/>
      <c r="BT899" s="2657"/>
      <c r="BU899" s="2657"/>
      <c r="BV899" s="2657"/>
      <c r="BW899" s="2657"/>
      <c r="BX899" s="2657"/>
      <c r="BY899" s="2657"/>
      <c r="BZ899" s="2657"/>
      <c r="CA899" s="2657"/>
      <c r="CB899" s="2657"/>
      <c r="CC899" s="2657"/>
      <c r="CD899" s="2657"/>
      <c r="CE899" s="2657"/>
      <c r="CF899" s="2657"/>
      <c r="CG899" s="2657"/>
      <c r="CH899" s="2657"/>
      <c r="CI899" s="2657"/>
      <c r="CJ899" s="2657"/>
      <c r="CK899" s="2657"/>
      <c r="CL899" s="2657"/>
      <c r="CM899" s="2657"/>
      <c r="CN899" s="2657"/>
      <c r="CO899" s="2657"/>
      <c r="CP899" s="2657"/>
      <c r="CQ899" s="2657"/>
      <c r="CR899" s="2657"/>
      <c r="CS899" s="2657"/>
      <c r="CT899" s="2657"/>
      <c r="CU899" s="2657"/>
      <c r="CV899" s="2657"/>
      <c r="CW899" s="2657"/>
      <c r="CX899" s="2657"/>
      <c r="CY899" s="2657"/>
      <c r="CZ899" s="2657"/>
      <c r="DA899" s="2657"/>
      <c r="DB899" s="2657"/>
      <c r="DC899" s="2657"/>
      <c r="DD899" s="2657"/>
      <c r="DE899" s="2657"/>
      <c r="DF899" s="2657"/>
      <c r="DG899" s="2657"/>
      <c r="DH899" s="2657"/>
      <c r="DI899" s="2657"/>
      <c r="DJ899" s="2657"/>
      <c r="DK899" s="2657"/>
      <c r="DL899" s="2657"/>
      <c r="DM899" s="2657"/>
      <c r="DN899" s="2657"/>
      <c r="DO899" s="2657"/>
      <c r="DP899" s="2657"/>
      <c r="DQ899" s="2657"/>
      <c r="DR899" s="2657"/>
      <c r="DS899" s="2657"/>
      <c r="DT899" s="2657"/>
      <c r="DU899" s="2657"/>
      <c r="DV899" s="2657"/>
      <c r="DW899" s="2657"/>
      <c r="DX899" s="2657"/>
      <c r="DY899" s="2657"/>
      <c r="DZ899" s="2657"/>
      <c r="EA899" s="2657"/>
      <c r="EB899" s="2657"/>
      <c r="EC899" s="2657"/>
      <c r="ED899" s="2657"/>
      <c r="EE899" s="2657"/>
      <c r="EF899" s="2657"/>
      <c r="EG899" s="2657"/>
      <c r="EH899" s="2657"/>
      <c r="EI899" s="2657"/>
      <c r="EJ899" s="2657"/>
      <c r="EK899" s="2657"/>
      <c r="EL899" s="2657"/>
      <c r="EM899" s="2657"/>
      <c r="EN899" s="2657"/>
      <c r="EO899" s="2657"/>
      <c r="EP899" s="2657"/>
      <c r="EQ899" s="2657"/>
      <c r="ER899" s="2657"/>
      <c r="ES899" s="2657"/>
      <c r="ET899" s="2657"/>
      <c r="EU899" s="2657"/>
      <c r="EV899" s="2657"/>
      <c r="EW899" s="2657"/>
      <c r="EX899" s="2657"/>
      <c r="EY899" s="2657"/>
      <c r="EZ899" s="2657"/>
      <c r="FA899" s="2657"/>
      <c r="FB899" s="2657"/>
      <c r="FC899" s="2657"/>
      <c r="FD899" s="2657"/>
      <c r="FE899" s="2657"/>
      <c r="FF899" s="2657"/>
      <c r="FG899" s="2657"/>
      <c r="FH899" s="2657"/>
      <c r="FI899" s="2657"/>
      <c r="FJ899" s="2657"/>
      <c r="FK899" s="2657"/>
      <c r="FL899" s="2657"/>
      <c r="FM899" s="2657"/>
      <c r="FN899" s="2657"/>
      <c r="FO899" s="2657"/>
      <c r="FP899" s="2657"/>
      <c r="FQ899" s="2657"/>
      <c r="FR899" s="2657"/>
      <c r="FS899" s="2657"/>
      <c r="FT899" s="2657"/>
      <c r="FU899" s="2657"/>
      <c r="FV899" s="2657"/>
      <c r="FW899" s="2657"/>
      <c r="FX899" s="2657"/>
      <c r="FY899" s="2657"/>
      <c r="FZ899" s="2657"/>
      <c r="GA899" s="2657"/>
      <c r="GB899" s="2657"/>
      <c r="GC899" s="2657"/>
      <c r="GD899" s="2657"/>
      <c r="GE899" s="2657"/>
      <c r="GF899" s="2657"/>
      <c r="GG899" s="2657"/>
      <c r="GH899" s="2657"/>
      <c r="GI899" s="2657"/>
      <c r="GJ899" s="2657"/>
      <c r="GK899" s="2657"/>
      <c r="GL899" s="2657"/>
      <c r="GM899" s="2657"/>
      <c r="GN899" s="2657"/>
      <c r="GO899" s="2657"/>
      <c r="GP899" s="2657"/>
      <c r="GQ899" s="2657"/>
      <c r="GR899" s="2657"/>
      <c r="GS899" s="2657"/>
      <c r="GT899" s="2657"/>
      <c r="GU899" s="2657"/>
      <c r="GV899" s="2657"/>
      <c r="GW899" s="2657"/>
      <c r="GX899" s="2657"/>
      <c r="GY899" s="2657"/>
      <c r="GZ899" s="2657"/>
      <c r="HA899" s="2657"/>
      <c r="HB899" s="2657"/>
      <c r="HC899" s="2657"/>
      <c r="HD899" s="2657"/>
      <c r="HE899" s="2657"/>
      <c r="HF899" s="2657"/>
      <c r="HG899" s="2657"/>
      <c r="HH899" s="2657"/>
      <c r="HI899" s="2657"/>
      <c r="HJ899" s="2657"/>
      <c r="HK899" s="2657"/>
      <c r="HL899" s="2657"/>
      <c r="HM899" s="2657"/>
      <c r="HN899" s="2657"/>
      <c r="HO899" s="2657"/>
      <c r="HP899" s="2657"/>
      <c r="HQ899" s="2657"/>
      <c r="HR899" s="2657"/>
      <c r="HS899" s="2657"/>
      <c r="HT899" s="2657"/>
      <c r="HU899" s="2657"/>
      <c r="HV899" s="2657"/>
      <c r="HW899" s="2657"/>
      <c r="HX899" s="2657"/>
      <c r="HY899" s="2657"/>
      <c r="HZ899" s="2657"/>
      <c r="IA899" s="2657"/>
      <c r="IB899" s="2657"/>
      <c r="IC899" s="2657"/>
      <c r="ID899" s="2657"/>
      <c r="IE899" s="2657"/>
      <c r="IF899" s="2657"/>
      <c r="IG899" s="2657"/>
      <c r="IH899" s="2657"/>
      <c r="II899" s="2657"/>
      <c r="IJ899" s="2657"/>
      <c r="IK899" s="2657"/>
      <c r="IL899" s="2657"/>
      <c r="IM899" s="2657"/>
      <c r="IN899" s="2657"/>
      <c r="IO899" s="2657"/>
      <c r="IP899" s="2657"/>
      <c r="IQ899" s="2657"/>
      <c r="IR899" s="2657"/>
      <c r="IS899" s="2657"/>
      <c r="IT899" s="2657"/>
      <c r="IU899" s="2657"/>
    </row>
    <row r="900" spans="1:255" s="604" customFormat="1" ht="13.5" customHeight="1">
      <c r="A900" s="595"/>
      <c r="B900" s="596"/>
      <c r="C900" s="597"/>
      <c r="D900" s="719" t="s">
        <v>5035</v>
      </c>
      <c r="E900" s="599"/>
      <c r="F900" s="847"/>
      <c r="G900" s="289"/>
      <c r="H900" s="601"/>
      <c r="I900" s="602"/>
      <c r="J900" s="848"/>
      <c r="U900" s="605"/>
      <c r="W900" s="605"/>
    </row>
    <row r="901" spans="1:255" s="604" customFormat="1" ht="13.5" customHeight="1">
      <c r="A901" s="595"/>
      <c r="B901" s="596"/>
      <c r="C901" s="597"/>
      <c r="D901" s="719" t="s">
        <v>5036</v>
      </c>
      <c r="E901" s="599"/>
      <c r="F901" s="600">
        <v>3</v>
      </c>
      <c r="G901" s="289"/>
      <c r="H901" s="601"/>
      <c r="I901" s="602"/>
      <c r="J901" s="848"/>
      <c r="U901" s="605"/>
      <c r="W901" s="605"/>
    </row>
    <row r="902" spans="1:255" s="604" customFormat="1" ht="27" customHeight="1">
      <c r="A902" s="595"/>
      <c r="B902" s="596"/>
      <c r="C902" s="597"/>
      <c r="D902" s="719" t="s">
        <v>5028</v>
      </c>
      <c r="E902" s="599"/>
      <c r="F902" s="600"/>
      <c r="G902" s="289"/>
      <c r="H902" s="601"/>
      <c r="I902" s="602"/>
      <c r="J902" s="606"/>
      <c r="U902" s="605"/>
      <c r="W902" s="605"/>
    </row>
    <row r="903" spans="1:255" s="888" customFormat="1" ht="13.5" customHeight="1">
      <c r="A903" s="3130">
        <v>61</v>
      </c>
      <c r="B903" s="3131">
        <v>271</v>
      </c>
      <c r="C903" s="3131" t="s">
        <v>5037</v>
      </c>
      <c r="D903" s="3131" t="s">
        <v>5038</v>
      </c>
      <c r="E903" s="3131" t="s">
        <v>205</v>
      </c>
      <c r="F903" s="2905">
        <f>ROUND(SUM(F905:F905),3)</f>
        <v>2</v>
      </c>
      <c r="G903" s="288"/>
      <c r="H903" s="568">
        <f t="shared" ref="H903" si="52">ROUND(F903*G903,2)</f>
        <v>0</v>
      </c>
      <c r="I903" s="613" t="s">
        <v>111</v>
      </c>
      <c r="J903" s="2747"/>
      <c r="BN903" s="2657"/>
      <c r="BO903" s="2657"/>
      <c r="BP903" s="2657"/>
      <c r="BQ903" s="2657"/>
      <c r="BR903" s="2657"/>
      <c r="BS903" s="2657"/>
      <c r="BT903" s="2657"/>
      <c r="BU903" s="2657"/>
      <c r="BV903" s="2657"/>
      <c r="BW903" s="2657"/>
      <c r="BX903" s="2657"/>
      <c r="BY903" s="2657"/>
      <c r="BZ903" s="2657"/>
      <c r="CA903" s="2657"/>
      <c r="CB903" s="2657"/>
      <c r="CC903" s="2657"/>
      <c r="CD903" s="2657"/>
      <c r="CE903" s="2657"/>
      <c r="CF903" s="2657"/>
      <c r="CG903" s="2657"/>
      <c r="CH903" s="2657"/>
      <c r="CI903" s="2657"/>
      <c r="CJ903" s="2657"/>
      <c r="CK903" s="2657"/>
      <c r="CL903" s="2657"/>
      <c r="CM903" s="2657"/>
      <c r="CN903" s="2657"/>
      <c r="CO903" s="2657"/>
      <c r="CP903" s="2657"/>
      <c r="CQ903" s="2657"/>
      <c r="CR903" s="2657"/>
      <c r="CS903" s="2657"/>
      <c r="CT903" s="2657"/>
      <c r="CU903" s="2657"/>
      <c r="CV903" s="2657"/>
      <c r="CW903" s="2657"/>
      <c r="CX903" s="2657"/>
      <c r="CY903" s="2657"/>
      <c r="CZ903" s="2657"/>
      <c r="DA903" s="2657"/>
      <c r="DB903" s="2657"/>
      <c r="DC903" s="2657"/>
      <c r="DD903" s="2657"/>
      <c r="DE903" s="2657"/>
      <c r="DF903" s="2657"/>
      <c r="DG903" s="2657"/>
      <c r="DH903" s="2657"/>
      <c r="DI903" s="2657"/>
      <c r="DJ903" s="2657"/>
      <c r="DK903" s="2657"/>
      <c r="DL903" s="2657"/>
      <c r="DM903" s="2657"/>
      <c r="DN903" s="2657"/>
      <c r="DO903" s="2657"/>
      <c r="DP903" s="2657"/>
      <c r="DQ903" s="2657"/>
      <c r="DR903" s="2657"/>
      <c r="DS903" s="2657"/>
      <c r="DT903" s="2657"/>
      <c r="DU903" s="2657"/>
      <c r="DV903" s="2657"/>
      <c r="DW903" s="2657"/>
      <c r="DX903" s="2657"/>
      <c r="DY903" s="2657"/>
      <c r="DZ903" s="2657"/>
      <c r="EA903" s="2657"/>
      <c r="EB903" s="2657"/>
      <c r="EC903" s="2657"/>
      <c r="ED903" s="2657"/>
      <c r="EE903" s="2657"/>
      <c r="EF903" s="2657"/>
      <c r="EG903" s="2657"/>
      <c r="EH903" s="2657"/>
      <c r="EI903" s="2657"/>
      <c r="EJ903" s="2657"/>
      <c r="EK903" s="2657"/>
      <c r="EL903" s="2657"/>
      <c r="EM903" s="2657"/>
      <c r="EN903" s="2657"/>
      <c r="EO903" s="2657"/>
      <c r="EP903" s="2657"/>
      <c r="EQ903" s="2657"/>
      <c r="ER903" s="2657"/>
      <c r="ES903" s="2657"/>
      <c r="ET903" s="2657"/>
      <c r="EU903" s="2657"/>
      <c r="EV903" s="2657"/>
      <c r="EW903" s="2657"/>
      <c r="EX903" s="2657"/>
      <c r="EY903" s="2657"/>
      <c r="EZ903" s="2657"/>
      <c r="FA903" s="2657"/>
      <c r="FB903" s="2657"/>
      <c r="FC903" s="2657"/>
      <c r="FD903" s="2657"/>
      <c r="FE903" s="2657"/>
      <c r="FF903" s="2657"/>
      <c r="FG903" s="2657"/>
      <c r="FH903" s="2657"/>
      <c r="FI903" s="2657"/>
      <c r="FJ903" s="2657"/>
      <c r="FK903" s="2657"/>
      <c r="FL903" s="2657"/>
      <c r="FM903" s="2657"/>
      <c r="FN903" s="2657"/>
      <c r="FO903" s="2657"/>
      <c r="FP903" s="2657"/>
      <c r="FQ903" s="2657"/>
      <c r="FR903" s="2657"/>
      <c r="FS903" s="2657"/>
      <c r="FT903" s="2657"/>
      <c r="FU903" s="2657"/>
      <c r="FV903" s="2657"/>
      <c r="FW903" s="2657"/>
      <c r="FX903" s="2657"/>
      <c r="FY903" s="2657"/>
      <c r="FZ903" s="2657"/>
      <c r="GA903" s="2657"/>
      <c r="GB903" s="2657"/>
      <c r="GC903" s="2657"/>
      <c r="GD903" s="2657"/>
      <c r="GE903" s="2657"/>
      <c r="GF903" s="2657"/>
      <c r="GG903" s="2657"/>
      <c r="GH903" s="2657"/>
      <c r="GI903" s="2657"/>
      <c r="GJ903" s="2657"/>
      <c r="GK903" s="2657"/>
      <c r="GL903" s="2657"/>
      <c r="GM903" s="2657"/>
      <c r="GN903" s="2657"/>
      <c r="GO903" s="2657"/>
      <c r="GP903" s="2657"/>
      <c r="GQ903" s="2657"/>
      <c r="GR903" s="2657"/>
      <c r="GS903" s="2657"/>
      <c r="GT903" s="2657"/>
      <c r="GU903" s="2657"/>
      <c r="GV903" s="2657"/>
      <c r="GW903" s="2657"/>
      <c r="GX903" s="2657"/>
      <c r="GY903" s="2657"/>
      <c r="GZ903" s="2657"/>
      <c r="HA903" s="2657"/>
      <c r="HB903" s="2657"/>
      <c r="HC903" s="2657"/>
      <c r="HD903" s="2657"/>
      <c r="HE903" s="2657"/>
      <c r="HF903" s="2657"/>
      <c r="HG903" s="2657"/>
      <c r="HH903" s="2657"/>
      <c r="HI903" s="2657"/>
      <c r="HJ903" s="2657"/>
      <c r="HK903" s="2657"/>
      <c r="HL903" s="2657"/>
      <c r="HM903" s="2657"/>
      <c r="HN903" s="2657"/>
      <c r="HO903" s="2657"/>
      <c r="HP903" s="2657"/>
      <c r="HQ903" s="2657"/>
      <c r="HR903" s="2657"/>
      <c r="HS903" s="2657"/>
      <c r="HT903" s="2657"/>
      <c r="HU903" s="2657"/>
      <c r="HV903" s="2657"/>
      <c r="HW903" s="2657"/>
      <c r="HX903" s="2657"/>
      <c r="HY903" s="2657"/>
      <c r="HZ903" s="2657"/>
      <c r="IA903" s="2657"/>
      <c r="IB903" s="2657"/>
      <c r="IC903" s="2657"/>
      <c r="ID903" s="2657"/>
      <c r="IE903" s="2657"/>
      <c r="IF903" s="2657"/>
      <c r="IG903" s="2657"/>
      <c r="IH903" s="2657"/>
      <c r="II903" s="2657"/>
      <c r="IJ903" s="2657"/>
      <c r="IK903" s="2657"/>
      <c r="IL903" s="2657"/>
      <c r="IM903" s="2657"/>
      <c r="IN903" s="2657"/>
      <c r="IO903" s="2657"/>
      <c r="IP903" s="2657"/>
      <c r="IQ903" s="2657"/>
      <c r="IR903" s="2657"/>
      <c r="IS903" s="2657"/>
      <c r="IT903" s="2657"/>
      <c r="IU903" s="2657"/>
    </row>
    <row r="904" spans="1:255" s="604" customFormat="1" ht="13.5" customHeight="1">
      <c r="A904" s="595"/>
      <c r="B904" s="596"/>
      <c r="C904" s="597"/>
      <c r="D904" s="719" t="s">
        <v>5039</v>
      </c>
      <c r="E904" s="599"/>
      <c r="F904" s="847"/>
      <c r="G904" s="289"/>
      <c r="H904" s="601"/>
      <c r="I904" s="602"/>
      <c r="J904" s="848"/>
      <c r="U904" s="605"/>
      <c r="W904" s="605"/>
    </row>
    <row r="905" spans="1:255" s="604" customFormat="1" ht="13.5" customHeight="1">
      <c r="A905" s="595"/>
      <c r="B905" s="596"/>
      <c r="C905" s="597"/>
      <c r="D905" s="719" t="s">
        <v>5040</v>
      </c>
      <c r="E905" s="599"/>
      <c r="F905" s="600">
        <f>2</f>
        <v>2</v>
      </c>
      <c r="G905" s="289"/>
      <c r="H905" s="601"/>
      <c r="I905" s="602"/>
      <c r="J905" s="848"/>
      <c r="U905" s="605"/>
      <c r="W905" s="605"/>
    </row>
    <row r="906" spans="1:255" s="604" customFormat="1" ht="27" customHeight="1">
      <c r="A906" s="595"/>
      <c r="B906" s="596"/>
      <c r="C906" s="597"/>
      <c r="D906" s="719" t="s">
        <v>5028</v>
      </c>
      <c r="E906" s="599"/>
      <c r="F906" s="600"/>
      <c r="G906" s="289"/>
      <c r="H906" s="601"/>
      <c r="I906" s="602"/>
      <c r="J906" s="606"/>
      <c r="U906" s="605"/>
      <c r="W906" s="605"/>
    </row>
    <row r="907" spans="1:255" s="888" customFormat="1" ht="13.5" customHeight="1">
      <c r="A907" s="3130">
        <v>62</v>
      </c>
      <c r="B907" s="3131">
        <v>271</v>
      </c>
      <c r="C907" s="3131" t="s">
        <v>5041</v>
      </c>
      <c r="D907" s="3131" t="s">
        <v>5042</v>
      </c>
      <c r="E907" s="3131" t="s">
        <v>205</v>
      </c>
      <c r="F907" s="2905">
        <f>ROUND(SUM(F908),3)</f>
        <v>1</v>
      </c>
      <c r="G907" s="288"/>
      <c r="H907" s="568">
        <f t="shared" ref="H907" si="53">ROUND(F907*G907,2)</f>
        <v>0</v>
      </c>
      <c r="I907" s="613" t="s">
        <v>111</v>
      </c>
      <c r="J907" s="2747"/>
      <c r="P907" s="3184"/>
      <c r="BN907" s="2657"/>
      <c r="BO907" s="2657"/>
      <c r="BP907" s="2657"/>
      <c r="BQ907" s="2657"/>
      <c r="BR907" s="2657"/>
      <c r="BS907" s="2657"/>
      <c r="BT907" s="2657"/>
      <c r="BU907" s="2657"/>
      <c r="BV907" s="2657"/>
      <c r="BW907" s="2657"/>
      <c r="BX907" s="2657"/>
      <c r="BY907" s="2657"/>
      <c r="BZ907" s="2657"/>
      <c r="CA907" s="2657"/>
      <c r="CB907" s="2657"/>
      <c r="CC907" s="2657"/>
      <c r="CD907" s="2657"/>
      <c r="CE907" s="2657"/>
      <c r="CF907" s="2657"/>
      <c r="CG907" s="2657"/>
      <c r="CH907" s="2657"/>
      <c r="CI907" s="2657"/>
      <c r="CJ907" s="2657"/>
      <c r="CK907" s="2657"/>
      <c r="CL907" s="2657"/>
      <c r="CM907" s="2657"/>
      <c r="CN907" s="2657"/>
      <c r="CO907" s="2657"/>
      <c r="CP907" s="2657"/>
      <c r="CQ907" s="2657"/>
      <c r="CR907" s="2657"/>
      <c r="CS907" s="2657"/>
      <c r="CT907" s="2657"/>
      <c r="CU907" s="2657"/>
      <c r="CV907" s="2657"/>
      <c r="CW907" s="2657"/>
      <c r="CX907" s="2657"/>
      <c r="CY907" s="2657"/>
      <c r="CZ907" s="2657"/>
      <c r="DA907" s="2657"/>
      <c r="DB907" s="2657"/>
      <c r="DC907" s="2657"/>
      <c r="DD907" s="2657"/>
      <c r="DE907" s="2657"/>
      <c r="DF907" s="2657"/>
      <c r="DG907" s="2657"/>
      <c r="DH907" s="2657"/>
      <c r="DI907" s="2657"/>
      <c r="DJ907" s="2657"/>
      <c r="DK907" s="2657"/>
      <c r="DL907" s="2657"/>
      <c r="DM907" s="2657"/>
      <c r="DN907" s="2657"/>
      <c r="DO907" s="2657"/>
      <c r="DP907" s="2657"/>
      <c r="DQ907" s="2657"/>
      <c r="DR907" s="2657"/>
      <c r="DS907" s="2657"/>
      <c r="DT907" s="2657"/>
      <c r="DU907" s="2657"/>
      <c r="DV907" s="2657"/>
      <c r="DW907" s="2657"/>
      <c r="DX907" s="2657"/>
      <c r="DY907" s="2657"/>
      <c r="DZ907" s="2657"/>
      <c r="EA907" s="2657"/>
      <c r="EB907" s="2657"/>
      <c r="EC907" s="2657"/>
      <c r="ED907" s="2657"/>
      <c r="EE907" s="2657"/>
      <c r="EF907" s="2657"/>
      <c r="EG907" s="2657"/>
      <c r="EH907" s="2657"/>
      <c r="EI907" s="2657"/>
      <c r="EJ907" s="2657"/>
      <c r="EK907" s="2657"/>
      <c r="EL907" s="2657"/>
      <c r="EM907" s="2657"/>
      <c r="EN907" s="2657"/>
      <c r="EO907" s="2657"/>
      <c r="EP907" s="2657"/>
      <c r="EQ907" s="2657"/>
      <c r="ER907" s="2657"/>
      <c r="ES907" s="2657"/>
      <c r="ET907" s="2657"/>
      <c r="EU907" s="2657"/>
      <c r="EV907" s="2657"/>
      <c r="EW907" s="2657"/>
      <c r="EX907" s="2657"/>
      <c r="EY907" s="2657"/>
      <c r="EZ907" s="2657"/>
      <c r="FA907" s="2657"/>
      <c r="FB907" s="2657"/>
      <c r="FC907" s="2657"/>
      <c r="FD907" s="2657"/>
      <c r="FE907" s="2657"/>
      <c r="FF907" s="2657"/>
      <c r="FG907" s="2657"/>
      <c r="FH907" s="2657"/>
      <c r="FI907" s="2657"/>
      <c r="FJ907" s="2657"/>
      <c r="FK907" s="2657"/>
      <c r="FL907" s="2657"/>
      <c r="FM907" s="2657"/>
      <c r="FN907" s="2657"/>
      <c r="FO907" s="2657"/>
      <c r="FP907" s="2657"/>
      <c r="FQ907" s="2657"/>
      <c r="FR907" s="2657"/>
      <c r="FS907" s="2657"/>
      <c r="FT907" s="2657"/>
      <c r="FU907" s="2657"/>
      <c r="FV907" s="2657"/>
      <c r="FW907" s="2657"/>
      <c r="FX907" s="2657"/>
      <c r="FY907" s="2657"/>
      <c r="FZ907" s="2657"/>
      <c r="GA907" s="2657"/>
      <c r="GB907" s="2657"/>
      <c r="GC907" s="2657"/>
      <c r="GD907" s="2657"/>
      <c r="GE907" s="2657"/>
      <c r="GF907" s="2657"/>
      <c r="GG907" s="2657"/>
      <c r="GH907" s="2657"/>
      <c r="GI907" s="2657"/>
      <c r="GJ907" s="2657"/>
      <c r="GK907" s="2657"/>
      <c r="GL907" s="2657"/>
      <c r="GM907" s="2657"/>
      <c r="GN907" s="2657"/>
      <c r="GO907" s="2657"/>
      <c r="GP907" s="2657"/>
      <c r="GQ907" s="2657"/>
      <c r="GR907" s="2657"/>
      <c r="GS907" s="2657"/>
      <c r="GT907" s="2657"/>
      <c r="GU907" s="2657"/>
      <c r="GV907" s="2657"/>
      <c r="GW907" s="2657"/>
      <c r="GX907" s="2657"/>
      <c r="GY907" s="2657"/>
      <c r="GZ907" s="2657"/>
      <c r="HA907" s="2657"/>
      <c r="HB907" s="2657"/>
      <c r="HC907" s="2657"/>
      <c r="HD907" s="2657"/>
      <c r="HE907" s="2657"/>
      <c r="HF907" s="2657"/>
      <c r="HG907" s="2657"/>
      <c r="HH907" s="2657"/>
      <c r="HI907" s="2657"/>
      <c r="HJ907" s="2657"/>
      <c r="HK907" s="2657"/>
      <c r="HL907" s="2657"/>
      <c r="HM907" s="2657"/>
      <c r="HN907" s="2657"/>
      <c r="HO907" s="2657"/>
      <c r="HP907" s="2657"/>
      <c r="HQ907" s="2657"/>
      <c r="HR907" s="2657"/>
      <c r="HS907" s="2657"/>
      <c r="HT907" s="2657"/>
      <c r="HU907" s="2657"/>
      <c r="HV907" s="2657"/>
      <c r="HW907" s="2657"/>
      <c r="HX907" s="2657"/>
      <c r="HY907" s="2657"/>
      <c r="HZ907" s="2657"/>
      <c r="IA907" s="2657"/>
      <c r="IB907" s="2657"/>
      <c r="IC907" s="2657"/>
      <c r="ID907" s="2657"/>
      <c r="IE907" s="2657"/>
      <c r="IF907" s="2657"/>
      <c r="IG907" s="2657"/>
      <c r="IH907" s="2657"/>
      <c r="II907" s="2657"/>
      <c r="IJ907" s="2657"/>
      <c r="IK907" s="2657"/>
      <c r="IL907" s="2657"/>
      <c r="IM907" s="2657"/>
      <c r="IN907" s="2657"/>
      <c r="IO907" s="2657"/>
      <c r="IP907" s="2657"/>
      <c r="IQ907" s="2657"/>
      <c r="IR907" s="2657"/>
      <c r="IS907" s="2657"/>
      <c r="IT907" s="2657"/>
      <c r="IU907" s="2657"/>
    </row>
    <row r="908" spans="1:255" s="888" customFormat="1" ht="13.5" customHeight="1">
      <c r="A908" s="3130"/>
      <c r="B908" s="3131"/>
      <c r="C908" s="3131"/>
      <c r="D908" s="719" t="s">
        <v>5043</v>
      </c>
      <c r="E908" s="3131"/>
      <c r="F908" s="3076">
        <v>1</v>
      </c>
      <c r="G908" s="288"/>
      <c r="H908" s="609"/>
      <c r="I908" s="613"/>
      <c r="J908" s="3185"/>
      <c r="BN908" s="2657"/>
      <c r="BO908" s="2657"/>
      <c r="BP908" s="2657"/>
      <c r="BQ908" s="2657"/>
      <c r="BR908" s="2657"/>
      <c r="BS908" s="2657"/>
      <c r="BT908" s="2657"/>
      <c r="BU908" s="2657"/>
      <c r="BV908" s="2657"/>
      <c r="BW908" s="2657"/>
      <c r="BX908" s="2657"/>
      <c r="BY908" s="2657"/>
      <c r="BZ908" s="2657"/>
      <c r="CA908" s="2657"/>
      <c r="CB908" s="2657"/>
      <c r="CC908" s="2657"/>
      <c r="CD908" s="2657"/>
      <c r="CE908" s="2657"/>
      <c r="CF908" s="2657"/>
      <c r="CG908" s="2657"/>
      <c r="CH908" s="2657"/>
      <c r="CI908" s="2657"/>
      <c r="CJ908" s="2657"/>
      <c r="CK908" s="2657"/>
      <c r="CL908" s="2657"/>
      <c r="CM908" s="2657"/>
      <c r="CN908" s="2657"/>
      <c r="CO908" s="2657"/>
      <c r="CP908" s="2657"/>
      <c r="CQ908" s="2657"/>
      <c r="CR908" s="2657"/>
      <c r="CS908" s="2657"/>
      <c r="CT908" s="2657"/>
      <c r="CU908" s="2657"/>
      <c r="CV908" s="2657"/>
      <c r="CW908" s="2657"/>
      <c r="CX908" s="2657"/>
      <c r="CY908" s="2657"/>
      <c r="CZ908" s="2657"/>
      <c r="DA908" s="2657"/>
      <c r="DB908" s="2657"/>
      <c r="DC908" s="2657"/>
      <c r="DD908" s="2657"/>
      <c r="DE908" s="2657"/>
      <c r="DF908" s="2657"/>
      <c r="DG908" s="2657"/>
      <c r="DH908" s="2657"/>
      <c r="DI908" s="2657"/>
      <c r="DJ908" s="2657"/>
      <c r="DK908" s="2657"/>
      <c r="DL908" s="2657"/>
      <c r="DM908" s="2657"/>
      <c r="DN908" s="2657"/>
      <c r="DO908" s="2657"/>
      <c r="DP908" s="2657"/>
      <c r="DQ908" s="2657"/>
      <c r="DR908" s="2657"/>
      <c r="DS908" s="2657"/>
      <c r="DT908" s="2657"/>
      <c r="DU908" s="2657"/>
      <c r="DV908" s="2657"/>
      <c r="DW908" s="2657"/>
      <c r="DX908" s="2657"/>
      <c r="DY908" s="2657"/>
      <c r="DZ908" s="2657"/>
      <c r="EA908" s="2657"/>
      <c r="EB908" s="2657"/>
      <c r="EC908" s="2657"/>
      <c r="ED908" s="2657"/>
      <c r="EE908" s="2657"/>
      <c r="EF908" s="2657"/>
      <c r="EG908" s="2657"/>
      <c r="EH908" s="2657"/>
      <c r="EI908" s="2657"/>
      <c r="EJ908" s="2657"/>
      <c r="EK908" s="2657"/>
      <c r="EL908" s="2657"/>
      <c r="EM908" s="2657"/>
      <c r="EN908" s="2657"/>
      <c r="EO908" s="2657"/>
      <c r="EP908" s="2657"/>
      <c r="EQ908" s="2657"/>
      <c r="ER908" s="2657"/>
      <c r="ES908" s="2657"/>
      <c r="ET908" s="2657"/>
      <c r="EU908" s="2657"/>
      <c r="EV908" s="2657"/>
      <c r="EW908" s="2657"/>
      <c r="EX908" s="2657"/>
      <c r="EY908" s="2657"/>
      <c r="EZ908" s="2657"/>
      <c r="FA908" s="2657"/>
      <c r="FB908" s="2657"/>
      <c r="FC908" s="2657"/>
      <c r="FD908" s="2657"/>
      <c r="FE908" s="2657"/>
      <c r="FF908" s="2657"/>
      <c r="FG908" s="2657"/>
      <c r="FH908" s="2657"/>
      <c r="FI908" s="2657"/>
      <c r="FJ908" s="2657"/>
      <c r="FK908" s="2657"/>
      <c r="FL908" s="2657"/>
      <c r="FM908" s="2657"/>
      <c r="FN908" s="2657"/>
      <c r="FO908" s="2657"/>
      <c r="FP908" s="2657"/>
      <c r="FQ908" s="2657"/>
      <c r="FR908" s="2657"/>
      <c r="FS908" s="2657"/>
      <c r="FT908" s="2657"/>
      <c r="FU908" s="2657"/>
      <c r="FV908" s="2657"/>
      <c r="FW908" s="2657"/>
      <c r="FX908" s="2657"/>
      <c r="FY908" s="2657"/>
      <c r="FZ908" s="2657"/>
      <c r="GA908" s="2657"/>
      <c r="GB908" s="2657"/>
      <c r="GC908" s="2657"/>
      <c r="GD908" s="2657"/>
      <c r="GE908" s="2657"/>
      <c r="GF908" s="2657"/>
      <c r="GG908" s="2657"/>
      <c r="GH908" s="2657"/>
      <c r="GI908" s="2657"/>
      <c r="GJ908" s="2657"/>
      <c r="GK908" s="2657"/>
      <c r="GL908" s="2657"/>
      <c r="GM908" s="2657"/>
      <c r="GN908" s="2657"/>
      <c r="GO908" s="2657"/>
      <c r="GP908" s="2657"/>
      <c r="GQ908" s="2657"/>
      <c r="GR908" s="2657"/>
      <c r="GS908" s="2657"/>
      <c r="GT908" s="2657"/>
      <c r="GU908" s="2657"/>
      <c r="GV908" s="2657"/>
      <c r="GW908" s="2657"/>
      <c r="GX908" s="2657"/>
      <c r="GY908" s="2657"/>
      <c r="GZ908" s="2657"/>
      <c r="HA908" s="2657"/>
      <c r="HB908" s="2657"/>
      <c r="HC908" s="2657"/>
      <c r="HD908" s="2657"/>
      <c r="HE908" s="2657"/>
      <c r="HF908" s="2657"/>
      <c r="HG908" s="2657"/>
      <c r="HH908" s="2657"/>
      <c r="HI908" s="2657"/>
      <c r="HJ908" s="2657"/>
      <c r="HK908" s="2657"/>
      <c r="HL908" s="2657"/>
      <c r="HM908" s="2657"/>
      <c r="HN908" s="2657"/>
      <c r="HO908" s="2657"/>
      <c r="HP908" s="2657"/>
      <c r="HQ908" s="2657"/>
      <c r="HR908" s="2657"/>
      <c r="HS908" s="2657"/>
      <c r="HT908" s="2657"/>
      <c r="HU908" s="2657"/>
      <c r="HV908" s="2657"/>
      <c r="HW908" s="2657"/>
      <c r="HX908" s="2657"/>
      <c r="HY908" s="2657"/>
      <c r="HZ908" s="2657"/>
      <c r="IA908" s="2657"/>
      <c r="IB908" s="2657"/>
      <c r="IC908" s="2657"/>
      <c r="ID908" s="2657"/>
      <c r="IE908" s="2657"/>
      <c r="IF908" s="2657"/>
      <c r="IG908" s="2657"/>
      <c r="IH908" s="2657"/>
      <c r="II908" s="2657"/>
      <c r="IJ908" s="2657"/>
      <c r="IK908" s="2657"/>
      <c r="IL908" s="2657"/>
      <c r="IM908" s="2657"/>
      <c r="IN908" s="2657"/>
      <c r="IO908" s="2657"/>
      <c r="IP908" s="2657"/>
      <c r="IQ908" s="2657"/>
      <c r="IR908" s="2657"/>
      <c r="IS908" s="2657"/>
      <c r="IT908" s="2657"/>
      <c r="IU908" s="2657"/>
    </row>
    <row r="909" spans="1:255" s="888" customFormat="1" ht="81" customHeight="1">
      <c r="A909" s="3130"/>
      <c r="B909" s="3131"/>
      <c r="C909" s="3131"/>
      <c r="D909" s="3186" t="s">
        <v>5044</v>
      </c>
      <c r="E909" s="3131"/>
      <c r="F909" s="1622"/>
      <c r="G909" s="288"/>
      <c r="H909" s="609"/>
      <c r="I909" s="613"/>
      <c r="J909" s="3185"/>
      <c r="BN909" s="2657"/>
      <c r="BO909" s="2657"/>
      <c r="BP909" s="2657"/>
      <c r="BQ909" s="2657"/>
      <c r="BR909" s="2657"/>
      <c r="BS909" s="2657"/>
      <c r="BT909" s="2657"/>
      <c r="BU909" s="2657"/>
      <c r="BV909" s="2657"/>
      <c r="BW909" s="2657"/>
      <c r="BX909" s="2657"/>
      <c r="BY909" s="2657"/>
      <c r="BZ909" s="2657"/>
      <c r="CA909" s="2657"/>
      <c r="CB909" s="2657"/>
      <c r="CC909" s="2657"/>
      <c r="CD909" s="2657"/>
      <c r="CE909" s="2657"/>
      <c r="CF909" s="2657"/>
      <c r="CG909" s="2657"/>
      <c r="CH909" s="2657"/>
      <c r="CI909" s="2657"/>
      <c r="CJ909" s="2657"/>
      <c r="CK909" s="2657"/>
      <c r="CL909" s="2657"/>
      <c r="CM909" s="2657"/>
      <c r="CN909" s="2657"/>
      <c r="CO909" s="2657"/>
      <c r="CP909" s="2657"/>
      <c r="CQ909" s="2657"/>
      <c r="CR909" s="2657"/>
      <c r="CS909" s="2657"/>
      <c r="CT909" s="2657"/>
      <c r="CU909" s="2657"/>
      <c r="CV909" s="2657"/>
      <c r="CW909" s="2657"/>
      <c r="CX909" s="2657"/>
      <c r="CY909" s="2657"/>
      <c r="CZ909" s="2657"/>
      <c r="DA909" s="2657"/>
      <c r="DB909" s="2657"/>
      <c r="DC909" s="2657"/>
      <c r="DD909" s="2657"/>
      <c r="DE909" s="2657"/>
      <c r="DF909" s="2657"/>
      <c r="DG909" s="2657"/>
      <c r="DH909" s="2657"/>
      <c r="DI909" s="2657"/>
      <c r="DJ909" s="2657"/>
      <c r="DK909" s="2657"/>
      <c r="DL909" s="2657"/>
      <c r="DM909" s="2657"/>
      <c r="DN909" s="2657"/>
      <c r="DO909" s="2657"/>
      <c r="DP909" s="2657"/>
      <c r="DQ909" s="2657"/>
      <c r="DR909" s="2657"/>
      <c r="DS909" s="2657"/>
      <c r="DT909" s="2657"/>
      <c r="DU909" s="2657"/>
      <c r="DV909" s="2657"/>
      <c r="DW909" s="2657"/>
      <c r="DX909" s="2657"/>
      <c r="DY909" s="2657"/>
      <c r="DZ909" s="2657"/>
      <c r="EA909" s="2657"/>
      <c r="EB909" s="2657"/>
      <c r="EC909" s="2657"/>
      <c r="ED909" s="2657"/>
      <c r="EE909" s="2657"/>
      <c r="EF909" s="2657"/>
      <c r="EG909" s="2657"/>
      <c r="EH909" s="2657"/>
      <c r="EI909" s="2657"/>
      <c r="EJ909" s="2657"/>
      <c r="EK909" s="2657"/>
      <c r="EL909" s="2657"/>
      <c r="EM909" s="2657"/>
      <c r="EN909" s="2657"/>
      <c r="EO909" s="2657"/>
      <c r="EP909" s="2657"/>
      <c r="EQ909" s="2657"/>
      <c r="ER909" s="2657"/>
      <c r="ES909" s="2657"/>
      <c r="ET909" s="2657"/>
      <c r="EU909" s="2657"/>
      <c r="EV909" s="2657"/>
      <c r="EW909" s="2657"/>
      <c r="EX909" s="2657"/>
      <c r="EY909" s="2657"/>
      <c r="EZ909" s="2657"/>
      <c r="FA909" s="2657"/>
      <c r="FB909" s="2657"/>
      <c r="FC909" s="2657"/>
      <c r="FD909" s="2657"/>
      <c r="FE909" s="2657"/>
      <c r="FF909" s="2657"/>
      <c r="FG909" s="2657"/>
      <c r="FH909" s="2657"/>
      <c r="FI909" s="2657"/>
      <c r="FJ909" s="2657"/>
      <c r="FK909" s="2657"/>
      <c r="FL909" s="2657"/>
      <c r="FM909" s="2657"/>
      <c r="FN909" s="2657"/>
      <c r="FO909" s="2657"/>
      <c r="FP909" s="2657"/>
      <c r="FQ909" s="2657"/>
      <c r="FR909" s="2657"/>
      <c r="FS909" s="2657"/>
      <c r="FT909" s="2657"/>
      <c r="FU909" s="2657"/>
      <c r="FV909" s="2657"/>
      <c r="FW909" s="2657"/>
      <c r="FX909" s="2657"/>
      <c r="FY909" s="2657"/>
      <c r="FZ909" s="2657"/>
      <c r="GA909" s="2657"/>
      <c r="GB909" s="2657"/>
      <c r="GC909" s="2657"/>
      <c r="GD909" s="2657"/>
      <c r="GE909" s="2657"/>
      <c r="GF909" s="2657"/>
      <c r="GG909" s="2657"/>
      <c r="GH909" s="2657"/>
      <c r="GI909" s="2657"/>
      <c r="GJ909" s="2657"/>
      <c r="GK909" s="2657"/>
      <c r="GL909" s="2657"/>
      <c r="GM909" s="2657"/>
      <c r="GN909" s="2657"/>
      <c r="GO909" s="2657"/>
      <c r="GP909" s="2657"/>
      <c r="GQ909" s="2657"/>
      <c r="GR909" s="2657"/>
      <c r="GS909" s="2657"/>
      <c r="GT909" s="2657"/>
      <c r="GU909" s="2657"/>
      <c r="GV909" s="2657"/>
      <c r="GW909" s="2657"/>
      <c r="GX909" s="2657"/>
      <c r="GY909" s="2657"/>
      <c r="GZ909" s="2657"/>
      <c r="HA909" s="2657"/>
      <c r="HB909" s="2657"/>
      <c r="HC909" s="2657"/>
      <c r="HD909" s="2657"/>
      <c r="HE909" s="2657"/>
      <c r="HF909" s="2657"/>
      <c r="HG909" s="2657"/>
      <c r="HH909" s="2657"/>
      <c r="HI909" s="2657"/>
      <c r="HJ909" s="2657"/>
      <c r="HK909" s="2657"/>
      <c r="HL909" s="2657"/>
      <c r="HM909" s="2657"/>
      <c r="HN909" s="2657"/>
      <c r="HO909" s="2657"/>
      <c r="HP909" s="2657"/>
      <c r="HQ909" s="2657"/>
      <c r="HR909" s="2657"/>
      <c r="HS909" s="2657"/>
      <c r="HT909" s="2657"/>
      <c r="HU909" s="2657"/>
      <c r="HV909" s="2657"/>
      <c r="HW909" s="2657"/>
      <c r="HX909" s="2657"/>
      <c r="HY909" s="2657"/>
      <c r="HZ909" s="2657"/>
      <c r="IA909" s="2657"/>
      <c r="IB909" s="2657"/>
      <c r="IC909" s="2657"/>
      <c r="ID909" s="2657"/>
      <c r="IE909" s="2657"/>
      <c r="IF909" s="2657"/>
      <c r="IG909" s="2657"/>
      <c r="IH909" s="2657"/>
      <c r="II909" s="2657"/>
      <c r="IJ909" s="2657"/>
      <c r="IK909" s="2657"/>
      <c r="IL909" s="2657"/>
      <c r="IM909" s="2657"/>
      <c r="IN909" s="2657"/>
      <c r="IO909" s="2657"/>
      <c r="IP909" s="2657"/>
      <c r="IQ909" s="2657"/>
      <c r="IR909" s="2657"/>
      <c r="IS909" s="2657"/>
      <c r="IT909" s="2657"/>
      <c r="IU909" s="2657"/>
    </row>
    <row r="910" spans="1:255" s="888" customFormat="1" ht="67.5" customHeight="1">
      <c r="A910" s="3072"/>
      <c r="B910" s="2666"/>
      <c r="C910" s="2666"/>
      <c r="D910" s="1275" t="s">
        <v>310</v>
      </c>
      <c r="E910" s="2666"/>
      <c r="F910" s="3158"/>
      <c r="G910" s="304"/>
      <c r="H910" s="2667"/>
      <c r="I910" s="2846"/>
      <c r="J910" s="3146"/>
      <c r="K910" s="2656"/>
      <c r="L910" s="3148"/>
      <c r="M910" s="3094"/>
      <c r="N910" s="3094"/>
      <c r="O910" s="3149"/>
      <c r="P910" s="3094"/>
      <c r="Q910" s="3150"/>
      <c r="R910" s="3151"/>
      <c r="S910" s="3151"/>
      <c r="T910" s="3152"/>
    </row>
    <row r="911" spans="1:255" s="888" customFormat="1" ht="13.5" customHeight="1">
      <c r="A911" s="3089">
        <v>63</v>
      </c>
      <c r="B911" s="3090">
        <v>271</v>
      </c>
      <c r="C911" s="3090" t="s">
        <v>5045</v>
      </c>
      <c r="D911" s="3090" t="s">
        <v>5046</v>
      </c>
      <c r="E911" s="3090" t="s">
        <v>205</v>
      </c>
      <c r="F911" s="2905">
        <f>ROUND(SUM(F912),3)</f>
        <v>2</v>
      </c>
      <c r="G911" s="288"/>
      <c r="H911" s="568">
        <f t="shared" ref="H911" si="54">ROUND(F911*G911,2)</f>
        <v>0</v>
      </c>
      <c r="I911" s="613" t="s">
        <v>111</v>
      </c>
      <c r="J911" s="2747"/>
      <c r="P911" s="3184"/>
      <c r="BN911" s="2657"/>
      <c r="BO911" s="2657"/>
      <c r="BP911" s="2657"/>
      <c r="BQ911" s="2657"/>
      <c r="BR911" s="2657"/>
      <c r="BS911" s="2657"/>
      <c r="BT911" s="2657"/>
      <c r="BU911" s="2657"/>
      <c r="BV911" s="2657"/>
      <c r="BW911" s="2657"/>
      <c r="BX911" s="2657"/>
      <c r="BY911" s="2657"/>
      <c r="BZ911" s="2657"/>
      <c r="CA911" s="2657"/>
      <c r="CB911" s="2657"/>
      <c r="CC911" s="2657"/>
      <c r="CD911" s="2657"/>
      <c r="CE911" s="2657"/>
      <c r="CF911" s="2657"/>
      <c r="CG911" s="2657"/>
      <c r="CH911" s="2657"/>
      <c r="CI911" s="2657"/>
      <c r="CJ911" s="2657"/>
      <c r="CK911" s="2657"/>
      <c r="CL911" s="2657"/>
      <c r="CM911" s="2657"/>
      <c r="CN911" s="2657"/>
      <c r="CO911" s="2657"/>
      <c r="CP911" s="2657"/>
      <c r="CQ911" s="2657"/>
      <c r="CR911" s="2657"/>
      <c r="CS911" s="2657"/>
      <c r="CT911" s="2657"/>
      <c r="CU911" s="2657"/>
      <c r="CV911" s="2657"/>
      <c r="CW911" s="2657"/>
      <c r="CX911" s="2657"/>
      <c r="CY911" s="2657"/>
      <c r="CZ911" s="2657"/>
      <c r="DA911" s="2657"/>
      <c r="DB911" s="2657"/>
      <c r="DC911" s="2657"/>
      <c r="DD911" s="2657"/>
      <c r="DE911" s="2657"/>
      <c r="DF911" s="2657"/>
      <c r="DG911" s="2657"/>
      <c r="DH911" s="2657"/>
      <c r="DI911" s="2657"/>
      <c r="DJ911" s="2657"/>
      <c r="DK911" s="2657"/>
      <c r="DL911" s="2657"/>
      <c r="DM911" s="2657"/>
      <c r="DN911" s="2657"/>
      <c r="DO911" s="2657"/>
      <c r="DP911" s="2657"/>
      <c r="DQ911" s="2657"/>
      <c r="DR911" s="2657"/>
      <c r="DS911" s="2657"/>
      <c r="DT911" s="2657"/>
      <c r="DU911" s="2657"/>
      <c r="DV911" s="2657"/>
      <c r="DW911" s="2657"/>
      <c r="DX911" s="2657"/>
      <c r="DY911" s="2657"/>
      <c r="DZ911" s="2657"/>
      <c r="EA911" s="2657"/>
      <c r="EB911" s="2657"/>
      <c r="EC911" s="2657"/>
      <c r="ED911" s="2657"/>
      <c r="EE911" s="2657"/>
      <c r="EF911" s="2657"/>
      <c r="EG911" s="2657"/>
      <c r="EH911" s="2657"/>
      <c r="EI911" s="2657"/>
      <c r="EJ911" s="2657"/>
      <c r="EK911" s="2657"/>
      <c r="EL911" s="2657"/>
      <c r="EM911" s="2657"/>
      <c r="EN911" s="2657"/>
      <c r="EO911" s="2657"/>
      <c r="EP911" s="2657"/>
      <c r="EQ911" s="2657"/>
      <c r="ER911" s="2657"/>
      <c r="ES911" s="2657"/>
      <c r="ET911" s="2657"/>
      <c r="EU911" s="2657"/>
      <c r="EV911" s="2657"/>
      <c r="EW911" s="2657"/>
      <c r="EX911" s="2657"/>
      <c r="EY911" s="2657"/>
      <c r="EZ911" s="2657"/>
      <c r="FA911" s="2657"/>
      <c r="FB911" s="2657"/>
      <c r="FC911" s="2657"/>
      <c r="FD911" s="2657"/>
      <c r="FE911" s="2657"/>
      <c r="FF911" s="2657"/>
      <c r="FG911" s="2657"/>
      <c r="FH911" s="2657"/>
      <c r="FI911" s="2657"/>
      <c r="FJ911" s="2657"/>
      <c r="FK911" s="2657"/>
      <c r="FL911" s="2657"/>
      <c r="FM911" s="2657"/>
      <c r="FN911" s="2657"/>
      <c r="FO911" s="2657"/>
      <c r="FP911" s="2657"/>
      <c r="FQ911" s="2657"/>
      <c r="FR911" s="2657"/>
      <c r="FS911" s="2657"/>
      <c r="FT911" s="2657"/>
      <c r="FU911" s="2657"/>
      <c r="FV911" s="2657"/>
      <c r="FW911" s="2657"/>
      <c r="FX911" s="2657"/>
      <c r="FY911" s="2657"/>
      <c r="FZ911" s="2657"/>
      <c r="GA911" s="2657"/>
      <c r="GB911" s="2657"/>
      <c r="GC911" s="2657"/>
      <c r="GD911" s="2657"/>
      <c r="GE911" s="2657"/>
      <c r="GF911" s="2657"/>
      <c r="GG911" s="2657"/>
      <c r="GH911" s="2657"/>
      <c r="GI911" s="2657"/>
      <c r="GJ911" s="2657"/>
      <c r="GK911" s="2657"/>
      <c r="GL911" s="2657"/>
      <c r="GM911" s="2657"/>
      <c r="GN911" s="2657"/>
      <c r="GO911" s="2657"/>
      <c r="GP911" s="2657"/>
      <c r="GQ911" s="2657"/>
      <c r="GR911" s="2657"/>
      <c r="GS911" s="2657"/>
      <c r="GT911" s="2657"/>
      <c r="GU911" s="2657"/>
      <c r="GV911" s="2657"/>
      <c r="GW911" s="2657"/>
      <c r="GX911" s="2657"/>
      <c r="GY911" s="2657"/>
      <c r="GZ911" s="2657"/>
      <c r="HA911" s="2657"/>
      <c r="HB911" s="2657"/>
      <c r="HC911" s="2657"/>
      <c r="HD911" s="2657"/>
      <c r="HE911" s="2657"/>
      <c r="HF911" s="2657"/>
      <c r="HG911" s="2657"/>
      <c r="HH911" s="2657"/>
      <c r="HI911" s="2657"/>
      <c r="HJ911" s="2657"/>
      <c r="HK911" s="2657"/>
      <c r="HL911" s="2657"/>
      <c r="HM911" s="2657"/>
      <c r="HN911" s="2657"/>
      <c r="HO911" s="2657"/>
      <c r="HP911" s="2657"/>
      <c r="HQ911" s="2657"/>
      <c r="HR911" s="2657"/>
      <c r="HS911" s="2657"/>
      <c r="HT911" s="2657"/>
      <c r="HU911" s="2657"/>
      <c r="HV911" s="2657"/>
      <c r="HW911" s="2657"/>
      <c r="HX911" s="2657"/>
      <c r="HY911" s="2657"/>
      <c r="HZ911" s="2657"/>
      <c r="IA911" s="2657"/>
      <c r="IB911" s="2657"/>
      <c r="IC911" s="2657"/>
      <c r="ID911" s="2657"/>
      <c r="IE911" s="2657"/>
      <c r="IF911" s="2657"/>
      <c r="IG911" s="2657"/>
      <c r="IH911" s="2657"/>
      <c r="II911" s="2657"/>
      <c r="IJ911" s="2657"/>
      <c r="IK911" s="2657"/>
      <c r="IL911" s="2657"/>
      <c r="IM911" s="2657"/>
      <c r="IN911" s="2657"/>
      <c r="IO911" s="2657"/>
      <c r="IP911" s="2657"/>
      <c r="IQ911" s="2657"/>
      <c r="IR911" s="2657"/>
      <c r="IS911" s="2657"/>
      <c r="IT911" s="2657"/>
      <c r="IU911" s="2657"/>
    </row>
    <row r="912" spans="1:255" s="888" customFormat="1" ht="13.5" customHeight="1">
      <c r="A912" s="3089"/>
      <c r="B912" s="3090"/>
      <c r="C912" s="3090"/>
      <c r="D912" s="719" t="s">
        <v>5047</v>
      </c>
      <c r="E912" s="3090"/>
      <c r="F912" s="3076">
        <v>2</v>
      </c>
      <c r="G912" s="288"/>
      <c r="H912" s="609"/>
      <c r="I912" s="613"/>
      <c r="J912" s="3185"/>
      <c r="BN912" s="2657"/>
      <c r="BO912" s="2657"/>
      <c r="BP912" s="2657"/>
      <c r="BQ912" s="2657"/>
      <c r="BR912" s="2657"/>
      <c r="BS912" s="2657"/>
      <c r="BT912" s="2657"/>
      <c r="BU912" s="2657"/>
      <c r="BV912" s="2657"/>
      <c r="BW912" s="2657"/>
      <c r="BX912" s="2657"/>
      <c r="BY912" s="2657"/>
      <c r="BZ912" s="2657"/>
      <c r="CA912" s="2657"/>
      <c r="CB912" s="2657"/>
      <c r="CC912" s="2657"/>
      <c r="CD912" s="2657"/>
      <c r="CE912" s="2657"/>
      <c r="CF912" s="2657"/>
      <c r="CG912" s="2657"/>
      <c r="CH912" s="2657"/>
      <c r="CI912" s="2657"/>
      <c r="CJ912" s="2657"/>
      <c r="CK912" s="2657"/>
      <c r="CL912" s="2657"/>
      <c r="CM912" s="2657"/>
      <c r="CN912" s="2657"/>
      <c r="CO912" s="2657"/>
      <c r="CP912" s="2657"/>
      <c r="CQ912" s="2657"/>
      <c r="CR912" s="2657"/>
      <c r="CS912" s="2657"/>
      <c r="CT912" s="2657"/>
      <c r="CU912" s="2657"/>
      <c r="CV912" s="2657"/>
      <c r="CW912" s="2657"/>
      <c r="CX912" s="2657"/>
      <c r="CY912" s="2657"/>
      <c r="CZ912" s="2657"/>
      <c r="DA912" s="2657"/>
      <c r="DB912" s="2657"/>
      <c r="DC912" s="2657"/>
      <c r="DD912" s="2657"/>
      <c r="DE912" s="2657"/>
      <c r="DF912" s="2657"/>
      <c r="DG912" s="2657"/>
      <c r="DH912" s="2657"/>
      <c r="DI912" s="2657"/>
      <c r="DJ912" s="2657"/>
      <c r="DK912" s="2657"/>
      <c r="DL912" s="2657"/>
      <c r="DM912" s="2657"/>
      <c r="DN912" s="2657"/>
      <c r="DO912" s="2657"/>
      <c r="DP912" s="2657"/>
      <c r="DQ912" s="2657"/>
      <c r="DR912" s="2657"/>
      <c r="DS912" s="2657"/>
      <c r="DT912" s="2657"/>
      <c r="DU912" s="2657"/>
      <c r="DV912" s="2657"/>
      <c r="DW912" s="2657"/>
      <c r="DX912" s="2657"/>
      <c r="DY912" s="2657"/>
      <c r="DZ912" s="2657"/>
      <c r="EA912" s="2657"/>
      <c r="EB912" s="2657"/>
      <c r="EC912" s="2657"/>
      <c r="ED912" s="2657"/>
      <c r="EE912" s="2657"/>
      <c r="EF912" s="2657"/>
      <c r="EG912" s="2657"/>
      <c r="EH912" s="2657"/>
      <c r="EI912" s="2657"/>
      <c r="EJ912" s="2657"/>
      <c r="EK912" s="2657"/>
      <c r="EL912" s="2657"/>
      <c r="EM912" s="2657"/>
      <c r="EN912" s="2657"/>
      <c r="EO912" s="2657"/>
      <c r="EP912" s="2657"/>
      <c r="EQ912" s="2657"/>
      <c r="ER912" s="2657"/>
      <c r="ES912" s="2657"/>
      <c r="ET912" s="2657"/>
      <c r="EU912" s="2657"/>
      <c r="EV912" s="2657"/>
      <c r="EW912" s="2657"/>
      <c r="EX912" s="2657"/>
      <c r="EY912" s="2657"/>
      <c r="EZ912" s="2657"/>
      <c r="FA912" s="2657"/>
      <c r="FB912" s="2657"/>
      <c r="FC912" s="2657"/>
      <c r="FD912" s="2657"/>
      <c r="FE912" s="2657"/>
      <c r="FF912" s="2657"/>
      <c r="FG912" s="2657"/>
      <c r="FH912" s="2657"/>
      <c r="FI912" s="2657"/>
      <c r="FJ912" s="2657"/>
      <c r="FK912" s="2657"/>
      <c r="FL912" s="2657"/>
      <c r="FM912" s="2657"/>
      <c r="FN912" s="2657"/>
      <c r="FO912" s="2657"/>
      <c r="FP912" s="2657"/>
      <c r="FQ912" s="2657"/>
      <c r="FR912" s="2657"/>
      <c r="FS912" s="2657"/>
      <c r="FT912" s="2657"/>
      <c r="FU912" s="2657"/>
      <c r="FV912" s="2657"/>
      <c r="FW912" s="2657"/>
      <c r="FX912" s="2657"/>
      <c r="FY912" s="2657"/>
      <c r="FZ912" s="2657"/>
      <c r="GA912" s="2657"/>
      <c r="GB912" s="2657"/>
      <c r="GC912" s="2657"/>
      <c r="GD912" s="2657"/>
      <c r="GE912" s="2657"/>
      <c r="GF912" s="2657"/>
      <c r="GG912" s="2657"/>
      <c r="GH912" s="2657"/>
      <c r="GI912" s="2657"/>
      <c r="GJ912" s="2657"/>
      <c r="GK912" s="2657"/>
      <c r="GL912" s="2657"/>
      <c r="GM912" s="2657"/>
      <c r="GN912" s="2657"/>
      <c r="GO912" s="2657"/>
      <c r="GP912" s="2657"/>
      <c r="GQ912" s="2657"/>
      <c r="GR912" s="2657"/>
      <c r="GS912" s="2657"/>
      <c r="GT912" s="2657"/>
      <c r="GU912" s="2657"/>
      <c r="GV912" s="2657"/>
      <c r="GW912" s="2657"/>
      <c r="GX912" s="2657"/>
      <c r="GY912" s="2657"/>
      <c r="GZ912" s="2657"/>
      <c r="HA912" s="2657"/>
      <c r="HB912" s="2657"/>
      <c r="HC912" s="2657"/>
      <c r="HD912" s="2657"/>
      <c r="HE912" s="2657"/>
      <c r="HF912" s="2657"/>
      <c r="HG912" s="2657"/>
      <c r="HH912" s="2657"/>
      <c r="HI912" s="2657"/>
      <c r="HJ912" s="2657"/>
      <c r="HK912" s="2657"/>
      <c r="HL912" s="2657"/>
      <c r="HM912" s="2657"/>
      <c r="HN912" s="2657"/>
      <c r="HO912" s="2657"/>
      <c r="HP912" s="2657"/>
      <c r="HQ912" s="2657"/>
      <c r="HR912" s="2657"/>
      <c r="HS912" s="2657"/>
      <c r="HT912" s="2657"/>
      <c r="HU912" s="2657"/>
      <c r="HV912" s="2657"/>
      <c r="HW912" s="2657"/>
      <c r="HX912" s="2657"/>
      <c r="HY912" s="2657"/>
      <c r="HZ912" s="2657"/>
      <c r="IA912" s="2657"/>
      <c r="IB912" s="2657"/>
      <c r="IC912" s="2657"/>
      <c r="ID912" s="2657"/>
      <c r="IE912" s="2657"/>
      <c r="IF912" s="2657"/>
      <c r="IG912" s="2657"/>
      <c r="IH912" s="2657"/>
      <c r="II912" s="2657"/>
      <c r="IJ912" s="2657"/>
      <c r="IK912" s="2657"/>
      <c r="IL912" s="2657"/>
      <c r="IM912" s="2657"/>
      <c r="IN912" s="2657"/>
      <c r="IO912" s="2657"/>
      <c r="IP912" s="2657"/>
      <c r="IQ912" s="2657"/>
      <c r="IR912" s="2657"/>
      <c r="IS912" s="2657"/>
      <c r="IT912" s="2657"/>
      <c r="IU912" s="2657"/>
    </row>
    <row r="913" spans="1:255" s="888" customFormat="1" ht="54" customHeight="1">
      <c r="A913" s="3089"/>
      <c r="B913" s="3090"/>
      <c r="C913" s="3090"/>
      <c r="D913" s="3186" t="s">
        <v>5048</v>
      </c>
      <c r="E913" s="3090"/>
      <c r="F913" s="1622"/>
      <c r="G913" s="288"/>
      <c r="H913" s="609"/>
      <c r="I913" s="613"/>
      <c r="J913" s="3185"/>
      <c r="BN913" s="2657"/>
      <c r="BO913" s="2657"/>
      <c r="BP913" s="2657"/>
      <c r="BQ913" s="2657"/>
      <c r="BR913" s="2657"/>
      <c r="BS913" s="2657"/>
      <c r="BT913" s="2657"/>
      <c r="BU913" s="2657"/>
      <c r="BV913" s="2657"/>
      <c r="BW913" s="2657"/>
      <c r="BX913" s="2657"/>
      <c r="BY913" s="2657"/>
      <c r="BZ913" s="2657"/>
      <c r="CA913" s="2657"/>
      <c r="CB913" s="2657"/>
      <c r="CC913" s="2657"/>
      <c r="CD913" s="2657"/>
      <c r="CE913" s="2657"/>
      <c r="CF913" s="2657"/>
      <c r="CG913" s="2657"/>
      <c r="CH913" s="2657"/>
      <c r="CI913" s="2657"/>
      <c r="CJ913" s="2657"/>
      <c r="CK913" s="2657"/>
      <c r="CL913" s="2657"/>
      <c r="CM913" s="2657"/>
      <c r="CN913" s="2657"/>
      <c r="CO913" s="2657"/>
      <c r="CP913" s="2657"/>
      <c r="CQ913" s="2657"/>
      <c r="CR913" s="2657"/>
      <c r="CS913" s="2657"/>
      <c r="CT913" s="2657"/>
      <c r="CU913" s="2657"/>
      <c r="CV913" s="2657"/>
      <c r="CW913" s="2657"/>
      <c r="CX913" s="2657"/>
      <c r="CY913" s="2657"/>
      <c r="CZ913" s="2657"/>
      <c r="DA913" s="2657"/>
      <c r="DB913" s="2657"/>
      <c r="DC913" s="2657"/>
      <c r="DD913" s="2657"/>
      <c r="DE913" s="2657"/>
      <c r="DF913" s="2657"/>
      <c r="DG913" s="2657"/>
      <c r="DH913" s="2657"/>
      <c r="DI913" s="2657"/>
      <c r="DJ913" s="2657"/>
      <c r="DK913" s="2657"/>
      <c r="DL913" s="2657"/>
      <c r="DM913" s="2657"/>
      <c r="DN913" s="2657"/>
      <c r="DO913" s="2657"/>
      <c r="DP913" s="2657"/>
      <c r="DQ913" s="2657"/>
      <c r="DR913" s="2657"/>
      <c r="DS913" s="2657"/>
      <c r="DT913" s="2657"/>
      <c r="DU913" s="2657"/>
      <c r="DV913" s="2657"/>
      <c r="DW913" s="2657"/>
      <c r="DX913" s="2657"/>
      <c r="DY913" s="2657"/>
      <c r="DZ913" s="2657"/>
      <c r="EA913" s="2657"/>
      <c r="EB913" s="2657"/>
      <c r="EC913" s="2657"/>
      <c r="ED913" s="2657"/>
      <c r="EE913" s="2657"/>
      <c r="EF913" s="2657"/>
      <c r="EG913" s="2657"/>
      <c r="EH913" s="2657"/>
      <c r="EI913" s="2657"/>
      <c r="EJ913" s="2657"/>
      <c r="EK913" s="2657"/>
      <c r="EL913" s="2657"/>
      <c r="EM913" s="2657"/>
      <c r="EN913" s="2657"/>
      <c r="EO913" s="2657"/>
      <c r="EP913" s="2657"/>
      <c r="EQ913" s="2657"/>
      <c r="ER913" s="2657"/>
      <c r="ES913" s="2657"/>
      <c r="ET913" s="2657"/>
      <c r="EU913" s="2657"/>
      <c r="EV913" s="2657"/>
      <c r="EW913" s="2657"/>
      <c r="EX913" s="2657"/>
      <c r="EY913" s="2657"/>
      <c r="EZ913" s="2657"/>
      <c r="FA913" s="2657"/>
      <c r="FB913" s="2657"/>
      <c r="FC913" s="2657"/>
      <c r="FD913" s="2657"/>
      <c r="FE913" s="2657"/>
      <c r="FF913" s="2657"/>
      <c r="FG913" s="2657"/>
      <c r="FH913" s="2657"/>
      <c r="FI913" s="2657"/>
      <c r="FJ913" s="2657"/>
      <c r="FK913" s="2657"/>
      <c r="FL913" s="2657"/>
      <c r="FM913" s="2657"/>
      <c r="FN913" s="2657"/>
      <c r="FO913" s="2657"/>
      <c r="FP913" s="2657"/>
      <c r="FQ913" s="2657"/>
      <c r="FR913" s="2657"/>
      <c r="FS913" s="2657"/>
      <c r="FT913" s="2657"/>
      <c r="FU913" s="2657"/>
      <c r="FV913" s="2657"/>
      <c r="FW913" s="2657"/>
      <c r="FX913" s="2657"/>
      <c r="FY913" s="2657"/>
      <c r="FZ913" s="2657"/>
      <c r="GA913" s="2657"/>
      <c r="GB913" s="2657"/>
      <c r="GC913" s="2657"/>
      <c r="GD913" s="2657"/>
      <c r="GE913" s="2657"/>
      <c r="GF913" s="2657"/>
      <c r="GG913" s="2657"/>
      <c r="GH913" s="2657"/>
      <c r="GI913" s="2657"/>
      <c r="GJ913" s="2657"/>
      <c r="GK913" s="2657"/>
      <c r="GL913" s="2657"/>
      <c r="GM913" s="2657"/>
      <c r="GN913" s="2657"/>
      <c r="GO913" s="2657"/>
      <c r="GP913" s="2657"/>
      <c r="GQ913" s="2657"/>
      <c r="GR913" s="2657"/>
      <c r="GS913" s="2657"/>
      <c r="GT913" s="2657"/>
      <c r="GU913" s="2657"/>
      <c r="GV913" s="2657"/>
      <c r="GW913" s="2657"/>
      <c r="GX913" s="2657"/>
      <c r="GY913" s="2657"/>
      <c r="GZ913" s="2657"/>
      <c r="HA913" s="2657"/>
      <c r="HB913" s="2657"/>
      <c r="HC913" s="2657"/>
      <c r="HD913" s="2657"/>
      <c r="HE913" s="2657"/>
      <c r="HF913" s="2657"/>
      <c r="HG913" s="2657"/>
      <c r="HH913" s="2657"/>
      <c r="HI913" s="2657"/>
      <c r="HJ913" s="2657"/>
      <c r="HK913" s="2657"/>
      <c r="HL913" s="2657"/>
      <c r="HM913" s="2657"/>
      <c r="HN913" s="2657"/>
      <c r="HO913" s="2657"/>
      <c r="HP913" s="2657"/>
      <c r="HQ913" s="2657"/>
      <c r="HR913" s="2657"/>
      <c r="HS913" s="2657"/>
      <c r="HT913" s="2657"/>
      <c r="HU913" s="2657"/>
      <c r="HV913" s="2657"/>
      <c r="HW913" s="2657"/>
      <c r="HX913" s="2657"/>
      <c r="HY913" s="2657"/>
      <c r="HZ913" s="2657"/>
      <c r="IA913" s="2657"/>
      <c r="IB913" s="2657"/>
      <c r="IC913" s="2657"/>
      <c r="ID913" s="2657"/>
      <c r="IE913" s="2657"/>
      <c r="IF913" s="2657"/>
      <c r="IG913" s="2657"/>
      <c r="IH913" s="2657"/>
      <c r="II913" s="2657"/>
      <c r="IJ913" s="2657"/>
      <c r="IK913" s="2657"/>
      <c r="IL913" s="2657"/>
      <c r="IM913" s="2657"/>
      <c r="IN913" s="2657"/>
      <c r="IO913" s="2657"/>
      <c r="IP913" s="2657"/>
      <c r="IQ913" s="2657"/>
      <c r="IR913" s="2657"/>
      <c r="IS913" s="2657"/>
      <c r="IT913" s="2657"/>
      <c r="IU913" s="2657"/>
    </row>
    <row r="914" spans="1:255" s="888" customFormat="1" ht="67.5" customHeight="1">
      <c r="A914" s="3072"/>
      <c r="B914" s="2666"/>
      <c r="C914" s="2666"/>
      <c r="D914" s="1275" t="s">
        <v>310</v>
      </c>
      <c r="E914" s="2666"/>
      <c r="F914" s="3158"/>
      <c r="G914" s="304"/>
      <c r="H914" s="2667"/>
      <c r="I914" s="2846"/>
      <c r="J914" s="3146"/>
      <c r="K914" s="2656"/>
      <c r="L914" s="3148"/>
      <c r="M914" s="3094"/>
      <c r="N914" s="3094"/>
      <c r="O914" s="3149"/>
      <c r="P914" s="3094"/>
      <c r="Q914" s="3150"/>
      <c r="R914" s="3151"/>
      <c r="S914" s="3151"/>
      <c r="T914" s="3152"/>
    </row>
    <row r="915" spans="1:255" s="612" customFormat="1" ht="13.5" customHeight="1">
      <c r="A915" s="608">
        <v>64</v>
      </c>
      <c r="B915" s="557">
        <v>271</v>
      </c>
      <c r="C915" s="557" t="s">
        <v>5049</v>
      </c>
      <c r="D915" s="557" t="s">
        <v>2412</v>
      </c>
      <c r="E915" s="557" t="s">
        <v>49</v>
      </c>
      <c r="F915" s="3091">
        <f>ROUND(SUM(F916),3)</f>
        <v>1</v>
      </c>
      <c r="G915" s="288"/>
      <c r="H915" s="568">
        <f t="shared" ref="H915" si="55">ROUND(F915*G915,2)</f>
        <v>0</v>
      </c>
      <c r="I915" s="613" t="s">
        <v>111</v>
      </c>
      <c r="J915" s="309"/>
    </row>
    <row r="916" spans="1:255" s="604" customFormat="1" ht="27" customHeight="1">
      <c r="A916" s="595"/>
      <c r="B916" s="596"/>
      <c r="C916" s="597"/>
      <c r="D916" s="719" t="s">
        <v>5050</v>
      </c>
      <c r="E916" s="599"/>
      <c r="F916" s="3076">
        <v>1</v>
      </c>
      <c r="G916" s="289"/>
      <c r="H916" s="601"/>
      <c r="I916" s="602"/>
      <c r="J916" s="606"/>
      <c r="U916" s="605"/>
      <c r="W916" s="605"/>
    </row>
    <row r="917" spans="1:255" s="604" customFormat="1" ht="13.5" customHeight="1">
      <c r="A917" s="595"/>
      <c r="B917" s="596"/>
      <c r="C917" s="597"/>
      <c r="D917" s="719" t="s">
        <v>2414</v>
      </c>
      <c r="E917" s="599"/>
      <c r="F917" s="1622"/>
      <c r="G917" s="289"/>
      <c r="H917" s="601"/>
      <c r="I917" s="602"/>
      <c r="J917" s="606"/>
      <c r="U917" s="605"/>
      <c r="W917" s="605"/>
    </row>
    <row r="918" spans="1:255" s="604" customFormat="1" ht="27" customHeight="1">
      <c r="A918" s="595"/>
      <c r="B918" s="596"/>
      <c r="C918" s="597"/>
      <c r="D918" s="719" t="s">
        <v>5051</v>
      </c>
      <c r="E918" s="599"/>
      <c r="F918" s="1622"/>
      <c r="G918" s="289"/>
      <c r="H918" s="601"/>
      <c r="I918" s="602"/>
      <c r="J918" s="606"/>
      <c r="U918" s="605"/>
      <c r="W918" s="605"/>
    </row>
    <row r="919" spans="1:255" s="612" customFormat="1" ht="13.5" customHeight="1">
      <c r="A919" s="608">
        <v>65</v>
      </c>
      <c r="B919" s="557" t="s">
        <v>2416</v>
      </c>
      <c r="C919" s="557">
        <v>899721112</v>
      </c>
      <c r="D919" s="557" t="s">
        <v>5052</v>
      </c>
      <c r="E919" s="557" t="s">
        <v>141</v>
      </c>
      <c r="F919" s="3091">
        <f>ROUND(SUM(F921:F922),3)</f>
        <v>280.7</v>
      </c>
      <c r="G919" s="288"/>
      <c r="H919" s="568">
        <f t="shared" ref="H919" si="56">ROUND(F919*G919,2)</f>
        <v>0</v>
      </c>
      <c r="I919" s="613" t="s">
        <v>137</v>
      </c>
      <c r="J919" s="306"/>
    </row>
    <row r="920" spans="1:255" s="612" customFormat="1" ht="13.5" customHeight="1">
      <c r="A920" s="608"/>
      <c r="B920" s="608"/>
      <c r="C920" s="599"/>
      <c r="D920" s="599" t="s">
        <v>5053</v>
      </c>
      <c r="E920" s="599"/>
      <c r="F920" s="2322"/>
      <c r="G920" s="290"/>
      <c r="H920" s="614"/>
      <c r="I920" s="852"/>
    </row>
    <row r="921" spans="1:255" s="612" customFormat="1" ht="40.5" customHeight="1">
      <c r="A921" s="608"/>
      <c r="B921" s="608"/>
      <c r="C921" s="599"/>
      <c r="D921" s="719" t="s">
        <v>5054</v>
      </c>
      <c r="E921" s="599"/>
      <c r="F921" s="623">
        <f>(5.2+1+4.2)+(2.9+19.3+4.9+10.4+8.7+8.8+5+18.4+7.6+1.9+5+21.4+3.6)+(1.5+18.2+5.8+15.1+9.5+3.9+11.4+8.4+7.8+19.7+25+2.1+2.5+4.6+6.2+3.2)</f>
        <v>273.2</v>
      </c>
      <c r="G921" s="290"/>
      <c r="H921" s="614"/>
      <c r="I921" s="852"/>
    </row>
    <row r="922" spans="1:255" s="612" customFormat="1" ht="13.5" customHeight="1">
      <c r="A922" s="608"/>
      <c r="B922" s="608"/>
      <c r="C922" s="599"/>
      <c r="D922" s="719" t="s">
        <v>5055</v>
      </c>
      <c r="E922" s="599"/>
      <c r="F922" s="623">
        <f>(4.8+1.7)+(1)</f>
        <v>7.5</v>
      </c>
      <c r="G922" s="290"/>
      <c r="H922" s="614"/>
      <c r="I922" s="852"/>
    </row>
    <row r="923" spans="1:255" s="612" customFormat="1" ht="13.5" customHeight="1">
      <c r="A923" s="608">
        <v>66</v>
      </c>
      <c r="B923" s="557" t="s">
        <v>2416</v>
      </c>
      <c r="C923" s="557">
        <v>899722114</v>
      </c>
      <c r="D923" s="557" t="s">
        <v>5056</v>
      </c>
      <c r="E923" s="557" t="s">
        <v>141</v>
      </c>
      <c r="F923" s="566">
        <f>ROUND(SUM(F925:F926),3)</f>
        <v>280.7</v>
      </c>
      <c r="G923" s="288"/>
      <c r="H923" s="568">
        <f t="shared" ref="H923" si="57">ROUND(F923*G923,2)</f>
        <v>0</v>
      </c>
      <c r="I923" s="613" t="s">
        <v>137</v>
      </c>
      <c r="J923" s="310"/>
    </row>
    <row r="924" spans="1:255" s="612" customFormat="1" ht="13.5" customHeight="1">
      <c r="A924" s="608"/>
      <c r="B924" s="608"/>
      <c r="C924" s="599"/>
      <c r="D924" s="599" t="s">
        <v>5057</v>
      </c>
      <c r="E924" s="599"/>
      <c r="F924" s="2322"/>
      <c r="G924" s="290"/>
      <c r="H924" s="614"/>
      <c r="I924" s="852"/>
    </row>
    <row r="925" spans="1:255" s="612" customFormat="1" ht="40.5" customHeight="1">
      <c r="A925" s="608"/>
      <c r="B925" s="608"/>
      <c r="C925" s="599"/>
      <c r="D925" s="719" t="s">
        <v>5058</v>
      </c>
      <c r="E925" s="599"/>
      <c r="F925" s="623">
        <f>(5.2+1+4.2)+(2.9+19.3+4.9+10.4+8.7+8.8+5+18.4+7.6+1.9+5+21.4+3.6)+(1.5+18.2+5.8+15.1+9.5+3.9+11.4+8.4+7.8+19.7+25+2.1+2.5+4.6+6.2+3.2)</f>
        <v>273.2</v>
      </c>
      <c r="G925" s="290"/>
      <c r="H925" s="614"/>
      <c r="I925" s="852"/>
    </row>
    <row r="926" spans="1:255" s="612" customFormat="1" ht="13.5" customHeight="1">
      <c r="A926" s="608"/>
      <c r="B926" s="608"/>
      <c r="C926" s="599"/>
      <c r="D926" s="719" t="s">
        <v>5059</v>
      </c>
      <c r="E926" s="599"/>
      <c r="F926" s="623">
        <f>(4.8+1.7)+(1)</f>
        <v>7.5</v>
      </c>
      <c r="G926" s="290"/>
      <c r="H926" s="614"/>
      <c r="I926" s="852"/>
    </row>
    <row r="927" spans="1:255" s="612" customFormat="1" ht="13.5" customHeight="1">
      <c r="A927" s="608"/>
      <c r="B927" s="608"/>
      <c r="C927" s="616" t="s">
        <v>356</v>
      </c>
      <c r="D927" s="616" t="s">
        <v>357</v>
      </c>
      <c r="E927" s="616"/>
      <c r="F927" s="617"/>
      <c r="G927" s="303"/>
      <c r="H927" s="828">
        <f>SUM(H928:H931)</f>
        <v>0</v>
      </c>
      <c r="I927" s="619"/>
      <c r="J927" s="829"/>
    </row>
    <row r="928" spans="1:255" s="612" customFormat="1" ht="13.5" customHeight="1">
      <c r="A928" s="658" t="s">
        <v>5060</v>
      </c>
      <c r="B928" s="659" t="s">
        <v>2416</v>
      </c>
      <c r="C928" s="2666">
        <v>998276101</v>
      </c>
      <c r="D928" s="557" t="s">
        <v>2418</v>
      </c>
      <c r="E928" s="557" t="s">
        <v>175</v>
      </c>
      <c r="F928" s="566">
        <f>ROUND(SUM(F929),3)</f>
        <v>647.50199999999995</v>
      </c>
      <c r="G928" s="288"/>
      <c r="H928" s="568">
        <f t="shared" ref="H928" si="58">ROUND(F928*G928,2)</f>
        <v>0</v>
      </c>
      <c r="I928" s="613" t="s">
        <v>137</v>
      </c>
      <c r="J928" s="660"/>
    </row>
    <row r="929" spans="1:12" s="612" customFormat="1" ht="13.5" customHeight="1">
      <c r="A929" s="658"/>
      <c r="B929" s="659"/>
      <c r="C929" s="2666"/>
      <c r="D929" s="719" t="s">
        <v>5061</v>
      </c>
      <c r="E929" s="599"/>
      <c r="F929" s="623">
        <f>647.502</f>
        <v>647.50199999999995</v>
      </c>
      <c r="G929" s="288"/>
      <c r="H929" s="609"/>
      <c r="I929" s="613"/>
      <c r="J929" s="660"/>
    </row>
    <row r="930" spans="1:12" s="612" customFormat="1" ht="13.5" customHeight="1">
      <c r="A930" s="608">
        <v>68</v>
      </c>
      <c r="B930" s="557" t="s">
        <v>362</v>
      </c>
      <c r="C930" s="557" t="s">
        <v>2424</v>
      </c>
      <c r="D930" s="557" t="s">
        <v>2425</v>
      </c>
      <c r="E930" s="557" t="s">
        <v>69</v>
      </c>
      <c r="F930" s="566">
        <f>ROUND(SUM(F931),3)</f>
        <v>15</v>
      </c>
      <c r="G930" s="288"/>
      <c r="H930" s="568">
        <f t="shared" ref="H930" si="59">ROUND(F930*G930,2)</f>
        <v>0</v>
      </c>
      <c r="I930" s="613" t="s">
        <v>137</v>
      </c>
      <c r="J930" s="661"/>
      <c r="K930" s="662"/>
      <c r="L930" s="663"/>
    </row>
    <row r="931" spans="1:12" s="612" customFormat="1" ht="27" customHeight="1">
      <c r="A931" s="608"/>
      <c r="B931" s="557"/>
      <c r="C931" s="622"/>
      <c r="D931" s="599" t="s">
        <v>5062</v>
      </c>
      <c r="E931" s="622"/>
      <c r="F931" s="623">
        <v>15</v>
      </c>
      <c r="G931" s="311"/>
      <c r="H931" s="664"/>
      <c r="I931" s="625"/>
      <c r="J931" s="661"/>
      <c r="K931" s="663"/>
      <c r="L931" s="663"/>
    </row>
    <row r="932" spans="1:12" s="612" customFormat="1" ht="21" customHeight="1">
      <c r="A932" s="608"/>
      <c r="B932" s="608"/>
      <c r="C932" s="616" t="s">
        <v>846</v>
      </c>
      <c r="D932" s="616" t="s">
        <v>847</v>
      </c>
      <c r="E932" s="616"/>
      <c r="F932" s="617"/>
      <c r="G932" s="303"/>
      <c r="H932" s="828">
        <f>H933</f>
        <v>0</v>
      </c>
      <c r="I932" s="625"/>
      <c r="J932" s="661"/>
    </row>
    <row r="933" spans="1:12" s="612" customFormat="1" ht="13.5" customHeight="1">
      <c r="A933" s="608"/>
      <c r="B933" s="608"/>
      <c r="C933" s="616" t="s">
        <v>1910</v>
      </c>
      <c r="D933" s="616" t="s">
        <v>1911</v>
      </c>
      <c r="E933" s="616"/>
      <c r="F933" s="617"/>
      <c r="G933" s="303"/>
      <c r="H933" s="828">
        <f>SUM(H934:H944)</f>
        <v>0</v>
      </c>
      <c r="I933" s="619"/>
      <c r="J933" s="661"/>
    </row>
    <row r="934" spans="1:12" s="612" customFormat="1" ht="13.5" customHeight="1">
      <c r="A934" s="608">
        <v>69</v>
      </c>
      <c r="B934" s="659" t="s">
        <v>5063</v>
      </c>
      <c r="C934" s="557">
        <v>230170004</v>
      </c>
      <c r="D934" s="557" t="s">
        <v>5064</v>
      </c>
      <c r="E934" s="557" t="s">
        <v>49</v>
      </c>
      <c r="F934" s="566">
        <f>ROUND(SUM(F936:F937),3)</f>
        <v>2</v>
      </c>
      <c r="G934" s="288"/>
      <c r="H934" s="568">
        <f t="shared" ref="H934" si="60">ROUND(F934*G934,2)</f>
        <v>0</v>
      </c>
      <c r="I934" s="613" t="s">
        <v>137</v>
      </c>
      <c r="J934" s="661"/>
    </row>
    <row r="935" spans="1:12" s="612" customFormat="1" ht="13.5" customHeight="1">
      <c r="A935" s="608"/>
      <c r="B935" s="659"/>
      <c r="C935" s="557"/>
      <c r="D935" s="599" t="s">
        <v>5065</v>
      </c>
      <c r="E935" s="557"/>
      <c r="F935" s="851"/>
      <c r="G935" s="288"/>
      <c r="H935" s="609"/>
      <c r="I935" s="613"/>
      <c r="J935" s="661"/>
    </row>
    <row r="936" spans="1:12" s="612" customFormat="1" ht="13.5" customHeight="1">
      <c r="A936" s="608"/>
      <c r="B936" s="608"/>
      <c r="C936" s="599"/>
      <c r="D936" s="599" t="s">
        <v>5066</v>
      </c>
      <c r="E936" s="599"/>
      <c r="F936" s="623">
        <v>1</v>
      </c>
      <c r="G936" s="290"/>
      <c r="H936" s="614"/>
      <c r="I936" s="852"/>
      <c r="J936" s="661"/>
    </row>
    <row r="937" spans="1:12" s="612" customFormat="1" ht="13.5" customHeight="1">
      <c r="A937" s="608"/>
      <c r="B937" s="608"/>
      <c r="C937" s="599"/>
      <c r="D937" s="599" t="s">
        <v>5067</v>
      </c>
      <c r="E937" s="599"/>
      <c r="F937" s="623">
        <v>1</v>
      </c>
      <c r="G937" s="290"/>
      <c r="H937" s="614"/>
      <c r="I937" s="852"/>
      <c r="J937" s="661"/>
    </row>
    <row r="938" spans="1:12" s="612" customFormat="1" ht="13.5" customHeight="1">
      <c r="A938" s="608"/>
      <c r="B938" s="608"/>
      <c r="C938" s="599"/>
      <c r="D938" s="599" t="s">
        <v>5068</v>
      </c>
      <c r="E938" s="599"/>
      <c r="F938" s="623"/>
      <c r="G938" s="290"/>
      <c r="H938" s="614"/>
      <c r="I938" s="852"/>
      <c r="J938" s="661"/>
    </row>
    <row r="939" spans="1:12" s="612" customFormat="1" ht="13.5" customHeight="1">
      <c r="A939" s="608">
        <v>70</v>
      </c>
      <c r="B939" s="659" t="s">
        <v>5063</v>
      </c>
      <c r="C939" s="557">
        <v>230170014</v>
      </c>
      <c r="D939" s="557" t="s">
        <v>5069</v>
      </c>
      <c r="E939" s="557" t="s">
        <v>141</v>
      </c>
      <c r="F939" s="566">
        <f>ROUND(SUM(F941:F942),3)</f>
        <v>280.7</v>
      </c>
      <c r="G939" s="288"/>
      <c r="H939" s="568">
        <f t="shared" ref="H939" si="61">ROUND(F939*G939,2)</f>
        <v>0</v>
      </c>
      <c r="I939" s="613" t="s">
        <v>137</v>
      </c>
      <c r="J939" s="661"/>
    </row>
    <row r="940" spans="1:12" s="612" customFormat="1" ht="13.5" customHeight="1">
      <c r="A940" s="608"/>
      <c r="B940" s="659"/>
      <c r="C940" s="557"/>
      <c r="D940" s="599" t="s">
        <v>5070</v>
      </c>
      <c r="E940" s="557"/>
      <c r="F940" s="851"/>
      <c r="G940" s="288"/>
      <c r="H940" s="609"/>
      <c r="I940" s="613"/>
      <c r="J940" s="661"/>
    </row>
    <row r="941" spans="1:12" s="612" customFormat="1" ht="40.5" customHeight="1">
      <c r="A941" s="608"/>
      <c r="B941" s="608"/>
      <c r="C941" s="599"/>
      <c r="D941" s="599" t="s">
        <v>5071</v>
      </c>
      <c r="E941" s="599"/>
      <c r="F941" s="623">
        <f>(5.2+1+4.2)+(2.9+19.3+4.9+10.4+8.7+8.8+5+18.4+7.6+1.9+5+21.4+3.6)+(1.5+18.2+5.8+15.1+9.5+3.9+11.4+8.4+7.8+19.7+25+2.1+2.5+4.6+6.2+3.2)</f>
        <v>273.2</v>
      </c>
      <c r="G941" s="290"/>
      <c r="H941" s="614"/>
      <c r="I941" s="852"/>
      <c r="J941" s="661"/>
    </row>
    <row r="942" spans="1:12" s="612" customFormat="1" ht="13.5" customHeight="1">
      <c r="A942" s="608"/>
      <c r="B942" s="608"/>
      <c r="C942" s="599"/>
      <c r="D942" s="599" t="s">
        <v>5072</v>
      </c>
      <c r="E942" s="599"/>
      <c r="F942" s="623">
        <f>(4.8+1.7)+(1)</f>
        <v>7.5</v>
      </c>
      <c r="G942" s="290"/>
      <c r="H942" s="614"/>
      <c r="I942" s="852"/>
      <c r="J942" s="661"/>
    </row>
    <row r="943" spans="1:12" s="612" customFormat="1" ht="13.5" customHeight="1">
      <c r="A943" s="608">
        <v>71</v>
      </c>
      <c r="B943" s="557" t="s">
        <v>362</v>
      </c>
      <c r="C943" s="557" t="s">
        <v>2424</v>
      </c>
      <c r="D943" s="557" t="s">
        <v>2425</v>
      </c>
      <c r="E943" s="557" t="s">
        <v>69</v>
      </c>
      <c r="F943" s="566">
        <f>ROUND(SUM(F944),3)</f>
        <v>5</v>
      </c>
      <c r="G943" s="288"/>
      <c r="H943" s="568">
        <f t="shared" ref="H943" si="62">ROUND(F943*G943,2)</f>
        <v>0</v>
      </c>
      <c r="I943" s="613" t="s">
        <v>137</v>
      </c>
      <c r="J943" s="661"/>
    </row>
    <row r="944" spans="1:12" s="612" customFormat="1" ht="27" customHeight="1">
      <c r="A944" s="608"/>
      <c r="B944" s="557"/>
      <c r="C944" s="622"/>
      <c r="D944" s="599" t="s">
        <v>5073</v>
      </c>
      <c r="E944" s="622"/>
      <c r="F944" s="623">
        <v>5</v>
      </c>
      <c r="G944" s="311"/>
      <c r="H944" s="664"/>
      <c r="I944" s="625"/>
      <c r="J944" s="661"/>
    </row>
    <row r="945" spans="1:9" s="888" customFormat="1" ht="21" customHeight="1">
      <c r="A945" s="3187"/>
      <c r="B945" s="3188"/>
      <c r="C945" s="3188"/>
      <c r="D945" s="3188" t="s">
        <v>0</v>
      </c>
      <c r="E945" s="3188"/>
      <c r="F945" s="3189"/>
      <c r="G945" s="3190"/>
      <c r="H945" s="3190">
        <f>H932+H9</f>
        <v>0</v>
      </c>
    </row>
    <row r="946" spans="1:9">
      <c r="A946" s="3191"/>
      <c r="B946" s="3191"/>
      <c r="C946" s="3192"/>
      <c r="D946" s="3192"/>
      <c r="E946" s="3193"/>
      <c r="F946" s="3194"/>
      <c r="G946" s="3195"/>
      <c r="H946" s="3195"/>
      <c r="I946" s="1205"/>
    </row>
    <row r="947" spans="1:9" ht="13.5" customHeight="1">
      <c r="A947" s="5169" t="s">
        <v>862</v>
      </c>
      <c r="B947" s="5201"/>
      <c r="C947" s="5202"/>
      <c r="D947" s="3196" t="s">
        <v>4248</v>
      </c>
      <c r="E947" s="3197"/>
      <c r="F947" s="3198"/>
      <c r="G947" s="3199"/>
      <c r="H947" s="3200">
        <f>H945</f>
        <v>0</v>
      </c>
      <c r="I947" s="3201"/>
    </row>
    <row r="948" spans="1:9" s="888" customFormat="1" ht="13.5" customHeight="1">
      <c r="A948" s="3202"/>
      <c r="B948" s="3203"/>
      <c r="C948" s="3203"/>
      <c r="D948" s="3094"/>
      <c r="E948" s="3204"/>
      <c r="F948" s="3205"/>
      <c r="G948" s="3206"/>
      <c r="H948" s="3151"/>
    </row>
    <row r="949" spans="1:9" s="689" customFormat="1" ht="11.25">
      <c r="A949" s="689" t="s">
        <v>1</v>
      </c>
    </row>
    <row r="950" spans="1:9" s="888" customFormat="1" ht="23.45" customHeight="1">
      <c r="A950" s="5159" t="s">
        <v>864</v>
      </c>
      <c r="B950" s="5172"/>
      <c r="C950" s="5172"/>
      <c r="D950" s="5172"/>
      <c r="E950" s="5172"/>
      <c r="F950" s="5172"/>
      <c r="G950" s="5172"/>
      <c r="H950" s="689"/>
    </row>
    <row r="951" spans="1:9" s="689" customFormat="1" ht="93.75" customHeight="1">
      <c r="A951" s="5159" t="s">
        <v>104</v>
      </c>
      <c r="B951" s="5173"/>
      <c r="C951" s="5173"/>
      <c r="D951" s="5173"/>
      <c r="E951" s="5173"/>
      <c r="F951" s="5173"/>
      <c r="G951" s="5173"/>
    </row>
    <row r="952" spans="1:9" s="1204" customFormat="1" ht="13.5" customHeight="1">
      <c r="A952" s="5159" t="s">
        <v>105</v>
      </c>
      <c r="B952" s="5174"/>
      <c r="C952" s="5174"/>
      <c r="D952" s="5174"/>
      <c r="E952" s="5174"/>
      <c r="F952" s="5174"/>
      <c r="G952" s="5174"/>
      <c r="H952" s="691"/>
      <c r="I952" s="691"/>
    </row>
    <row r="953" spans="1:9" s="1204" customFormat="1" ht="13.5" customHeight="1">
      <c r="A953" s="5159" t="s">
        <v>106</v>
      </c>
      <c r="B953" s="5174"/>
      <c r="C953" s="5174"/>
      <c r="D953" s="5174"/>
      <c r="E953" s="5174"/>
      <c r="F953" s="5174"/>
      <c r="G953" s="5174"/>
      <c r="H953" s="691"/>
      <c r="I953" s="691"/>
    </row>
    <row r="954" spans="1:9" s="3208" customFormat="1" ht="40.5" customHeight="1">
      <c r="A954" s="5156" t="s">
        <v>865</v>
      </c>
      <c r="B954" s="5156"/>
      <c r="C954" s="5156"/>
      <c r="D954" s="5156"/>
      <c r="E954" s="5156"/>
      <c r="F954" s="5156"/>
      <c r="G954" s="5156"/>
      <c r="I954" s="3120"/>
    </row>
    <row r="955" spans="1:9" s="695" customFormat="1" ht="94.5" customHeight="1">
      <c r="A955" s="5156" t="s">
        <v>1013</v>
      </c>
      <c r="B955" s="5156"/>
      <c r="C955" s="5156"/>
      <c r="D955" s="5156"/>
      <c r="E955" s="5156"/>
      <c r="F955" s="5156"/>
      <c r="G955" s="5156"/>
      <c r="H955" s="693"/>
      <c r="I955" s="694"/>
    </row>
    <row r="956" spans="1:9">
      <c r="G956" s="1204"/>
      <c r="I956" s="1205"/>
    </row>
    <row r="957" spans="1:9">
      <c r="G957" s="1204"/>
      <c r="I957" s="1205"/>
    </row>
    <row r="958" spans="1:9">
      <c r="G958" s="1204"/>
      <c r="I958" s="1205"/>
    </row>
    <row r="959" spans="1:9">
      <c r="G959" s="1204"/>
      <c r="I959" s="1205"/>
    </row>
    <row r="960" spans="1:9">
      <c r="G960" s="1204"/>
      <c r="I960" s="1205"/>
    </row>
    <row r="961" spans="7:9">
      <c r="G961" s="1204"/>
      <c r="I961" s="1205"/>
    </row>
    <row r="962" spans="7:9">
      <c r="G962" s="1204"/>
      <c r="I962" s="1205"/>
    </row>
    <row r="963" spans="7:9">
      <c r="G963" s="1204"/>
      <c r="I963" s="1205"/>
    </row>
    <row r="964" spans="7:9">
      <c r="G964" s="1204"/>
      <c r="I964" s="1205"/>
    </row>
    <row r="965" spans="7:9">
      <c r="G965" s="1204"/>
      <c r="I965" s="3201"/>
    </row>
    <row r="966" spans="7:9">
      <c r="G966" s="1204"/>
      <c r="I966" s="1205"/>
    </row>
    <row r="967" spans="7:9">
      <c r="G967" s="1204"/>
      <c r="I967" s="1205"/>
    </row>
    <row r="968" spans="7:9">
      <c r="G968" s="1204"/>
      <c r="I968" s="1205"/>
    </row>
    <row r="969" spans="7:9">
      <c r="G969" s="1204"/>
      <c r="I969" s="1205"/>
    </row>
    <row r="970" spans="7:9">
      <c r="G970" s="1204"/>
      <c r="I970" s="3201"/>
    </row>
    <row r="971" spans="7:9">
      <c r="G971" s="1204"/>
      <c r="I971" s="1205"/>
    </row>
    <row r="972" spans="7:9">
      <c r="G972" s="1204"/>
      <c r="I972" s="3201"/>
    </row>
    <row r="973" spans="7:9">
      <c r="G973" s="1204"/>
      <c r="I973" s="888"/>
    </row>
    <row r="974" spans="7:9">
      <c r="G974" s="1204"/>
      <c r="I974" s="3201"/>
    </row>
    <row r="975" spans="7:9">
      <c r="G975" s="1204"/>
      <c r="I975" s="1205"/>
    </row>
    <row r="976" spans="7:9">
      <c r="G976" s="1204"/>
      <c r="I976" s="1205"/>
    </row>
    <row r="977" spans="7:9">
      <c r="G977" s="1204"/>
      <c r="I977" s="1205"/>
    </row>
    <row r="978" spans="7:9">
      <c r="G978" s="1204"/>
      <c r="I978" s="1205"/>
    </row>
    <row r="979" spans="7:9">
      <c r="G979" s="1204"/>
      <c r="I979" s="1205"/>
    </row>
    <row r="980" spans="7:9">
      <c r="G980" s="1204"/>
      <c r="I980" s="3201"/>
    </row>
    <row r="981" spans="7:9">
      <c r="G981" s="1204"/>
      <c r="I981" s="1205"/>
    </row>
    <row r="982" spans="7:9">
      <c r="G982" s="1204"/>
      <c r="I982" s="1205"/>
    </row>
    <row r="983" spans="7:9">
      <c r="G983" s="1204"/>
      <c r="I983" s="1205"/>
    </row>
    <row r="984" spans="7:9">
      <c r="G984" s="1204"/>
      <c r="I984" s="1205"/>
    </row>
    <row r="985" spans="7:9">
      <c r="G985" s="1204"/>
      <c r="I985" s="3201"/>
    </row>
    <row r="986" spans="7:9">
      <c r="G986" s="1204"/>
      <c r="I986" s="1205"/>
    </row>
    <row r="987" spans="7:9">
      <c r="G987" s="1204"/>
      <c r="I987" s="1205"/>
    </row>
    <row r="988" spans="7:9">
      <c r="G988" s="1204"/>
      <c r="I988" s="1205"/>
    </row>
    <row r="989" spans="7:9">
      <c r="G989" s="1204"/>
      <c r="I989" s="1205"/>
    </row>
    <row r="990" spans="7:9">
      <c r="G990" s="1204"/>
      <c r="I990" s="3201"/>
    </row>
    <row r="991" spans="7:9">
      <c r="G991" s="1204"/>
      <c r="I991" s="1205"/>
    </row>
    <row r="992" spans="7:9">
      <c r="G992" s="1204"/>
      <c r="I992" s="1205"/>
    </row>
    <row r="993" spans="7:9">
      <c r="G993" s="1204"/>
      <c r="I993" s="1205"/>
    </row>
    <row r="994" spans="7:9">
      <c r="G994" s="1204"/>
      <c r="I994" s="1205"/>
    </row>
    <row r="995" spans="7:9">
      <c r="G995" s="1204"/>
      <c r="I995" s="1205"/>
    </row>
    <row r="996" spans="7:9">
      <c r="G996" s="1204"/>
      <c r="I996" s="1205"/>
    </row>
    <row r="997" spans="7:9">
      <c r="G997" s="1204"/>
      <c r="I997" s="3201"/>
    </row>
    <row r="998" spans="7:9">
      <c r="G998" s="1204"/>
      <c r="I998" s="2635"/>
    </row>
    <row r="999" spans="7:9">
      <c r="G999" s="1204"/>
      <c r="I999" s="3201"/>
    </row>
    <row r="1000" spans="7:9">
      <c r="G1000" s="1204"/>
      <c r="I1000" s="1205"/>
    </row>
    <row r="1001" spans="7:9">
      <c r="G1001" s="1204"/>
      <c r="I1001" s="3201"/>
    </row>
    <row r="1002" spans="7:9">
      <c r="G1002" s="1204"/>
      <c r="I1002" s="1205"/>
    </row>
    <row r="1003" spans="7:9">
      <c r="G1003" s="1204"/>
      <c r="I1003" s="1205"/>
    </row>
    <row r="1004" spans="7:9">
      <c r="G1004" s="1204"/>
      <c r="I1004" s="3201"/>
    </row>
    <row r="1005" spans="7:9">
      <c r="G1005" s="1204"/>
      <c r="I1005" s="1205"/>
    </row>
    <row r="1006" spans="7:9">
      <c r="G1006" s="1204"/>
      <c r="I1006" s="1205"/>
    </row>
    <row r="1007" spans="7:9">
      <c r="G1007" s="1204"/>
      <c r="I1007" s="3201"/>
    </row>
    <row r="1008" spans="7:9">
      <c r="G1008" s="1204"/>
      <c r="I1008" s="1205"/>
    </row>
    <row r="1009" spans="7:9">
      <c r="G1009" s="1204"/>
      <c r="I1009" s="1205"/>
    </row>
    <row r="1010" spans="7:9">
      <c r="G1010" s="1204"/>
      <c r="I1010" s="1205"/>
    </row>
    <row r="1011" spans="7:9">
      <c r="G1011" s="1204"/>
      <c r="I1011" s="3201"/>
    </row>
    <row r="1012" spans="7:9">
      <c r="G1012" s="1204"/>
      <c r="I1012" s="1205"/>
    </row>
    <row r="1013" spans="7:9">
      <c r="G1013" s="1204"/>
      <c r="I1013" s="1205"/>
    </row>
    <row r="1014" spans="7:9">
      <c r="G1014" s="1204"/>
      <c r="I1014" s="1205"/>
    </row>
    <row r="1015" spans="7:9">
      <c r="G1015" s="1204"/>
      <c r="I1015" s="3201"/>
    </row>
    <row r="1016" spans="7:9">
      <c r="G1016" s="1204"/>
      <c r="I1016" s="3209"/>
    </row>
    <row r="1017" spans="7:9">
      <c r="G1017" s="1204"/>
      <c r="I1017" s="3209"/>
    </row>
    <row r="1018" spans="7:9">
      <c r="G1018" s="1204"/>
      <c r="I1018" s="3209"/>
    </row>
    <row r="1019" spans="7:9">
      <c r="G1019" s="1204"/>
      <c r="I1019" s="3201"/>
    </row>
    <row r="1020" spans="7:9">
      <c r="G1020" s="1204"/>
      <c r="I1020" s="1205"/>
    </row>
    <row r="1021" spans="7:9">
      <c r="G1021" s="1204"/>
      <c r="I1021" s="1205"/>
    </row>
    <row r="1022" spans="7:9">
      <c r="G1022" s="1204"/>
      <c r="I1022" s="3201"/>
    </row>
    <row r="1023" spans="7:9">
      <c r="G1023" s="1204"/>
      <c r="I1023" s="1205"/>
    </row>
    <row r="1024" spans="7:9">
      <c r="G1024" s="1204"/>
      <c r="I1024" s="1205"/>
    </row>
    <row r="1025" spans="7:9">
      <c r="G1025" s="1204"/>
      <c r="I1025" s="1205"/>
    </row>
    <row r="1026" spans="7:9">
      <c r="G1026" s="1204"/>
      <c r="I1026" s="3201"/>
    </row>
    <row r="1027" spans="7:9">
      <c r="G1027" s="1204"/>
      <c r="I1027" s="1205"/>
    </row>
    <row r="1028" spans="7:9">
      <c r="G1028" s="1204"/>
      <c r="I1028" s="3201"/>
    </row>
    <row r="1029" spans="7:9">
      <c r="G1029" s="1204"/>
      <c r="I1029" s="888"/>
    </row>
    <row r="1030" spans="7:9">
      <c r="G1030" s="1204"/>
      <c r="I1030" s="3201"/>
    </row>
    <row r="1031" spans="7:9">
      <c r="G1031" s="1204"/>
      <c r="I1031" s="3210"/>
    </row>
    <row r="1032" spans="7:9">
      <c r="G1032" s="1204"/>
      <c r="I1032" s="3210"/>
    </row>
    <row r="1033" spans="7:9">
      <c r="G1033" s="1204"/>
      <c r="I1033" s="3210"/>
    </row>
    <row r="1034" spans="7:9">
      <c r="G1034" s="1204"/>
      <c r="I1034" s="3210"/>
    </row>
    <row r="1035" spans="7:9">
      <c r="G1035" s="1204"/>
      <c r="I1035" s="3210"/>
    </row>
    <row r="1036" spans="7:9">
      <c r="G1036" s="1204"/>
      <c r="I1036" s="3201"/>
    </row>
    <row r="1037" spans="7:9">
      <c r="G1037" s="1204"/>
      <c r="I1037" s="3210"/>
    </row>
    <row r="1038" spans="7:9">
      <c r="G1038" s="1204"/>
      <c r="I1038" s="3211"/>
    </row>
    <row r="1039" spans="7:9">
      <c r="G1039" s="1204"/>
      <c r="I1039" s="3210"/>
    </row>
    <row r="1040" spans="7:9">
      <c r="G1040" s="1204"/>
      <c r="I1040" s="3210"/>
    </row>
    <row r="1041" spans="7:9">
      <c r="G1041" s="1204"/>
      <c r="I1041" s="3210"/>
    </row>
    <row r="1042" spans="7:9">
      <c r="G1042" s="1204"/>
      <c r="I1042" s="3201"/>
    </row>
    <row r="1043" spans="7:9">
      <c r="G1043" s="1204"/>
      <c r="I1043" s="3210"/>
    </row>
    <row r="1044" spans="7:9">
      <c r="G1044" s="1204"/>
      <c r="I1044" s="3210"/>
    </row>
    <row r="1045" spans="7:9">
      <c r="G1045" s="1204"/>
      <c r="I1045" s="3210"/>
    </row>
    <row r="1046" spans="7:9">
      <c r="G1046" s="1204"/>
      <c r="I1046" s="3210"/>
    </row>
    <row r="1047" spans="7:9">
      <c r="G1047" s="1204"/>
      <c r="I1047" s="3210"/>
    </row>
    <row r="1048" spans="7:9">
      <c r="G1048" s="1204"/>
      <c r="I1048" s="3201"/>
    </row>
    <row r="1049" spans="7:9">
      <c r="G1049" s="1204"/>
      <c r="I1049" s="3210"/>
    </row>
    <row r="1050" spans="7:9">
      <c r="G1050" s="1204"/>
      <c r="I1050" s="3210"/>
    </row>
    <row r="1051" spans="7:9">
      <c r="G1051" s="1204"/>
      <c r="I1051" s="3210"/>
    </row>
    <row r="1052" spans="7:9">
      <c r="G1052" s="1204"/>
      <c r="I1052" s="3210"/>
    </row>
    <row r="1053" spans="7:9">
      <c r="G1053" s="1204"/>
      <c r="I1053" s="3210"/>
    </row>
    <row r="1054" spans="7:9">
      <c r="G1054" s="1204"/>
      <c r="I1054" s="3201"/>
    </row>
    <row r="1055" spans="7:9">
      <c r="G1055" s="1204"/>
      <c r="I1055" s="3210"/>
    </row>
    <row r="1056" spans="7:9">
      <c r="G1056" s="1204"/>
      <c r="I1056" s="3210"/>
    </row>
    <row r="1057" spans="7:9">
      <c r="G1057" s="1204"/>
      <c r="I1057" s="3210"/>
    </row>
    <row r="1058" spans="7:9">
      <c r="G1058" s="1204"/>
      <c r="I1058" s="3210"/>
    </row>
    <row r="1059" spans="7:9">
      <c r="G1059" s="1204"/>
      <c r="I1059" s="3210"/>
    </row>
    <row r="1060" spans="7:9">
      <c r="G1060" s="1204"/>
      <c r="I1060" s="3201"/>
    </row>
    <row r="1061" spans="7:9">
      <c r="G1061" s="1204"/>
      <c r="I1061" s="3210"/>
    </row>
    <row r="1062" spans="7:9">
      <c r="G1062" s="1204"/>
      <c r="I1062" s="3210"/>
    </row>
    <row r="1063" spans="7:9">
      <c r="G1063" s="1204"/>
      <c r="I1063" s="3210"/>
    </row>
    <row r="1064" spans="7:9">
      <c r="G1064" s="1204"/>
      <c r="I1064" s="3210"/>
    </row>
    <row r="1065" spans="7:9">
      <c r="G1065" s="1204"/>
      <c r="I1065" s="3210"/>
    </row>
    <row r="1066" spans="7:9">
      <c r="G1066" s="1204"/>
      <c r="I1066" s="3201"/>
    </row>
    <row r="1067" spans="7:9">
      <c r="G1067" s="1204"/>
      <c r="I1067" s="3210"/>
    </row>
    <row r="1068" spans="7:9">
      <c r="G1068" s="1204"/>
      <c r="I1068" s="3210"/>
    </row>
    <row r="1069" spans="7:9">
      <c r="G1069" s="1204"/>
      <c r="I1069" s="3210"/>
    </row>
    <row r="1070" spans="7:9">
      <c r="G1070" s="1204"/>
      <c r="I1070" s="3210"/>
    </row>
    <row r="1071" spans="7:9">
      <c r="G1071" s="1204"/>
      <c r="I1071" s="3210"/>
    </row>
    <row r="1072" spans="7:9">
      <c r="G1072" s="1204"/>
      <c r="I1072" s="3210"/>
    </row>
    <row r="1073" spans="7:9">
      <c r="G1073" s="1204"/>
      <c r="I1073" s="3210"/>
    </row>
    <row r="1074" spans="7:9">
      <c r="G1074" s="1204"/>
      <c r="I1074" s="3201"/>
    </row>
    <row r="1075" spans="7:9">
      <c r="G1075" s="1204"/>
      <c r="I1075" s="3210"/>
    </row>
    <row r="1076" spans="7:9">
      <c r="G1076" s="1204"/>
      <c r="I1076" s="3210"/>
    </row>
    <row r="1077" spans="7:9">
      <c r="G1077" s="1204"/>
      <c r="I1077" s="3210"/>
    </row>
    <row r="1078" spans="7:9">
      <c r="G1078" s="1204"/>
      <c r="I1078" s="3210"/>
    </row>
    <row r="1079" spans="7:9">
      <c r="G1079" s="1204"/>
      <c r="I1079" s="3210"/>
    </row>
    <row r="1080" spans="7:9">
      <c r="G1080" s="1204"/>
      <c r="I1080" s="3210"/>
    </row>
    <row r="1081" spans="7:9">
      <c r="G1081" s="1204"/>
      <c r="I1081" s="3201"/>
    </row>
    <row r="1082" spans="7:9">
      <c r="G1082" s="1204"/>
      <c r="I1082" s="3210"/>
    </row>
    <row r="1083" spans="7:9">
      <c r="G1083" s="1204"/>
      <c r="I1083" s="3210"/>
    </row>
    <row r="1084" spans="7:9">
      <c r="G1084" s="1204"/>
      <c r="I1084" s="3210"/>
    </row>
    <row r="1085" spans="7:9">
      <c r="G1085" s="1204"/>
      <c r="I1085" s="3210"/>
    </row>
    <row r="1086" spans="7:9">
      <c r="G1086" s="1204"/>
      <c r="I1086" s="3210"/>
    </row>
    <row r="1087" spans="7:9">
      <c r="G1087" s="1204"/>
      <c r="I1087" s="3210"/>
    </row>
    <row r="1088" spans="7:9">
      <c r="G1088" s="1204"/>
      <c r="I1088" s="3201"/>
    </row>
    <row r="1089" spans="7:9">
      <c r="G1089" s="1204"/>
      <c r="I1089" s="3210"/>
    </row>
    <row r="1090" spans="7:9">
      <c r="G1090" s="1204"/>
      <c r="I1090" s="3210"/>
    </row>
    <row r="1091" spans="7:9">
      <c r="G1091" s="1204"/>
      <c r="I1091" s="3210"/>
    </row>
    <row r="1092" spans="7:9">
      <c r="G1092" s="1204"/>
      <c r="I1092" s="3210"/>
    </row>
    <row r="1093" spans="7:9">
      <c r="G1093" s="1204"/>
      <c r="I1093" s="3210"/>
    </row>
    <row r="1094" spans="7:9">
      <c r="G1094" s="1204"/>
      <c r="I1094" s="3210"/>
    </row>
    <row r="1095" spans="7:9">
      <c r="G1095" s="1204"/>
      <c r="I1095" s="3201"/>
    </row>
    <row r="1096" spans="7:9">
      <c r="G1096" s="1204"/>
      <c r="I1096" s="3210"/>
    </row>
    <row r="1097" spans="7:9">
      <c r="G1097" s="1204"/>
      <c r="I1097" s="3210"/>
    </row>
    <row r="1098" spans="7:9">
      <c r="G1098" s="1204"/>
      <c r="I1098" s="3210"/>
    </row>
    <row r="1099" spans="7:9">
      <c r="G1099" s="1204"/>
      <c r="I1099" s="3210"/>
    </row>
    <row r="1100" spans="7:9">
      <c r="G1100" s="1204"/>
      <c r="I1100" s="3210"/>
    </row>
    <row r="1101" spans="7:9">
      <c r="G1101" s="1204"/>
      <c r="I1101" s="3210"/>
    </row>
    <row r="1102" spans="7:9">
      <c r="G1102" s="1204"/>
      <c r="I1102" s="3201"/>
    </row>
    <row r="1103" spans="7:9">
      <c r="G1103" s="1204"/>
      <c r="I1103" s="3210"/>
    </row>
    <row r="1104" spans="7:9">
      <c r="G1104" s="1204"/>
      <c r="I1104" s="3210"/>
    </row>
    <row r="1105" spans="7:9">
      <c r="G1105" s="1204"/>
      <c r="I1105" s="3210"/>
    </row>
    <row r="1106" spans="7:9">
      <c r="G1106" s="1204"/>
      <c r="I1106" s="3210"/>
    </row>
    <row r="1107" spans="7:9">
      <c r="G1107" s="1204"/>
      <c r="I1107" s="3210"/>
    </row>
    <row r="1108" spans="7:9">
      <c r="G1108" s="1204"/>
      <c r="I1108" s="3210"/>
    </row>
    <row r="1109" spans="7:9">
      <c r="G1109" s="1204"/>
      <c r="I1109" s="3210"/>
    </row>
    <row r="1110" spans="7:9">
      <c r="G1110" s="1204"/>
      <c r="I1110" s="3201"/>
    </row>
    <row r="1111" spans="7:9">
      <c r="G1111" s="1204"/>
      <c r="I1111" s="3210"/>
    </row>
    <row r="1112" spans="7:9">
      <c r="G1112" s="1204"/>
      <c r="I1112" s="3210"/>
    </row>
    <row r="1113" spans="7:9">
      <c r="G1113" s="1204"/>
      <c r="I1113" s="3210"/>
    </row>
    <row r="1114" spans="7:9">
      <c r="G1114" s="1204"/>
      <c r="I1114" s="3210"/>
    </row>
    <row r="1115" spans="7:9">
      <c r="G1115" s="1204"/>
      <c r="I1115" s="3210"/>
    </row>
    <row r="1116" spans="7:9">
      <c r="G1116" s="1204"/>
      <c r="I1116" s="3210"/>
    </row>
    <row r="1117" spans="7:9">
      <c r="G1117" s="1204"/>
      <c r="I1117" s="3210"/>
    </row>
    <row r="1118" spans="7:9">
      <c r="G1118" s="1204"/>
      <c r="I1118" s="3201"/>
    </row>
    <row r="1119" spans="7:9">
      <c r="G1119" s="1204"/>
      <c r="I1119" s="3210"/>
    </row>
    <row r="1120" spans="7:9">
      <c r="G1120" s="1204"/>
      <c r="I1120" s="3210"/>
    </row>
    <row r="1121" spans="7:9">
      <c r="G1121" s="1204"/>
      <c r="I1121" s="3210"/>
    </row>
    <row r="1122" spans="7:9">
      <c r="G1122" s="1204"/>
      <c r="I1122" s="3210"/>
    </row>
    <row r="1123" spans="7:9">
      <c r="G1123" s="1204"/>
      <c r="I1123" s="3210"/>
    </row>
    <row r="1124" spans="7:9">
      <c r="G1124" s="1204"/>
      <c r="I1124" s="3210"/>
    </row>
    <row r="1125" spans="7:9">
      <c r="G1125" s="1204"/>
      <c r="I1125" s="3210"/>
    </row>
    <row r="1126" spans="7:9">
      <c r="G1126" s="1204"/>
      <c r="I1126" s="3201"/>
    </row>
    <row r="1127" spans="7:9">
      <c r="G1127" s="1204"/>
      <c r="I1127" s="3210"/>
    </row>
    <row r="1128" spans="7:9">
      <c r="G1128" s="1204"/>
      <c r="I1128" s="3210"/>
    </row>
    <row r="1129" spans="7:9">
      <c r="G1129" s="1204"/>
      <c r="I1129" s="3210"/>
    </row>
    <row r="1130" spans="7:9">
      <c r="G1130" s="1204"/>
      <c r="I1130" s="3210"/>
    </row>
    <row r="1131" spans="7:9">
      <c r="G1131" s="1204"/>
      <c r="I1131" s="3210"/>
    </row>
    <row r="1132" spans="7:9">
      <c r="G1132" s="1204"/>
      <c r="I1132" s="3210"/>
    </row>
    <row r="1133" spans="7:9">
      <c r="G1133" s="1204"/>
      <c r="I1133" s="3210"/>
    </row>
    <row r="1134" spans="7:9">
      <c r="G1134" s="1204"/>
      <c r="I1134" s="3201"/>
    </row>
    <row r="1135" spans="7:9">
      <c r="G1135" s="1204"/>
      <c r="I1135" s="3210"/>
    </row>
    <row r="1136" spans="7:9">
      <c r="G1136" s="1204"/>
      <c r="I1136" s="3210"/>
    </row>
    <row r="1137" spans="7:9">
      <c r="G1137" s="1204"/>
      <c r="I1137" s="3210"/>
    </row>
    <row r="1138" spans="7:9">
      <c r="G1138" s="1204"/>
      <c r="I1138" s="3210"/>
    </row>
    <row r="1139" spans="7:9">
      <c r="G1139" s="1204"/>
      <c r="I1139" s="3210"/>
    </row>
    <row r="1140" spans="7:9">
      <c r="G1140" s="1204"/>
      <c r="I1140" s="3210"/>
    </row>
    <row r="1141" spans="7:9">
      <c r="G1141" s="1204"/>
      <c r="I1141" s="3210"/>
    </row>
    <row r="1142" spans="7:9">
      <c r="G1142" s="1204"/>
      <c r="I1142" s="3201"/>
    </row>
    <row r="1143" spans="7:9">
      <c r="G1143" s="1204"/>
      <c r="I1143" s="3210"/>
    </row>
    <row r="1144" spans="7:9">
      <c r="G1144" s="1204"/>
      <c r="I1144" s="3210"/>
    </row>
    <row r="1145" spans="7:9">
      <c r="G1145" s="1204"/>
      <c r="I1145" s="3210"/>
    </row>
    <row r="1146" spans="7:9">
      <c r="G1146" s="1204"/>
      <c r="I1146" s="3210"/>
    </row>
    <row r="1147" spans="7:9">
      <c r="G1147" s="1204"/>
      <c r="I1147" s="3210"/>
    </row>
    <row r="1148" spans="7:9">
      <c r="G1148" s="1204"/>
      <c r="I1148" s="3210"/>
    </row>
    <row r="1149" spans="7:9">
      <c r="G1149" s="1204"/>
      <c r="I1149" s="3210"/>
    </row>
    <row r="1150" spans="7:9">
      <c r="G1150" s="1204"/>
      <c r="I1150" s="3201"/>
    </row>
    <row r="1151" spans="7:9">
      <c r="G1151" s="1204"/>
      <c r="I1151" s="3210"/>
    </row>
    <row r="1152" spans="7:9">
      <c r="G1152" s="1204"/>
      <c r="I1152" s="3210"/>
    </row>
    <row r="1153" spans="7:9">
      <c r="G1153" s="1204"/>
      <c r="I1153" s="3210"/>
    </row>
    <row r="1154" spans="7:9">
      <c r="G1154" s="1204"/>
      <c r="I1154" s="3210"/>
    </row>
    <row r="1155" spans="7:9">
      <c r="G1155" s="1204"/>
      <c r="I1155" s="3210"/>
    </row>
    <row r="1156" spans="7:9">
      <c r="G1156" s="1204"/>
      <c r="I1156" s="3210"/>
    </row>
    <row r="1157" spans="7:9">
      <c r="G1157" s="1204"/>
      <c r="I1157" s="3210"/>
    </row>
    <row r="1158" spans="7:9">
      <c r="G1158" s="1204"/>
      <c r="I1158" s="3201"/>
    </row>
    <row r="1159" spans="7:9">
      <c r="G1159" s="1204"/>
      <c r="I1159" s="3210"/>
    </row>
    <row r="1160" spans="7:9">
      <c r="G1160" s="1204"/>
      <c r="I1160" s="3201"/>
    </row>
    <row r="1161" spans="7:9">
      <c r="G1161" s="1204"/>
      <c r="I1161" s="3210"/>
    </row>
    <row r="1162" spans="7:9">
      <c r="G1162" s="1204"/>
      <c r="I1162" s="3201"/>
    </row>
    <row r="1163" spans="7:9">
      <c r="G1163" s="1204"/>
      <c r="I1163" s="888"/>
    </row>
    <row r="1164" spans="7:9">
      <c r="G1164" s="1204"/>
      <c r="I1164" s="3201"/>
    </row>
    <row r="1165" spans="7:9">
      <c r="G1165" s="1204"/>
      <c r="I1165" s="3210"/>
    </row>
    <row r="1166" spans="7:9">
      <c r="G1166" s="1204"/>
      <c r="I1166" s="3201"/>
    </row>
    <row r="1167" spans="7:9">
      <c r="G1167" s="1204"/>
      <c r="I1167" s="3210"/>
    </row>
    <row r="1168" spans="7:9">
      <c r="G1168" s="1204"/>
      <c r="I1168" s="3201"/>
    </row>
    <row r="1169" spans="7:9">
      <c r="G1169" s="1204"/>
      <c r="I1169" s="3210"/>
    </row>
    <row r="1170" spans="7:9">
      <c r="G1170" s="1204"/>
      <c r="I1170" s="3201"/>
    </row>
    <row r="1171" spans="7:9">
      <c r="G1171" s="1204"/>
      <c r="I1171" s="3210"/>
    </row>
    <row r="1172" spans="7:9">
      <c r="G1172" s="1204"/>
      <c r="I1172" s="3201"/>
    </row>
    <row r="1173" spans="7:9">
      <c r="G1173" s="1204"/>
      <c r="I1173" s="3210"/>
    </row>
    <row r="1174" spans="7:9">
      <c r="G1174" s="1204"/>
      <c r="I1174" s="3201"/>
    </row>
    <row r="1175" spans="7:9">
      <c r="G1175" s="1204"/>
      <c r="I1175" s="1205"/>
    </row>
    <row r="1176" spans="7:9">
      <c r="G1176" s="1204"/>
      <c r="I1176" s="3201"/>
    </row>
    <row r="1177" spans="7:9">
      <c r="G1177" s="1204"/>
      <c r="I1177" s="1205"/>
    </row>
    <row r="1178" spans="7:9">
      <c r="G1178" s="1204"/>
      <c r="I1178" s="3201"/>
    </row>
    <row r="1179" spans="7:9">
      <c r="G1179" s="1204"/>
      <c r="I1179" s="1205"/>
    </row>
    <row r="1180" spans="7:9">
      <c r="G1180" s="1204"/>
      <c r="I1180" s="3201"/>
    </row>
    <row r="1181" spans="7:9">
      <c r="G1181" s="1204"/>
      <c r="I1181" s="888"/>
    </row>
    <row r="1182" spans="7:9">
      <c r="G1182" s="1204"/>
      <c r="I1182" s="3201"/>
    </row>
    <row r="1183" spans="7:9">
      <c r="G1183" s="1204"/>
      <c r="I1183" s="3210"/>
    </row>
    <row r="1184" spans="7:9">
      <c r="G1184" s="1204"/>
      <c r="I1184" s="3210"/>
    </row>
    <row r="1185" spans="7:9">
      <c r="G1185" s="1204"/>
      <c r="I1185" s="3210"/>
    </row>
    <row r="1186" spans="7:9">
      <c r="G1186" s="1204"/>
      <c r="I1186" s="3210"/>
    </row>
    <row r="1187" spans="7:9">
      <c r="G1187" s="1204"/>
      <c r="I1187" s="3210"/>
    </row>
    <row r="1188" spans="7:9">
      <c r="G1188" s="1204"/>
      <c r="I1188" s="3210"/>
    </row>
    <row r="1189" spans="7:9">
      <c r="G1189" s="1204"/>
      <c r="I1189" s="3210"/>
    </row>
    <row r="1190" spans="7:9">
      <c r="G1190" s="1204"/>
      <c r="I1190" s="3210"/>
    </row>
    <row r="1191" spans="7:9">
      <c r="G1191" s="1204"/>
      <c r="I1191" s="3210"/>
    </row>
    <row r="1192" spans="7:9">
      <c r="G1192" s="1204"/>
      <c r="I1192" s="3210"/>
    </row>
    <row r="1193" spans="7:9">
      <c r="G1193" s="1204"/>
      <c r="I1193" s="3210"/>
    </row>
    <row r="1194" spans="7:9">
      <c r="G1194" s="1204"/>
      <c r="I1194" s="3201"/>
    </row>
    <row r="1195" spans="7:9">
      <c r="G1195" s="1204"/>
      <c r="I1195" s="888"/>
    </row>
    <row r="1196" spans="7:9">
      <c r="G1196" s="1204"/>
      <c r="I1196" s="3201"/>
    </row>
    <row r="1197" spans="7:9">
      <c r="G1197" s="1204"/>
      <c r="I1197" s="3210"/>
    </row>
    <row r="1198" spans="7:9">
      <c r="G1198" s="1204"/>
      <c r="I1198" s="3210"/>
    </row>
    <row r="1199" spans="7:9">
      <c r="G1199" s="1204"/>
      <c r="I1199" s="3210"/>
    </row>
    <row r="1200" spans="7:9">
      <c r="G1200" s="1204"/>
      <c r="I1200" s="3210"/>
    </row>
    <row r="1201" spans="7:9">
      <c r="G1201" s="1204"/>
      <c r="I1201" s="3210"/>
    </row>
    <row r="1202" spans="7:9">
      <c r="G1202" s="1204"/>
      <c r="I1202" s="3210"/>
    </row>
    <row r="1203" spans="7:9">
      <c r="G1203" s="1204"/>
      <c r="I1203" s="3210"/>
    </row>
    <row r="1204" spans="7:9">
      <c r="G1204" s="1204"/>
      <c r="I1204" s="3210"/>
    </row>
    <row r="1205" spans="7:9">
      <c r="G1205" s="1204"/>
      <c r="I1205" s="3210"/>
    </row>
    <row r="1206" spans="7:9">
      <c r="G1206" s="1204"/>
      <c r="I1206" s="3210"/>
    </row>
    <row r="1207" spans="7:9">
      <c r="G1207" s="1204"/>
      <c r="I1207" s="3210"/>
    </row>
    <row r="1208" spans="7:9">
      <c r="G1208" s="1204"/>
      <c r="I1208" s="3201"/>
    </row>
    <row r="1209" spans="7:9">
      <c r="G1209" s="1204"/>
      <c r="I1209" s="3210"/>
    </row>
    <row r="1210" spans="7:9">
      <c r="G1210" s="1204"/>
      <c r="I1210" s="3210"/>
    </row>
    <row r="1211" spans="7:9">
      <c r="G1211" s="1204"/>
      <c r="I1211" s="3210"/>
    </row>
    <row r="1212" spans="7:9">
      <c r="G1212" s="1204"/>
      <c r="I1212" s="3210"/>
    </row>
    <row r="1213" spans="7:9">
      <c r="G1213" s="1204"/>
      <c r="I1213" s="3210"/>
    </row>
    <row r="1214" spans="7:9">
      <c r="G1214" s="1204"/>
      <c r="I1214" s="3210"/>
    </row>
    <row r="1215" spans="7:9">
      <c r="G1215" s="1204"/>
      <c r="I1215" s="3210"/>
    </row>
    <row r="1216" spans="7:9">
      <c r="G1216" s="1204"/>
      <c r="I1216" s="3210"/>
    </row>
    <row r="1217" spans="7:9">
      <c r="G1217" s="1204"/>
      <c r="I1217" s="3210"/>
    </row>
    <row r="1218" spans="7:9">
      <c r="G1218" s="1204"/>
      <c r="I1218" s="3210"/>
    </row>
    <row r="1219" spans="7:9">
      <c r="G1219" s="1204"/>
      <c r="I1219" s="3210"/>
    </row>
    <row r="1220" spans="7:9">
      <c r="G1220" s="1204"/>
      <c r="I1220" s="3201"/>
    </row>
    <row r="1221" spans="7:9">
      <c r="G1221" s="1204"/>
      <c r="I1221" s="3210"/>
    </row>
    <row r="1222" spans="7:9">
      <c r="G1222" s="1204"/>
      <c r="I1222" s="3210"/>
    </row>
    <row r="1223" spans="7:9">
      <c r="G1223" s="1204"/>
      <c r="I1223" s="3210"/>
    </row>
    <row r="1224" spans="7:9">
      <c r="G1224" s="1204"/>
      <c r="I1224" s="3210"/>
    </row>
    <row r="1225" spans="7:9">
      <c r="G1225" s="1204"/>
      <c r="I1225" s="3210"/>
    </row>
    <row r="1226" spans="7:9">
      <c r="G1226" s="1204"/>
      <c r="I1226" s="3210"/>
    </row>
    <row r="1227" spans="7:9">
      <c r="G1227" s="1204"/>
      <c r="I1227" s="3210"/>
    </row>
    <row r="1228" spans="7:9">
      <c r="G1228" s="1204"/>
      <c r="I1228" s="3210"/>
    </row>
    <row r="1229" spans="7:9">
      <c r="G1229" s="1204"/>
      <c r="I1229" s="3210"/>
    </row>
    <row r="1230" spans="7:9">
      <c r="G1230" s="1204"/>
      <c r="I1230" s="3210"/>
    </row>
    <row r="1231" spans="7:9">
      <c r="G1231" s="1204"/>
      <c r="I1231" s="3210"/>
    </row>
    <row r="1232" spans="7:9">
      <c r="G1232" s="1204"/>
      <c r="I1232" s="3201"/>
    </row>
    <row r="1233" spans="7:9">
      <c r="G1233" s="1204"/>
      <c r="I1233" s="3201"/>
    </row>
    <row r="1234" spans="7:9">
      <c r="G1234" s="1204"/>
      <c r="I1234" s="3201"/>
    </row>
    <row r="1235" spans="7:9">
      <c r="G1235" s="1204"/>
      <c r="I1235" s="888"/>
    </row>
    <row r="1236" spans="7:9">
      <c r="G1236" s="1204"/>
      <c r="I1236" s="3201"/>
    </row>
    <row r="1237" spans="7:9">
      <c r="G1237" s="1204"/>
      <c r="I1237" s="1205"/>
    </row>
    <row r="1238" spans="7:9">
      <c r="G1238" s="1204"/>
      <c r="I1238" s="1205"/>
    </row>
    <row r="1240" spans="7:9">
      <c r="G1240" s="1204"/>
      <c r="I1240" s="3201"/>
    </row>
    <row r="1241" spans="7:9">
      <c r="G1241" s="1204"/>
      <c r="I1241" s="3210"/>
    </row>
    <row r="1242" spans="7:9">
      <c r="G1242" s="1204"/>
      <c r="I1242" s="888"/>
    </row>
    <row r="1243" spans="7:9">
      <c r="G1243" s="1204"/>
      <c r="I1243" s="888"/>
    </row>
    <row r="1244" spans="7:9">
      <c r="G1244" s="1204"/>
      <c r="I1244" s="3201"/>
    </row>
    <row r="1245" spans="7:9">
      <c r="G1245" s="1204"/>
      <c r="I1245" s="1205"/>
    </row>
    <row r="1246" spans="7:9">
      <c r="G1246" s="1204"/>
      <c r="I1246" s="3201"/>
    </row>
    <row r="1247" spans="7:9">
      <c r="G1247" s="1204"/>
      <c r="I1247" s="3201"/>
    </row>
    <row r="1248" spans="7:9">
      <c r="G1248" s="1204"/>
      <c r="I1248" s="3210"/>
    </row>
    <row r="1249" spans="7:9">
      <c r="G1249" s="1204"/>
      <c r="I1249" s="888"/>
    </row>
    <row r="1250" spans="7:9">
      <c r="G1250" s="1204"/>
      <c r="I1250" s="3212"/>
    </row>
    <row r="1251" spans="7:9">
      <c r="G1251" s="1204"/>
      <c r="I1251" s="3212"/>
    </row>
    <row r="1252" spans="7:9">
      <c r="G1252" s="1204"/>
      <c r="I1252" s="3212"/>
    </row>
    <row r="1253" spans="7:9">
      <c r="G1253" s="1204"/>
      <c r="I1253" s="3212"/>
    </row>
    <row r="1254" spans="7:9">
      <c r="G1254" s="1204"/>
      <c r="I1254" s="3212"/>
    </row>
    <row r="1255" spans="7:9">
      <c r="G1255" s="1204"/>
      <c r="I1255" s="3212"/>
    </row>
    <row r="1256" spans="7:9">
      <c r="G1256" s="1204"/>
      <c r="I1256" s="3212"/>
    </row>
    <row r="1257" spans="7:9">
      <c r="G1257" s="1204"/>
      <c r="I1257" s="3212"/>
    </row>
    <row r="1258" spans="7:9">
      <c r="G1258" s="1204"/>
      <c r="I1258" s="3212"/>
    </row>
    <row r="1259" spans="7:9">
      <c r="G1259" s="1204"/>
      <c r="I1259" s="3212"/>
    </row>
    <row r="1260" spans="7:9">
      <c r="G1260" s="1204"/>
      <c r="I1260" s="3212"/>
    </row>
    <row r="1261" spans="7:9">
      <c r="G1261" s="1204"/>
      <c r="I1261" s="3212"/>
    </row>
    <row r="1262" spans="7:9">
      <c r="G1262" s="1204"/>
      <c r="I1262" s="3212"/>
    </row>
    <row r="1263" spans="7:9">
      <c r="G1263" s="1204"/>
      <c r="I1263" s="3212"/>
    </row>
    <row r="1264" spans="7:9">
      <c r="G1264" s="1204"/>
      <c r="I1264" s="3054"/>
    </row>
    <row r="1265" spans="7:9">
      <c r="G1265" s="1204"/>
      <c r="I1265" s="3054"/>
    </row>
    <row r="1266" spans="7:9">
      <c r="G1266" s="1204"/>
      <c r="I1266" s="3054"/>
    </row>
    <row r="1267" spans="7:9">
      <c r="G1267" s="1204"/>
      <c r="I1267" s="888"/>
    </row>
    <row r="1268" spans="7:9">
      <c r="G1268" s="1204"/>
      <c r="I1268" s="689"/>
    </row>
    <row r="1269" spans="7:9">
      <c r="G1269" s="1204"/>
      <c r="I1269" s="689"/>
    </row>
    <row r="1270" spans="7:9">
      <c r="G1270" s="1204"/>
      <c r="I1270" s="888"/>
    </row>
    <row r="1271" spans="7:9">
      <c r="G1271" s="1204"/>
      <c r="I1271" s="888"/>
    </row>
    <row r="1272" spans="7:9">
      <c r="G1272" s="1204"/>
      <c r="I1272" s="888"/>
    </row>
  </sheetData>
  <sheetProtection algorithmName="SHA-512" hashValue="aw5+HFVonoEio8e6ML1zoQZTmuYthAC57oPOqGonxxQzrgEQIGD0YkjT5fdVVq3IVTRwelOGivoqoSO/11MKuQ==" saltValue="R5qcCa4Pn5j4/f6NeMAcrQ==" spinCount="100000" sheet="1" objects="1" scenarios="1"/>
  <mergeCells count="11">
    <mergeCell ref="A950:G950"/>
    <mergeCell ref="A2:I2"/>
    <mergeCell ref="A3:D3"/>
    <mergeCell ref="A4:D4"/>
    <mergeCell ref="E4:H4"/>
    <mergeCell ref="A947:C947"/>
    <mergeCell ref="A951:G951"/>
    <mergeCell ref="A952:G952"/>
    <mergeCell ref="A953:G953"/>
    <mergeCell ref="A954:G954"/>
    <mergeCell ref="A955:G95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AD9-AD74-450F-9375-9154FDB50EC7}">
  <sheetPr>
    <tabColor rgb="FFFF00FF"/>
    <pageSetUpPr fitToPage="1"/>
  </sheetPr>
  <dimension ref="A1:IV176"/>
  <sheetViews>
    <sheetView zoomScaleNormal="100" workbookViewId="0"/>
  </sheetViews>
  <sheetFormatPr defaultRowHeight="15"/>
  <cols>
    <col min="1" max="1" width="4.83203125" style="2877" customWidth="1"/>
    <col min="2" max="2" width="5" style="2877" customWidth="1"/>
    <col min="3" max="3" width="16.83203125" style="2877" customWidth="1"/>
    <col min="4" max="4" width="75.83203125" style="2877" customWidth="1"/>
    <col min="5" max="5" width="7.83203125" style="2877" customWidth="1"/>
    <col min="6" max="6" width="11.83203125" style="2877" customWidth="1"/>
    <col min="7" max="7" width="13.6640625" style="2877" customWidth="1"/>
    <col min="8" max="8" width="18.33203125" style="2877" customWidth="1"/>
    <col min="9" max="9" width="20.1640625" style="2877" customWidth="1"/>
    <col min="10" max="10" width="21.5" style="2876" customWidth="1"/>
    <col min="11" max="11" width="16.33203125" style="2877" customWidth="1"/>
    <col min="12" max="16384" width="9.33203125" style="2877"/>
  </cols>
  <sheetData>
    <row r="1" spans="1:255" ht="21" customHeight="1">
      <c r="A1" s="1" t="s">
        <v>2760</v>
      </c>
      <c r="B1" s="28"/>
      <c r="C1" s="28"/>
      <c r="D1" s="111"/>
      <c r="E1" s="111"/>
      <c r="F1" s="111"/>
      <c r="G1" s="111"/>
      <c r="H1" s="111"/>
      <c r="I1" s="111"/>
    </row>
    <row r="2" spans="1:255" s="2686" customFormat="1" ht="13.5" customHeight="1">
      <c r="A2" s="5199" t="s">
        <v>4243</v>
      </c>
      <c r="B2" s="5212"/>
      <c r="C2" s="5212"/>
      <c r="D2" s="5212"/>
      <c r="E2" s="5212"/>
      <c r="F2" s="5212"/>
      <c r="G2" s="5212"/>
      <c r="H2" s="5212"/>
      <c r="I2" s="5212"/>
      <c r="J2" s="2878"/>
    </row>
    <row r="3" spans="1:255" ht="13.5" customHeight="1">
      <c r="A3" s="5199" t="s">
        <v>4244</v>
      </c>
      <c r="B3" s="5213"/>
      <c r="C3" s="5213"/>
      <c r="D3" s="5213"/>
      <c r="E3" s="2879"/>
      <c r="F3" s="2880"/>
      <c r="G3" s="2880"/>
      <c r="H3" s="2686"/>
      <c r="I3" s="2686"/>
    </row>
    <row r="4" spans="1:255" ht="13.5" customHeight="1">
      <c r="A4" s="5193" t="s">
        <v>5074</v>
      </c>
      <c r="B4" s="5213"/>
      <c r="C4" s="5213"/>
      <c r="D4" s="5213"/>
      <c r="E4" s="2879"/>
      <c r="F4" s="2880"/>
      <c r="G4" s="2880"/>
      <c r="H4" s="2686"/>
      <c r="I4" s="2686"/>
    </row>
    <row r="5" spans="1:255" s="627" customFormat="1" ht="13.5" customHeight="1">
      <c r="A5" s="2881" t="s">
        <v>5075</v>
      </c>
      <c r="B5" s="2881"/>
      <c r="C5" s="2881"/>
      <c r="D5" s="2881"/>
      <c r="E5" s="2881"/>
      <c r="F5" s="2881"/>
      <c r="G5" s="2882"/>
      <c r="H5" s="2882"/>
      <c r="J5" s="2883"/>
    </row>
    <row r="6" spans="1:255">
      <c r="A6" s="2880"/>
      <c r="B6" s="2880"/>
      <c r="C6" s="2880"/>
      <c r="D6" s="2884"/>
      <c r="E6" s="2885"/>
      <c r="F6" s="2880"/>
      <c r="G6" s="2880"/>
      <c r="H6" s="2880"/>
      <c r="I6" s="2886"/>
    </row>
    <row r="7" spans="1:255" ht="22.5">
      <c r="A7" s="2887" t="s">
        <v>118</v>
      </c>
      <c r="B7" s="2887" t="s">
        <v>119</v>
      </c>
      <c r="C7" s="2887" t="s">
        <v>120</v>
      </c>
      <c r="D7" s="2887" t="s">
        <v>121</v>
      </c>
      <c r="E7" s="2887" t="s">
        <v>122</v>
      </c>
      <c r="F7" s="2887" t="s">
        <v>123</v>
      </c>
      <c r="G7" s="2887" t="s">
        <v>124</v>
      </c>
      <c r="H7" s="2888" t="s">
        <v>2</v>
      </c>
      <c r="I7" s="2889" t="s">
        <v>46</v>
      </c>
    </row>
    <row r="8" spans="1:255">
      <c r="A8" s="2887" t="s">
        <v>125</v>
      </c>
      <c r="B8" s="2887" t="s">
        <v>126</v>
      </c>
      <c r="C8" s="2887">
        <v>3</v>
      </c>
      <c r="D8" s="2887">
        <v>4</v>
      </c>
      <c r="E8" s="2887">
        <v>5</v>
      </c>
      <c r="F8" s="2887">
        <v>6</v>
      </c>
      <c r="G8" s="2887">
        <v>7</v>
      </c>
      <c r="H8" s="2888">
        <v>8</v>
      </c>
      <c r="I8" s="2889">
        <v>9</v>
      </c>
    </row>
    <row r="9" spans="1:255" ht="21" customHeight="1">
      <c r="A9" s="2890"/>
      <c r="B9" s="2891"/>
      <c r="C9" s="2891" t="s">
        <v>132</v>
      </c>
      <c r="D9" s="2891" t="s">
        <v>133</v>
      </c>
      <c r="E9" s="2891"/>
      <c r="F9" s="2892"/>
      <c r="G9" s="2893"/>
      <c r="H9" s="2893">
        <f>H10+H110+H159</f>
        <v>0</v>
      </c>
      <c r="I9" s="2686"/>
    </row>
    <row r="10" spans="1:255" s="612" customFormat="1" ht="13.5" customHeight="1">
      <c r="A10" s="608"/>
      <c r="B10" s="557"/>
      <c r="C10" s="616" t="s">
        <v>125</v>
      </c>
      <c r="D10" s="616" t="s">
        <v>134</v>
      </c>
      <c r="E10" s="616"/>
      <c r="F10" s="617"/>
      <c r="G10" s="828"/>
      <c r="H10" s="828">
        <f>SUM(H11:H109)</f>
        <v>0</v>
      </c>
      <c r="I10" s="613"/>
      <c r="U10" s="213"/>
      <c r="V10" s="213"/>
      <c r="W10" s="213"/>
      <c r="X10" s="213"/>
    </row>
    <row r="11" spans="1:255" s="883" customFormat="1" ht="13.5" customHeight="1">
      <c r="A11" s="556">
        <v>1</v>
      </c>
      <c r="B11" s="565" t="s">
        <v>135</v>
      </c>
      <c r="C11" s="565">
        <v>115101201</v>
      </c>
      <c r="D11" s="565" t="s">
        <v>136</v>
      </c>
      <c r="E11" s="565" t="s">
        <v>69</v>
      </c>
      <c r="F11" s="1444">
        <v>80</v>
      </c>
      <c r="G11" s="312"/>
      <c r="H11" s="568">
        <f t="shared" ref="H11:H17" si="0">ROUND(F11*G11,2)</f>
        <v>0</v>
      </c>
      <c r="I11" s="613" t="s">
        <v>137</v>
      </c>
      <c r="J11" s="2894"/>
      <c r="BD11" s="2895"/>
      <c r="BE11" s="2895"/>
      <c r="BF11" s="2895"/>
      <c r="BG11" s="2895"/>
      <c r="BH11" s="2895"/>
      <c r="BI11" s="2895"/>
      <c r="BJ11" s="2895"/>
      <c r="BK11" s="2895"/>
      <c r="BL11" s="2895"/>
      <c r="BM11" s="2895"/>
      <c r="BN11" s="2895"/>
      <c r="BO11" s="2895"/>
      <c r="BP11" s="2895"/>
      <c r="BQ11" s="2895"/>
      <c r="BR11" s="2895"/>
      <c r="BS11" s="2895"/>
      <c r="BT11" s="2895"/>
      <c r="BU11" s="2895"/>
      <c r="BV11" s="2895"/>
      <c r="BW11" s="2895"/>
      <c r="BX11" s="2895"/>
      <c r="BY11" s="2895"/>
      <c r="BZ11" s="2895"/>
      <c r="CA11" s="2895"/>
      <c r="CB11" s="2895"/>
      <c r="CC11" s="2895"/>
      <c r="CD11" s="2895"/>
      <c r="CE11" s="2895"/>
      <c r="CF11" s="2895"/>
      <c r="CG11" s="2895"/>
      <c r="CH11" s="2895"/>
      <c r="CI11" s="2895"/>
      <c r="CJ11" s="2895"/>
      <c r="CK11" s="2895"/>
      <c r="CL11" s="2895"/>
      <c r="CM11" s="2895"/>
      <c r="CN11" s="2895"/>
      <c r="CO11" s="2895"/>
      <c r="CP11" s="2895"/>
      <c r="CQ11" s="2895"/>
      <c r="CR11" s="2895"/>
      <c r="CS11" s="2895"/>
      <c r="CT11" s="2895"/>
      <c r="CU11" s="2895"/>
      <c r="CV11" s="2895"/>
      <c r="CW11" s="2895"/>
      <c r="CX11" s="2895"/>
      <c r="CY11" s="2895"/>
      <c r="CZ11" s="2895"/>
      <c r="DA11" s="2895"/>
      <c r="DB11" s="2895"/>
      <c r="DC11" s="2895"/>
      <c r="DD11" s="2895"/>
      <c r="DE11" s="2895"/>
      <c r="DF11" s="2895"/>
      <c r="DG11" s="2895"/>
      <c r="DH11" s="2895"/>
      <c r="DI11" s="2895"/>
      <c r="DJ11" s="2895"/>
      <c r="DK11" s="2895"/>
      <c r="DL11" s="2895"/>
      <c r="DM11" s="2895"/>
      <c r="DN11" s="2895"/>
      <c r="DO11" s="2895"/>
      <c r="DP11" s="2895"/>
      <c r="DQ11" s="2895"/>
      <c r="DR11" s="2895"/>
      <c r="DS11" s="2895"/>
      <c r="DT11" s="2895"/>
      <c r="DU11" s="2895"/>
      <c r="DV11" s="2895"/>
      <c r="DW11" s="2895"/>
      <c r="DX11" s="2895"/>
      <c r="DY11" s="2895"/>
      <c r="DZ11" s="2895"/>
      <c r="EA11" s="2895"/>
      <c r="EB11" s="2895"/>
      <c r="EC11" s="2895"/>
      <c r="ED11" s="2895"/>
      <c r="EE11" s="2895"/>
      <c r="EF11" s="2895"/>
      <c r="EG11" s="2895"/>
      <c r="EH11" s="2895"/>
      <c r="EI11" s="2895"/>
      <c r="EJ11" s="2895"/>
      <c r="EK11" s="2895"/>
      <c r="EL11" s="2895"/>
      <c r="EM11" s="2895"/>
      <c r="EN11" s="2895"/>
      <c r="EO11" s="2895"/>
      <c r="EP11" s="2895"/>
      <c r="EQ11" s="2895"/>
      <c r="ER11" s="2895"/>
      <c r="ES11" s="2895"/>
      <c r="ET11" s="2895"/>
      <c r="EU11" s="2895"/>
      <c r="EV11" s="2895"/>
      <c r="EW11" s="2895"/>
      <c r="EX11" s="2895"/>
      <c r="EY11" s="2895"/>
      <c r="EZ11" s="2895"/>
      <c r="FA11" s="2895"/>
      <c r="FB11" s="2895"/>
      <c r="FC11" s="2895"/>
      <c r="FD11" s="2895"/>
      <c r="FE11" s="2895"/>
      <c r="FF11" s="2895"/>
      <c r="FG11" s="2895"/>
      <c r="FH11" s="2895"/>
      <c r="FI11" s="2895"/>
      <c r="FJ11" s="2895"/>
      <c r="FK11" s="2895"/>
      <c r="FL11" s="2895"/>
      <c r="FM11" s="2895"/>
      <c r="FN11" s="2895"/>
      <c r="FO11" s="2895"/>
      <c r="FP11" s="2895"/>
      <c r="FQ11" s="2895"/>
      <c r="FR11" s="2895"/>
      <c r="FS11" s="2895"/>
      <c r="FT11" s="2895"/>
      <c r="FU11" s="2895"/>
      <c r="FV11" s="2895"/>
      <c r="FW11" s="2895"/>
      <c r="FX11" s="2895"/>
      <c r="FY11" s="2895"/>
      <c r="FZ11" s="2895"/>
      <c r="GA11" s="2895"/>
      <c r="GB11" s="2895"/>
      <c r="GC11" s="2895"/>
      <c r="GD11" s="2895"/>
      <c r="GE11" s="2895"/>
      <c r="GF11" s="2895"/>
      <c r="GG11" s="2895"/>
      <c r="GH11" s="2895"/>
      <c r="GI11" s="2895"/>
      <c r="GJ11" s="2895"/>
      <c r="GK11" s="2895"/>
      <c r="GL11" s="2895"/>
      <c r="GM11" s="2895"/>
      <c r="GN11" s="2895"/>
      <c r="GO11" s="2895"/>
      <c r="GP11" s="2895"/>
      <c r="GQ11" s="2895"/>
      <c r="GR11" s="2895"/>
      <c r="GS11" s="2895"/>
      <c r="GT11" s="2895"/>
      <c r="GU11" s="2895"/>
      <c r="GV11" s="2895"/>
      <c r="GW11" s="2895"/>
      <c r="GX11" s="2895"/>
      <c r="GY11" s="2895"/>
      <c r="GZ11" s="2895"/>
      <c r="HA11" s="2895"/>
      <c r="HB11" s="2895"/>
      <c r="HC11" s="2895"/>
      <c r="HD11" s="2895"/>
      <c r="HE11" s="2895"/>
      <c r="HF11" s="2895"/>
      <c r="HG11" s="2895"/>
      <c r="HH11" s="2895"/>
      <c r="HI11" s="2895"/>
      <c r="HJ11" s="2895"/>
      <c r="HK11" s="2895"/>
      <c r="HL11" s="2895"/>
      <c r="HM11" s="2895"/>
      <c r="HN11" s="2895"/>
      <c r="HO11" s="2895"/>
      <c r="HP11" s="2895"/>
      <c r="HQ11" s="2895"/>
      <c r="HR11" s="2895"/>
      <c r="HS11" s="2895"/>
      <c r="HT11" s="2895"/>
      <c r="HU11" s="2895"/>
      <c r="HV11" s="2895"/>
      <c r="HW11" s="2895"/>
      <c r="HX11" s="2895"/>
      <c r="HY11" s="2895"/>
      <c r="HZ11" s="2895"/>
      <c r="IA11" s="2895"/>
      <c r="IB11" s="2895"/>
      <c r="IC11" s="2895"/>
      <c r="ID11" s="2895"/>
      <c r="IE11" s="2895"/>
      <c r="IF11" s="2895"/>
      <c r="IG11" s="2895"/>
      <c r="IH11" s="2895"/>
      <c r="II11" s="2895"/>
      <c r="IJ11" s="2895"/>
      <c r="IK11" s="2895"/>
      <c r="IL11" s="2895"/>
      <c r="IM11" s="2895"/>
      <c r="IN11" s="2895"/>
      <c r="IO11" s="2895"/>
      <c r="IP11" s="2895"/>
      <c r="IQ11" s="2895"/>
      <c r="IR11" s="2895"/>
      <c r="IS11" s="2895"/>
      <c r="IT11" s="2895"/>
      <c r="IU11" s="2895"/>
    </row>
    <row r="12" spans="1:255" s="883" customFormat="1" ht="13.5" customHeight="1">
      <c r="A12" s="556">
        <v>2</v>
      </c>
      <c r="B12" s="565" t="s">
        <v>135</v>
      </c>
      <c r="C12" s="565">
        <v>115101301</v>
      </c>
      <c r="D12" s="565" t="s">
        <v>138</v>
      </c>
      <c r="E12" s="565" t="s">
        <v>139</v>
      </c>
      <c r="F12" s="1444">
        <v>10</v>
      </c>
      <c r="G12" s="312"/>
      <c r="H12" s="568">
        <f t="shared" si="0"/>
        <v>0</v>
      </c>
      <c r="I12" s="613" t="s">
        <v>137</v>
      </c>
      <c r="J12" s="2894"/>
      <c r="BD12" s="2895"/>
      <c r="BE12" s="2895"/>
      <c r="BF12" s="2895"/>
      <c r="BG12" s="2895"/>
      <c r="BH12" s="2895"/>
      <c r="BI12" s="2895"/>
      <c r="BJ12" s="2895"/>
      <c r="BK12" s="2895"/>
      <c r="BL12" s="2895"/>
      <c r="BM12" s="2895"/>
      <c r="BN12" s="2895"/>
      <c r="BO12" s="2895"/>
      <c r="BP12" s="2895"/>
      <c r="BQ12" s="2895"/>
      <c r="BR12" s="2895"/>
      <c r="BS12" s="2895"/>
      <c r="BT12" s="2895"/>
      <c r="BU12" s="2895"/>
      <c r="BV12" s="2895"/>
      <c r="BW12" s="2895"/>
      <c r="BX12" s="2895"/>
      <c r="BY12" s="2895"/>
      <c r="BZ12" s="2895"/>
      <c r="CA12" s="2895"/>
      <c r="CB12" s="2895"/>
      <c r="CC12" s="2895"/>
      <c r="CD12" s="2895"/>
      <c r="CE12" s="2895"/>
      <c r="CF12" s="2895"/>
      <c r="CG12" s="2895"/>
      <c r="CH12" s="2895"/>
      <c r="CI12" s="2895"/>
      <c r="CJ12" s="2895"/>
      <c r="CK12" s="2895"/>
      <c r="CL12" s="2895"/>
      <c r="CM12" s="2895"/>
      <c r="CN12" s="2895"/>
      <c r="CO12" s="2895"/>
      <c r="CP12" s="2895"/>
      <c r="CQ12" s="2895"/>
      <c r="CR12" s="2895"/>
      <c r="CS12" s="2895"/>
      <c r="CT12" s="2895"/>
      <c r="CU12" s="2895"/>
      <c r="CV12" s="2895"/>
      <c r="CW12" s="2895"/>
      <c r="CX12" s="2895"/>
      <c r="CY12" s="2895"/>
      <c r="CZ12" s="2895"/>
      <c r="DA12" s="2895"/>
      <c r="DB12" s="2895"/>
      <c r="DC12" s="2895"/>
      <c r="DD12" s="2895"/>
      <c r="DE12" s="2895"/>
      <c r="DF12" s="2895"/>
      <c r="DG12" s="2895"/>
      <c r="DH12" s="2895"/>
      <c r="DI12" s="2895"/>
      <c r="DJ12" s="2895"/>
      <c r="DK12" s="2895"/>
      <c r="DL12" s="2895"/>
      <c r="DM12" s="2895"/>
      <c r="DN12" s="2895"/>
      <c r="DO12" s="2895"/>
      <c r="DP12" s="2895"/>
      <c r="DQ12" s="2895"/>
      <c r="DR12" s="2895"/>
      <c r="DS12" s="2895"/>
      <c r="DT12" s="2895"/>
      <c r="DU12" s="2895"/>
      <c r="DV12" s="2895"/>
      <c r="DW12" s="2895"/>
      <c r="DX12" s="2895"/>
      <c r="DY12" s="2895"/>
      <c r="DZ12" s="2895"/>
      <c r="EA12" s="2895"/>
      <c r="EB12" s="2895"/>
      <c r="EC12" s="2895"/>
      <c r="ED12" s="2895"/>
      <c r="EE12" s="2895"/>
      <c r="EF12" s="2895"/>
      <c r="EG12" s="2895"/>
      <c r="EH12" s="2895"/>
      <c r="EI12" s="2895"/>
      <c r="EJ12" s="2895"/>
      <c r="EK12" s="2895"/>
      <c r="EL12" s="2895"/>
      <c r="EM12" s="2895"/>
      <c r="EN12" s="2895"/>
      <c r="EO12" s="2895"/>
      <c r="EP12" s="2895"/>
      <c r="EQ12" s="2895"/>
      <c r="ER12" s="2895"/>
      <c r="ES12" s="2895"/>
      <c r="ET12" s="2895"/>
      <c r="EU12" s="2895"/>
      <c r="EV12" s="2895"/>
      <c r="EW12" s="2895"/>
      <c r="EX12" s="2895"/>
      <c r="EY12" s="2895"/>
      <c r="EZ12" s="2895"/>
      <c r="FA12" s="2895"/>
      <c r="FB12" s="2895"/>
      <c r="FC12" s="2895"/>
      <c r="FD12" s="2895"/>
      <c r="FE12" s="2895"/>
      <c r="FF12" s="2895"/>
      <c r="FG12" s="2895"/>
      <c r="FH12" s="2895"/>
      <c r="FI12" s="2895"/>
      <c r="FJ12" s="2895"/>
      <c r="FK12" s="2895"/>
      <c r="FL12" s="2895"/>
      <c r="FM12" s="2895"/>
      <c r="FN12" s="2895"/>
      <c r="FO12" s="2895"/>
      <c r="FP12" s="2895"/>
      <c r="FQ12" s="2895"/>
      <c r="FR12" s="2895"/>
      <c r="FS12" s="2895"/>
      <c r="FT12" s="2895"/>
      <c r="FU12" s="2895"/>
      <c r="FV12" s="2895"/>
      <c r="FW12" s="2895"/>
      <c r="FX12" s="2895"/>
      <c r="FY12" s="2895"/>
      <c r="FZ12" s="2895"/>
      <c r="GA12" s="2895"/>
      <c r="GB12" s="2895"/>
      <c r="GC12" s="2895"/>
      <c r="GD12" s="2895"/>
      <c r="GE12" s="2895"/>
      <c r="GF12" s="2895"/>
      <c r="GG12" s="2895"/>
      <c r="GH12" s="2895"/>
      <c r="GI12" s="2895"/>
      <c r="GJ12" s="2895"/>
      <c r="GK12" s="2895"/>
      <c r="GL12" s="2895"/>
      <c r="GM12" s="2895"/>
      <c r="GN12" s="2895"/>
      <c r="GO12" s="2895"/>
      <c r="GP12" s="2895"/>
      <c r="GQ12" s="2895"/>
      <c r="GR12" s="2895"/>
      <c r="GS12" s="2895"/>
      <c r="GT12" s="2895"/>
      <c r="GU12" s="2895"/>
      <c r="GV12" s="2895"/>
      <c r="GW12" s="2895"/>
      <c r="GX12" s="2895"/>
      <c r="GY12" s="2895"/>
      <c r="GZ12" s="2895"/>
      <c r="HA12" s="2895"/>
      <c r="HB12" s="2895"/>
      <c r="HC12" s="2895"/>
      <c r="HD12" s="2895"/>
      <c r="HE12" s="2895"/>
      <c r="HF12" s="2895"/>
      <c r="HG12" s="2895"/>
      <c r="HH12" s="2895"/>
      <c r="HI12" s="2895"/>
      <c r="HJ12" s="2895"/>
      <c r="HK12" s="2895"/>
      <c r="HL12" s="2895"/>
      <c r="HM12" s="2895"/>
      <c r="HN12" s="2895"/>
      <c r="HO12" s="2895"/>
      <c r="HP12" s="2895"/>
      <c r="HQ12" s="2895"/>
      <c r="HR12" s="2895"/>
      <c r="HS12" s="2895"/>
      <c r="HT12" s="2895"/>
      <c r="HU12" s="2895"/>
      <c r="HV12" s="2895"/>
      <c r="HW12" s="2895"/>
      <c r="HX12" s="2895"/>
      <c r="HY12" s="2895"/>
      <c r="HZ12" s="2895"/>
      <c r="IA12" s="2895"/>
      <c r="IB12" s="2895"/>
      <c r="IC12" s="2895"/>
      <c r="ID12" s="2895"/>
      <c r="IE12" s="2895"/>
      <c r="IF12" s="2895"/>
      <c r="IG12" s="2895"/>
      <c r="IH12" s="2895"/>
      <c r="II12" s="2895"/>
      <c r="IJ12" s="2895"/>
      <c r="IK12" s="2895"/>
      <c r="IL12" s="2895"/>
      <c r="IM12" s="2895"/>
      <c r="IN12" s="2895"/>
      <c r="IO12" s="2895"/>
      <c r="IP12" s="2895"/>
      <c r="IQ12" s="2895"/>
      <c r="IR12" s="2895"/>
      <c r="IS12" s="2895"/>
      <c r="IT12" s="2895"/>
      <c r="IU12" s="2895"/>
    </row>
    <row r="13" spans="1:255" s="883" customFormat="1" ht="13.5" customHeight="1">
      <c r="A13" s="556">
        <v>3</v>
      </c>
      <c r="B13" s="565" t="s">
        <v>135</v>
      </c>
      <c r="C13" s="565">
        <v>119001402</v>
      </c>
      <c r="D13" s="565" t="s">
        <v>140</v>
      </c>
      <c r="E13" s="565" t="s">
        <v>141</v>
      </c>
      <c r="F13" s="1444">
        <v>5</v>
      </c>
      <c r="G13" s="312"/>
      <c r="H13" s="568">
        <f t="shared" si="0"/>
        <v>0</v>
      </c>
      <c r="I13" s="613" t="s">
        <v>137</v>
      </c>
      <c r="J13" s="2894"/>
      <c r="BD13" s="2895"/>
      <c r="BE13" s="2895"/>
      <c r="BF13" s="2895"/>
      <c r="BG13" s="2895"/>
      <c r="BH13" s="2895"/>
      <c r="BI13" s="2895"/>
      <c r="BJ13" s="2895"/>
      <c r="BK13" s="2895"/>
      <c r="BL13" s="2895"/>
      <c r="BM13" s="2895"/>
      <c r="BN13" s="2895"/>
      <c r="BO13" s="2895"/>
      <c r="BP13" s="2895"/>
      <c r="BQ13" s="2895"/>
      <c r="BR13" s="2895"/>
      <c r="BS13" s="2895"/>
      <c r="BT13" s="2895"/>
      <c r="BU13" s="2895"/>
      <c r="BV13" s="2895"/>
      <c r="BW13" s="2895"/>
      <c r="BX13" s="2895"/>
      <c r="BY13" s="2895"/>
      <c r="BZ13" s="2895"/>
      <c r="CA13" s="2895"/>
      <c r="CB13" s="2895"/>
      <c r="CC13" s="2895"/>
      <c r="CD13" s="2895"/>
      <c r="CE13" s="2895"/>
      <c r="CF13" s="2895"/>
      <c r="CG13" s="2895"/>
      <c r="CH13" s="2895"/>
      <c r="CI13" s="2895"/>
      <c r="CJ13" s="2895"/>
      <c r="CK13" s="2895"/>
      <c r="CL13" s="2895"/>
      <c r="CM13" s="2895"/>
      <c r="CN13" s="2895"/>
      <c r="CO13" s="2895"/>
      <c r="CP13" s="2895"/>
      <c r="CQ13" s="2895"/>
      <c r="CR13" s="2895"/>
      <c r="CS13" s="2895"/>
      <c r="CT13" s="2895"/>
      <c r="CU13" s="2895"/>
      <c r="CV13" s="2895"/>
      <c r="CW13" s="2895"/>
      <c r="CX13" s="2895"/>
      <c r="CY13" s="2895"/>
      <c r="CZ13" s="2895"/>
      <c r="DA13" s="2895"/>
      <c r="DB13" s="2895"/>
      <c r="DC13" s="2895"/>
      <c r="DD13" s="2895"/>
      <c r="DE13" s="2895"/>
      <c r="DF13" s="2895"/>
      <c r="DG13" s="2895"/>
      <c r="DH13" s="2895"/>
      <c r="DI13" s="2895"/>
      <c r="DJ13" s="2895"/>
      <c r="DK13" s="2895"/>
      <c r="DL13" s="2895"/>
      <c r="DM13" s="2895"/>
      <c r="DN13" s="2895"/>
      <c r="DO13" s="2895"/>
      <c r="DP13" s="2895"/>
      <c r="DQ13" s="2895"/>
      <c r="DR13" s="2895"/>
      <c r="DS13" s="2895"/>
      <c r="DT13" s="2895"/>
      <c r="DU13" s="2895"/>
      <c r="DV13" s="2895"/>
      <c r="DW13" s="2895"/>
      <c r="DX13" s="2895"/>
      <c r="DY13" s="2895"/>
      <c r="DZ13" s="2895"/>
      <c r="EA13" s="2895"/>
      <c r="EB13" s="2895"/>
      <c r="EC13" s="2895"/>
      <c r="ED13" s="2895"/>
      <c r="EE13" s="2895"/>
      <c r="EF13" s="2895"/>
      <c r="EG13" s="2895"/>
      <c r="EH13" s="2895"/>
      <c r="EI13" s="2895"/>
      <c r="EJ13" s="2895"/>
      <c r="EK13" s="2895"/>
      <c r="EL13" s="2895"/>
      <c r="EM13" s="2895"/>
      <c r="EN13" s="2895"/>
      <c r="EO13" s="2895"/>
      <c r="EP13" s="2895"/>
      <c r="EQ13" s="2895"/>
      <c r="ER13" s="2895"/>
      <c r="ES13" s="2895"/>
      <c r="ET13" s="2895"/>
      <c r="EU13" s="2895"/>
      <c r="EV13" s="2895"/>
      <c r="EW13" s="2895"/>
      <c r="EX13" s="2895"/>
      <c r="EY13" s="2895"/>
      <c r="EZ13" s="2895"/>
      <c r="FA13" s="2895"/>
      <c r="FB13" s="2895"/>
      <c r="FC13" s="2895"/>
      <c r="FD13" s="2895"/>
      <c r="FE13" s="2895"/>
      <c r="FF13" s="2895"/>
      <c r="FG13" s="2895"/>
      <c r="FH13" s="2895"/>
      <c r="FI13" s="2895"/>
      <c r="FJ13" s="2895"/>
      <c r="FK13" s="2895"/>
      <c r="FL13" s="2895"/>
      <c r="FM13" s="2895"/>
      <c r="FN13" s="2895"/>
      <c r="FO13" s="2895"/>
      <c r="FP13" s="2895"/>
      <c r="FQ13" s="2895"/>
      <c r="FR13" s="2895"/>
      <c r="FS13" s="2895"/>
      <c r="FT13" s="2895"/>
      <c r="FU13" s="2895"/>
      <c r="FV13" s="2895"/>
      <c r="FW13" s="2895"/>
      <c r="FX13" s="2895"/>
      <c r="FY13" s="2895"/>
      <c r="FZ13" s="2895"/>
      <c r="GA13" s="2895"/>
      <c r="GB13" s="2895"/>
      <c r="GC13" s="2895"/>
      <c r="GD13" s="2895"/>
      <c r="GE13" s="2895"/>
      <c r="GF13" s="2895"/>
      <c r="GG13" s="2895"/>
      <c r="GH13" s="2895"/>
      <c r="GI13" s="2895"/>
      <c r="GJ13" s="2895"/>
      <c r="GK13" s="2895"/>
      <c r="GL13" s="2895"/>
      <c r="GM13" s="2895"/>
      <c r="GN13" s="2895"/>
      <c r="GO13" s="2895"/>
      <c r="GP13" s="2895"/>
      <c r="GQ13" s="2895"/>
      <c r="GR13" s="2895"/>
      <c r="GS13" s="2895"/>
      <c r="GT13" s="2895"/>
      <c r="GU13" s="2895"/>
      <c r="GV13" s="2895"/>
      <c r="GW13" s="2895"/>
      <c r="GX13" s="2895"/>
      <c r="GY13" s="2895"/>
      <c r="GZ13" s="2895"/>
      <c r="HA13" s="2895"/>
      <c r="HB13" s="2895"/>
      <c r="HC13" s="2895"/>
      <c r="HD13" s="2895"/>
      <c r="HE13" s="2895"/>
      <c r="HF13" s="2895"/>
      <c r="HG13" s="2895"/>
      <c r="HH13" s="2895"/>
      <c r="HI13" s="2895"/>
      <c r="HJ13" s="2895"/>
      <c r="HK13" s="2895"/>
      <c r="HL13" s="2895"/>
      <c r="HM13" s="2895"/>
      <c r="HN13" s="2895"/>
      <c r="HO13" s="2895"/>
      <c r="HP13" s="2895"/>
      <c r="HQ13" s="2895"/>
      <c r="HR13" s="2895"/>
      <c r="HS13" s="2895"/>
      <c r="HT13" s="2895"/>
      <c r="HU13" s="2895"/>
      <c r="HV13" s="2895"/>
      <c r="HW13" s="2895"/>
      <c r="HX13" s="2895"/>
      <c r="HY13" s="2895"/>
      <c r="HZ13" s="2895"/>
      <c r="IA13" s="2895"/>
      <c r="IB13" s="2895"/>
      <c r="IC13" s="2895"/>
      <c r="ID13" s="2895"/>
      <c r="IE13" s="2895"/>
      <c r="IF13" s="2895"/>
      <c r="IG13" s="2895"/>
      <c r="IH13" s="2895"/>
      <c r="II13" s="2895"/>
      <c r="IJ13" s="2895"/>
      <c r="IK13" s="2895"/>
      <c r="IL13" s="2895"/>
      <c r="IM13" s="2895"/>
      <c r="IN13" s="2895"/>
      <c r="IO13" s="2895"/>
      <c r="IP13" s="2895"/>
      <c r="IQ13" s="2895"/>
      <c r="IR13" s="2895"/>
      <c r="IS13" s="2895"/>
      <c r="IT13" s="2895"/>
      <c r="IU13" s="2895"/>
    </row>
    <row r="14" spans="1:255" s="883" customFormat="1" ht="13.5" customHeight="1">
      <c r="A14" s="556">
        <v>4</v>
      </c>
      <c r="B14" s="565" t="s">
        <v>135</v>
      </c>
      <c r="C14" s="565">
        <v>119001406</v>
      </c>
      <c r="D14" s="565" t="s">
        <v>142</v>
      </c>
      <c r="E14" s="565" t="s">
        <v>141</v>
      </c>
      <c r="F14" s="1444">
        <v>5</v>
      </c>
      <c r="G14" s="312"/>
      <c r="H14" s="568">
        <f t="shared" si="0"/>
        <v>0</v>
      </c>
      <c r="I14" s="613" t="s">
        <v>137</v>
      </c>
      <c r="J14" s="2894"/>
      <c r="BD14" s="2895"/>
      <c r="BE14" s="2895"/>
      <c r="BF14" s="2895"/>
      <c r="BG14" s="2895"/>
      <c r="BH14" s="2895"/>
      <c r="BI14" s="2895"/>
      <c r="BJ14" s="2895"/>
      <c r="BK14" s="2895"/>
      <c r="BL14" s="2895"/>
      <c r="BM14" s="2895"/>
      <c r="BN14" s="2895"/>
      <c r="BO14" s="2895"/>
      <c r="BP14" s="2895"/>
      <c r="BQ14" s="2895"/>
      <c r="BR14" s="2895"/>
      <c r="BS14" s="2895"/>
      <c r="BT14" s="2895"/>
      <c r="BU14" s="2895"/>
      <c r="BV14" s="2895"/>
      <c r="BW14" s="2895"/>
      <c r="BX14" s="2895"/>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5"/>
      <c r="CV14" s="2895"/>
      <c r="CW14" s="2895"/>
      <c r="CX14" s="2895"/>
      <c r="CY14" s="2895"/>
      <c r="CZ14" s="2895"/>
      <c r="DA14" s="2895"/>
      <c r="DB14" s="2895"/>
      <c r="DC14" s="2895"/>
      <c r="DD14" s="2895"/>
      <c r="DE14" s="2895"/>
      <c r="DF14" s="2895"/>
      <c r="DG14" s="2895"/>
      <c r="DH14" s="2895"/>
      <c r="DI14" s="2895"/>
      <c r="DJ14" s="2895"/>
      <c r="DK14" s="2895"/>
      <c r="DL14" s="2895"/>
      <c r="DM14" s="2895"/>
      <c r="DN14" s="2895"/>
      <c r="DO14" s="2895"/>
      <c r="DP14" s="2895"/>
      <c r="DQ14" s="2895"/>
      <c r="DR14" s="2895"/>
      <c r="DS14" s="2895"/>
      <c r="DT14" s="2895"/>
      <c r="DU14" s="2895"/>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895"/>
      <c r="EV14" s="2895"/>
      <c r="EW14" s="2895"/>
      <c r="EX14" s="2895"/>
      <c r="EY14" s="2895"/>
      <c r="EZ14" s="2895"/>
      <c r="FA14" s="2895"/>
      <c r="FB14" s="2895"/>
      <c r="FC14" s="2895"/>
      <c r="FD14" s="2895"/>
      <c r="FE14" s="2895"/>
      <c r="FF14" s="2895"/>
      <c r="FG14" s="2895"/>
      <c r="FH14" s="2895"/>
      <c r="FI14" s="2895"/>
      <c r="FJ14" s="2895"/>
      <c r="FK14" s="2895"/>
      <c r="FL14" s="2895"/>
      <c r="FM14" s="2895"/>
      <c r="FN14" s="2895"/>
      <c r="FO14" s="2895"/>
      <c r="FP14" s="2895"/>
      <c r="FQ14" s="2895"/>
      <c r="FR14" s="2895"/>
      <c r="FS14" s="2895"/>
      <c r="FT14" s="2895"/>
      <c r="FU14" s="2895"/>
      <c r="FV14" s="2895"/>
      <c r="FW14" s="2895"/>
      <c r="FX14" s="2895"/>
      <c r="FY14" s="2895"/>
      <c r="FZ14" s="2895"/>
      <c r="GA14" s="2895"/>
      <c r="GB14" s="2895"/>
      <c r="GC14" s="2895"/>
      <c r="GD14" s="2895"/>
      <c r="GE14" s="2895"/>
      <c r="GF14" s="2895"/>
      <c r="GG14" s="2895"/>
      <c r="GH14" s="2895"/>
      <c r="GI14" s="2895"/>
      <c r="GJ14" s="2895"/>
      <c r="GK14" s="2895"/>
      <c r="GL14" s="2895"/>
      <c r="GM14" s="2895"/>
      <c r="GN14" s="2895"/>
      <c r="GO14" s="2895"/>
      <c r="GP14" s="2895"/>
      <c r="GQ14" s="2895"/>
      <c r="GR14" s="2895"/>
      <c r="GS14" s="2895"/>
      <c r="GT14" s="2895"/>
      <c r="GU14" s="2895"/>
      <c r="GV14" s="2895"/>
      <c r="GW14" s="2895"/>
      <c r="GX14" s="2895"/>
      <c r="GY14" s="2895"/>
      <c r="GZ14" s="2895"/>
      <c r="HA14" s="2895"/>
      <c r="HB14" s="2895"/>
      <c r="HC14" s="2895"/>
      <c r="HD14" s="2895"/>
      <c r="HE14" s="2895"/>
      <c r="HF14" s="2895"/>
      <c r="HG14" s="2895"/>
      <c r="HH14" s="2895"/>
      <c r="HI14" s="2895"/>
      <c r="HJ14" s="2895"/>
      <c r="HK14" s="2895"/>
      <c r="HL14" s="2895"/>
      <c r="HM14" s="2895"/>
      <c r="HN14" s="2895"/>
      <c r="HO14" s="2895"/>
      <c r="HP14" s="2895"/>
      <c r="HQ14" s="2895"/>
      <c r="HR14" s="2895"/>
      <c r="HS14" s="2895"/>
      <c r="HT14" s="2895"/>
      <c r="HU14" s="2895"/>
      <c r="HV14" s="2895"/>
      <c r="HW14" s="2895"/>
      <c r="HX14" s="2895"/>
      <c r="HY14" s="2895"/>
      <c r="HZ14" s="2895"/>
      <c r="IA14" s="2895"/>
      <c r="IB14" s="2895"/>
      <c r="IC14" s="2895"/>
      <c r="ID14" s="2895"/>
      <c r="IE14" s="2895"/>
      <c r="IF14" s="2895"/>
      <c r="IG14" s="2895"/>
      <c r="IH14" s="2895"/>
      <c r="II14" s="2895"/>
      <c r="IJ14" s="2895"/>
      <c r="IK14" s="2895"/>
      <c r="IL14" s="2895"/>
      <c r="IM14" s="2895"/>
      <c r="IN14" s="2895"/>
      <c r="IO14" s="2895"/>
      <c r="IP14" s="2895"/>
      <c r="IQ14" s="2895"/>
      <c r="IR14" s="2895"/>
      <c r="IS14" s="2895"/>
      <c r="IT14" s="2895"/>
      <c r="IU14" s="2895"/>
    </row>
    <row r="15" spans="1:255" s="883" customFormat="1" ht="13.5" customHeight="1">
      <c r="A15" s="556">
        <v>5</v>
      </c>
      <c r="B15" s="565" t="s">
        <v>135</v>
      </c>
      <c r="C15" s="565">
        <v>119001412</v>
      </c>
      <c r="D15" s="565" t="s">
        <v>143</v>
      </c>
      <c r="E15" s="565" t="s">
        <v>141</v>
      </c>
      <c r="F15" s="1444">
        <v>5</v>
      </c>
      <c r="G15" s="312"/>
      <c r="H15" s="568">
        <f t="shared" si="0"/>
        <v>0</v>
      </c>
      <c r="I15" s="613" t="s">
        <v>137</v>
      </c>
      <c r="J15" s="2894"/>
      <c r="BD15" s="2895"/>
      <c r="BE15" s="2895"/>
      <c r="BF15" s="2895"/>
      <c r="BG15" s="2895"/>
      <c r="BH15" s="2895"/>
      <c r="BI15" s="2895"/>
      <c r="BJ15" s="2895"/>
      <c r="BK15" s="2895"/>
      <c r="BL15" s="2895"/>
      <c r="BM15" s="2895"/>
      <c r="BN15" s="2895"/>
      <c r="BO15" s="2895"/>
      <c r="BP15" s="2895"/>
      <c r="BQ15" s="2895"/>
      <c r="BR15" s="2895"/>
      <c r="BS15" s="2895"/>
      <c r="BT15" s="2895"/>
      <c r="BU15" s="2895"/>
      <c r="BV15" s="2895"/>
      <c r="BW15" s="2895"/>
      <c r="BX15" s="2895"/>
      <c r="BY15" s="2895"/>
      <c r="BZ15" s="2895"/>
      <c r="CA15" s="2895"/>
      <c r="CB15" s="2895"/>
      <c r="CC15" s="2895"/>
      <c r="CD15" s="2895"/>
      <c r="CE15" s="2895"/>
      <c r="CF15" s="2895"/>
      <c r="CG15" s="2895"/>
      <c r="CH15" s="2895"/>
      <c r="CI15" s="2895"/>
      <c r="CJ15" s="2895"/>
      <c r="CK15" s="2895"/>
      <c r="CL15" s="2895"/>
      <c r="CM15" s="2895"/>
      <c r="CN15" s="2895"/>
      <c r="CO15" s="2895"/>
      <c r="CP15" s="2895"/>
      <c r="CQ15" s="2895"/>
      <c r="CR15" s="2895"/>
      <c r="CS15" s="2895"/>
      <c r="CT15" s="2895"/>
      <c r="CU15" s="2895"/>
      <c r="CV15" s="2895"/>
      <c r="CW15" s="2895"/>
      <c r="CX15" s="2895"/>
      <c r="CY15" s="2895"/>
      <c r="CZ15" s="2895"/>
      <c r="DA15" s="2895"/>
      <c r="DB15" s="2895"/>
      <c r="DC15" s="2895"/>
      <c r="DD15" s="2895"/>
      <c r="DE15" s="2895"/>
      <c r="DF15" s="2895"/>
      <c r="DG15" s="2895"/>
      <c r="DH15" s="2895"/>
      <c r="DI15" s="2895"/>
      <c r="DJ15" s="2895"/>
      <c r="DK15" s="2895"/>
      <c r="DL15" s="2895"/>
      <c r="DM15" s="2895"/>
      <c r="DN15" s="2895"/>
      <c r="DO15" s="2895"/>
      <c r="DP15" s="2895"/>
      <c r="DQ15" s="2895"/>
      <c r="DR15" s="2895"/>
      <c r="DS15" s="2895"/>
      <c r="DT15" s="2895"/>
      <c r="DU15" s="2895"/>
      <c r="DV15" s="2895"/>
      <c r="DW15" s="2895"/>
      <c r="DX15" s="2895"/>
      <c r="DY15" s="2895"/>
      <c r="DZ15" s="2895"/>
      <c r="EA15" s="2895"/>
      <c r="EB15" s="2895"/>
      <c r="EC15" s="2895"/>
      <c r="ED15" s="2895"/>
      <c r="EE15" s="2895"/>
      <c r="EF15" s="2895"/>
      <c r="EG15" s="2895"/>
      <c r="EH15" s="2895"/>
      <c r="EI15" s="2895"/>
      <c r="EJ15" s="2895"/>
      <c r="EK15" s="2895"/>
      <c r="EL15" s="2895"/>
      <c r="EM15" s="2895"/>
      <c r="EN15" s="2895"/>
      <c r="EO15" s="2895"/>
      <c r="EP15" s="2895"/>
      <c r="EQ15" s="2895"/>
      <c r="ER15" s="2895"/>
      <c r="ES15" s="2895"/>
      <c r="ET15" s="2895"/>
      <c r="EU15" s="2895"/>
      <c r="EV15" s="2895"/>
      <c r="EW15" s="2895"/>
      <c r="EX15" s="2895"/>
      <c r="EY15" s="2895"/>
      <c r="EZ15" s="2895"/>
      <c r="FA15" s="2895"/>
      <c r="FB15" s="2895"/>
      <c r="FC15" s="2895"/>
      <c r="FD15" s="2895"/>
      <c r="FE15" s="2895"/>
      <c r="FF15" s="2895"/>
      <c r="FG15" s="2895"/>
      <c r="FH15" s="2895"/>
      <c r="FI15" s="2895"/>
      <c r="FJ15" s="2895"/>
      <c r="FK15" s="2895"/>
      <c r="FL15" s="2895"/>
      <c r="FM15" s="2895"/>
      <c r="FN15" s="2895"/>
      <c r="FO15" s="2895"/>
      <c r="FP15" s="2895"/>
      <c r="FQ15" s="2895"/>
      <c r="FR15" s="2895"/>
      <c r="FS15" s="2895"/>
      <c r="FT15" s="2895"/>
      <c r="FU15" s="2895"/>
      <c r="FV15" s="2895"/>
      <c r="FW15" s="2895"/>
      <c r="FX15" s="2895"/>
      <c r="FY15" s="2895"/>
      <c r="FZ15" s="2895"/>
      <c r="GA15" s="2895"/>
      <c r="GB15" s="2895"/>
      <c r="GC15" s="2895"/>
      <c r="GD15" s="2895"/>
      <c r="GE15" s="2895"/>
      <c r="GF15" s="2895"/>
      <c r="GG15" s="2895"/>
      <c r="GH15" s="2895"/>
      <c r="GI15" s="2895"/>
      <c r="GJ15" s="2895"/>
      <c r="GK15" s="2895"/>
      <c r="GL15" s="2895"/>
      <c r="GM15" s="2895"/>
      <c r="GN15" s="2895"/>
      <c r="GO15" s="2895"/>
      <c r="GP15" s="2895"/>
      <c r="GQ15" s="2895"/>
      <c r="GR15" s="2895"/>
      <c r="GS15" s="2895"/>
      <c r="GT15" s="2895"/>
      <c r="GU15" s="2895"/>
      <c r="GV15" s="2895"/>
      <c r="GW15" s="2895"/>
      <c r="GX15" s="2895"/>
      <c r="GY15" s="2895"/>
      <c r="GZ15" s="2895"/>
      <c r="HA15" s="2895"/>
      <c r="HB15" s="2895"/>
      <c r="HC15" s="2895"/>
      <c r="HD15" s="2895"/>
      <c r="HE15" s="2895"/>
      <c r="HF15" s="2895"/>
      <c r="HG15" s="2895"/>
      <c r="HH15" s="2895"/>
      <c r="HI15" s="2895"/>
      <c r="HJ15" s="2895"/>
      <c r="HK15" s="2895"/>
      <c r="HL15" s="2895"/>
      <c r="HM15" s="2895"/>
      <c r="HN15" s="2895"/>
      <c r="HO15" s="2895"/>
      <c r="HP15" s="2895"/>
      <c r="HQ15" s="2895"/>
      <c r="HR15" s="2895"/>
      <c r="HS15" s="2895"/>
      <c r="HT15" s="2895"/>
      <c r="HU15" s="2895"/>
      <c r="HV15" s="2895"/>
      <c r="HW15" s="2895"/>
      <c r="HX15" s="2895"/>
      <c r="HY15" s="2895"/>
      <c r="HZ15" s="2895"/>
      <c r="IA15" s="2895"/>
      <c r="IB15" s="2895"/>
      <c r="IC15" s="2895"/>
      <c r="ID15" s="2895"/>
      <c r="IE15" s="2895"/>
      <c r="IF15" s="2895"/>
      <c r="IG15" s="2895"/>
      <c r="IH15" s="2895"/>
      <c r="II15" s="2895"/>
      <c r="IJ15" s="2895"/>
      <c r="IK15" s="2895"/>
      <c r="IL15" s="2895"/>
      <c r="IM15" s="2895"/>
      <c r="IN15" s="2895"/>
      <c r="IO15" s="2895"/>
      <c r="IP15" s="2895"/>
      <c r="IQ15" s="2895"/>
      <c r="IR15" s="2895"/>
      <c r="IS15" s="2895"/>
      <c r="IT15" s="2895"/>
      <c r="IU15" s="2895"/>
    </row>
    <row r="16" spans="1:255" s="883" customFormat="1" ht="13.5" customHeight="1">
      <c r="A16" s="556">
        <v>6</v>
      </c>
      <c r="B16" s="565" t="s">
        <v>135</v>
      </c>
      <c r="C16" s="565">
        <v>119001422</v>
      </c>
      <c r="D16" s="565" t="s">
        <v>144</v>
      </c>
      <c r="E16" s="565" t="s">
        <v>141</v>
      </c>
      <c r="F16" s="1444">
        <v>30</v>
      </c>
      <c r="G16" s="312"/>
      <c r="H16" s="568">
        <f t="shared" si="0"/>
        <v>0</v>
      </c>
      <c r="I16" s="613" t="s">
        <v>137</v>
      </c>
      <c r="J16" s="2894"/>
      <c r="BD16" s="2895"/>
      <c r="BE16" s="2895"/>
      <c r="BF16" s="2895"/>
      <c r="BG16" s="2895"/>
      <c r="BH16" s="2895"/>
      <c r="BI16" s="2895"/>
      <c r="BJ16" s="2895"/>
      <c r="BK16" s="2895"/>
      <c r="BL16" s="2895"/>
      <c r="BM16" s="2895"/>
      <c r="BN16" s="2895"/>
      <c r="BO16" s="2895"/>
      <c r="BP16" s="2895"/>
      <c r="BQ16" s="2895"/>
      <c r="BR16" s="2895"/>
      <c r="BS16" s="2895"/>
      <c r="BT16" s="2895"/>
      <c r="BU16" s="2895"/>
      <c r="BV16" s="2895"/>
      <c r="BW16" s="2895"/>
      <c r="BX16" s="2895"/>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5"/>
      <c r="CV16" s="2895"/>
      <c r="CW16" s="2895"/>
      <c r="CX16" s="2895"/>
      <c r="CY16" s="2895"/>
      <c r="CZ16" s="2895"/>
      <c r="DA16" s="2895"/>
      <c r="DB16" s="2895"/>
      <c r="DC16" s="2895"/>
      <c r="DD16" s="2895"/>
      <c r="DE16" s="2895"/>
      <c r="DF16" s="2895"/>
      <c r="DG16" s="2895"/>
      <c r="DH16" s="2895"/>
      <c r="DI16" s="2895"/>
      <c r="DJ16" s="2895"/>
      <c r="DK16" s="2895"/>
      <c r="DL16" s="2895"/>
      <c r="DM16" s="2895"/>
      <c r="DN16" s="2895"/>
      <c r="DO16" s="2895"/>
      <c r="DP16" s="2895"/>
      <c r="DQ16" s="2895"/>
      <c r="DR16" s="2895"/>
      <c r="DS16" s="2895"/>
      <c r="DT16" s="2895"/>
      <c r="DU16" s="2895"/>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895"/>
      <c r="EV16" s="2895"/>
      <c r="EW16" s="2895"/>
      <c r="EX16" s="2895"/>
      <c r="EY16" s="2895"/>
      <c r="EZ16" s="2895"/>
      <c r="FA16" s="2895"/>
      <c r="FB16" s="2895"/>
      <c r="FC16" s="2895"/>
      <c r="FD16" s="2895"/>
      <c r="FE16" s="2895"/>
      <c r="FF16" s="2895"/>
      <c r="FG16" s="2895"/>
      <c r="FH16" s="2895"/>
      <c r="FI16" s="2895"/>
      <c r="FJ16" s="2895"/>
      <c r="FK16" s="2895"/>
      <c r="FL16" s="2895"/>
      <c r="FM16" s="2895"/>
      <c r="FN16" s="2895"/>
      <c r="FO16" s="2895"/>
      <c r="FP16" s="2895"/>
      <c r="FQ16" s="2895"/>
      <c r="FR16" s="2895"/>
      <c r="FS16" s="2895"/>
      <c r="FT16" s="2895"/>
      <c r="FU16" s="2895"/>
      <c r="FV16" s="2895"/>
      <c r="FW16" s="2895"/>
      <c r="FX16" s="2895"/>
      <c r="FY16" s="2895"/>
      <c r="FZ16" s="2895"/>
      <c r="GA16" s="2895"/>
      <c r="GB16" s="2895"/>
      <c r="GC16" s="2895"/>
      <c r="GD16" s="2895"/>
      <c r="GE16" s="2895"/>
      <c r="GF16" s="2895"/>
      <c r="GG16" s="2895"/>
      <c r="GH16" s="2895"/>
      <c r="GI16" s="2895"/>
      <c r="GJ16" s="2895"/>
      <c r="GK16" s="2895"/>
      <c r="GL16" s="2895"/>
      <c r="GM16" s="2895"/>
      <c r="GN16" s="2895"/>
      <c r="GO16" s="2895"/>
      <c r="GP16" s="2895"/>
      <c r="GQ16" s="2895"/>
      <c r="GR16" s="2895"/>
      <c r="GS16" s="2895"/>
      <c r="GT16" s="2895"/>
      <c r="GU16" s="2895"/>
      <c r="GV16" s="2895"/>
      <c r="GW16" s="2895"/>
      <c r="GX16" s="2895"/>
      <c r="GY16" s="2895"/>
      <c r="GZ16" s="2895"/>
      <c r="HA16" s="2895"/>
      <c r="HB16" s="2895"/>
      <c r="HC16" s="2895"/>
      <c r="HD16" s="2895"/>
      <c r="HE16" s="2895"/>
      <c r="HF16" s="2895"/>
      <c r="HG16" s="2895"/>
      <c r="HH16" s="2895"/>
      <c r="HI16" s="2895"/>
      <c r="HJ16" s="2895"/>
      <c r="HK16" s="2895"/>
      <c r="HL16" s="2895"/>
      <c r="HM16" s="2895"/>
      <c r="HN16" s="2895"/>
      <c r="HO16" s="2895"/>
      <c r="HP16" s="2895"/>
      <c r="HQ16" s="2895"/>
      <c r="HR16" s="2895"/>
      <c r="HS16" s="2895"/>
      <c r="HT16" s="2895"/>
      <c r="HU16" s="2895"/>
      <c r="HV16" s="2895"/>
      <c r="HW16" s="2895"/>
      <c r="HX16" s="2895"/>
      <c r="HY16" s="2895"/>
      <c r="HZ16" s="2895"/>
      <c r="IA16" s="2895"/>
      <c r="IB16" s="2895"/>
      <c r="IC16" s="2895"/>
      <c r="ID16" s="2895"/>
      <c r="IE16" s="2895"/>
      <c r="IF16" s="2895"/>
      <c r="IG16" s="2895"/>
      <c r="IH16" s="2895"/>
      <c r="II16" s="2895"/>
      <c r="IJ16" s="2895"/>
      <c r="IK16" s="2895"/>
      <c r="IL16" s="2895"/>
      <c r="IM16" s="2895"/>
      <c r="IN16" s="2895"/>
      <c r="IO16" s="2895"/>
      <c r="IP16" s="2895"/>
      <c r="IQ16" s="2895"/>
      <c r="IR16" s="2895"/>
      <c r="IS16" s="2895"/>
      <c r="IT16" s="2895"/>
      <c r="IU16" s="2895"/>
    </row>
    <row r="17" spans="1:23" s="883" customFormat="1" ht="27" customHeight="1">
      <c r="A17" s="2896">
        <v>7</v>
      </c>
      <c r="B17" s="2815" t="s">
        <v>135</v>
      </c>
      <c r="C17" s="2816" t="s">
        <v>4252</v>
      </c>
      <c r="D17" s="2816" t="s">
        <v>4253</v>
      </c>
      <c r="E17" s="2816" t="s">
        <v>49</v>
      </c>
      <c r="F17" s="2897">
        <f>ROUND(SUM(F18),3)</f>
        <v>1</v>
      </c>
      <c r="G17" s="313"/>
      <c r="H17" s="568">
        <f t="shared" si="0"/>
        <v>0</v>
      </c>
      <c r="I17" s="2817" t="s">
        <v>111</v>
      </c>
      <c r="J17" s="2899"/>
    </row>
    <row r="18" spans="1:23" s="883" customFormat="1" ht="40.5" customHeight="1">
      <c r="A18" s="2896"/>
      <c r="B18" s="2815"/>
      <c r="C18" s="2816"/>
      <c r="D18" s="2820" t="s">
        <v>4254</v>
      </c>
      <c r="E18" s="2816"/>
      <c r="F18" s="2826">
        <v>1</v>
      </c>
      <c r="G18" s="313"/>
      <c r="H18" s="2898"/>
      <c r="I18" s="2817"/>
      <c r="J18" s="2900"/>
    </row>
    <row r="19" spans="1:23" s="883" customFormat="1" ht="40.5" customHeight="1">
      <c r="A19" s="2901"/>
      <c r="B19" s="2816"/>
      <c r="C19" s="2816"/>
      <c r="D19" s="2820" t="s">
        <v>4255</v>
      </c>
      <c r="E19" s="2816"/>
      <c r="F19" s="2902"/>
      <c r="G19" s="313"/>
      <c r="H19" s="2898"/>
      <c r="I19" s="2903"/>
      <c r="J19" s="2899"/>
    </row>
    <row r="20" spans="1:23" s="883" customFormat="1" ht="27" customHeight="1">
      <c r="A20" s="2896">
        <v>8</v>
      </c>
      <c r="B20" s="2815" t="s">
        <v>135</v>
      </c>
      <c r="C20" s="2816" t="s">
        <v>4256</v>
      </c>
      <c r="D20" s="2816" t="s">
        <v>4257</v>
      </c>
      <c r="E20" s="2816" t="s">
        <v>49</v>
      </c>
      <c r="F20" s="2897">
        <f>ROUND(SUM(F21),3)</f>
        <v>1</v>
      </c>
      <c r="G20" s="313"/>
      <c r="H20" s="568">
        <f t="shared" ref="H20" si="1">ROUND(F20*G20,2)</f>
        <v>0</v>
      </c>
      <c r="I20" s="2817" t="s">
        <v>111</v>
      </c>
      <c r="J20" s="2899"/>
    </row>
    <row r="21" spans="1:23" s="883" customFormat="1" ht="27" customHeight="1">
      <c r="A21" s="2896"/>
      <c r="B21" s="2815"/>
      <c r="C21" s="2816"/>
      <c r="D21" s="2820" t="s">
        <v>4258</v>
      </c>
      <c r="E21" s="2816"/>
      <c r="F21" s="2826">
        <v>1</v>
      </c>
      <c r="G21" s="313"/>
      <c r="H21" s="2898"/>
      <c r="I21" s="2817"/>
      <c r="J21" s="2900"/>
    </row>
    <row r="22" spans="1:23" s="883" customFormat="1" ht="13.5" customHeight="1">
      <c r="A22" s="2896"/>
      <c r="B22" s="2815"/>
      <c r="C22" s="2816"/>
      <c r="D22" s="2820" t="s">
        <v>4259</v>
      </c>
      <c r="E22" s="2816"/>
      <c r="F22" s="2826"/>
      <c r="G22" s="313"/>
      <c r="H22" s="2898"/>
      <c r="I22" s="2817"/>
      <c r="J22" s="2900"/>
    </row>
    <row r="23" spans="1:23" s="593" customFormat="1" ht="67.5" customHeight="1">
      <c r="A23" s="581"/>
      <c r="B23" s="582"/>
      <c r="C23" s="583"/>
      <c r="D23" s="1275" t="s">
        <v>310</v>
      </c>
      <c r="E23" s="585"/>
      <c r="F23" s="586"/>
      <c r="G23" s="696"/>
      <c r="H23" s="587"/>
      <c r="I23" s="588"/>
      <c r="J23" s="589"/>
      <c r="K23" s="590"/>
      <c r="L23" s="591"/>
      <c r="M23" s="592"/>
    </row>
    <row r="24" spans="1:23" s="2686" customFormat="1" ht="13.5" customHeight="1">
      <c r="A24" s="2904">
        <v>9</v>
      </c>
      <c r="B24" s="2682" t="s">
        <v>135</v>
      </c>
      <c r="C24" s="2683">
        <v>121112003</v>
      </c>
      <c r="D24" s="2683" t="s">
        <v>5076</v>
      </c>
      <c r="E24" s="2683" t="s">
        <v>163</v>
      </c>
      <c r="F24" s="2905">
        <f>ROUND(SUM(F26:F26),3)</f>
        <v>38</v>
      </c>
      <c r="G24" s="314"/>
      <c r="H24" s="568">
        <f t="shared" ref="H24" si="2">ROUND(F24*G24,2)</f>
        <v>0</v>
      </c>
      <c r="I24" s="613" t="s">
        <v>137</v>
      </c>
      <c r="J24" s="315"/>
    </row>
    <row r="25" spans="1:23" s="2686" customFormat="1" ht="13.5" customHeight="1">
      <c r="A25" s="2904"/>
      <c r="B25" s="2682"/>
      <c r="C25" s="2683"/>
      <c r="D25" s="2688" t="s">
        <v>5077</v>
      </c>
      <c r="E25" s="2683"/>
      <c r="F25" s="2905"/>
      <c r="G25" s="314"/>
      <c r="H25" s="2906"/>
      <c r="I25" s="613"/>
      <c r="J25" s="315"/>
    </row>
    <row r="26" spans="1:23" s="2686" customFormat="1" ht="13.5" customHeight="1">
      <c r="A26" s="2904"/>
      <c r="B26" s="2683"/>
      <c r="C26" s="2683"/>
      <c r="D26" s="2688" t="s">
        <v>5078</v>
      </c>
      <c r="E26" s="2683"/>
      <c r="F26" s="600">
        <f>(22.1+15.9)*1</f>
        <v>38</v>
      </c>
      <c r="G26" s="316"/>
      <c r="H26" s="2906"/>
      <c r="I26" s="2690"/>
      <c r="J26" s="2907"/>
    </row>
    <row r="27" spans="1:23" s="604" customFormat="1" ht="27" customHeight="1">
      <c r="A27" s="608">
        <v>10</v>
      </c>
      <c r="B27" s="557" t="s">
        <v>135</v>
      </c>
      <c r="C27" s="557">
        <v>132212122</v>
      </c>
      <c r="D27" s="557" t="s">
        <v>5079</v>
      </c>
      <c r="E27" s="557" t="s">
        <v>146</v>
      </c>
      <c r="F27" s="2905">
        <f>ROUND(SUM(F29),3)</f>
        <v>32.256</v>
      </c>
      <c r="G27" s="288"/>
      <c r="H27" s="568">
        <f t="shared" ref="H27" si="3">ROUND(F27*G27,2)</f>
        <v>0</v>
      </c>
      <c r="I27" s="613" t="s">
        <v>137</v>
      </c>
      <c r="J27" s="2908"/>
      <c r="U27" s="605"/>
      <c r="W27" s="605"/>
    </row>
    <row r="28" spans="1:23" s="604" customFormat="1" ht="13.5" customHeight="1">
      <c r="A28" s="595"/>
      <c r="B28" s="596"/>
      <c r="C28" s="597"/>
      <c r="D28" s="598" t="s">
        <v>5080</v>
      </c>
      <c r="E28" s="599"/>
      <c r="F28" s="600"/>
      <c r="G28" s="289"/>
      <c r="H28" s="601"/>
      <c r="I28" s="602"/>
      <c r="J28" s="2908"/>
      <c r="U28" s="605"/>
      <c r="W28" s="605"/>
    </row>
    <row r="29" spans="1:23" s="604" customFormat="1" ht="13.5" customHeight="1">
      <c r="A29" s="595"/>
      <c r="B29" s="596"/>
      <c r="C29" s="597"/>
      <c r="D29" s="599" t="s">
        <v>5081</v>
      </c>
      <c r="E29" s="599"/>
      <c r="F29" s="600">
        <f>((80.7+171.3)*0.8*1.6)*0.1</f>
        <v>32.256000000000007</v>
      </c>
      <c r="G29" s="289"/>
      <c r="H29" s="601"/>
      <c r="I29" s="602"/>
      <c r="J29" s="2909"/>
      <c r="U29" s="605"/>
      <c r="W29" s="605"/>
    </row>
    <row r="30" spans="1:23" s="604" customFormat="1" ht="27" customHeight="1">
      <c r="A30" s="595"/>
      <c r="B30" s="596"/>
      <c r="C30" s="597"/>
      <c r="D30" s="597" t="s">
        <v>4323</v>
      </c>
      <c r="E30" s="597"/>
      <c r="F30" s="607"/>
      <c r="G30" s="289"/>
      <c r="H30" s="601"/>
      <c r="I30" s="602"/>
      <c r="J30" s="2909"/>
      <c r="U30" s="605"/>
      <c r="W30" s="605"/>
    </row>
    <row r="31" spans="1:23" s="612" customFormat="1" ht="27" customHeight="1">
      <c r="A31" s="608">
        <v>11</v>
      </c>
      <c r="B31" s="557" t="s">
        <v>135</v>
      </c>
      <c r="C31" s="557">
        <v>132254104</v>
      </c>
      <c r="D31" s="557" t="s">
        <v>5082</v>
      </c>
      <c r="E31" s="557" t="s">
        <v>146</v>
      </c>
      <c r="F31" s="2905">
        <f>ROUND(SUM(F33),3)</f>
        <v>161.28</v>
      </c>
      <c r="G31" s="288"/>
      <c r="H31" s="568">
        <f t="shared" ref="H31" si="4">ROUND(F31*G31,2)</f>
        <v>0</v>
      </c>
      <c r="I31" s="613" t="s">
        <v>137</v>
      </c>
      <c r="J31" s="660"/>
      <c r="K31" s="725"/>
    </row>
    <row r="32" spans="1:23" s="604" customFormat="1" ht="13.5" customHeight="1">
      <c r="A32" s="595"/>
      <c r="B32" s="596"/>
      <c r="C32" s="597"/>
      <c r="D32" s="598" t="s">
        <v>5083</v>
      </c>
      <c r="E32" s="599"/>
      <c r="F32" s="600"/>
      <c r="G32" s="289"/>
      <c r="H32" s="601"/>
      <c r="I32" s="602"/>
      <c r="J32" s="2908"/>
      <c r="K32" s="725"/>
      <c r="U32" s="605"/>
      <c r="W32" s="605"/>
    </row>
    <row r="33" spans="1:23" s="604" customFormat="1" ht="13.5" customHeight="1">
      <c r="A33" s="595"/>
      <c r="B33" s="596"/>
      <c r="C33" s="597"/>
      <c r="D33" s="599" t="s">
        <v>5084</v>
      </c>
      <c r="E33" s="599"/>
      <c r="F33" s="600">
        <f>((80.7+171.3)*0.8*1.6)*0.5</f>
        <v>161.28000000000003</v>
      </c>
      <c r="G33" s="289"/>
      <c r="H33" s="601"/>
      <c r="I33" s="602"/>
      <c r="J33" s="2909"/>
      <c r="U33" s="605"/>
      <c r="W33" s="605"/>
    </row>
    <row r="34" spans="1:23" s="604" customFormat="1" ht="27" customHeight="1">
      <c r="A34" s="595"/>
      <c r="B34" s="596"/>
      <c r="C34" s="597"/>
      <c r="D34" s="597" t="s">
        <v>4323</v>
      </c>
      <c r="E34" s="597"/>
      <c r="F34" s="607"/>
      <c r="G34" s="289"/>
      <c r="H34" s="601"/>
      <c r="I34" s="602"/>
      <c r="J34" s="2909"/>
      <c r="U34" s="605"/>
      <c r="W34" s="605"/>
    </row>
    <row r="35" spans="1:23" s="604" customFormat="1" ht="27" customHeight="1">
      <c r="A35" s="608">
        <v>12</v>
      </c>
      <c r="B35" s="557" t="s">
        <v>135</v>
      </c>
      <c r="C35" s="557">
        <v>132312122</v>
      </c>
      <c r="D35" s="557" t="s">
        <v>5085</v>
      </c>
      <c r="E35" s="557" t="s">
        <v>146</v>
      </c>
      <c r="F35" s="2905">
        <f>ROUND(SUM(F37),3)</f>
        <v>16.128</v>
      </c>
      <c r="G35" s="288"/>
      <c r="H35" s="568">
        <f t="shared" ref="H35" si="5">ROUND(F35*G35,2)</f>
        <v>0</v>
      </c>
      <c r="I35" s="613" t="s">
        <v>137</v>
      </c>
      <c r="J35" s="2909"/>
      <c r="U35" s="605"/>
      <c r="W35" s="605"/>
    </row>
    <row r="36" spans="1:23" s="604" customFormat="1" ht="13.5" customHeight="1">
      <c r="A36" s="595"/>
      <c r="B36" s="596"/>
      <c r="C36" s="597"/>
      <c r="D36" s="598" t="s">
        <v>5086</v>
      </c>
      <c r="E36" s="599"/>
      <c r="F36" s="600"/>
      <c r="G36" s="289"/>
      <c r="H36" s="601"/>
      <c r="I36" s="602"/>
      <c r="J36" s="2908"/>
      <c r="U36" s="605"/>
      <c r="W36" s="605"/>
    </row>
    <row r="37" spans="1:23" s="604" customFormat="1" ht="13.5" customHeight="1">
      <c r="A37" s="595"/>
      <c r="B37" s="596"/>
      <c r="C37" s="597"/>
      <c r="D37" s="599" t="s">
        <v>5087</v>
      </c>
      <c r="E37" s="599"/>
      <c r="F37" s="600">
        <f>((80.7+171.3)*0.8*1.6)*0.05</f>
        <v>16.128000000000004</v>
      </c>
      <c r="G37" s="289"/>
      <c r="H37" s="601"/>
      <c r="I37" s="602"/>
      <c r="J37" s="2910"/>
      <c r="U37" s="605"/>
      <c r="W37" s="605"/>
    </row>
    <row r="38" spans="1:23" s="604" customFormat="1" ht="27" customHeight="1">
      <c r="A38" s="595"/>
      <c r="B38" s="596"/>
      <c r="C38" s="597"/>
      <c r="D38" s="597" t="s">
        <v>4323</v>
      </c>
      <c r="E38" s="597"/>
      <c r="F38" s="607"/>
      <c r="G38" s="289"/>
      <c r="H38" s="601"/>
      <c r="I38" s="602"/>
      <c r="J38" s="2909"/>
      <c r="U38" s="605"/>
      <c r="W38" s="605"/>
    </row>
    <row r="39" spans="1:23" s="612" customFormat="1" ht="27" customHeight="1">
      <c r="A39" s="608">
        <v>13</v>
      </c>
      <c r="B39" s="557" t="s">
        <v>135</v>
      </c>
      <c r="C39" s="557">
        <v>132354103</v>
      </c>
      <c r="D39" s="557" t="s">
        <v>5088</v>
      </c>
      <c r="E39" s="557" t="s">
        <v>146</v>
      </c>
      <c r="F39" s="2905">
        <f>ROUND(SUM(F41),3)</f>
        <v>96.768000000000001</v>
      </c>
      <c r="G39" s="288"/>
      <c r="H39" s="568">
        <f t="shared" ref="H39" si="6">ROUND(F39*G39,2)</f>
        <v>0</v>
      </c>
      <c r="I39" s="613" t="s">
        <v>137</v>
      </c>
    </row>
    <row r="40" spans="1:23" s="604" customFormat="1" ht="13.5" customHeight="1">
      <c r="A40" s="595"/>
      <c r="B40" s="596"/>
      <c r="C40" s="597"/>
      <c r="D40" s="598" t="s">
        <v>5089</v>
      </c>
      <c r="E40" s="599"/>
      <c r="F40" s="600"/>
      <c r="G40" s="289"/>
      <c r="H40" s="601"/>
      <c r="I40" s="602"/>
      <c r="J40" s="2908"/>
      <c r="U40" s="605"/>
      <c r="W40" s="605"/>
    </row>
    <row r="41" spans="1:23" s="604" customFormat="1" ht="13.5" customHeight="1">
      <c r="A41" s="595"/>
      <c r="B41" s="596"/>
      <c r="C41" s="597"/>
      <c r="D41" s="599" t="s">
        <v>5090</v>
      </c>
      <c r="E41" s="599"/>
      <c r="F41" s="600">
        <f>((80.7+171.3)*0.8*1.6)*0.3</f>
        <v>96.768000000000015</v>
      </c>
      <c r="G41" s="289"/>
      <c r="H41" s="601"/>
      <c r="I41" s="602"/>
      <c r="J41" s="2909"/>
      <c r="U41" s="605"/>
      <c r="W41" s="605"/>
    </row>
    <row r="42" spans="1:23" s="604" customFormat="1" ht="27" customHeight="1">
      <c r="A42" s="595"/>
      <c r="B42" s="596"/>
      <c r="C42" s="597"/>
      <c r="D42" s="597" t="s">
        <v>4323</v>
      </c>
      <c r="E42" s="597"/>
      <c r="F42" s="607"/>
      <c r="G42" s="289"/>
      <c r="H42" s="601"/>
      <c r="I42" s="602"/>
      <c r="J42" s="2909"/>
      <c r="U42" s="605"/>
      <c r="W42" s="605"/>
    </row>
    <row r="43" spans="1:23" s="612" customFormat="1" ht="27" customHeight="1">
      <c r="A43" s="608">
        <v>14</v>
      </c>
      <c r="B43" s="557" t="s">
        <v>135</v>
      </c>
      <c r="C43" s="557">
        <v>132454101</v>
      </c>
      <c r="D43" s="557" t="s">
        <v>5091</v>
      </c>
      <c r="E43" s="557" t="s">
        <v>146</v>
      </c>
      <c r="F43" s="2905">
        <f>ROUND(SUM(F45),3)</f>
        <v>16.128</v>
      </c>
      <c r="G43" s="288"/>
      <c r="H43" s="568">
        <f t="shared" ref="H43" si="7">ROUND(F43*G43,2)</f>
        <v>0</v>
      </c>
      <c r="I43" s="613" t="s">
        <v>137</v>
      </c>
    </row>
    <row r="44" spans="1:23" s="604" customFormat="1" ht="13.5" customHeight="1">
      <c r="A44" s="595"/>
      <c r="B44" s="596"/>
      <c r="C44" s="597"/>
      <c r="D44" s="598" t="s">
        <v>5086</v>
      </c>
      <c r="E44" s="599"/>
      <c r="F44" s="600"/>
      <c r="G44" s="289"/>
      <c r="H44" s="601"/>
      <c r="I44" s="602"/>
      <c r="J44" s="2908"/>
      <c r="U44" s="605"/>
      <c r="W44" s="605"/>
    </row>
    <row r="45" spans="1:23" s="604" customFormat="1" ht="13.5" customHeight="1">
      <c r="A45" s="595"/>
      <c r="B45" s="596"/>
      <c r="C45" s="597"/>
      <c r="D45" s="599" t="s">
        <v>5087</v>
      </c>
      <c r="E45" s="599"/>
      <c r="F45" s="600">
        <f>((80.7+171.3)*0.8*1.6)*0.05</f>
        <v>16.128000000000004</v>
      </c>
      <c r="G45" s="289"/>
      <c r="H45" s="601"/>
      <c r="I45" s="602"/>
      <c r="J45" s="2909"/>
      <c r="U45" s="605"/>
      <c r="W45" s="605"/>
    </row>
    <row r="46" spans="1:23" s="604" customFormat="1" ht="27" customHeight="1">
      <c r="A46" s="595"/>
      <c r="B46" s="596"/>
      <c r="C46" s="597"/>
      <c r="D46" s="597" t="s">
        <v>4323</v>
      </c>
      <c r="E46" s="597"/>
      <c r="F46" s="607"/>
      <c r="G46" s="289"/>
      <c r="H46" s="601"/>
      <c r="I46" s="602"/>
      <c r="J46" s="2909"/>
      <c r="U46" s="605"/>
      <c r="W46" s="605"/>
    </row>
    <row r="47" spans="1:23" s="612" customFormat="1" ht="13.5" customHeight="1">
      <c r="A47" s="608">
        <v>15</v>
      </c>
      <c r="B47" s="557" t="s">
        <v>135</v>
      </c>
      <c r="C47" s="557">
        <v>139001101</v>
      </c>
      <c r="D47" s="557" t="s">
        <v>160</v>
      </c>
      <c r="E47" s="557" t="s">
        <v>146</v>
      </c>
      <c r="F47" s="2905">
        <f>ROUND(SUM(F48),3)</f>
        <v>9.6769999999999996</v>
      </c>
      <c r="G47" s="288"/>
      <c r="H47" s="568">
        <f t="shared" ref="H47" si="8">ROUND(F47*G47,2)</f>
        <v>0</v>
      </c>
      <c r="I47" s="613" t="s">
        <v>137</v>
      </c>
    </row>
    <row r="48" spans="1:23" s="612" customFormat="1" ht="13.5" customHeight="1">
      <c r="A48" s="608"/>
      <c r="B48" s="557"/>
      <c r="C48" s="599"/>
      <c r="D48" s="599" t="s">
        <v>5092</v>
      </c>
      <c r="E48" s="599"/>
      <c r="F48" s="600">
        <f>((32.256+161.28)+(16.128+96.768)+(16.128))*0.03</f>
        <v>9.6768000000000001</v>
      </c>
      <c r="G48" s="290"/>
      <c r="H48" s="614"/>
      <c r="I48" s="613"/>
    </row>
    <row r="49" spans="1:256" s="612" customFormat="1" ht="13.5" customHeight="1">
      <c r="A49" s="608">
        <v>16</v>
      </c>
      <c r="B49" s="557" t="s">
        <v>135</v>
      </c>
      <c r="C49" s="557" t="s">
        <v>5093</v>
      </c>
      <c r="D49" s="557" t="s">
        <v>5094</v>
      </c>
      <c r="E49" s="557" t="s">
        <v>49</v>
      </c>
      <c r="F49" s="2905">
        <f>ROUND(SUM(F50),3)</f>
        <v>1</v>
      </c>
      <c r="G49" s="288"/>
      <c r="H49" s="568">
        <f t="shared" ref="H49" si="9">ROUND(F49*G49,2)</f>
        <v>0</v>
      </c>
      <c r="I49" s="613" t="s">
        <v>112</v>
      </c>
    </row>
    <row r="50" spans="1:256" s="612" customFormat="1" ht="27" customHeight="1">
      <c r="A50" s="608"/>
      <c r="B50" s="557"/>
      <c r="C50" s="599"/>
      <c r="D50" s="599" t="s">
        <v>5095</v>
      </c>
      <c r="E50" s="599"/>
      <c r="F50" s="600">
        <v>1</v>
      </c>
      <c r="G50" s="290"/>
      <c r="H50" s="614"/>
      <c r="I50" s="613"/>
    </row>
    <row r="51" spans="1:256" s="612" customFormat="1" ht="13.5" customHeight="1">
      <c r="A51" s="608">
        <v>17</v>
      </c>
      <c r="B51" s="557" t="s">
        <v>135</v>
      </c>
      <c r="C51" s="557">
        <v>151101101</v>
      </c>
      <c r="D51" s="557" t="s">
        <v>2371</v>
      </c>
      <c r="E51" s="557" t="s">
        <v>163</v>
      </c>
      <c r="F51" s="2905">
        <f>ROUND(SUM(F53),3)</f>
        <v>403.2</v>
      </c>
      <c r="G51" s="288"/>
      <c r="H51" s="568">
        <f t="shared" ref="H51" si="10">ROUND(F51*G51,2)</f>
        <v>0</v>
      </c>
      <c r="I51" s="613" t="s">
        <v>137</v>
      </c>
    </row>
    <row r="52" spans="1:256" s="612" customFormat="1" ht="13.5" customHeight="1">
      <c r="A52" s="608"/>
      <c r="B52" s="557"/>
      <c r="C52" s="2911"/>
      <c r="D52" s="598" t="s">
        <v>5096</v>
      </c>
      <c r="E52" s="557"/>
      <c r="F52" s="615"/>
      <c r="G52" s="288"/>
      <c r="H52" s="609"/>
      <c r="I52" s="613"/>
      <c r="J52" s="2912"/>
      <c r="K52" s="663"/>
      <c r="L52" s="663"/>
    </row>
    <row r="53" spans="1:256" s="604" customFormat="1" ht="13.5" customHeight="1">
      <c r="A53" s="595"/>
      <c r="B53" s="596"/>
      <c r="C53" s="597"/>
      <c r="D53" s="599" t="s">
        <v>5097</v>
      </c>
      <c r="E53" s="599"/>
      <c r="F53" s="600">
        <f>((80.7+171.3)*1.6)*2*0.5</f>
        <v>403.20000000000005</v>
      </c>
      <c r="G53" s="289"/>
      <c r="H53" s="601"/>
      <c r="I53" s="602"/>
      <c r="J53" s="2909"/>
      <c r="U53" s="605"/>
      <c r="W53" s="605"/>
    </row>
    <row r="54" spans="1:256" s="612" customFormat="1" ht="13.5" customHeight="1">
      <c r="A54" s="608">
        <v>18</v>
      </c>
      <c r="B54" s="557" t="s">
        <v>135</v>
      </c>
      <c r="C54" s="557">
        <v>151101111</v>
      </c>
      <c r="D54" s="557" t="s">
        <v>2378</v>
      </c>
      <c r="E54" s="557" t="s">
        <v>163</v>
      </c>
      <c r="F54" s="615">
        <f>F51</f>
        <v>403.2</v>
      </c>
      <c r="G54" s="288"/>
      <c r="H54" s="568">
        <f t="shared" ref="H54:H55" si="11">ROUND(F54*G54,2)</f>
        <v>0</v>
      </c>
      <c r="I54" s="613" t="s">
        <v>137</v>
      </c>
    </row>
    <row r="55" spans="1:256" s="612" customFormat="1" ht="13.5" customHeight="1">
      <c r="A55" s="608">
        <v>19</v>
      </c>
      <c r="B55" s="557" t="s">
        <v>135</v>
      </c>
      <c r="C55" s="557">
        <v>174151101</v>
      </c>
      <c r="D55" s="557" t="s">
        <v>4579</v>
      </c>
      <c r="E55" s="557" t="s">
        <v>146</v>
      </c>
      <c r="F55" s="2905">
        <f>ROUND(SUM(F57:F61),3)</f>
        <v>406.97</v>
      </c>
      <c r="G55" s="288"/>
      <c r="H55" s="568">
        <f t="shared" si="11"/>
        <v>0</v>
      </c>
      <c r="I55" s="613" t="s">
        <v>137</v>
      </c>
    </row>
    <row r="56" spans="1:256" s="612" customFormat="1" ht="13.5" customHeight="1">
      <c r="A56" s="608"/>
      <c r="B56" s="557"/>
      <c r="C56" s="599"/>
      <c r="D56" s="599" t="s">
        <v>5098</v>
      </c>
      <c r="E56" s="599"/>
      <c r="F56" s="600"/>
      <c r="G56" s="290"/>
      <c r="H56" s="614"/>
      <c r="I56" s="613"/>
    </row>
    <row r="57" spans="1:256" s="612" customFormat="1" ht="13.5" customHeight="1">
      <c r="A57" s="608"/>
      <c r="B57" s="557"/>
      <c r="C57" s="599"/>
      <c r="D57" s="599" t="s">
        <v>5099</v>
      </c>
      <c r="E57" s="599"/>
      <c r="F57" s="600">
        <f>(80.7+171.3)*0.8*1.6</f>
        <v>322.56000000000006</v>
      </c>
      <c r="G57" s="290"/>
      <c r="H57" s="614"/>
      <c r="I57" s="613"/>
    </row>
    <row r="58" spans="1:256" s="612" customFormat="1" ht="13.5" customHeight="1">
      <c r="A58" s="608"/>
      <c r="B58" s="557"/>
      <c r="C58" s="599"/>
      <c r="D58" s="599" t="s">
        <v>5100</v>
      </c>
      <c r="E58" s="599"/>
      <c r="F58" s="600"/>
      <c r="G58" s="290"/>
      <c r="H58" s="614"/>
      <c r="I58" s="613"/>
    </row>
    <row r="59" spans="1:256" s="612" customFormat="1" ht="13.5" customHeight="1">
      <c r="A59" s="608"/>
      <c r="B59" s="557"/>
      <c r="C59" s="599"/>
      <c r="D59" s="599" t="s">
        <v>5101</v>
      </c>
      <c r="E59" s="599"/>
      <c r="F59" s="600">
        <f>(5*4*3)</f>
        <v>60</v>
      </c>
      <c r="G59" s="317"/>
      <c r="H59" s="2812"/>
      <c r="I59" s="613"/>
    </row>
    <row r="60" spans="1:256" s="612" customFormat="1" ht="13.5" customHeight="1">
      <c r="A60" s="608"/>
      <c r="B60" s="557"/>
      <c r="C60" s="599"/>
      <c r="D60" s="599" t="s">
        <v>5102</v>
      </c>
      <c r="E60" s="599"/>
      <c r="F60" s="600">
        <f>((3.141592654*0.3*0.3)*1.5)*2</f>
        <v>0.84823001657999986</v>
      </c>
      <c r="G60" s="317"/>
      <c r="H60" s="2812"/>
      <c r="I60" s="613"/>
    </row>
    <row r="61" spans="1:256" s="612" customFormat="1" ht="13.5" customHeight="1">
      <c r="A61" s="608"/>
      <c r="B61" s="557"/>
      <c r="C61" s="599"/>
      <c r="D61" s="599" t="s">
        <v>5103</v>
      </c>
      <c r="E61" s="599"/>
      <c r="F61" s="600">
        <f>((3.141592654*0.5*0.5)*2)*15</f>
        <v>23.561944905000001</v>
      </c>
      <c r="G61" s="317"/>
      <c r="H61" s="2812"/>
      <c r="I61" s="613"/>
    </row>
    <row r="62" spans="1:256" s="612" customFormat="1" ht="27" customHeight="1">
      <c r="A62" s="608"/>
      <c r="B62" s="557"/>
      <c r="C62" s="599"/>
      <c r="D62" s="599" t="s">
        <v>5104</v>
      </c>
      <c r="E62" s="599"/>
      <c r="F62" s="600"/>
      <c r="G62" s="290"/>
      <c r="H62" s="614"/>
      <c r="I62" s="613"/>
    </row>
    <row r="63" spans="1:256" s="612" customFormat="1" ht="13.5" customHeight="1">
      <c r="A63" s="2913" t="s">
        <v>208</v>
      </c>
      <c r="B63" s="2914" t="s">
        <v>5105</v>
      </c>
      <c r="C63" s="730">
        <v>10364100</v>
      </c>
      <c r="D63" s="730" t="s">
        <v>174</v>
      </c>
      <c r="E63" s="730" t="s">
        <v>175</v>
      </c>
      <c r="F63" s="2915">
        <f>ROUND(SUM(F65:F67),3)</f>
        <v>143.49700000000001</v>
      </c>
      <c r="G63" s="318"/>
      <c r="H63" s="733">
        <f t="shared" ref="H63" si="12">ROUND(F63*G63,2)</f>
        <v>0</v>
      </c>
      <c r="I63" s="734" t="s">
        <v>137</v>
      </c>
      <c r="J63" s="2917"/>
      <c r="K63" s="1502"/>
      <c r="L63" s="2918"/>
      <c r="M63" s="2919"/>
      <c r="N63" s="2919"/>
      <c r="O63" s="2920"/>
      <c r="P63" s="2919"/>
      <c r="Q63" s="2921"/>
      <c r="R63" s="2922"/>
      <c r="S63" s="2923"/>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7"/>
      <c r="FA63" s="647"/>
      <c r="FB63" s="647"/>
      <c r="FC63" s="647"/>
      <c r="FD63" s="647"/>
      <c r="FE63" s="647"/>
      <c r="FF63" s="647"/>
      <c r="FG63" s="647"/>
      <c r="FH63" s="647"/>
      <c r="FI63" s="647"/>
      <c r="FJ63" s="647"/>
      <c r="FK63" s="647"/>
      <c r="FL63" s="647"/>
      <c r="FM63" s="647"/>
      <c r="FN63" s="647"/>
      <c r="FO63" s="647"/>
      <c r="FP63" s="647"/>
      <c r="FQ63" s="647"/>
      <c r="FR63" s="647"/>
      <c r="FS63" s="647"/>
      <c r="FT63" s="647"/>
      <c r="FU63" s="647"/>
      <c r="FV63" s="647"/>
      <c r="FW63" s="647"/>
      <c r="FX63" s="647"/>
      <c r="FY63" s="647"/>
      <c r="FZ63" s="647"/>
      <c r="GA63" s="647"/>
      <c r="GB63" s="647"/>
      <c r="GC63" s="647"/>
      <c r="GD63" s="647"/>
      <c r="GE63" s="647"/>
      <c r="GF63" s="647"/>
      <c r="GG63" s="647"/>
      <c r="GH63" s="647"/>
      <c r="GI63" s="647"/>
      <c r="GJ63" s="647"/>
      <c r="GK63" s="647"/>
      <c r="GL63" s="647"/>
      <c r="GM63" s="647"/>
      <c r="GN63" s="647"/>
      <c r="GO63" s="647"/>
      <c r="GP63" s="647"/>
      <c r="GQ63" s="647"/>
      <c r="GR63" s="647"/>
      <c r="GS63" s="647"/>
      <c r="GT63" s="647"/>
      <c r="GU63" s="647"/>
      <c r="GV63" s="647"/>
      <c r="GW63" s="647"/>
      <c r="GX63" s="647"/>
      <c r="GY63" s="647"/>
      <c r="GZ63" s="647"/>
      <c r="HA63" s="647"/>
      <c r="HB63" s="647"/>
      <c r="HC63" s="647"/>
      <c r="HD63" s="647"/>
      <c r="HE63" s="647"/>
      <c r="HF63" s="647"/>
      <c r="HG63" s="647"/>
      <c r="HH63" s="647"/>
      <c r="HI63" s="647"/>
      <c r="HJ63" s="647"/>
      <c r="HK63" s="647"/>
      <c r="HL63" s="647"/>
      <c r="HM63" s="647"/>
      <c r="HN63" s="647"/>
      <c r="HO63" s="647"/>
      <c r="HP63" s="647"/>
      <c r="HQ63" s="647"/>
      <c r="HR63" s="647"/>
      <c r="HS63" s="647"/>
      <c r="HT63" s="647"/>
      <c r="HU63" s="647"/>
      <c r="HV63" s="647"/>
      <c r="HW63" s="647"/>
      <c r="HX63" s="647"/>
      <c r="HY63" s="647"/>
      <c r="HZ63" s="647"/>
      <c r="IA63" s="647"/>
      <c r="IB63" s="647"/>
      <c r="IC63" s="647"/>
      <c r="ID63" s="647"/>
      <c r="IE63" s="647"/>
      <c r="IF63" s="647"/>
      <c r="IG63" s="647"/>
      <c r="IH63" s="647"/>
      <c r="II63" s="647"/>
      <c r="IJ63" s="647"/>
      <c r="IK63" s="647"/>
      <c r="IL63" s="647"/>
      <c r="IM63" s="647"/>
      <c r="IN63" s="647"/>
      <c r="IO63" s="647"/>
      <c r="IP63" s="647"/>
      <c r="IQ63" s="647"/>
      <c r="IR63" s="647"/>
      <c r="IS63" s="647"/>
      <c r="IT63" s="647"/>
      <c r="IU63" s="647"/>
      <c r="IV63" s="647"/>
    </row>
    <row r="64" spans="1:256" s="612" customFormat="1" ht="13.5" customHeight="1">
      <c r="A64" s="2913"/>
      <c r="B64" s="2914"/>
      <c r="C64" s="730"/>
      <c r="D64" s="739" t="s">
        <v>5106</v>
      </c>
      <c r="E64" s="730"/>
      <c r="F64" s="743"/>
      <c r="G64" s="318"/>
      <c r="H64" s="2916"/>
      <c r="I64" s="734"/>
      <c r="J64" s="2917"/>
      <c r="K64" s="1502"/>
      <c r="L64" s="2918"/>
      <c r="M64" s="2919"/>
      <c r="N64" s="2919"/>
      <c r="O64" s="2920"/>
      <c r="P64" s="2919"/>
      <c r="Q64" s="2921"/>
      <c r="R64" s="2922"/>
      <c r="S64" s="2923"/>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7"/>
      <c r="FA64" s="647"/>
      <c r="FB64" s="647"/>
      <c r="FC64" s="647"/>
      <c r="FD64" s="647"/>
      <c r="FE64" s="647"/>
      <c r="FF64" s="647"/>
      <c r="FG64" s="647"/>
      <c r="FH64" s="647"/>
      <c r="FI64" s="647"/>
      <c r="FJ64" s="647"/>
      <c r="FK64" s="647"/>
      <c r="FL64" s="647"/>
      <c r="FM64" s="647"/>
      <c r="FN64" s="647"/>
      <c r="FO64" s="647"/>
      <c r="FP64" s="647"/>
      <c r="FQ64" s="647"/>
      <c r="FR64" s="647"/>
      <c r="FS64" s="647"/>
      <c r="FT64" s="647"/>
      <c r="FU64" s="647"/>
      <c r="FV64" s="647"/>
      <c r="FW64" s="647"/>
      <c r="FX64" s="647"/>
      <c r="FY64" s="647"/>
      <c r="FZ64" s="647"/>
      <c r="GA64" s="647"/>
      <c r="GB64" s="647"/>
      <c r="GC64" s="647"/>
      <c r="GD64" s="647"/>
      <c r="GE64" s="647"/>
      <c r="GF64" s="647"/>
      <c r="GG64" s="647"/>
      <c r="GH64" s="647"/>
      <c r="GI64" s="647"/>
      <c r="GJ64" s="647"/>
      <c r="GK64" s="647"/>
      <c r="GL64" s="647"/>
      <c r="GM64" s="647"/>
      <c r="GN64" s="647"/>
      <c r="GO64" s="647"/>
      <c r="GP64" s="647"/>
      <c r="GQ64" s="647"/>
      <c r="GR64" s="647"/>
      <c r="GS64" s="647"/>
      <c r="GT64" s="647"/>
      <c r="GU64" s="647"/>
      <c r="GV64" s="647"/>
      <c r="GW64" s="647"/>
      <c r="GX64" s="647"/>
      <c r="GY64" s="647"/>
      <c r="GZ64" s="647"/>
      <c r="HA64" s="647"/>
      <c r="HB64" s="647"/>
      <c r="HC64" s="647"/>
      <c r="HD64" s="647"/>
      <c r="HE64" s="647"/>
      <c r="HF64" s="647"/>
      <c r="HG64" s="647"/>
      <c r="HH64" s="647"/>
      <c r="HI64" s="647"/>
      <c r="HJ64" s="647"/>
      <c r="HK64" s="647"/>
      <c r="HL64" s="647"/>
      <c r="HM64" s="647"/>
      <c r="HN64" s="647"/>
      <c r="HO64" s="647"/>
      <c r="HP64" s="647"/>
      <c r="HQ64" s="647"/>
      <c r="HR64" s="647"/>
      <c r="HS64" s="647"/>
      <c r="HT64" s="647"/>
      <c r="HU64" s="647"/>
      <c r="HV64" s="647"/>
      <c r="HW64" s="647"/>
      <c r="HX64" s="647"/>
      <c r="HY64" s="647"/>
      <c r="HZ64" s="647"/>
      <c r="IA64" s="647"/>
      <c r="IB64" s="647"/>
      <c r="IC64" s="647"/>
      <c r="ID64" s="647"/>
      <c r="IE64" s="647"/>
      <c r="IF64" s="647"/>
      <c r="IG64" s="647"/>
      <c r="IH64" s="647"/>
      <c r="II64" s="647"/>
      <c r="IJ64" s="647"/>
      <c r="IK64" s="647"/>
      <c r="IL64" s="647"/>
      <c r="IM64" s="647"/>
      <c r="IN64" s="647"/>
      <c r="IO64" s="647"/>
      <c r="IP64" s="647"/>
      <c r="IQ64" s="647"/>
      <c r="IR64" s="647"/>
      <c r="IS64" s="647"/>
      <c r="IT64" s="647"/>
      <c r="IU64" s="647"/>
      <c r="IV64" s="647"/>
    </row>
    <row r="65" spans="1:256" s="612" customFormat="1" ht="13.5" customHeight="1">
      <c r="A65" s="2913"/>
      <c r="B65" s="2924"/>
      <c r="C65" s="730"/>
      <c r="D65" s="739" t="s">
        <v>5107</v>
      </c>
      <c r="E65" s="2924"/>
      <c r="F65" s="740">
        <f>(60)*1.7</f>
        <v>102</v>
      </c>
      <c r="G65" s="319"/>
      <c r="H65" s="2916"/>
      <c r="I65" s="734"/>
      <c r="J65" s="2925"/>
      <c r="K65" s="1502"/>
      <c r="L65" s="2918"/>
      <c r="M65" s="2919"/>
      <c r="N65" s="2919"/>
      <c r="O65" s="2920"/>
      <c r="P65" s="2919"/>
      <c r="Q65" s="2921"/>
      <c r="R65" s="2922"/>
      <c r="S65" s="2923"/>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7"/>
      <c r="FA65" s="647"/>
      <c r="FB65" s="647"/>
      <c r="FC65" s="647"/>
      <c r="FD65" s="647"/>
      <c r="FE65" s="647"/>
      <c r="FF65" s="647"/>
      <c r="FG65" s="647"/>
      <c r="FH65" s="647"/>
      <c r="FI65" s="647"/>
      <c r="FJ65" s="647"/>
      <c r="FK65" s="647"/>
      <c r="FL65" s="647"/>
      <c r="FM65" s="647"/>
      <c r="FN65" s="647"/>
      <c r="FO65" s="647"/>
      <c r="FP65" s="647"/>
      <c r="FQ65" s="647"/>
      <c r="FR65" s="647"/>
      <c r="FS65" s="647"/>
      <c r="FT65" s="647"/>
      <c r="FU65" s="647"/>
      <c r="FV65" s="647"/>
      <c r="FW65" s="647"/>
      <c r="FX65" s="647"/>
      <c r="FY65" s="647"/>
      <c r="FZ65" s="647"/>
      <c r="GA65" s="647"/>
      <c r="GB65" s="647"/>
      <c r="GC65" s="647"/>
      <c r="GD65" s="647"/>
      <c r="GE65" s="647"/>
      <c r="GF65" s="647"/>
      <c r="GG65" s="647"/>
      <c r="GH65" s="647"/>
      <c r="GI65" s="647"/>
      <c r="GJ65" s="647"/>
      <c r="GK65" s="647"/>
      <c r="GL65" s="647"/>
      <c r="GM65" s="647"/>
      <c r="GN65" s="647"/>
      <c r="GO65" s="647"/>
      <c r="GP65" s="647"/>
      <c r="GQ65" s="647"/>
      <c r="GR65" s="647"/>
      <c r="GS65" s="647"/>
      <c r="GT65" s="647"/>
      <c r="GU65" s="647"/>
      <c r="GV65" s="647"/>
      <c r="GW65" s="647"/>
      <c r="GX65" s="647"/>
      <c r="GY65" s="647"/>
      <c r="GZ65" s="647"/>
      <c r="HA65" s="647"/>
      <c r="HB65" s="647"/>
      <c r="HC65" s="647"/>
      <c r="HD65" s="647"/>
      <c r="HE65" s="647"/>
      <c r="HF65" s="647"/>
      <c r="HG65" s="647"/>
      <c r="HH65" s="647"/>
      <c r="HI65" s="647"/>
      <c r="HJ65" s="647"/>
      <c r="HK65" s="647"/>
      <c r="HL65" s="647"/>
      <c r="HM65" s="647"/>
      <c r="HN65" s="647"/>
      <c r="HO65" s="647"/>
      <c r="HP65" s="647"/>
      <c r="HQ65" s="647"/>
      <c r="HR65" s="647"/>
      <c r="HS65" s="647"/>
      <c r="HT65" s="647"/>
      <c r="HU65" s="647"/>
      <c r="HV65" s="647"/>
      <c r="HW65" s="647"/>
      <c r="HX65" s="647"/>
      <c r="HY65" s="647"/>
      <c r="HZ65" s="647"/>
      <c r="IA65" s="647"/>
      <c r="IB65" s="647"/>
      <c r="IC65" s="647"/>
      <c r="ID65" s="647"/>
      <c r="IE65" s="647"/>
      <c r="IF65" s="647"/>
      <c r="IG65" s="647"/>
      <c r="IH65" s="647"/>
      <c r="II65" s="647"/>
      <c r="IJ65" s="647"/>
      <c r="IK65" s="647"/>
      <c r="IL65" s="647"/>
      <c r="IM65" s="647"/>
      <c r="IN65" s="647"/>
      <c r="IO65" s="647"/>
      <c r="IP65" s="647"/>
      <c r="IQ65" s="647"/>
      <c r="IR65" s="647"/>
      <c r="IS65" s="647"/>
      <c r="IT65" s="647"/>
      <c r="IU65" s="647"/>
      <c r="IV65" s="647"/>
    </row>
    <row r="66" spans="1:256" s="612" customFormat="1" ht="13.5" customHeight="1">
      <c r="A66" s="2913"/>
      <c r="B66" s="2924"/>
      <c r="C66" s="730"/>
      <c r="D66" s="739" t="s">
        <v>5108</v>
      </c>
      <c r="E66" s="2924"/>
      <c r="F66" s="740">
        <f>(0.848)*1.7</f>
        <v>1.4416</v>
      </c>
      <c r="G66" s="319"/>
      <c r="H66" s="2916"/>
      <c r="I66" s="734"/>
      <c r="J66" s="2925"/>
      <c r="K66" s="1502"/>
      <c r="L66" s="2918"/>
      <c r="M66" s="2919"/>
      <c r="N66" s="2919"/>
      <c r="O66" s="2920"/>
      <c r="P66" s="2919"/>
      <c r="Q66" s="2921"/>
      <c r="R66" s="2922"/>
      <c r="S66" s="2923"/>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47"/>
      <c r="CD66" s="647"/>
      <c r="CE66" s="647"/>
      <c r="CF66" s="647"/>
      <c r="CG66" s="647"/>
      <c r="CH66" s="647"/>
      <c r="CI66" s="647"/>
      <c r="CJ66" s="647"/>
      <c r="CK66" s="647"/>
      <c r="CL66" s="647"/>
      <c r="CM66" s="647"/>
      <c r="CN66" s="647"/>
      <c r="CO66" s="647"/>
      <c r="CP66" s="647"/>
      <c r="CQ66" s="647"/>
      <c r="CR66" s="647"/>
      <c r="CS66" s="647"/>
      <c r="CT66" s="647"/>
      <c r="CU66" s="647"/>
      <c r="CV66" s="647"/>
      <c r="CW66" s="647"/>
      <c r="CX66" s="647"/>
      <c r="CY66" s="647"/>
      <c r="CZ66" s="647"/>
      <c r="DA66" s="647"/>
      <c r="DB66" s="647"/>
      <c r="DC66" s="647"/>
      <c r="DD66" s="647"/>
      <c r="DE66" s="647"/>
      <c r="DF66" s="647"/>
      <c r="DG66" s="647"/>
      <c r="DH66" s="647"/>
      <c r="DI66" s="647"/>
      <c r="DJ66" s="647"/>
      <c r="DK66" s="647"/>
      <c r="DL66" s="647"/>
      <c r="DM66" s="647"/>
      <c r="DN66" s="647"/>
      <c r="DO66" s="647"/>
      <c r="DP66" s="647"/>
      <c r="DQ66" s="647"/>
      <c r="DR66" s="647"/>
      <c r="DS66" s="647"/>
      <c r="DT66" s="647"/>
      <c r="DU66" s="647"/>
      <c r="DV66" s="647"/>
      <c r="DW66" s="647"/>
      <c r="DX66" s="647"/>
      <c r="DY66" s="647"/>
      <c r="DZ66" s="647"/>
      <c r="EA66" s="647"/>
      <c r="EB66" s="647"/>
      <c r="EC66" s="647"/>
      <c r="ED66" s="647"/>
      <c r="EE66" s="647"/>
      <c r="EF66" s="647"/>
      <c r="EG66" s="647"/>
      <c r="EH66" s="647"/>
      <c r="EI66" s="647"/>
      <c r="EJ66" s="647"/>
      <c r="EK66" s="647"/>
      <c r="EL66" s="647"/>
      <c r="EM66" s="647"/>
      <c r="EN66" s="647"/>
      <c r="EO66" s="647"/>
      <c r="EP66" s="647"/>
      <c r="EQ66" s="647"/>
      <c r="ER66" s="647"/>
      <c r="ES66" s="647"/>
      <c r="ET66" s="647"/>
      <c r="EU66" s="647"/>
      <c r="EV66" s="647"/>
      <c r="EW66" s="647"/>
      <c r="EX66" s="647"/>
      <c r="EY66" s="647"/>
      <c r="EZ66" s="647"/>
      <c r="FA66" s="647"/>
      <c r="FB66" s="647"/>
      <c r="FC66" s="647"/>
      <c r="FD66" s="647"/>
      <c r="FE66" s="647"/>
      <c r="FF66" s="647"/>
      <c r="FG66" s="647"/>
      <c r="FH66" s="647"/>
      <c r="FI66" s="647"/>
      <c r="FJ66" s="647"/>
      <c r="FK66" s="647"/>
      <c r="FL66" s="647"/>
      <c r="FM66" s="647"/>
      <c r="FN66" s="647"/>
      <c r="FO66" s="647"/>
      <c r="FP66" s="647"/>
      <c r="FQ66" s="647"/>
      <c r="FR66" s="647"/>
      <c r="FS66" s="647"/>
      <c r="FT66" s="647"/>
      <c r="FU66" s="647"/>
      <c r="FV66" s="647"/>
      <c r="FW66" s="647"/>
      <c r="FX66" s="647"/>
      <c r="FY66" s="647"/>
      <c r="FZ66" s="647"/>
      <c r="GA66" s="647"/>
      <c r="GB66" s="647"/>
      <c r="GC66" s="647"/>
      <c r="GD66" s="647"/>
      <c r="GE66" s="647"/>
      <c r="GF66" s="647"/>
      <c r="GG66" s="647"/>
      <c r="GH66" s="647"/>
      <c r="GI66" s="647"/>
      <c r="GJ66" s="647"/>
      <c r="GK66" s="647"/>
      <c r="GL66" s="647"/>
      <c r="GM66" s="647"/>
      <c r="GN66" s="647"/>
      <c r="GO66" s="647"/>
      <c r="GP66" s="647"/>
      <c r="GQ66" s="647"/>
      <c r="GR66" s="647"/>
      <c r="GS66" s="647"/>
      <c r="GT66" s="647"/>
      <c r="GU66" s="647"/>
      <c r="GV66" s="647"/>
      <c r="GW66" s="647"/>
      <c r="GX66" s="647"/>
      <c r="GY66" s="647"/>
      <c r="GZ66" s="647"/>
      <c r="HA66" s="647"/>
      <c r="HB66" s="647"/>
      <c r="HC66" s="647"/>
      <c r="HD66" s="647"/>
      <c r="HE66" s="647"/>
      <c r="HF66" s="647"/>
      <c r="HG66" s="647"/>
      <c r="HH66" s="647"/>
      <c r="HI66" s="647"/>
      <c r="HJ66" s="647"/>
      <c r="HK66" s="647"/>
      <c r="HL66" s="647"/>
      <c r="HM66" s="647"/>
      <c r="HN66" s="647"/>
      <c r="HO66" s="647"/>
      <c r="HP66" s="647"/>
      <c r="HQ66" s="647"/>
      <c r="HR66" s="647"/>
      <c r="HS66" s="647"/>
      <c r="HT66" s="647"/>
      <c r="HU66" s="647"/>
      <c r="HV66" s="647"/>
      <c r="HW66" s="647"/>
      <c r="HX66" s="647"/>
      <c r="HY66" s="647"/>
      <c r="HZ66" s="647"/>
      <c r="IA66" s="647"/>
      <c r="IB66" s="647"/>
      <c r="IC66" s="647"/>
      <c r="ID66" s="647"/>
      <c r="IE66" s="647"/>
      <c r="IF66" s="647"/>
      <c r="IG66" s="647"/>
      <c r="IH66" s="647"/>
      <c r="II66" s="647"/>
      <c r="IJ66" s="647"/>
      <c r="IK66" s="647"/>
      <c r="IL66" s="647"/>
      <c r="IM66" s="647"/>
      <c r="IN66" s="647"/>
      <c r="IO66" s="647"/>
      <c r="IP66" s="647"/>
      <c r="IQ66" s="647"/>
      <c r="IR66" s="647"/>
      <c r="IS66" s="647"/>
      <c r="IT66" s="647"/>
      <c r="IU66" s="647"/>
      <c r="IV66" s="647"/>
    </row>
    <row r="67" spans="1:256" s="612" customFormat="1" ht="13.5" customHeight="1">
      <c r="A67" s="2913"/>
      <c r="B67" s="2924"/>
      <c r="C67" s="730"/>
      <c r="D67" s="739" t="s">
        <v>5109</v>
      </c>
      <c r="E67" s="2924"/>
      <c r="F67" s="740">
        <f>(23.562)*1.7</f>
        <v>40.055399999999999</v>
      </c>
      <c r="G67" s="319"/>
      <c r="H67" s="2916"/>
      <c r="I67" s="734"/>
      <c r="J67" s="2925"/>
      <c r="K67" s="1502"/>
      <c r="L67" s="2918"/>
      <c r="M67" s="2919"/>
      <c r="N67" s="2919"/>
      <c r="O67" s="2920"/>
      <c r="P67" s="2919"/>
      <c r="Q67" s="2921"/>
      <c r="R67" s="2922"/>
      <c r="S67" s="2923"/>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47"/>
      <c r="CD67" s="647"/>
      <c r="CE67" s="647"/>
      <c r="CF67" s="647"/>
      <c r="CG67" s="647"/>
      <c r="CH67" s="647"/>
      <c r="CI67" s="647"/>
      <c r="CJ67" s="647"/>
      <c r="CK67" s="647"/>
      <c r="CL67" s="647"/>
      <c r="CM67" s="647"/>
      <c r="CN67" s="647"/>
      <c r="CO67" s="647"/>
      <c r="CP67" s="647"/>
      <c r="CQ67" s="647"/>
      <c r="CR67" s="647"/>
      <c r="CS67" s="647"/>
      <c r="CT67" s="647"/>
      <c r="CU67" s="647"/>
      <c r="CV67" s="647"/>
      <c r="CW67" s="647"/>
      <c r="CX67" s="647"/>
      <c r="CY67" s="647"/>
      <c r="CZ67" s="647"/>
      <c r="DA67" s="647"/>
      <c r="DB67" s="647"/>
      <c r="DC67" s="647"/>
      <c r="DD67" s="647"/>
      <c r="DE67" s="647"/>
      <c r="DF67" s="647"/>
      <c r="DG67" s="647"/>
      <c r="DH67" s="647"/>
      <c r="DI67" s="647"/>
      <c r="DJ67" s="647"/>
      <c r="DK67" s="647"/>
      <c r="DL67" s="647"/>
      <c r="DM67" s="647"/>
      <c r="DN67" s="647"/>
      <c r="DO67" s="647"/>
      <c r="DP67" s="647"/>
      <c r="DQ67" s="647"/>
      <c r="DR67" s="647"/>
      <c r="DS67" s="647"/>
      <c r="DT67" s="647"/>
      <c r="DU67" s="647"/>
      <c r="DV67" s="647"/>
      <c r="DW67" s="647"/>
      <c r="DX67" s="647"/>
      <c r="DY67" s="647"/>
      <c r="DZ67" s="647"/>
      <c r="EA67" s="647"/>
      <c r="EB67" s="647"/>
      <c r="EC67" s="647"/>
      <c r="ED67" s="647"/>
      <c r="EE67" s="647"/>
      <c r="EF67" s="647"/>
      <c r="EG67" s="647"/>
      <c r="EH67" s="647"/>
      <c r="EI67" s="647"/>
      <c r="EJ67" s="647"/>
      <c r="EK67" s="647"/>
      <c r="EL67" s="647"/>
      <c r="EM67" s="647"/>
      <c r="EN67" s="647"/>
      <c r="EO67" s="647"/>
      <c r="EP67" s="647"/>
      <c r="EQ67" s="647"/>
      <c r="ER67" s="647"/>
      <c r="ES67" s="647"/>
      <c r="ET67" s="647"/>
      <c r="EU67" s="647"/>
      <c r="EV67" s="647"/>
      <c r="EW67" s="647"/>
      <c r="EX67" s="647"/>
      <c r="EY67" s="647"/>
      <c r="EZ67" s="647"/>
      <c r="FA67" s="647"/>
      <c r="FB67" s="647"/>
      <c r="FC67" s="647"/>
      <c r="FD67" s="647"/>
      <c r="FE67" s="647"/>
      <c r="FF67" s="647"/>
      <c r="FG67" s="647"/>
      <c r="FH67" s="647"/>
      <c r="FI67" s="647"/>
      <c r="FJ67" s="647"/>
      <c r="FK67" s="647"/>
      <c r="FL67" s="647"/>
      <c r="FM67" s="647"/>
      <c r="FN67" s="647"/>
      <c r="FO67" s="647"/>
      <c r="FP67" s="647"/>
      <c r="FQ67" s="647"/>
      <c r="FR67" s="647"/>
      <c r="FS67" s="647"/>
      <c r="FT67" s="647"/>
      <c r="FU67" s="647"/>
      <c r="FV67" s="647"/>
      <c r="FW67" s="647"/>
      <c r="FX67" s="647"/>
      <c r="FY67" s="647"/>
      <c r="FZ67" s="647"/>
      <c r="GA67" s="647"/>
      <c r="GB67" s="647"/>
      <c r="GC67" s="647"/>
      <c r="GD67" s="647"/>
      <c r="GE67" s="647"/>
      <c r="GF67" s="647"/>
      <c r="GG67" s="647"/>
      <c r="GH67" s="647"/>
      <c r="GI67" s="647"/>
      <c r="GJ67" s="647"/>
      <c r="GK67" s="647"/>
      <c r="GL67" s="647"/>
      <c r="GM67" s="647"/>
      <c r="GN67" s="647"/>
      <c r="GO67" s="647"/>
      <c r="GP67" s="647"/>
      <c r="GQ67" s="647"/>
      <c r="GR67" s="647"/>
      <c r="GS67" s="647"/>
      <c r="GT67" s="647"/>
      <c r="GU67" s="647"/>
      <c r="GV67" s="647"/>
      <c r="GW67" s="647"/>
      <c r="GX67" s="647"/>
      <c r="GY67" s="647"/>
      <c r="GZ67" s="647"/>
      <c r="HA67" s="647"/>
      <c r="HB67" s="647"/>
      <c r="HC67" s="647"/>
      <c r="HD67" s="647"/>
      <c r="HE67" s="647"/>
      <c r="HF67" s="647"/>
      <c r="HG67" s="647"/>
      <c r="HH67" s="647"/>
      <c r="HI67" s="647"/>
      <c r="HJ67" s="647"/>
      <c r="HK67" s="647"/>
      <c r="HL67" s="647"/>
      <c r="HM67" s="647"/>
      <c r="HN67" s="647"/>
      <c r="HO67" s="647"/>
      <c r="HP67" s="647"/>
      <c r="HQ67" s="647"/>
      <c r="HR67" s="647"/>
      <c r="HS67" s="647"/>
      <c r="HT67" s="647"/>
      <c r="HU67" s="647"/>
      <c r="HV67" s="647"/>
      <c r="HW67" s="647"/>
      <c r="HX67" s="647"/>
      <c r="HY67" s="647"/>
      <c r="HZ67" s="647"/>
      <c r="IA67" s="647"/>
      <c r="IB67" s="647"/>
      <c r="IC67" s="647"/>
      <c r="ID67" s="647"/>
      <c r="IE67" s="647"/>
      <c r="IF67" s="647"/>
      <c r="IG67" s="647"/>
      <c r="IH67" s="647"/>
      <c r="II67" s="647"/>
      <c r="IJ67" s="647"/>
      <c r="IK67" s="647"/>
      <c r="IL67" s="647"/>
      <c r="IM67" s="647"/>
      <c r="IN67" s="647"/>
      <c r="IO67" s="647"/>
      <c r="IP67" s="647"/>
      <c r="IQ67" s="647"/>
      <c r="IR67" s="647"/>
      <c r="IS67" s="647"/>
      <c r="IT67" s="647"/>
      <c r="IU67" s="647"/>
      <c r="IV67" s="647"/>
    </row>
    <row r="68" spans="1:256" s="2686" customFormat="1" ht="27" customHeight="1">
      <c r="A68" s="2687" t="s">
        <v>211</v>
      </c>
      <c r="B68" s="2682" t="s">
        <v>5110</v>
      </c>
      <c r="C68" s="2683">
        <v>181111121</v>
      </c>
      <c r="D68" s="2683" t="s">
        <v>5111</v>
      </c>
      <c r="E68" s="2683" t="s">
        <v>163</v>
      </c>
      <c r="F68" s="2897">
        <f>ROUND(SUM(F69),3)</f>
        <v>38</v>
      </c>
      <c r="G68" s="314"/>
      <c r="H68" s="568">
        <f t="shared" ref="H68:H70" si="13">ROUND(F68*G68,2)</f>
        <v>0</v>
      </c>
      <c r="I68" s="2690" t="s">
        <v>137</v>
      </c>
      <c r="J68" s="2926"/>
    </row>
    <row r="69" spans="1:256" s="2686" customFormat="1" ht="13.5" customHeight="1">
      <c r="A69" s="2687"/>
      <c r="B69" s="2682"/>
      <c r="C69" s="2683"/>
      <c r="D69" s="2688" t="s">
        <v>5112</v>
      </c>
      <c r="E69" s="2683"/>
      <c r="F69" s="2689">
        <f>(22.1+15.9)*1</f>
        <v>38</v>
      </c>
      <c r="G69" s="314"/>
      <c r="H69" s="568"/>
      <c r="I69" s="2690"/>
      <c r="J69" s="2907"/>
      <c r="K69" s="2691"/>
      <c r="M69" s="2691"/>
      <c r="N69" s="2691"/>
    </row>
    <row r="70" spans="1:256" s="2686" customFormat="1" ht="13.5" customHeight="1">
      <c r="A70" s="2687" t="s">
        <v>884</v>
      </c>
      <c r="B70" s="2682" t="s">
        <v>135</v>
      </c>
      <c r="C70" s="2683">
        <v>181311103</v>
      </c>
      <c r="D70" s="2683" t="s">
        <v>5113</v>
      </c>
      <c r="E70" s="2683" t="s">
        <v>163</v>
      </c>
      <c r="F70" s="2897">
        <f>ROUND(SUM(F71),3)</f>
        <v>38</v>
      </c>
      <c r="G70" s="314"/>
      <c r="H70" s="568">
        <f t="shared" si="13"/>
        <v>0</v>
      </c>
      <c r="I70" s="2690" t="s">
        <v>137</v>
      </c>
      <c r="J70" s="2927"/>
    </row>
    <row r="71" spans="1:256" s="2686" customFormat="1" ht="13.5" customHeight="1">
      <c r="A71" s="2687"/>
      <c r="B71" s="2682"/>
      <c r="C71" s="2683"/>
      <c r="D71" s="2688" t="s">
        <v>5114</v>
      </c>
      <c r="E71" s="2683"/>
      <c r="F71" s="2689">
        <f>(22.1+15.9)*1</f>
        <v>38</v>
      </c>
      <c r="G71" s="314"/>
      <c r="H71" s="2906"/>
      <c r="I71" s="2690"/>
      <c r="J71" s="2907"/>
      <c r="K71" s="2691"/>
    </row>
    <row r="72" spans="1:256" s="2686" customFormat="1" ht="13.5" customHeight="1">
      <c r="A72" s="2687" t="s">
        <v>1071</v>
      </c>
      <c r="B72" s="2683">
        <v>231</v>
      </c>
      <c r="C72" s="2683">
        <v>183403153</v>
      </c>
      <c r="D72" s="2683" t="s">
        <v>5115</v>
      </c>
      <c r="E72" s="2683" t="s">
        <v>163</v>
      </c>
      <c r="F72" s="2897">
        <f>ROUND(SUM(F73),3)</f>
        <v>38</v>
      </c>
      <c r="G72" s="314"/>
      <c r="H72" s="568">
        <f t="shared" ref="H72" si="14">ROUND(F72*G72,2)</f>
        <v>0</v>
      </c>
      <c r="I72" s="2690" t="s">
        <v>137</v>
      </c>
      <c r="J72" s="2928"/>
      <c r="K72" s="2929"/>
      <c r="L72" s="2929"/>
      <c r="M72" s="2929"/>
      <c r="N72" s="2929"/>
      <c r="O72" s="2930"/>
      <c r="P72" s="2931"/>
      <c r="Q72" s="2932"/>
      <c r="R72" s="2933"/>
      <c r="S72" s="2933"/>
      <c r="T72" s="2934"/>
      <c r="V72" s="2935"/>
    </row>
    <row r="73" spans="1:256" s="2686" customFormat="1" ht="13.5" customHeight="1">
      <c r="A73" s="2687"/>
      <c r="B73" s="2936"/>
      <c r="C73" s="2936"/>
      <c r="D73" s="2688" t="s">
        <v>5116</v>
      </c>
      <c r="E73" s="2936"/>
      <c r="F73" s="2689">
        <f>(22.1+15.9)*1</f>
        <v>38</v>
      </c>
      <c r="G73" s="320"/>
      <c r="H73" s="2906"/>
      <c r="I73" s="2690"/>
      <c r="J73" s="2907"/>
      <c r="K73" s="2691"/>
      <c r="L73" s="2937"/>
      <c r="M73" s="2929"/>
      <c r="N73" s="2929"/>
      <c r="O73" s="2930"/>
      <c r="P73" s="2931"/>
      <c r="Q73" s="2932"/>
      <c r="R73" s="2933"/>
      <c r="S73" s="2933"/>
      <c r="T73" s="2934"/>
      <c r="V73" s="2935"/>
    </row>
    <row r="74" spans="1:256" s="2686" customFormat="1" ht="13.5" customHeight="1">
      <c r="A74" s="2687" t="s">
        <v>1218</v>
      </c>
      <c r="B74" s="2683">
        <v>231</v>
      </c>
      <c r="C74" s="2683">
        <v>183403161</v>
      </c>
      <c r="D74" s="2683" t="s">
        <v>5117</v>
      </c>
      <c r="E74" s="2683" t="s">
        <v>163</v>
      </c>
      <c r="F74" s="2897">
        <f>ROUND(SUM(F75),3)</f>
        <v>38</v>
      </c>
      <c r="G74" s="314"/>
      <c r="H74" s="568">
        <f t="shared" ref="H74" si="15">ROUND(F74*G74,2)</f>
        <v>0</v>
      </c>
      <c r="I74" s="2690" t="s">
        <v>137</v>
      </c>
      <c r="J74" s="2938"/>
      <c r="K74" s="2929"/>
      <c r="L74" s="2929"/>
      <c r="M74" s="2929"/>
      <c r="N74" s="2929"/>
      <c r="O74" s="2930"/>
      <c r="P74" s="2931"/>
      <c r="Q74" s="2932"/>
      <c r="R74" s="2933"/>
      <c r="S74" s="2933"/>
      <c r="T74" s="2934"/>
      <c r="V74" s="2935"/>
    </row>
    <row r="75" spans="1:256" s="2686" customFormat="1" ht="13.5" customHeight="1">
      <c r="A75" s="2687"/>
      <c r="B75" s="2683"/>
      <c r="C75" s="2683"/>
      <c r="D75" s="2688" t="s">
        <v>5118</v>
      </c>
      <c r="E75" s="2936"/>
      <c r="F75" s="2689">
        <f>(22.1+15.9)*1</f>
        <v>38</v>
      </c>
      <c r="G75" s="314"/>
      <c r="H75" s="2906"/>
      <c r="I75" s="2690"/>
      <c r="J75" s="2907"/>
      <c r="K75" s="2691"/>
      <c r="L75" s="2929"/>
      <c r="M75" s="2929"/>
      <c r="N75" s="2929"/>
      <c r="O75" s="2930"/>
      <c r="P75" s="2931"/>
      <c r="Q75" s="2932"/>
      <c r="R75" s="2933"/>
      <c r="S75" s="2933"/>
      <c r="T75" s="2934"/>
      <c r="V75" s="2935"/>
    </row>
    <row r="76" spans="1:256" s="2686" customFormat="1" ht="27" customHeight="1">
      <c r="A76" s="2904">
        <v>25</v>
      </c>
      <c r="B76" s="2682" t="s">
        <v>5110</v>
      </c>
      <c r="C76" s="2683">
        <v>183451351</v>
      </c>
      <c r="D76" s="2939" t="s">
        <v>5119</v>
      </c>
      <c r="E76" s="2683" t="s">
        <v>163</v>
      </c>
      <c r="F76" s="2897">
        <f>ROUND(SUM(F77),3)</f>
        <v>38</v>
      </c>
      <c r="G76" s="314"/>
      <c r="H76" s="568">
        <f t="shared" ref="H76" si="16">ROUND(F76*G76,2)</f>
        <v>0</v>
      </c>
      <c r="I76" s="2690" t="s">
        <v>1801</v>
      </c>
      <c r="J76" s="2940"/>
      <c r="K76" s="2941"/>
      <c r="L76" s="2942"/>
      <c r="M76" s="2942"/>
      <c r="N76" s="2943"/>
      <c r="O76" s="2942"/>
      <c r="P76" s="2944"/>
      <c r="Q76" s="2945"/>
      <c r="R76" s="2946"/>
      <c r="V76" s="2926"/>
    </row>
    <row r="77" spans="1:256" s="2686" customFormat="1" ht="27" customHeight="1">
      <c r="A77" s="2947"/>
      <c r="B77" s="2948"/>
      <c r="C77" s="2948"/>
      <c r="D77" s="2688" t="s">
        <v>5120</v>
      </c>
      <c r="E77" s="2683"/>
      <c r="F77" s="2689">
        <f>(22.1+15.9)*1</f>
        <v>38</v>
      </c>
      <c r="G77" s="321"/>
      <c r="H77" s="2949"/>
      <c r="I77" s="2950"/>
      <c r="J77" s="2907"/>
      <c r="K77" s="2941"/>
      <c r="L77" s="2942"/>
      <c r="M77" s="2942"/>
      <c r="N77" s="2943"/>
      <c r="O77" s="2942"/>
      <c r="P77" s="2944"/>
      <c r="Q77" s="2945"/>
      <c r="R77" s="2946"/>
      <c r="V77" s="2926"/>
    </row>
    <row r="78" spans="1:256" s="2686" customFormat="1" ht="13.5" customHeight="1">
      <c r="A78" s="2904">
        <v>26</v>
      </c>
      <c r="B78" s="2682" t="s">
        <v>5110</v>
      </c>
      <c r="C78" s="2683">
        <v>183451431</v>
      </c>
      <c r="D78" s="2939" t="s">
        <v>5121</v>
      </c>
      <c r="E78" s="2683" t="s">
        <v>163</v>
      </c>
      <c r="F78" s="2897">
        <f>ROUND(SUM(F79),3)</f>
        <v>38</v>
      </c>
      <c r="G78" s="314"/>
      <c r="H78" s="568">
        <f t="shared" ref="H78" si="17">ROUND(F78*G78,2)</f>
        <v>0</v>
      </c>
      <c r="I78" s="2690" t="s">
        <v>1801</v>
      </c>
      <c r="J78" s="2940"/>
      <c r="K78" s="2941"/>
      <c r="L78" s="2942"/>
      <c r="M78" s="2942"/>
      <c r="N78" s="2943"/>
      <c r="O78" s="2942"/>
      <c r="P78" s="2944"/>
      <c r="Q78" s="2945"/>
      <c r="R78" s="2946"/>
      <c r="V78" s="2926"/>
    </row>
    <row r="79" spans="1:256" s="2686" customFormat="1" ht="27" customHeight="1">
      <c r="A79" s="2947"/>
      <c r="B79" s="2948"/>
      <c r="C79" s="2948"/>
      <c r="D79" s="2688" t="s">
        <v>5122</v>
      </c>
      <c r="E79" s="2683"/>
      <c r="F79" s="2689">
        <f>(22.1+15.9)*1</f>
        <v>38</v>
      </c>
      <c r="G79" s="321"/>
      <c r="H79" s="2949"/>
      <c r="I79" s="2950"/>
      <c r="J79" s="2907"/>
      <c r="K79" s="2941"/>
      <c r="L79" s="2942"/>
      <c r="M79" s="2942"/>
      <c r="N79" s="2943"/>
      <c r="O79" s="2942"/>
      <c r="P79" s="2944"/>
      <c r="Q79" s="2945"/>
      <c r="R79" s="2946"/>
      <c r="V79" s="2926"/>
    </row>
    <row r="80" spans="1:256" s="2686" customFormat="1" ht="13.5" customHeight="1">
      <c r="A80" s="2947">
        <v>27</v>
      </c>
      <c r="B80" s="2948" t="s">
        <v>5123</v>
      </c>
      <c r="C80" s="2948" t="s">
        <v>5124</v>
      </c>
      <c r="D80" s="2951" t="s">
        <v>5125</v>
      </c>
      <c r="E80" s="2952" t="s">
        <v>853</v>
      </c>
      <c r="F80" s="2915">
        <f>ROUND(SUM(F81:F82),3)</f>
        <v>0.76</v>
      </c>
      <c r="G80" s="321"/>
      <c r="H80" s="733">
        <f t="shared" ref="H80" si="18">ROUND(F80*G80,2)</f>
        <v>0</v>
      </c>
      <c r="I80" s="2950" t="s">
        <v>137</v>
      </c>
      <c r="J80" s="2953"/>
      <c r="K80" s="2941"/>
      <c r="L80" s="2942"/>
      <c r="M80" s="2942"/>
      <c r="N80" s="2943"/>
      <c r="O80" s="2942"/>
      <c r="P80" s="2944"/>
      <c r="Q80" s="2945"/>
      <c r="R80" s="2946"/>
      <c r="V80" s="2926"/>
    </row>
    <row r="81" spans="1:23" s="2686" customFormat="1" ht="27" customHeight="1">
      <c r="A81" s="2954"/>
      <c r="B81" s="2955"/>
      <c r="C81" s="2955"/>
      <c r="D81" s="2956" t="s">
        <v>5126</v>
      </c>
      <c r="E81" s="2952"/>
      <c r="F81" s="2957">
        <f>((22.1+15.9)*1)*0.01</f>
        <v>0.38</v>
      </c>
      <c r="G81" s="322"/>
      <c r="H81" s="2958"/>
      <c r="I81" s="2959"/>
      <c r="J81" s="2907"/>
      <c r="K81" s="2941"/>
      <c r="L81" s="2942"/>
      <c r="M81" s="2942"/>
      <c r="N81" s="2943"/>
      <c r="O81" s="2942"/>
      <c r="P81" s="2944"/>
      <c r="Q81" s="2945"/>
      <c r="R81" s="2946"/>
      <c r="V81" s="2926"/>
    </row>
    <row r="82" spans="1:23" s="2686" customFormat="1" ht="27" customHeight="1">
      <c r="A82" s="2954"/>
      <c r="B82" s="2955"/>
      <c r="C82" s="2955"/>
      <c r="D82" s="2956" t="s">
        <v>5127</v>
      </c>
      <c r="E82" s="2952"/>
      <c r="F82" s="2957">
        <f>((22.1+15.9)*1)*0.01</f>
        <v>0.38</v>
      </c>
      <c r="G82" s="322"/>
      <c r="H82" s="2958"/>
      <c r="I82" s="2959"/>
      <c r="J82" s="2907"/>
      <c r="K82" s="2941"/>
      <c r="L82" s="2942"/>
      <c r="M82" s="2942"/>
      <c r="N82" s="2943"/>
      <c r="O82" s="2942"/>
      <c r="P82" s="2944"/>
      <c r="Q82" s="2945"/>
      <c r="R82" s="2946"/>
      <c r="V82" s="2926"/>
    </row>
    <row r="83" spans="1:23" s="2686" customFormat="1" ht="27" customHeight="1">
      <c r="A83" s="2904">
        <v>28</v>
      </c>
      <c r="B83" s="2682" t="s">
        <v>5110</v>
      </c>
      <c r="C83" s="2683">
        <v>183451511</v>
      </c>
      <c r="D83" s="2939" t="s">
        <v>5128</v>
      </c>
      <c r="E83" s="2683" t="s">
        <v>163</v>
      </c>
      <c r="F83" s="2897">
        <f>ROUND(SUM(F84),3)</f>
        <v>38</v>
      </c>
      <c r="G83" s="314"/>
      <c r="H83" s="568">
        <f t="shared" ref="H83" si="19">ROUND(F83*G83,2)</f>
        <v>0</v>
      </c>
      <c r="I83" s="2690" t="s">
        <v>137</v>
      </c>
      <c r="J83" s="2940"/>
      <c r="K83" s="2953"/>
      <c r="L83" s="2941"/>
      <c r="M83" s="2942"/>
      <c r="N83" s="2942"/>
      <c r="O83" s="2943"/>
      <c r="P83" s="2942"/>
      <c r="Q83" s="2944"/>
      <c r="R83" s="2945"/>
      <c r="S83" s="2946"/>
      <c r="W83" s="2926"/>
    </row>
    <row r="84" spans="1:23" s="2686" customFormat="1" ht="27" customHeight="1">
      <c r="A84" s="2904"/>
      <c r="B84" s="2682"/>
      <c r="C84" s="2683"/>
      <c r="D84" s="2688" t="s">
        <v>5129</v>
      </c>
      <c r="E84" s="2683"/>
      <c r="F84" s="2689">
        <f>(22.1+15.9)*1</f>
        <v>38</v>
      </c>
      <c r="G84" s="314"/>
      <c r="H84" s="2906"/>
      <c r="I84" s="2690"/>
      <c r="J84" s="2907"/>
      <c r="K84" s="2691"/>
      <c r="L84" s="2941"/>
      <c r="M84" s="2960"/>
      <c r="N84" s="2942"/>
      <c r="O84" s="2943"/>
      <c r="P84" s="2942"/>
      <c r="Q84" s="2944"/>
      <c r="R84" s="2945"/>
      <c r="S84" s="2946"/>
      <c r="W84" s="2926"/>
    </row>
    <row r="85" spans="1:23" s="2686" customFormat="1" ht="13.5" customHeight="1">
      <c r="A85" s="2947">
        <v>29</v>
      </c>
      <c r="B85" s="2948" t="s">
        <v>5130</v>
      </c>
      <c r="C85" s="2952" t="s">
        <v>5131</v>
      </c>
      <c r="D85" s="2951" t="s">
        <v>5132</v>
      </c>
      <c r="E85" s="2952" t="s">
        <v>175</v>
      </c>
      <c r="F85" s="2915">
        <f>ROUND(SUM(F86),3)</f>
        <v>0.372</v>
      </c>
      <c r="G85" s="321"/>
      <c r="H85" s="733">
        <f t="shared" ref="H85" si="20">ROUND(F85*G85,2)</f>
        <v>0</v>
      </c>
      <c r="I85" s="2950" t="s">
        <v>111</v>
      </c>
      <c r="J85" s="2961"/>
      <c r="K85" s="2953"/>
      <c r="L85" s="2941"/>
      <c r="M85" s="2942"/>
      <c r="N85" s="2942"/>
      <c r="P85" s="2942"/>
      <c r="Q85" s="2944"/>
      <c r="R85" s="2945"/>
      <c r="S85" s="2946"/>
      <c r="W85" s="2926"/>
    </row>
    <row r="86" spans="1:23" s="2686" customFormat="1" ht="13.5" customHeight="1">
      <c r="A86" s="2962"/>
      <c r="B86" s="2785"/>
      <c r="C86" s="2785"/>
      <c r="D86" s="2956" t="s">
        <v>5133</v>
      </c>
      <c r="E86" s="2952"/>
      <c r="F86" s="2957">
        <f>((22.1+15.9)*1)*0.0098</f>
        <v>0.37240000000000001</v>
      </c>
      <c r="G86" s="323"/>
      <c r="H86" s="2963"/>
      <c r="I86" s="2964"/>
      <c r="J86" s="2907"/>
      <c r="K86" s="2953"/>
      <c r="L86" s="2941"/>
      <c r="M86" s="2942"/>
      <c r="N86" s="2942"/>
      <c r="O86" s="2943"/>
      <c r="P86" s="2942"/>
      <c r="Q86" s="2944"/>
      <c r="R86" s="2945"/>
      <c r="S86" s="2946"/>
      <c r="W86" s="2926"/>
    </row>
    <row r="87" spans="1:23" s="2967" customFormat="1" ht="13.5" customHeight="1">
      <c r="A87" s="324">
        <v>30</v>
      </c>
      <c r="B87" s="325" t="s">
        <v>5110</v>
      </c>
      <c r="C87" s="326" t="s">
        <v>5134</v>
      </c>
      <c r="D87" s="327" t="s">
        <v>5135</v>
      </c>
      <c r="E87" s="326" t="s">
        <v>163</v>
      </c>
      <c r="F87" s="2897">
        <f>ROUND(SUM(F88),3)</f>
        <v>38</v>
      </c>
      <c r="G87" s="3046"/>
      <c r="H87" s="568">
        <f t="shared" ref="H87" si="21">ROUND(F87*G87,2)</f>
        <v>0</v>
      </c>
      <c r="I87" s="329" t="s">
        <v>111</v>
      </c>
      <c r="J87" s="647"/>
      <c r="K87" s="647"/>
      <c r="L87" s="2965"/>
      <c r="M87" s="2965"/>
      <c r="N87" s="2966"/>
      <c r="P87" s="816"/>
      <c r="Q87" s="2968"/>
      <c r="R87" s="2969"/>
    </row>
    <row r="88" spans="1:23" s="2967" customFormat="1" ht="27" customHeight="1">
      <c r="A88" s="324"/>
      <c r="B88" s="325"/>
      <c r="C88" s="326"/>
      <c r="D88" s="330" t="s">
        <v>5136</v>
      </c>
      <c r="E88" s="326"/>
      <c r="F88" s="331">
        <f>(22.1+15.9)*1</f>
        <v>38</v>
      </c>
      <c r="G88" s="3046"/>
      <c r="H88" s="328"/>
      <c r="I88" s="329"/>
      <c r="J88" s="2907"/>
      <c r="K88" s="2970"/>
      <c r="L88" s="2971"/>
      <c r="M88" s="2971"/>
      <c r="N88" s="2972"/>
      <c r="O88" s="2971"/>
      <c r="P88" s="2973"/>
      <c r="Q88" s="2968"/>
      <c r="R88" s="2969"/>
    </row>
    <row r="89" spans="1:23" s="2967" customFormat="1" ht="13.5" customHeight="1">
      <c r="A89" s="324"/>
      <c r="B89" s="325"/>
      <c r="C89" s="326"/>
      <c r="D89" s="332" t="s">
        <v>5137</v>
      </c>
      <c r="E89" s="326"/>
      <c r="F89" s="333"/>
      <c r="G89" s="3046"/>
      <c r="H89" s="328"/>
      <c r="I89" s="329"/>
      <c r="K89" s="2970"/>
      <c r="L89" s="2971"/>
      <c r="M89" s="2971"/>
      <c r="N89" s="2972"/>
      <c r="O89" s="2971"/>
      <c r="P89" s="2973"/>
      <c r="Q89" s="2968"/>
      <c r="R89" s="2969"/>
    </row>
    <row r="90" spans="1:23" s="2967" customFormat="1" ht="13.5" customHeight="1">
      <c r="A90" s="334">
        <v>31</v>
      </c>
      <c r="B90" s="335" t="s">
        <v>5138</v>
      </c>
      <c r="C90" s="336" t="s">
        <v>5139</v>
      </c>
      <c r="D90" s="337" t="s">
        <v>5140</v>
      </c>
      <c r="E90" s="336" t="s">
        <v>5141</v>
      </c>
      <c r="F90" s="2915">
        <f>ROUND(SUM(F91),3)</f>
        <v>3.7999999999999999E-2</v>
      </c>
      <c r="G90" s="3047"/>
      <c r="H90" s="733">
        <f t="shared" ref="H90" si="22">ROUND(F90*G90,2)</f>
        <v>0</v>
      </c>
      <c r="I90" s="338" t="s">
        <v>111</v>
      </c>
      <c r="J90" s="2928"/>
      <c r="K90" s="2970"/>
      <c r="L90" s="2971"/>
      <c r="M90" s="2971"/>
      <c r="N90" s="2972"/>
      <c r="O90" s="2971"/>
      <c r="P90" s="2973"/>
      <c r="Q90" s="2968"/>
      <c r="R90" s="2969"/>
    </row>
    <row r="91" spans="1:23" s="2967" customFormat="1" ht="13.5" customHeight="1">
      <c r="A91" s="339"/>
      <c r="B91" s="340"/>
      <c r="C91" s="340"/>
      <c r="D91" s="341" t="s">
        <v>5142</v>
      </c>
      <c r="E91" s="342"/>
      <c r="F91" s="343">
        <f>(0.0005*((22.1+15.9)*1))*2</f>
        <v>3.7999999999999999E-2</v>
      </c>
      <c r="G91" s="3048"/>
      <c r="H91" s="344"/>
      <c r="I91" s="345"/>
      <c r="J91" s="2974"/>
      <c r="K91" s="2970"/>
      <c r="L91" s="2971"/>
      <c r="M91" s="2971"/>
      <c r="N91" s="2972"/>
      <c r="O91" s="2971"/>
      <c r="P91" s="2973"/>
      <c r="Q91" s="2968"/>
      <c r="R91" s="2969"/>
    </row>
    <row r="92" spans="1:23" s="2686" customFormat="1" ht="27" customHeight="1">
      <c r="A92" s="2687" t="s">
        <v>1242</v>
      </c>
      <c r="B92" s="2683">
        <v>231</v>
      </c>
      <c r="C92" s="844">
        <v>184813511</v>
      </c>
      <c r="D92" s="844" t="s">
        <v>5143</v>
      </c>
      <c r="E92" s="2683" t="s">
        <v>163</v>
      </c>
      <c r="F92" s="2897">
        <f>ROUND(SUM(F93),3)</f>
        <v>76</v>
      </c>
      <c r="G92" s="346"/>
      <c r="H92" s="568">
        <f t="shared" ref="H92" si="23">ROUND(F92*G92,2)</f>
        <v>0</v>
      </c>
      <c r="I92" s="2690" t="s">
        <v>137</v>
      </c>
      <c r="J92" s="2975"/>
      <c r="M92" s="2929"/>
      <c r="N92" s="2929"/>
      <c r="O92" s="2930"/>
      <c r="P92" s="2931"/>
      <c r="Q92" s="2932"/>
      <c r="R92" s="2933"/>
      <c r="S92" s="2933"/>
      <c r="T92" s="2934"/>
      <c r="V92" s="2935"/>
    </row>
    <row r="93" spans="1:23" s="2686" customFormat="1" ht="13.5" customHeight="1">
      <c r="A93" s="2687"/>
      <c r="B93" s="2683"/>
      <c r="C93" s="2683"/>
      <c r="D93" s="2688" t="s">
        <v>5144</v>
      </c>
      <c r="E93" s="2683"/>
      <c r="F93" s="2689">
        <f>((22.1+15.9)*1)*2</f>
        <v>76</v>
      </c>
      <c r="G93" s="314"/>
      <c r="H93" s="2906"/>
      <c r="I93" s="2690"/>
      <c r="J93" s="2907"/>
      <c r="K93" s="2691"/>
      <c r="L93" s="2937"/>
      <c r="M93" s="2929"/>
      <c r="N93" s="2929"/>
      <c r="O93" s="2930"/>
      <c r="P93" s="2931"/>
      <c r="Q93" s="2932"/>
      <c r="R93" s="2933"/>
      <c r="S93" s="2933"/>
      <c r="T93" s="2934"/>
      <c r="V93" s="2935"/>
    </row>
    <row r="94" spans="1:23" s="2686" customFormat="1" ht="13.5" customHeight="1">
      <c r="A94" s="2976" t="s">
        <v>1246</v>
      </c>
      <c r="B94" s="2683">
        <v>231</v>
      </c>
      <c r="C94" s="2683">
        <v>184818241</v>
      </c>
      <c r="D94" s="2683" t="s">
        <v>5145</v>
      </c>
      <c r="E94" s="2683" t="s">
        <v>205</v>
      </c>
      <c r="F94" s="2897">
        <f>ROUND(SUM(F96),3)</f>
        <v>3</v>
      </c>
      <c r="G94" s="314"/>
      <c r="H94" s="568">
        <f t="shared" ref="H94" si="24">ROUND(F94*G94,2)</f>
        <v>0</v>
      </c>
      <c r="I94" s="2690" t="s">
        <v>137</v>
      </c>
      <c r="K94" s="2929"/>
      <c r="L94" s="2929"/>
      <c r="M94" s="2929"/>
      <c r="N94" s="2929"/>
      <c r="O94" s="2930"/>
      <c r="P94" s="2931"/>
      <c r="Q94" s="2932"/>
      <c r="R94" s="2933"/>
      <c r="S94" s="2933"/>
      <c r="T94" s="2934"/>
      <c r="V94" s="2935"/>
    </row>
    <row r="95" spans="1:23" s="2686" customFormat="1" ht="27" customHeight="1">
      <c r="A95" s="2976"/>
      <c r="B95" s="2683"/>
      <c r="C95" s="2683"/>
      <c r="D95" s="2688" t="s">
        <v>5146</v>
      </c>
      <c r="E95" s="2683"/>
      <c r="F95" s="2977"/>
      <c r="G95" s="314"/>
      <c r="H95" s="568"/>
      <c r="I95" s="2690"/>
      <c r="K95" s="2929"/>
      <c r="L95" s="2929"/>
      <c r="M95" s="2929"/>
      <c r="N95" s="2929"/>
      <c r="O95" s="2930"/>
      <c r="P95" s="2931"/>
      <c r="Q95" s="2932"/>
      <c r="R95" s="2933"/>
      <c r="S95" s="2933"/>
      <c r="T95" s="2934"/>
      <c r="V95" s="2935"/>
    </row>
    <row r="96" spans="1:23" s="2686" customFormat="1" ht="13.5" customHeight="1">
      <c r="A96" s="2687"/>
      <c r="B96" s="2683"/>
      <c r="C96" s="2683"/>
      <c r="D96" s="2688" t="s">
        <v>5147</v>
      </c>
      <c r="E96" s="2936"/>
      <c r="F96" s="2689">
        <f>3</f>
        <v>3</v>
      </c>
      <c r="G96" s="314"/>
      <c r="H96" s="2684"/>
      <c r="I96" s="2690"/>
      <c r="J96" s="2927"/>
      <c r="K96" s="2691"/>
      <c r="L96" s="2929"/>
      <c r="M96" s="2929"/>
      <c r="N96" s="2929"/>
      <c r="O96" s="2930"/>
      <c r="P96" s="2931"/>
      <c r="Q96" s="2932"/>
      <c r="R96" s="2933"/>
      <c r="S96" s="2933"/>
      <c r="T96" s="2934"/>
      <c r="V96" s="2935"/>
    </row>
    <row r="97" spans="1:23" s="2686" customFormat="1" ht="13.5" customHeight="1">
      <c r="A97" s="2687"/>
      <c r="B97" s="2683"/>
      <c r="C97" s="2683"/>
      <c r="D97" s="2688" t="s">
        <v>5148</v>
      </c>
      <c r="E97" s="2936"/>
      <c r="F97" s="2689"/>
      <c r="G97" s="314"/>
      <c r="H97" s="2684"/>
      <c r="I97" s="2690"/>
      <c r="J97" s="2927"/>
      <c r="K97" s="2691"/>
      <c r="L97" s="2929"/>
      <c r="M97" s="2929"/>
      <c r="N97" s="2929"/>
      <c r="O97" s="2930"/>
      <c r="P97" s="2931"/>
      <c r="Q97" s="2932"/>
      <c r="R97" s="2933"/>
      <c r="S97" s="2933"/>
      <c r="T97" s="2934"/>
      <c r="V97" s="2935"/>
    </row>
    <row r="98" spans="1:23" s="2686" customFormat="1" ht="13.5" customHeight="1">
      <c r="A98" s="2976" t="s">
        <v>1250</v>
      </c>
      <c r="B98" s="2683">
        <v>231</v>
      </c>
      <c r="C98" s="2683">
        <v>184818242</v>
      </c>
      <c r="D98" s="2683" t="s">
        <v>5149</v>
      </c>
      <c r="E98" s="2683" t="s">
        <v>205</v>
      </c>
      <c r="F98" s="2897">
        <f>ROUND(SUM(F100),3)</f>
        <v>1</v>
      </c>
      <c r="G98" s="314"/>
      <c r="H98" s="568">
        <f t="shared" ref="H98" si="25">ROUND(F98*G98,2)</f>
        <v>0</v>
      </c>
      <c r="I98" s="2690" t="s">
        <v>137</v>
      </c>
      <c r="K98" s="2929"/>
      <c r="L98" s="2929"/>
      <c r="M98" s="2929"/>
      <c r="N98" s="2929"/>
      <c r="O98" s="2930"/>
      <c r="P98" s="2931"/>
      <c r="Q98" s="2932"/>
      <c r="R98" s="2933"/>
      <c r="S98" s="2933"/>
      <c r="T98" s="2934"/>
      <c r="V98" s="2935"/>
    </row>
    <row r="99" spans="1:23" s="2686" customFormat="1" ht="27" customHeight="1">
      <c r="A99" s="2976"/>
      <c r="B99" s="2683"/>
      <c r="C99" s="2683"/>
      <c r="D99" s="2688" t="s">
        <v>5146</v>
      </c>
      <c r="E99" s="2683"/>
      <c r="F99" s="2977"/>
      <c r="G99" s="314"/>
      <c r="H99" s="568"/>
      <c r="I99" s="2690"/>
      <c r="K99" s="2929"/>
      <c r="L99" s="2929"/>
      <c r="M99" s="2929"/>
      <c r="N99" s="2929"/>
      <c r="O99" s="2930"/>
      <c r="P99" s="2931"/>
      <c r="Q99" s="2932"/>
      <c r="R99" s="2933"/>
      <c r="S99" s="2933"/>
      <c r="T99" s="2934"/>
      <c r="V99" s="2935"/>
    </row>
    <row r="100" spans="1:23" s="2686" customFormat="1" ht="13.5" customHeight="1">
      <c r="A100" s="2687"/>
      <c r="B100" s="2683"/>
      <c r="C100" s="2683"/>
      <c r="D100" s="2688" t="s">
        <v>5150</v>
      </c>
      <c r="E100" s="2936"/>
      <c r="F100" s="2689">
        <f>1</f>
        <v>1</v>
      </c>
      <c r="G100" s="314"/>
      <c r="H100" s="2684"/>
      <c r="I100" s="2690"/>
      <c r="J100" s="2691"/>
      <c r="K100" s="2691"/>
      <c r="L100" s="2929"/>
      <c r="M100" s="2929"/>
      <c r="N100" s="2929"/>
      <c r="O100" s="2930"/>
      <c r="P100" s="2931"/>
      <c r="Q100" s="2932"/>
      <c r="R100" s="2933"/>
      <c r="S100" s="2933"/>
      <c r="T100" s="2934"/>
      <c r="V100" s="2935"/>
    </row>
    <row r="101" spans="1:23" s="2686" customFormat="1" ht="13.5" customHeight="1">
      <c r="A101" s="2687"/>
      <c r="B101" s="2683"/>
      <c r="C101" s="2683"/>
      <c r="D101" s="2688" t="s">
        <v>5148</v>
      </c>
      <c r="E101" s="2936"/>
      <c r="F101" s="2689"/>
      <c r="G101" s="314"/>
      <c r="H101" s="2684"/>
      <c r="I101" s="2690"/>
      <c r="J101" s="2927"/>
      <c r="K101" s="2691"/>
      <c r="L101" s="2929"/>
      <c r="M101" s="2929"/>
      <c r="N101" s="2929"/>
      <c r="O101" s="2930"/>
      <c r="P101" s="2931"/>
      <c r="Q101" s="2932"/>
      <c r="R101" s="2933"/>
      <c r="S101" s="2933"/>
      <c r="T101" s="2934"/>
      <c r="V101" s="2935"/>
    </row>
    <row r="102" spans="1:23" s="2686" customFormat="1" ht="13.5" customHeight="1">
      <c r="A102" s="2904">
        <v>35</v>
      </c>
      <c r="B102" s="2682" t="s">
        <v>5110</v>
      </c>
      <c r="C102" s="2683">
        <v>185802113</v>
      </c>
      <c r="D102" s="2939" t="s">
        <v>5151</v>
      </c>
      <c r="E102" s="2683" t="s">
        <v>175</v>
      </c>
      <c r="F102" s="2897">
        <f>ROUND(SUM(F103),3)</f>
        <v>1E-3</v>
      </c>
      <c r="G102" s="314"/>
      <c r="H102" s="568">
        <f t="shared" ref="H102" si="26">ROUND(F102*G102,2)</f>
        <v>0</v>
      </c>
      <c r="I102" s="2690" t="s">
        <v>137</v>
      </c>
      <c r="J102" s="2978"/>
      <c r="K102" s="2953"/>
      <c r="L102" s="2941"/>
      <c r="M102" s="2942"/>
      <c r="N102" s="2942"/>
      <c r="O102" s="2943"/>
      <c r="P102" s="2942"/>
      <c r="Q102" s="2944"/>
      <c r="R102" s="2945"/>
      <c r="S102" s="2946"/>
      <c r="W102" s="2926"/>
    </row>
    <row r="103" spans="1:23" s="2686" customFormat="1" ht="13.5" customHeight="1">
      <c r="A103" s="2904"/>
      <c r="B103" s="2682"/>
      <c r="C103" s="2683"/>
      <c r="D103" s="2688" t="s">
        <v>5152</v>
      </c>
      <c r="E103" s="2683"/>
      <c r="F103" s="2689">
        <f>(((22.1+15.9)*1)*0.02)/1000</f>
        <v>7.6000000000000004E-4</v>
      </c>
      <c r="G103" s="314"/>
      <c r="H103" s="2906"/>
      <c r="I103" s="2690"/>
      <c r="J103" s="2907"/>
      <c r="K103" s="2953"/>
      <c r="L103" s="2941"/>
      <c r="M103" s="2942"/>
      <c r="N103" s="2942"/>
      <c r="O103" s="2943"/>
      <c r="P103" s="2942"/>
      <c r="Q103" s="2944"/>
      <c r="R103" s="2945"/>
      <c r="S103" s="2946"/>
      <c r="W103" s="2926"/>
    </row>
    <row r="104" spans="1:23" s="2686" customFormat="1" ht="13.5" customHeight="1">
      <c r="A104" s="2947">
        <v>36</v>
      </c>
      <c r="B104" s="2948" t="s">
        <v>5153</v>
      </c>
      <c r="C104" s="2952">
        <v>25191155</v>
      </c>
      <c r="D104" s="2951" t="s">
        <v>5154</v>
      </c>
      <c r="E104" s="2952" t="s">
        <v>853</v>
      </c>
      <c r="F104" s="2915">
        <f>ROUND(SUM(F105),3)</f>
        <v>0.76</v>
      </c>
      <c r="G104" s="321"/>
      <c r="H104" s="733">
        <f t="shared" ref="H104" si="27">ROUND(F104*G104,2)</f>
        <v>0</v>
      </c>
      <c r="I104" s="2950" t="s">
        <v>137</v>
      </c>
      <c r="J104" s="2979"/>
      <c r="K104" s="2953"/>
      <c r="L104" s="2941"/>
      <c r="M104" s="2942"/>
      <c r="N104" s="2942"/>
      <c r="O104" s="2943"/>
      <c r="P104" s="2942"/>
      <c r="Q104" s="2944"/>
      <c r="R104" s="2945"/>
      <c r="S104" s="2946"/>
      <c r="W104" s="2926"/>
    </row>
    <row r="105" spans="1:23" s="2686" customFormat="1" ht="13.5" customHeight="1">
      <c r="A105" s="2962"/>
      <c r="B105" s="2785"/>
      <c r="C105" s="2785"/>
      <c r="D105" s="2956" t="s">
        <v>5155</v>
      </c>
      <c r="E105" s="2952"/>
      <c r="F105" s="2957">
        <f>((22.1+15.9)*1)*0.02</f>
        <v>0.76</v>
      </c>
      <c r="G105" s="323"/>
      <c r="H105" s="2963"/>
      <c r="I105" s="2964"/>
      <c r="J105" s="2907"/>
      <c r="K105" s="2953"/>
      <c r="L105" s="2941"/>
      <c r="M105" s="2942"/>
      <c r="N105" s="2942"/>
      <c r="O105" s="2943"/>
      <c r="P105" s="2942"/>
      <c r="Q105" s="2944"/>
      <c r="R105" s="2945"/>
      <c r="S105" s="2946"/>
      <c r="W105" s="2926"/>
    </row>
    <row r="106" spans="1:23" s="2686" customFormat="1" ht="13.5" customHeight="1">
      <c r="A106" s="2687" t="s">
        <v>1262</v>
      </c>
      <c r="B106" s="2683">
        <v>231</v>
      </c>
      <c r="C106" s="2683">
        <v>185803111</v>
      </c>
      <c r="D106" s="2683" t="s">
        <v>5156</v>
      </c>
      <c r="E106" s="2683" t="s">
        <v>163</v>
      </c>
      <c r="F106" s="2897">
        <f>ROUND(SUM(F107),3)</f>
        <v>38</v>
      </c>
      <c r="G106" s="314"/>
      <c r="H106" s="568">
        <f t="shared" ref="H106" si="28">ROUND(F106*G106,2)</f>
        <v>0</v>
      </c>
      <c r="I106" s="2690" t="s">
        <v>137</v>
      </c>
      <c r="J106" s="2929"/>
      <c r="K106" s="2929"/>
      <c r="L106" s="2929"/>
      <c r="M106" s="2929"/>
      <c r="N106" s="2929"/>
      <c r="O106" s="2930"/>
      <c r="P106" s="2931"/>
      <c r="Q106" s="2932"/>
      <c r="R106" s="2933"/>
      <c r="S106" s="2933"/>
      <c r="T106" s="2934"/>
      <c r="V106" s="2935"/>
    </row>
    <row r="107" spans="1:23" s="2686" customFormat="1" ht="13.5" customHeight="1">
      <c r="A107" s="2687"/>
      <c r="B107" s="2683"/>
      <c r="C107" s="2683"/>
      <c r="D107" s="2688" t="s">
        <v>5157</v>
      </c>
      <c r="E107" s="2683"/>
      <c r="F107" s="2689">
        <f>(22.1+15.9)*1</f>
        <v>38</v>
      </c>
      <c r="G107" s="314"/>
      <c r="H107" s="2906"/>
      <c r="I107" s="2690"/>
      <c r="J107" s="2907"/>
      <c r="K107" s="2691"/>
      <c r="L107" s="2929"/>
      <c r="M107" s="2929"/>
      <c r="N107" s="2929"/>
      <c r="O107" s="2930"/>
      <c r="P107" s="2931"/>
      <c r="Q107" s="2932"/>
      <c r="R107" s="2933"/>
      <c r="S107" s="2933"/>
      <c r="T107" s="2934"/>
      <c r="V107" s="2935"/>
    </row>
    <row r="108" spans="1:23" s="2752" customFormat="1" ht="13.5" customHeight="1">
      <c r="A108" s="351">
        <v>38</v>
      </c>
      <c r="B108" s="2980" t="s">
        <v>5110</v>
      </c>
      <c r="C108" s="352">
        <v>185804311</v>
      </c>
      <c r="D108" s="2981" t="s">
        <v>5158</v>
      </c>
      <c r="E108" s="352" t="s">
        <v>146</v>
      </c>
      <c r="F108" s="2897">
        <f>ROUND(SUM(F109),3)</f>
        <v>0.56999999999999995</v>
      </c>
      <c r="G108" s="3049"/>
      <c r="H108" s="568">
        <f t="shared" ref="H108" si="29">ROUND(F108*G108,2)</f>
        <v>0</v>
      </c>
      <c r="I108" s="2690" t="s">
        <v>137</v>
      </c>
      <c r="J108" s="2982"/>
      <c r="K108" s="1135"/>
      <c r="L108" s="2983"/>
      <c r="M108" s="2984"/>
      <c r="N108" s="2985"/>
      <c r="O108" s="2986"/>
      <c r="P108" s="2985"/>
      <c r="Q108" s="2987"/>
      <c r="R108" s="2988"/>
      <c r="S108" s="2989"/>
    </row>
    <row r="109" spans="1:23" s="2752" customFormat="1" ht="27" customHeight="1">
      <c r="A109" s="2990"/>
      <c r="B109" s="2991"/>
      <c r="C109" s="2991"/>
      <c r="D109" s="2992" t="s">
        <v>5159</v>
      </c>
      <c r="E109" s="352"/>
      <c r="F109" s="2750">
        <f>0.015*((22.1+15.9)*1)</f>
        <v>0.56999999999999995</v>
      </c>
      <c r="G109" s="3050"/>
      <c r="H109" s="2993"/>
      <c r="I109" s="2994"/>
      <c r="J109" s="2907"/>
      <c r="K109" s="1135"/>
      <c r="L109" s="2983"/>
      <c r="M109" s="2985"/>
      <c r="N109" s="2985"/>
      <c r="O109" s="2986"/>
      <c r="P109" s="2985"/>
      <c r="Q109" s="2987"/>
      <c r="R109" s="2988"/>
      <c r="S109" s="2989"/>
    </row>
    <row r="110" spans="1:23" s="3001" customFormat="1" ht="13.5" customHeight="1">
      <c r="A110" s="2995"/>
      <c r="B110" s="2996"/>
      <c r="C110" s="2997">
        <v>8</v>
      </c>
      <c r="D110" s="2997" t="s">
        <v>1646</v>
      </c>
      <c r="E110" s="2997"/>
      <c r="F110" s="2998"/>
      <c r="G110" s="347"/>
      <c r="H110" s="2999">
        <f>SUM(H111:H158)</f>
        <v>0</v>
      </c>
      <c r="I110" s="3000"/>
      <c r="J110" s="606"/>
    </row>
    <row r="111" spans="1:23" s="3001" customFormat="1" ht="13.5" customHeight="1">
      <c r="A111" s="2995">
        <v>39</v>
      </c>
      <c r="B111" s="3002">
        <v>271</v>
      </c>
      <c r="C111" s="2996" t="s">
        <v>5160</v>
      </c>
      <c r="D111" s="2996" t="s">
        <v>5161</v>
      </c>
      <c r="E111" s="2996" t="s">
        <v>141</v>
      </c>
      <c r="F111" s="2905">
        <f>ROUND(SUM(F113:F114),3)</f>
        <v>252</v>
      </c>
      <c r="G111" s="348"/>
      <c r="H111" s="568">
        <f t="shared" ref="H111" si="30">ROUND(F111*G111,2)</f>
        <v>0</v>
      </c>
      <c r="I111" s="3000" t="s">
        <v>111</v>
      </c>
      <c r="J111" s="829"/>
      <c r="K111" s="621"/>
      <c r="L111" s="621"/>
      <c r="M111" s="621"/>
      <c r="N111" s="621"/>
      <c r="O111" s="621"/>
      <c r="P111" s="621"/>
      <c r="Q111" s="621"/>
      <c r="R111" s="612"/>
      <c r="S111" s="612"/>
      <c r="T111" s="612"/>
      <c r="U111" s="612"/>
      <c r="V111" s="612"/>
    </row>
    <row r="112" spans="1:23" s="604" customFormat="1" ht="13.5" customHeight="1">
      <c r="A112" s="595"/>
      <c r="B112" s="596"/>
      <c r="C112" s="597"/>
      <c r="D112" s="599" t="s">
        <v>5162</v>
      </c>
      <c r="E112" s="599"/>
      <c r="F112" s="600"/>
      <c r="G112" s="289"/>
      <c r="H112" s="601"/>
      <c r="I112" s="1590"/>
      <c r="J112" s="612"/>
      <c r="K112" s="612"/>
      <c r="L112" s="612"/>
      <c r="M112" s="612"/>
      <c r="N112" s="612"/>
      <c r="O112" s="612"/>
      <c r="P112" s="612"/>
      <c r="Q112" s="612"/>
      <c r="R112" s="3003"/>
      <c r="S112" s="612"/>
      <c r="T112" s="612"/>
      <c r="U112" s="612"/>
      <c r="V112" s="612"/>
      <c r="W112" s="605"/>
    </row>
    <row r="113" spans="1:256" s="604" customFormat="1" ht="13.5" customHeight="1">
      <c r="A113" s="595"/>
      <c r="B113" s="596"/>
      <c r="C113" s="597"/>
      <c r="D113" s="599" t="s">
        <v>5163</v>
      </c>
      <c r="E113" s="599"/>
      <c r="F113" s="600">
        <f>(80.7)</f>
        <v>80.7</v>
      </c>
      <c r="G113" s="289"/>
      <c r="H113" s="601"/>
      <c r="I113" s="1590"/>
      <c r="J113" s="3004"/>
      <c r="K113" s="612"/>
      <c r="L113" s="612"/>
      <c r="M113" s="612"/>
      <c r="N113" s="612"/>
      <c r="O113" s="612"/>
      <c r="P113" s="612"/>
      <c r="Q113" s="612"/>
      <c r="R113" s="612"/>
      <c r="S113" s="612"/>
      <c r="T113" s="612"/>
      <c r="U113" s="612"/>
      <c r="V113" s="612"/>
      <c r="W113" s="605"/>
    </row>
    <row r="114" spans="1:256" s="604" customFormat="1" ht="27" customHeight="1">
      <c r="A114" s="595"/>
      <c r="B114" s="596"/>
      <c r="C114" s="597"/>
      <c r="D114" s="599" t="s">
        <v>5164</v>
      </c>
      <c r="E114" s="599"/>
      <c r="F114" s="600">
        <f>(24.4+24.7+1.5+8.3+21.5+12.6+2.5+69.8+3.7+2.3)</f>
        <v>171.29999999999998</v>
      </c>
      <c r="G114" s="289"/>
      <c r="H114" s="601"/>
      <c r="I114" s="602"/>
      <c r="J114" s="3004"/>
      <c r="K114" s="612"/>
      <c r="L114" s="612"/>
      <c r="M114" s="612"/>
      <c r="N114" s="612"/>
      <c r="O114" s="612"/>
      <c r="P114" s="612"/>
      <c r="Q114" s="612"/>
      <c r="R114" s="612"/>
      <c r="S114" s="612"/>
      <c r="T114" s="612"/>
      <c r="U114" s="612"/>
      <c r="V114" s="612"/>
      <c r="W114" s="605"/>
    </row>
    <row r="115" spans="1:256" s="604" customFormat="1" ht="27" customHeight="1">
      <c r="A115" s="595"/>
      <c r="B115" s="596"/>
      <c r="C115" s="597"/>
      <c r="D115" s="599" t="s">
        <v>5165</v>
      </c>
      <c r="E115" s="599"/>
      <c r="F115" s="600"/>
      <c r="G115" s="289"/>
      <c r="H115" s="601"/>
      <c r="I115" s="602"/>
      <c r="J115" s="612"/>
      <c r="K115" s="612"/>
      <c r="L115" s="612"/>
      <c r="M115" s="612"/>
      <c r="N115" s="612"/>
      <c r="O115" s="612"/>
      <c r="P115" s="612"/>
      <c r="Q115" s="612"/>
      <c r="R115" s="5214"/>
      <c r="S115" s="5215"/>
      <c r="T115" s="5215"/>
      <c r="U115" s="636"/>
      <c r="V115" s="636"/>
      <c r="W115" s="605"/>
    </row>
    <row r="116" spans="1:256" s="604" customFormat="1" ht="67.5" customHeight="1">
      <c r="A116" s="595"/>
      <c r="B116" s="596"/>
      <c r="C116" s="597"/>
      <c r="D116" s="584" t="s">
        <v>310</v>
      </c>
      <c r="E116" s="599"/>
      <c r="F116" s="600"/>
      <c r="G116" s="289"/>
      <c r="H116" s="601"/>
      <c r="I116" s="3005"/>
      <c r="J116" s="606"/>
      <c r="U116" s="605"/>
      <c r="W116" s="605"/>
    </row>
    <row r="117" spans="1:256" s="3001" customFormat="1" ht="27" customHeight="1">
      <c r="A117" s="2995">
        <v>40</v>
      </c>
      <c r="B117" s="3002">
        <v>271</v>
      </c>
      <c r="C117" s="2996" t="s">
        <v>5166</v>
      </c>
      <c r="D117" s="2996" t="s">
        <v>5167</v>
      </c>
      <c r="E117" s="2996" t="s">
        <v>205</v>
      </c>
      <c r="F117" s="2905">
        <f>ROUND(SUM(F119:F119),3)</f>
        <v>1</v>
      </c>
      <c r="G117" s="348"/>
      <c r="H117" s="568">
        <f t="shared" ref="H117" si="31">ROUND(F117*G117,2)</f>
        <v>0</v>
      </c>
      <c r="I117" s="3000" t="s">
        <v>111</v>
      </c>
      <c r="J117" s="829"/>
      <c r="K117" s="621"/>
      <c r="L117" s="621"/>
      <c r="M117" s="621"/>
      <c r="N117" s="621"/>
      <c r="O117" s="621"/>
      <c r="P117" s="621"/>
      <c r="Q117" s="621"/>
      <c r="R117" s="612"/>
      <c r="S117" s="612"/>
      <c r="T117" s="612"/>
      <c r="U117" s="612"/>
      <c r="V117" s="612"/>
    </row>
    <row r="118" spans="1:256" s="604" customFormat="1" ht="13.5" customHeight="1">
      <c r="A118" s="595"/>
      <c r="B118" s="596"/>
      <c r="C118" s="597"/>
      <c r="D118" s="599" t="s">
        <v>5168</v>
      </c>
      <c r="E118" s="599"/>
      <c r="F118" s="600"/>
      <c r="G118" s="289"/>
      <c r="H118" s="601"/>
      <c r="I118" s="1590"/>
      <c r="J118" s="612"/>
      <c r="K118" s="612"/>
      <c r="L118" s="612"/>
      <c r="M118" s="612"/>
      <c r="N118" s="612"/>
      <c r="O118" s="612"/>
      <c r="P118" s="612"/>
      <c r="Q118" s="612"/>
      <c r="R118" s="3003"/>
      <c r="S118" s="612"/>
      <c r="T118" s="612"/>
      <c r="U118" s="612"/>
      <c r="V118" s="612"/>
      <c r="W118" s="605"/>
    </row>
    <row r="119" spans="1:256" s="604" customFormat="1" ht="13.5" customHeight="1">
      <c r="A119" s="595"/>
      <c r="B119" s="596"/>
      <c r="C119" s="597"/>
      <c r="D119" s="599" t="s">
        <v>5169</v>
      </c>
      <c r="E119" s="599"/>
      <c r="F119" s="600">
        <f>1</f>
        <v>1</v>
      </c>
      <c r="G119" s="289"/>
      <c r="H119" s="601"/>
      <c r="I119" s="1590"/>
      <c r="J119" s="3004"/>
      <c r="K119" s="612"/>
      <c r="L119" s="612"/>
      <c r="M119" s="612"/>
      <c r="N119" s="612"/>
      <c r="O119" s="612"/>
      <c r="P119" s="612"/>
      <c r="Q119" s="612"/>
      <c r="R119" s="612"/>
      <c r="S119" s="612"/>
      <c r="T119" s="612"/>
      <c r="U119" s="612"/>
      <c r="V119" s="612"/>
      <c r="W119" s="605"/>
    </row>
    <row r="120" spans="1:256" s="604" customFormat="1" ht="81" customHeight="1">
      <c r="A120" s="595"/>
      <c r="B120" s="596"/>
      <c r="C120" s="597"/>
      <c r="D120" s="584" t="s">
        <v>5170</v>
      </c>
      <c r="E120" s="599"/>
      <c r="F120" s="600"/>
      <c r="G120" s="289"/>
      <c r="H120" s="601"/>
      <c r="I120" s="3005"/>
      <c r="J120" s="606"/>
      <c r="U120" s="605"/>
      <c r="W120" s="605"/>
    </row>
    <row r="121" spans="1:256" s="604" customFormat="1" ht="27" customHeight="1">
      <c r="A121" s="595"/>
      <c r="B121" s="596"/>
      <c r="C121" s="597"/>
      <c r="D121" s="599" t="s">
        <v>5171</v>
      </c>
      <c r="E121" s="599"/>
      <c r="F121" s="600"/>
      <c r="G121" s="289"/>
      <c r="H121" s="601"/>
      <c r="I121" s="1590"/>
      <c r="J121" s="3004"/>
      <c r="K121" s="612"/>
      <c r="L121" s="612"/>
      <c r="M121" s="612"/>
      <c r="N121" s="612"/>
      <c r="O121" s="612"/>
      <c r="P121" s="612"/>
      <c r="Q121" s="612"/>
      <c r="R121" s="612"/>
      <c r="S121" s="612"/>
      <c r="T121" s="612"/>
      <c r="U121" s="612"/>
      <c r="V121" s="612"/>
      <c r="W121" s="605"/>
    </row>
    <row r="122" spans="1:256" s="604" customFormat="1" ht="67.5" customHeight="1">
      <c r="A122" s="595"/>
      <c r="B122" s="596"/>
      <c r="C122" s="597"/>
      <c r="D122" s="584" t="s">
        <v>310</v>
      </c>
      <c r="E122" s="599"/>
      <c r="F122" s="600"/>
      <c r="G122" s="289"/>
      <c r="H122" s="601"/>
      <c r="I122" s="3005"/>
      <c r="J122" s="606"/>
      <c r="U122" s="605"/>
      <c r="W122" s="605"/>
    </row>
    <row r="123" spans="1:256" s="3001" customFormat="1" ht="13.5" customHeight="1">
      <c r="A123" s="2995">
        <v>41</v>
      </c>
      <c r="B123" s="3002">
        <v>271</v>
      </c>
      <c r="C123" s="2996" t="s">
        <v>5172</v>
      </c>
      <c r="D123" s="2996" t="s">
        <v>5173</v>
      </c>
      <c r="E123" s="2996" t="s">
        <v>205</v>
      </c>
      <c r="F123" s="2905">
        <f>ROUND(SUM(F124),3)</f>
        <v>15</v>
      </c>
      <c r="G123" s="348"/>
      <c r="H123" s="568">
        <f t="shared" ref="H123" si="32">ROUND(F123*G123,2)</f>
        <v>0</v>
      </c>
      <c r="I123" s="3000" t="s">
        <v>111</v>
      </c>
      <c r="J123" s="2679"/>
      <c r="K123" s="2596"/>
      <c r="L123" s="883"/>
      <c r="M123" s="883"/>
      <c r="N123" s="883"/>
      <c r="O123" s="883"/>
      <c r="P123" s="883"/>
      <c r="Q123" s="883"/>
      <c r="R123" s="3006"/>
      <c r="S123" s="883"/>
      <c r="T123" s="2596"/>
      <c r="U123" s="883"/>
      <c r="V123" s="883"/>
      <c r="W123" s="883"/>
    </row>
    <row r="124" spans="1:256" s="604" customFormat="1" ht="27" customHeight="1">
      <c r="A124" s="595"/>
      <c r="B124" s="596"/>
      <c r="C124" s="597"/>
      <c r="D124" s="719" t="s">
        <v>5174</v>
      </c>
      <c r="E124" s="599"/>
      <c r="F124" s="600">
        <f>15</f>
        <v>15</v>
      </c>
      <c r="G124" s="289"/>
      <c r="H124" s="601"/>
      <c r="I124" s="1590"/>
      <c r="J124" s="2679"/>
      <c r="K124" s="2596"/>
      <c r="T124" s="2596"/>
      <c r="U124" s="605"/>
      <c r="W124" s="605"/>
    </row>
    <row r="125" spans="1:256" s="604" customFormat="1" ht="13.5" customHeight="1">
      <c r="A125" s="595"/>
      <c r="B125" s="596"/>
      <c r="C125" s="597"/>
      <c r="D125" s="719" t="s">
        <v>5175</v>
      </c>
      <c r="E125" s="599"/>
      <c r="F125" s="600"/>
      <c r="G125" s="289"/>
      <c r="H125" s="601"/>
      <c r="I125" s="1590"/>
      <c r="J125" s="2679"/>
      <c r="K125" s="2596"/>
      <c r="T125" s="2596"/>
      <c r="U125" s="605"/>
      <c r="W125" s="605"/>
    </row>
    <row r="126" spans="1:256" s="612" customFormat="1" ht="54" customHeight="1">
      <c r="A126" s="629"/>
      <c r="B126" s="630"/>
      <c r="C126" s="631"/>
      <c r="D126" s="584" t="s">
        <v>5176</v>
      </c>
      <c r="E126" s="632"/>
      <c r="F126" s="633"/>
      <c r="G126" s="697"/>
      <c r="H126" s="634"/>
      <c r="I126" s="625"/>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6"/>
      <c r="AY126" s="636"/>
      <c r="AZ126" s="636"/>
      <c r="BA126" s="636"/>
      <c r="BB126" s="636"/>
      <c r="BC126" s="636"/>
      <c r="BD126" s="636"/>
      <c r="BE126" s="636"/>
      <c r="BF126" s="636"/>
      <c r="BG126" s="636"/>
      <c r="BH126" s="636"/>
      <c r="BI126" s="636"/>
      <c r="BJ126" s="636"/>
      <c r="BK126" s="636"/>
      <c r="BL126" s="636"/>
      <c r="BM126" s="636"/>
      <c r="BN126" s="636"/>
      <c r="BO126" s="636"/>
      <c r="BP126" s="636"/>
      <c r="BQ126" s="636"/>
      <c r="BR126" s="636"/>
      <c r="BS126" s="636"/>
      <c r="BT126" s="636"/>
      <c r="BU126" s="636"/>
      <c r="BV126" s="636"/>
      <c r="BW126" s="636"/>
      <c r="BX126" s="636"/>
      <c r="BY126" s="636"/>
      <c r="BZ126" s="636"/>
      <c r="CA126" s="636"/>
      <c r="CB126" s="636"/>
      <c r="CC126" s="636"/>
      <c r="CD126" s="636"/>
      <c r="CE126" s="636"/>
      <c r="CF126" s="636"/>
      <c r="CG126" s="636"/>
      <c r="CH126" s="636"/>
      <c r="CI126" s="636"/>
      <c r="CJ126" s="636"/>
      <c r="CK126" s="636"/>
      <c r="CL126" s="636"/>
      <c r="CM126" s="636"/>
      <c r="CN126" s="636"/>
      <c r="CO126" s="636"/>
      <c r="CP126" s="636"/>
      <c r="CQ126" s="636"/>
      <c r="CR126" s="636"/>
      <c r="CS126" s="636"/>
      <c r="CT126" s="636"/>
      <c r="CU126" s="636"/>
      <c r="CV126" s="636"/>
      <c r="CW126" s="636"/>
      <c r="CX126" s="636"/>
      <c r="CY126" s="636"/>
      <c r="CZ126" s="636"/>
      <c r="DA126" s="636"/>
      <c r="DB126" s="636"/>
      <c r="DC126" s="636"/>
      <c r="DD126" s="636"/>
      <c r="DE126" s="636"/>
      <c r="DF126" s="636"/>
      <c r="DG126" s="636"/>
      <c r="DH126" s="636"/>
      <c r="DI126" s="636"/>
      <c r="DJ126" s="636"/>
      <c r="DK126" s="636"/>
      <c r="DL126" s="636"/>
      <c r="DM126" s="636"/>
      <c r="DN126" s="636"/>
      <c r="DO126" s="636"/>
      <c r="DP126" s="636"/>
      <c r="DQ126" s="636"/>
      <c r="DR126" s="636"/>
      <c r="DS126" s="636"/>
      <c r="DT126" s="636"/>
      <c r="DU126" s="636"/>
      <c r="DV126" s="636"/>
      <c r="DW126" s="636"/>
      <c r="DX126" s="636"/>
      <c r="DY126" s="636"/>
      <c r="DZ126" s="636"/>
      <c r="EA126" s="636"/>
      <c r="EB126" s="636"/>
      <c r="EC126" s="636"/>
      <c r="ED126" s="636"/>
      <c r="EE126" s="636"/>
      <c r="EF126" s="636"/>
      <c r="EG126" s="636"/>
      <c r="EH126" s="636"/>
      <c r="EI126" s="636"/>
      <c r="EJ126" s="636"/>
      <c r="EK126" s="636"/>
      <c r="EL126" s="636"/>
      <c r="EM126" s="636"/>
      <c r="EN126" s="636"/>
      <c r="EO126" s="636"/>
      <c r="EP126" s="636"/>
      <c r="EQ126" s="636"/>
      <c r="ER126" s="636"/>
      <c r="ES126" s="636"/>
      <c r="ET126" s="636"/>
      <c r="EU126" s="636"/>
      <c r="EV126" s="636"/>
      <c r="EW126" s="636"/>
      <c r="EX126" s="636"/>
      <c r="EY126" s="636"/>
      <c r="EZ126" s="636"/>
      <c r="FA126" s="636"/>
      <c r="FB126" s="636"/>
      <c r="FC126" s="636"/>
      <c r="FD126" s="636"/>
      <c r="FE126" s="636"/>
      <c r="FF126" s="636"/>
      <c r="FG126" s="636"/>
      <c r="FH126" s="636"/>
      <c r="FI126" s="636"/>
      <c r="FJ126" s="636"/>
      <c r="FK126" s="636"/>
      <c r="FL126" s="636"/>
      <c r="FM126" s="636"/>
      <c r="FN126" s="636"/>
      <c r="FO126" s="636"/>
      <c r="FP126" s="636"/>
      <c r="FQ126" s="636"/>
      <c r="FR126" s="636"/>
      <c r="FS126" s="636"/>
      <c r="FT126" s="636"/>
      <c r="FU126" s="636"/>
      <c r="FV126" s="636"/>
      <c r="FW126" s="636"/>
      <c r="FX126" s="636"/>
      <c r="FY126" s="636"/>
      <c r="FZ126" s="636"/>
      <c r="GA126" s="636"/>
      <c r="GB126" s="636"/>
      <c r="GC126" s="636"/>
      <c r="GD126" s="636"/>
      <c r="GE126" s="636"/>
      <c r="GF126" s="636"/>
      <c r="GG126" s="636"/>
      <c r="GH126" s="636"/>
      <c r="GI126" s="636"/>
      <c r="GJ126" s="636"/>
      <c r="GK126" s="636"/>
      <c r="GL126" s="636"/>
      <c r="GM126" s="636"/>
      <c r="GN126" s="636"/>
      <c r="GO126" s="636"/>
      <c r="GP126" s="636"/>
      <c r="GQ126" s="636"/>
      <c r="GR126" s="636"/>
      <c r="GS126" s="636"/>
      <c r="GT126" s="636"/>
      <c r="GU126" s="636"/>
      <c r="GV126" s="636"/>
      <c r="GW126" s="636"/>
      <c r="GX126" s="636"/>
      <c r="GY126" s="636"/>
      <c r="GZ126" s="636"/>
      <c r="HA126" s="636"/>
      <c r="HB126" s="636"/>
      <c r="HC126" s="636"/>
      <c r="HD126" s="636"/>
      <c r="HE126" s="636"/>
      <c r="HF126" s="636"/>
      <c r="HG126" s="636"/>
      <c r="HH126" s="636"/>
      <c r="HI126" s="636"/>
      <c r="HJ126" s="636"/>
      <c r="HK126" s="636"/>
      <c r="HL126" s="636"/>
      <c r="HM126" s="636"/>
      <c r="HN126" s="636"/>
      <c r="HO126" s="636"/>
      <c r="HP126" s="636"/>
      <c r="HQ126" s="636"/>
      <c r="HR126" s="636"/>
      <c r="HS126" s="636"/>
      <c r="HT126" s="636"/>
      <c r="HU126" s="636"/>
      <c r="HV126" s="636"/>
      <c r="HW126" s="636"/>
      <c r="HX126" s="636"/>
      <c r="HY126" s="636"/>
      <c r="HZ126" s="636"/>
      <c r="IA126" s="636"/>
      <c r="IB126" s="636"/>
      <c r="IC126" s="636"/>
      <c r="ID126" s="636"/>
      <c r="IE126" s="636"/>
      <c r="IF126" s="636"/>
      <c r="IG126" s="636"/>
      <c r="IH126" s="636"/>
      <c r="II126" s="636"/>
      <c r="IJ126" s="636"/>
      <c r="IK126" s="636"/>
      <c r="IL126" s="636"/>
      <c r="IM126" s="636"/>
      <c r="IN126" s="636"/>
      <c r="IO126" s="636"/>
      <c r="IP126" s="636"/>
      <c r="IQ126" s="636"/>
      <c r="IR126" s="636"/>
      <c r="IS126" s="636"/>
      <c r="IT126" s="636"/>
      <c r="IU126" s="636"/>
      <c r="IV126" s="636"/>
    </row>
    <row r="127" spans="1:256" s="604" customFormat="1" ht="27" customHeight="1">
      <c r="A127" s="595"/>
      <c r="B127" s="596"/>
      <c r="C127" s="597"/>
      <c r="D127" s="599" t="s">
        <v>5177</v>
      </c>
      <c r="E127" s="599"/>
      <c r="F127" s="600"/>
      <c r="G127" s="289"/>
      <c r="H127" s="601"/>
      <c r="I127" s="602"/>
      <c r="J127" s="603"/>
      <c r="U127" s="605"/>
      <c r="W127" s="605"/>
    </row>
    <row r="128" spans="1:256" s="604" customFormat="1" ht="27" customHeight="1">
      <c r="A128" s="595"/>
      <c r="B128" s="596"/>
      <c r="C128" s="597"/>
      <c r="D128" s="599" t="s">
        <v>5178</v>
      </c>
      <c r="E128" s="599"/>
      <c r="F128" s="600"/>
      <c r="G128" s="289"/>
      <c r="H128" s="601"/>
      <c r="I128" s="602"/>
      <c r="J128" s="603"/>
      <c r="U128" s="605"/>
      <c r="W128" s="605"/>
    </row>
    <row r="129" spans="1:256" s="604" customFormat="1" ht="67.5" customHeight="1">
      <c r="A129" s="595"/>
      <c r="B129" s="596"/>
      <c r="C129" s="597"/>
      <c r="D129" s="584" t="s">
        <v>310</v>
      </c>
      <c r="E129" s="599"/>
      <c r="F129" s="600"/>
      <c r="G129" s="289"/>
      <c r="H129" s="601"/>
      <c r="I129" s="3005"/>
      <c r="J129" s="3007"/>
      <c r="U129" s="605"/>
      <c r="W129" s="605"/>
    </row>
    <row r="130" spans="1:256" s="3001" customFormat="1" ht="13.5" customHeight="1">
      <c r="A130" s="2995">
        <v>42</v>
      </c>
      <c r="B130" s="3002">
        <v>271</v>
      </c>
      <c r="C130" s="2996" t="s">
        <v>5179</v>
      </c>
      <c r="D130" s="2996" t="s">
        <v>5180</v>
      </c>
      <c r="E130" s="2996" t="s">
        <v>205</v>
      </c>
      <c r="F130" s="2905">
        <f>ROUND(SUM(F132),3)</f>
        <v>2</v>
      </c>
      <c r="G130" s="348"/>
      <c r="H130" s="568">
        <f t="shared" ref="H130" si="33">ROUND(F130*G130,2)</f>
        <v>0</v>
      </c>
      <c r="I130" s="3000" t="s">
        <v>111</v>
      </c>
      <c r="J130" s="2679"/>
      <c r="K130" s="2596"/>
      <c r="L130" s="883"/>
      <c r="M130" s="883"/>
      <c r="N130" s="883"/>
      <c r="O130" s="883"/>
      <c r="P130" s="883"/>
      <c r="Q130" s="883"/>
      <c r="R130" s="3006"/>
      <c r="S130" s="883"/>
      <c r="T130" s="2596"/>
    </row>
    <row r="131" spans="1:256" s="604" customFormat="1" ht="27" customHeight="1">
      <c r="A131" s="595"/>
      <c r="B131" s="596"/>
      <c r="C131" s="597"/>
      <c r="D131" s="719" t="s">
        <v>5181</v>
      </c>
      <c r="E131" s="599"/>
      <c r="F131" s="600"/>
      <c r="G131" s="289"/>
      <c r="H131" s="601"/>
      <c r="I131" s="602"/>
      <c r="J131" s="2679"/>
      <c r="K131" s="2596"/>
      <c r="T131" s="2596"/>
      <c r="U131" s="605"/>
      <c r="W131" s="605"/>
    </row>
    <row r="132" spans="1:256" s="604" customFormat="1" ht="13.5" customHeight="1">
      <c r="A132" s="595"/>
      <c r="B132" s="596"/>
      <c r="C132" s="597"/>
      <c r="D132" s="719" t="s">
        <v>5182</v>
      </c>
      <c r="E132" s="599"/>
      <c r="F132" s="600">
        <v>2</v>
      </c>
      <c r="G132" s="289"/>
      <c r="H132" s="601"/>
      <c r="I132" s="602"/>
      <c r="J132" s="606"/>
      <c r="K132" s="2596"/>
      <c r="T132" s="2596"/>
      <c r="U132" s="605"/>
      <c r="W132" s="605"/>
    </row>
    <row r="133" spans="1:256" s="612" customFormat="1" ht="40.5" customHeight="1">
      <c r="A133" s="629"/>
      <c r="B133" s="630"/>
      <c r="C133" s="631"/>
      <c r="D133" s="584" t="s">
        <v>5183</v>
      </c>
      <c r="E133" s="632"/>
      <c r="F133" s="633"/>
      <c r="G133" s="697"/>
      <c r="H133" s="634"/>
      <c r="I133" s="625"/>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6"/>
      <c r="AZ133" s="636"/>
      <c r="BA133" s="636"/>
      <c r="BB133" s="636"/>
      <c r="BC133" s="636"/>
      <c r="BD133" s="636"/>
      <c r="BE133" s="636"/>
      <c r="BF133" s="636"/>
      <c r="BG133" s="636"/>
      <c r="BH133" s="636"/>
      <c r="BI133" s="636"/>
      <c r="BJ133" s="636"/>
      <c r="BK133" s="636"/>
      <c r="BL133" s="636"/>
      <c r="BM133" s="636"/>
      <c r="BN133" s="636"/>
      <c r="BO133" s="636"/>
      <c r="BP133" s="636"/>
      <c r="BQ133" s="636"/>
      <c r="BR133" s="636"/>
      <c r="BS133" s="636"/>
      <c r="BT133" s="636"/>
      <c r="BU133" s="636"/>
      <c r="BV133" s="636"/>
      <c r="BW133" s="636"/>
      <c r="BX133" s="636"/>
      <c r="BY133" s="636"/>
      <c r="BZ133" s="636"/>
      <c r="CA133" s="636"/>
      <c r="CB133" s="636"/>
      <c r="CC133" s="636"/>
      <c r="CD133" s="636"/>
      <c r="CE133" s="636"/>
      <c r="CF133" s="636"/>
      <c r="CG133" s="636"/>
      <c r="CH133" s="636"/>
      <c r="CI133" s="636"/>
      <c r="CJ133" s="636"/>
      <c r="CK133" s="636"/>
      <c r="CL133" s="636"/>
      <c r="CM133" s="636"/>
      <c r="CN133" s="636"/>
      <c r="CO133" s="636"/>
      <c r="CP133" s="636"/>
      <c r="CQ133" s="636"/>
      <c r="CR133" s="636"/>
      <c r="CS133" s="636"/>
      <c r="CT133" s="636"/>
      <c r="CU133" s="636"/>
      <c r="CV133" s="636"/>
      <c r="CW133" s="636"/>
      <c r="CX133" s="636"/>
      <c r="CY133" s="636"/>
      <c r="CZ133" s="636"/>
      <c r="DA133" s="636"/>
      <c r="DB133" s="636"/>
      <c r="DC133" s="636"/>
      <c r="DD133" s="636"/>
      <c r="DE133" s="636"/>
      <c r="DF133" s="636"/>
      <c r="DG133" s="636"/>
      <c r="DH133" s="636"/>
      <c r="DI133" s="636"/>
      <c r="DJ133" s="636"/>
      <c r="DK133" s="636"/>
      <c r="DL133" s="636"/>
      <c r="DM133" s="636"/>
      <c r="DN133" s="636"/>
      <c r="DO133" s="636"/>
      <c r="DP133" s="636"/>
      <c r="DQ133" s="636"/>
      <c r="DR133" s="636"/>
      <c r="DS133" s="636"/>
      <c r="DT133" s="636"/>
      <c r="DU133" s="636"/>
      <c r="DV133" s="636"/>
      <c r="DW133" s="636"/>
      <c r="DX133" s="636"/>
      <c r="DY133" s="636"/>
      <c r="DZ133" s="636"/>
      <c r="EA133" s="636"/>
      <c r="EB133" s="636"/>
      <c r="EC133" s="636"/>
      <c r="ED133" s="636"/>
      <c r="EE133" s="636"/>
      <c r="EF133" s="636"/>
      <c r="EG133" s="636"/>
      <c r="EH133" s="636"/>
      <c r="EI133" s="636"/>
      <c r="EJ133" s="636"/>
      <c r="EK133" s="636"/>
      <c r="EL133" s="636"/>
      <c r="EM133" s="636"/>
      <c r="EN133" s="636"/>
      <c r="EO133" s="636"/>
      <c r="EP133" s="636"/>
      <c r="EQ133" s="636"/>
      <c r="ER133" s="636"/>
      <c r="ES133" s="636"/>
      <c r="ET133" s="636"/>
      <c r="EU133" s="636"/>
      <c r="EV133" s="636"/>
      <c r="EW133" s="636"/>
      <c r="EX133" s="636"/>
      <c r="EY133" s="636"/>
      <c r="EZ133" s="636"/>
      <c r="FA133" s="636"/>
      <c r="FB133" s="636"/>
      <c r="FC133" s="636"/>
      <c r="FD133" s="636"/>
      <c r="FE133" s="636"/>
      <c r="FF133" s="636"/>
      <c r="FG133" s="636"/>
      <c r="FH133" s="636"/>
      <c r="FI133" s="636"/>
      <c r="FJ133" s="636"/>
      <c r="FK133" s="636"/>
      <c r="FL133" s="636"/>
      <c r="FM133" s="636"/>
      <c r="FN133" s="636"/>
      <c r="FO133" s="636"/>
      <c r="FP133" s="636"/>
      <c r="FQ133" s="636"/>
      <c r="FR133" s="636"/>
      <c r="FS133" s="636"/>
      <c r="FT133" s="636"/>
      <c r="FU133" s="636"/>
      <c r="FV133" s="636"/>
      <c r="FW133" s="636"/>
      <c r="FX133" s="636"/>
      <c r="FY133" s="636"/>
      <c r="FZ133" s="636"/>
      <c r="GA133" s="636"/>
      <c r="GB133" s="636"/>
      <c r="GC133" s="636"/>
      <c r="GD133" s="636"/>
      <c r="GE133" s="636"/>
      <c r="GF133" s="636"/>
      <c r="GG133" s="636"/>
      <c r="GH133" s="636"/>
      <c r="GI133" s="636"/>
      <c r="GJ133" s="636"/>
      <c r="GK133" s="636"/>
      <c r="GL133" s="636"/>
      <c r="GM133" s="636"/>
      <c r="GN133" s="636"/>
      <c r="GO133" s="636"/>
      <c r="GP133" s="636"/>
      <c r="GQ133" s="636"/>
      <c r="GR133" s="636"/>
      <c r="GS133" s="636"/>
      <c r="GT133" s="636"/>
      <c r="GU133" s="636"/>
      <c r="GV133" s="636"/>
      <c r="GW133" s="636"/>
      <c r="GX133" s="636"/>
      <c r="GY133" s="636"/>
      <c r="GZ133" s="636"/>
      <c r="HA133" s="636"/>
      <c r="HB133" s="636"/>
      <c r="HC133" s="636"/>
      <c r="HD133" s="636"/>
      <c r="HE133" s="636"/>
      <c r="HF133" s="636"/>
      <c r="HG133" s="636"/>
      <c r="HH133" s="636"/>
      <c r="HI133" s="636"/>
      <c r="HJ133" s="636"/>
      <c r="HK133" s="636"/>
      <c r="HL133" s="636"/>
      <c r="HM133" s="636"/>
      <c r="HN133" s="636"/>
      <c r="HO133" s="636"/>
      <c r="HP133" s="636"/>
      <c r="HQ133" s="636"/>
      <c r="HR133" s="636"/>
      <c r="HS133" s="636"/>
      <c r="HT133" s="636"/>
      <c r="HU133" s="636"/>
      <c r="HV133" s="636"/>
      <c r="HW133" s="636"/>
      <c r="HX133" s="636"/>
      <c r="HY133" s="636"/>
      <c r="HZ133" s="636"/>
      <c r="IA133" s="636"/>
      <c r="IB133" s="636"/>
      <c r="IC133" s="636"/>
      <c r="ID133" s="636"/>
      <c r="IE133" s="636"/>
      <c r="IF133" s="636"/>
      <c r="IG133" s="636"/>
      <c r="IH133" s="636"/>
      <c r="II133" s="636"/>
      <c r="IJ133" s="636"/>
      <c r="IK133" s="636"/>
      <c r="IL133" s="636"/>
      <c r="IM133" s="636"/>
      <c r="IN133" s="636"/>
      <c r="IO133" s="636"/>
      <c r="IP133" s="636"/>
      <c r="IQ133" s="636"/>
      <c r="IR133" s="636"/>
      <c r="IS133" s="636"/>
      <c r="IT133" s="636"/>
      <c r="IU133" s="636"/>
      <c r="IV133" s="636"/>
    </row>
    <row r="134" spans="1:256" s="604" customFormat="1" ht="27" customHeight="1">
      <c r="A134" s="595"/>
      <c r="B134" s="596"/>
      <c r="C134" s="597"/>
      <c r="D134" s="599" t="s">
        <v>5184</v>
      </c>
      <c r="E134" s="599"/>
      <c r="F134" s="600"/>
      <c r="G134" s="289"/>
      <c r="H134" s="601"/>
      <c r="I134" s="602"/>
      <c r="J134" s="603"/>
      <c r="U134" s="605"/>
      <c r="W134" s="605"/>
    </row>
    <row r="135" spans="1:256" s="604" customFormat="1" ht="27" customHeight="1">
      <c r="A135" s="595"/>
      <c r="B135" s="596"/>
      <c r="C135" s="597"/>
      <c r="D135" s="599" t="s">
        <v>5178</v>
      </c>
      <c r="E135" s="599"/>
      <c r="F135" s="600"/>
      <c r="G135" s="289"/>
      <c r="H135" s="601"/>
      <c r="I135" s="602"/>
      <c r="J135" s="603"/>
      <c r="U135" s="605"/>
      <c r="W135" s="605"/>
    </row>
    <row r="136" spans="1:256" s="604" customFormat="1" ht="67.5" customHeight="1">
      <c r="A136" s="595"/>
      <c r="B136" s="596"/>
      <c r="C136" s="597"/>
      <c r="D136" s="584" t="s">
        <v>310</v>
      </c>
      <c r="E136" s="599"/>
      <c r="F136" s="600"/>
      <c r="G136" s="289"/>
      <c r="H136" s="601"/>
      <c r="I136" s="3005"/>
      <c r="J136" s="606"/>
      <c r="U136" s="605"/>
      <c r="W136" s="605"/>
    </row>
    <row r="137" spans="1:256" s="647" customFormat="1" ht="13.5" customHeight="1">
      <c r="A137" s="1583" t="s">
        <v>5185</v>
      </c>
      <c r="B137" s="557">
        <v>871</v>
      </c>
      <c r="C137" s="2996" t="s">
        <v>5186</v>
      </c>
      <c r="D137" s="557" t="s">
        <v>5187</v>
      </c>
      <c r="E137" s="557" t="s">
        <v>205</v>
      </c>
      <c r="F137" s="2897">
        <f>ROUND(SUM(F139),3)</f>
        <v>1</v>
      </c>
      <c r="G137" s="3051"/>
      <c r="H137" s="568">
        <f>ROUND(F137*G137,2)</f>
        <v>0</v>
      </c>
      <c r="I137" s="3000" t="s">
        <v>111</v>
      </c>
      <c r="J137" s="2679"/>
      <c r="K137" s="2596"/>
      <c r="L137" s="883"/>
      <c r="M137" s="883"/>
      <c r="N137" s="883"/>
      <c r="O137" s="883"/>
      <c r="P137" s="883"/>
      <c r="Q137" s="883"/>
      <c r="R137" s="3006"/>
      <c r="S137" s="883"/>
      <c r="T137" s="911"/>
      <c r="U137" s="3008"/>
      <c r="V137" s="3008"/>
      <c r="W137" s="3008"/>
      <c r="X137" s="3008"/>
      <c r="Y137" s="3008"/>
      <c r="Z137" s="3008"/>
      <c r="AA137" s="3008"/>
      <c r="AB137" s="3008"/>
      <c r="AC137" s="3008"/>
      <c r="AD137" s="3008"/>
      <c r="AE137" s="3008"/>
      <c r="AF137" s="3008"/>
      <c r="AG137" s="3008"/>
    </row>
    <row r="138" spans="1:256" s="3012" customFormat="1" ht="27" customHeight="1">
      <c r="A138" s="3009"/>
      <c r="B138" s="3010"/>
      <c r="C138" s="3011"/>
      <c r="D138" s="719" t="s">
        <v>5188</v>
      </c>
      <c r="E138" s="3011"/>
      <c r="G138" s="3051"/>
      <c r="H138" s="3013"/>
      <c r="I138" s="3014"/>
      <c r="J138" s="2679"/>
      <c r="K138" s="2596"/>
      <c r="L138" s="604"/>
      <c r="M138" s="604"/>
      <c r="N138" s="604"/>
      <c r="O138" s="604"/>
      <c r="P138" s="604"/>
      <c r="Q138" s="604"/>
      <c r="R138" s="604"/>
      <c r="S138" s="604"/>
    </row>
    <row r="139" spans="1:256" s="3012" customFormat="1" ht="13.5" customHeight="1">
      <c r="A139" s="3009"/>
      <c r="B139" s="3010"/>
      <c r="C139" s="3011"/>
      <c r="D139" s="719" t="s">
        <v>5189</v>
      </c>
      <c r="E139" s="3011"/>
      <c r="F139" s="1321">
        <v>1</v>
      </c>
      <c r="G139" s="3051"/>
      <c r="H139" s="3013"/>
      <c r="I139" s="3014"/>
      <c r="J139" s="3015"/>
      <c r="K139" s="3016"/>
      <c r="L139" s="3017"/>
    </row>
    <row r="140" spans="1:256" s="3012" customFormat="1" ht="27" customHeight="1">
      <c r="A140" s="3009"/>
      <c r="B140" s="3010"/>
      <c r="C140" s="3011"/>
      <c r="D140" s="719" t="s">
        <v>5190</v>
      </c>
      <c r="E140" s="3011"/>
      <c r="F140" s="1321"/>
      <c r="G140" s="3051"/>
      <c r="H140" s="3013"/>
      <c r="I140" s="3018"/>
      <c r="J140" s="3015"/>
      <c r="K140" s="3016"/>
      <c r="L140" s="3017"/>
    </row>
    <row r="141" spans="1:256" s="612" customFormat="1" ht="54" customHeight="1">
      <c r="A141" s="629"/>
      <c r="B141" s="630"/>
      <c r="C141" s="631"/>
      <c r="D141" s="584" t="s">
        <v>5191</v>
      </c>
      <c r="E141" s="632"/>
      <c r="F141" s="633"/>
      <c r="G141" s="697"/>
      <c r="H141" s="634"/>
      <c r="I141" s="625"/>
      <c r="R141" s="636"/>
      <c r="S141" s="636"/>
      <c r="T141" s="636"/>
      <c r="U141" s="636"/>
      <c r="V141" s="636"/>
      <c r="W141" s="636"/>
      <c r="X141" s="636"/>
      <c r="Y141" s="636"/>
      <c r="Z141" s="636"/>
      <c r="AA141" s="636"/>
      <c r="AB141" s="636"/>
      <c r="AC141" s="636"/>
      <c r="AD141" s="636"/>
      <c r="AE141" s="636"/>
      <c r="AF141" s="636"/>
      <c r="AG141" s="636"/>
      <c r="AH141" s="636"/>
      <c r="AI141" s="636"/>
      <c r="AJ141" s="636"/>
      <c r="AK141" s="636"/>
      <c r="AL141" s="636"/>
      <c r="AM141" s="636"/>
      <c r="AN141" s="636"/>
      <c r="AO141" s="636"/>
      <c r="AP141" s="636"/>
      <c r="AQ141" s="636"/>
      <c r="AR141" s="636"/>
      <c r="AS141" s="636"/>
      <c r="AT141" s="636"/>
      <c r="AU141" s="636"/>
      <c r="AV141" s="636"/>
      <c r="AW141" s="636"/>
      <c r="AX141" s="636"/>
      <c r="AY141" s="636"/>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c r="CA141" s="636"/>
      <c r="CB141" s="636"/>
      <c r="CC141" s="636"/>
      <c r="CD141" s="636"/>
      <c r="CE141" s="636"/>
      <c r="CF141" s="636"/>
      <c r="CG141" s="636"/>
      <c r="CH141" s="636"/>
      <c r="CI141" s="636"/>
      <c r="CJ141" s="636"/>
      <c r="CK141" s="636"/>
      <c r="CL141" s="636"/>
      <c r="CM141" s="636"/>
      <c r="CN141" s="636"/>
      <c r="CO141" s="636"/>
      <c r="CP141" s="636"/>
      <c r="CQ141" s="636"/>
      <c r="CR141" s="636"/>
      <c r="CS141" s="636"/>
      <c r="CT141" s="636"/>
      <c r="CU141" s="636"/>
      <c r="CV141" s="636"/>
      <c r="CW141" s="636"/>
      <c r="CX141" s="636"/>
      <c r="CY141" s="636"/>
      <c r="CZ141" s="636"/>
      <c r="DA141" s="636"/>
      <c r="DB141" s="636"/>
      <c r="DC141" s="636"/>
      <c r="DD141" s="636"/>
      <c r="DE141" s="636"/>
      <c r="DF141" s="636"/>
      <c r="DG141" s="636"/>
      <c r="DH141" s="636"/>
      <c r="DI141" s="636"/>
      <c r="DJ141" s="636"/>
      <c r="DK141" s="636"/>
      <c r="DL141" s="636"/>
      <c r="DM141" s="636"/>
      <c r="DN141" s="636"/>
      <c r="DO141" s="636"/>
      <c r="DP141" s="636"/>
      <c r="DQ141" s="636"/>
      <c r="DR141" s="636"/>
      <c r="DS141" s="636"/>
      <c r="DT141" s="636"/>
      <c r="DU141" s="636"/>
      <c r="DV141" s="636"/>
      <c r="DW141" s="636"/>
      <c r="DX141" s="636"/>
      <c r="DY141" s="636"/>
      <c r="DZ141" s="636"/>
      <c r="EA141" s="636"/>
      <c r="EB141" s="636"/>
      <c r="EC141" s="636"/>
      <c r="ED141" s="636"/>
      <c r="EE141" s="636"/>
      <c r="EF141" s="636"/>
      <c r="EG141" s="636"/>
      <c r="EH141" s="636"/>
      <c r="EI141" s="636"/>
      <c r="EJ141" s="636"/>
      <c r="EK141" s="636"/>
      <c r="EL141" s="636"/>
      <c r="EM141" s="636"/>
      <c r="EN141" s="636"/>
      <c r="EO141" s="636"/>
      <c r="EP141" s="636"/>
      <c r="EQ141" s="636"/>
      <c r="ER141" s="636"/>
      <c r="ES141" s="636"/>
      <c r="ET141" s="636"/>
      <c r="EU141" s="636"/>
      <c r="EV141" s="636"/>
      <c r="EW141" s="636"/>
      <c r="EX141" s="636"/>
      <c r="EY141" s="636"/>
      <c r="EZ141" s="636"/>
      <c r="FA141" s="636"/>
      <c r="FB141" s="636"/>
      <c r="FC141" s="636"/>
      <c r="FD141" s="636"/>
      <c r="FE141" s="636"/>
      <c r="FF141" s="636"/>
      <c r="FG141" s="636"/>
      <c r="FH141" s="636"/>
      <c r="FI141" s="636"/>
      <c r="FJ141" s="636"/>
      <c r="FK141" s="636"/>
      <c r="FL141" s="636"/>
      <c r="FM141" s="636"/>
      <c r="FN141" s="636"/>
      <c r="FO141" s="636"/>
      <c r="FP141" s="636"/>
      <c r="FQ141" s="636"/>
      <c r="FR141" s="636"/>
      <c r="FS141" s="636"/>
      <c r="FT141" s="636"/>
      <c r="FU141" s="636"/>
      <c r="FV141" s="636"/>
      <c r="FW141" s="636"/>
      <c r="FX141" s="636"/>
      <c r="FY141" s="636"/>
      <c r="FZ141" s="636"/>
      <c r="GA141" s="636"/>
      <c r="GB141" s="636"/>
      <c r="GC141" s="636"/>
      <c r="GD141" s="636"/>
      <c r="GE141" s="636"/>
      <c r="GF141" s="636"/>
      <c r="GG141" s="636"/>
      <c r="GH141" s="636"/>
      <c r="GI141" s="636"/>
      <c r="GJ141" s="636"/>
      <c r="GK141" s="636"/>
      <c r="GL141" s="636"/>
      <c r="GM141" s="636"/>
      <c r="GN141" s="636"/>
      <c r="GO141" s="636"/>
      <c r="GP141" s="636"/>
      <c r="GQ141" s="636"/>
      <c r="GR141" s="636"/>
      <c r="GS141" s="636"/>
      <c r="GT141" s="636"/>
      <c r="GU141" s="636"/>
      <c r="GV141" s="636"/>
      <c r="GW141" s="636"/>
      <c r="GX141" s="636"/>
      <c r="GY141" s="636"/>
      <c r="GZ141" s="636"/>
      <c r="HA141" s="636"/>
      <c r="HB141" s="636"/>
      <c r="HC141" s="636"/>
      <c r="HD141" s="636"/>
      <c r="HE141" s="636"/>
      <c r="HF141" s="636"/>
      <c r="HG141" s="636"/>
      <c r="HH141" s="636"/>
      <c r="HI141" s="636"/>
      <c r="HJ141" s="636"/>
      <c r="HK141" s="636"/>
      <c r="HL141" s="636"/>
      <c r="HM141" s="636"/>
      <c r="HN141" s="636"/>
      <c r="HO141" s="636"/>
      <c r="HP141" s="636"/>
      <c r="HQ141" s="636"/>
      <c r="HR141" s="636"/>
      <c r="HS141" s="636"/>
      <c r="HT141" s="636"/>
      <c r="HU141" s="636"/>
      <c r="HV141" s="636"/>
      <c r="HW141" s="636"/>
      <c r="HX141" s="636"/>
      <c r="HY141" s="636"/>
      <c r="HZ141" s="636"/>
      <c r="IA141" s="636"/>
      <c r="IB141" s="636"/>
      <c r="IC141" s="636"/>
      <c r="ID141" s="636"/>
      <c r="IE141" s="636"/>
      <c r="IF141" s="636"/>
      <c r="IG141" s="636"/>
      <c r="IH141" s="636"/>
      <c r="II141" s="636"/>
      <c r="IJ141" s="636"/>
      <c r="IK141" s="636"/>
      <c r="IL141" s="636"/>
      <c r="IM141" s="636"/>
      <c r="IN141" s="636"/>
      <c r="IO141" s="636"/>
      <c r="IP141" s="636"/>
      <c r="IQ141" s="636"/>
      <c r="IR141" s="636"/>
      <c r="IS141" s="636"/>
      <c r="IT141" s="636"/>
      <c r="IU141" s="636"/>
      <c r="IV141" s="636"/>
    </row>
    <row r="142" spans="1:256" s="604" customFormat="1" ht="27" customHeight="1">
      <c r="A142" s="595"/>
      <c r="B142" s="596"/>
      <c r="C142" s="597"/>
      <c r="D142" s="599" t="s">
        <v>5192</v>
      </c>
      <c r="E142" s="599"/>
      <c r="F142" s="600"/>
      <c r="G142" s="289"/>
      <c r="H142" s="601"/>
      <c r="I142" s="602"/>
      <c r="J142" s="603"/>
      <c r="U142" s="605"/>
      <c r="W142" s="605"/>
    </row>
    <row r="143" spans="1:256" s="612" customFormat="1" ht="67.5" customHeight="1">
      <c r="A143" s="629"/>
      <c r="B143" s="630"/>
      <c r="C143" s="631"/>
      <c r="D143" s="584" t="s">
        <v>310</v>
      </c>
      <c r="E143" s="632"/>
      <c r="F143" s="633"/>
      <c r="G143" s="697"/>
      <c r="H143" s="634"/>
      <c r="I143" s="635"/>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36"/>
      <c r="BI143" s="636"/>
      <c r="BJ143" s="636"/>
      <c r="BK143" s="636"/>
      <c r="BL143" s="636"/>
      <c r="BM143" s="636"/>
      <c r="BN143" s="636"/>
      <c r="BO143" s="636"/>
      <c r="BP143" s="636"/>
      <c r="BQ143" s="636"/>
      <c r="BR143" s="636"/>
      <c r="BS143" s="636"/>
      <c r="BT143" s="636"/>
      <c r="BU143" s="636"/>
      <c r="BV143" s="636"/>
      <c r="BW143" s="636"/>
      <c r="BX143" s="636"/>
      <c r="BY143" s="636"/>
      <c r="BZ143" s="636"/>
      <c r="CA143" s="636"/>
      <c r="CB143" s="636"/>
      <c r="CC143" s="636"/>
      <c r="CD143" s="636"/>
      <c r="CE143" s="636"/>
      <c r="CF143" s="636"/>
      <c r="CG143" s="636"/>
      <c r="CH143" s="636"/>
      <c r="CI143" s="636"/>
      <c r="CJ143" s="636"/>
      <c r="CK143" s="636"/>
      <c r="CL143" s="636"/>
      <c r="CM143" s="636"/>
      <c r="CN143" s="636"/>
      <c r="CO143" s="636"/>
      <c r="CP143" s="636"/>
      <c r="CQ143" s="636"/>
      <c r="CR143" s="636"/>
      <c r="CS143" s="636"/>
      <c r="CT143" s="636"/>
      <c r="CU143" s="636"/>
      <c r="CV143" s="636"/>
      <c r="CW143" s="636"/>
      <c r="CX143" s="636"/>
      <c r="CY143" s="636"/>
      <c r="CZ143" s="636"/>
      <c r="DA143" s="636"/>
      <c r="DB143" s="636"/>
      <c r="DC143" s="636"/>
      <c r="DD143" s="636"/>
      <c r="DE143" s="636"/>
      <c r="DF143" s="636"/>
      <c r="DG143" s="636"/>
      <c r="DH143" s="636"/>
      <c r="DI143" s="636"/>
      <c r="DJ143" s="636"/>
      <c r="DK143" s="636"/>
      <c r="DL143" s="636"/>
      <c r="DM143" s="636"/>
      <c r="DN143" s="636"/>
      <c r="DO143" s="636"/>
      <c r="DP143" s="636"/>
      <c r="DQ143" s="636"/>
      <c r="DR143" s="636"/>
      <c r="DS143" s="636"/>
      <c r="DT143" s="636"/>
      <c r="DU143" s="636"/>
      <c r="DV143" s="636"/>
      <c r="DW143" s="636"/>
      <c r="DX143" s="636"/>
      <c r="DY143" s="636"/>
      <c r="DZ143" s="636"/>
      <c r="EA143" s="636"/>
      <c r="EB143" s="636"/>
      <c r="EC143" s="636"/>
      <c r="ED143" s="636"/>
      <c r="EE143" s="636"/>
      <c r="EF143" s="636"/>
      <c r="EG143" s="636"/>
      <c r="EH143" s="636"/>
      <c r="EI143" s="636"/>
      <c r="EJ143" s="636"/>
      <c r="EK143" s="636"/>
      <c r="EL143" s="636"/>
      <c r="EM143" s="636"/>
      <c r="EN143" s="636"/>
      <c r="EO143" s="636"/>
      <c r="EP143" s="636"/>
      <c r="EQ143" s="636"/>
      <c r="ER143" s="636"/>
      <c r="ES143" s="636"/>
      <c r="ET143" s="636"/>
      <c r="EU143" s="636"/>
      <c r="EV143" s="636"/>
      <c r="EW143" s="636"/>
      <c r="EX143" s="636"/>
      <c r="EY143" s="636"/>
      <c r="EZ143" s="636"/>
      <c r="FA143" s="636"/>
      <c r="FB143" s="636"/>
      <c r="FC143" s="636"/>
      <c r="FD143" s="636"/>
      <c r="FE143" s="636"/>
      <c r="FF143" s="636"/>
      <c r="FG143" s="636"/>
      <c r="FH143" s="636"/>
      <c r="FI143" s="636"/>
      <c r="FJ143" s="636"/>
      <c r="FK143" s="636"/>
      <c r="FL143" s="636"/>
      <c r="FM143" s="636"/>
      <c r="FN143" s="636"/>
      <c r="FO143" s="636"/>
      <c r="FP143" s="636"/>
      <c r="FQ143" s="636"/>
      <c r="FR143" s="636"/>
      <c r="FS143" s="636"/>
      <c r="FT143" s="636"/>
      <c r="FU143" s="636"/>
      <c r="FV143" s="636"/>
      <c r="FW143" s="636"/>
      <c r="FX143" s="636"/>
      <c r="FY143" s="636"/>
      <c r="FZ143" s="636"/>
      <c r="GA143" s="636"/>
      <c r="GB143" s="636"/>
      <c r="GC143" s="636"/>
      <c r="GD143" s="636"/>
      <c r="GE143" s="636"/>
      <c r="GF143" s="636"/>
      <c r="GG143" s="636"/>
      <c r="GH143" s="636"/>
      <c r="GI143" s="636"/>
      <c r="GJ143" s="636"/>
      <c r="GK143" s="636"/>
      <c r="GL143" s="636"/>
      <c r="GM143" s="636"/>
      <c r="GN143" s="636"/>
      <c r="GO143" s="636"/>
      <c r="GP143" s="636"/>
      <c r="GQ143" s="636"/>
      <c r="GR143" s="636"/>
      <c r="GS143" s="636"/>
      <c r="GT143" s="636"/>
      <c r="GU143" s="636"/>
      <c r="GV143" s="636"/>
      <c r="GW143" s="636"/>
      <c r="GX143" s="636"/>
      <c r="GY143" s="636"/>
      <c r="GZ143" s="636"/>
      <c r="HA143" s="636"/>
      <c r="HB143" s="636"/>
      <c r="HC143" s="636"/>
      <c r="HD143" s="636"/>
      <c r="HE143" s="636"/>
      <c r="HF143" s="636"/>
      <c r="HG143" s="636"/>
      <c r="HH143" s="636"/>
      <c r="HI143" s="636"/>
      <c r="HJ143" s="636"/>
      <c r="HK143" s="636"/>
      <c r="HL143" s="636"/>
      <c r="HM143" s="636"/>
      <c r="HN143" s="636"/>
      <c r="HO143" s="636"/>
      <c r="HP143" s="636"/>
      <c r="HQ143" s="636"/>
      <c r="HR143" s="636"/>
      <c r="HS143" s="636"/>
      <c r="HT143" s="636"/>
      <c r="HU143" s="636"/>
      <c r="HV143" s="636"/>
      <c r="HW143" s="636"/>
      <c r="HX143" s="636"/>
      <c r="HY143" s="636"/>
      <c r="HZ143" s="636"/>
      <c r="IA143" s="636"/>
      <c r="IB143" s="636"/>
      <c r="IC143" s="636"/>
      <c r="ID143" s="636"/>
      <c r="IE143" s="636"/>
      <c r="IF143" s="636"/>
      <c r="IG143" s="636"/>
      <c r="IH143" s="636"/>
      <c r="II143" s="636"/>
      <c r="IJ143" s="636"/>
      <c r="IK143" s="636"/>
      <c r="IL143" s="636"/>
      <c r="IM143" s="636"/>
      <c r="IN143" s="636"/>
      <c r="IO143" s="636"/>
      <c r="IP143" s="636"/>
      <c r="IQ143" s="636"/>
      <c r="IR143" s="636"/>
      <c r="IS143" s="636"/>
      <c r="IT143" s="636"/>
      <c r="IU143" s="636"/>
      <c r="IV143" s="636"/>
    </row>
    <row r="144" spans="1:256" s="612" customFormat="1" ht="13.5" customHeight="1">
      <c r="A144" s="608">
        <v>44</v>
      </c>
      <c r="B144" s="557">
        <v>271</v>
      </c>
      <c r="C144" s="557" t="s">
        <v>5193</v>
      </c>
      <c r="D144" s="557" t="s">
        <v>5194</v>
      </c>
      <c r="E144" s="557" t="s">
        <v>49</v>
      </c>
      <c r="F144" s="2897">
        <f>ROUND(SUM(F145),3)</f>
        <v>1</v>
      </c>
      <c r="G144" s="301"/>
      <c r="H144" s="568">
        <f>ROUND(F144*G144,2)</f>
        <v>0</v>
      </c>
      <c r="I144" s="3000" t="s">
        <v>111</v>
      </c>
      <c r="J144" s="3019"/>
      <c r="K144" s="783"/>
      <c r="L144" s="621"/>
      <c r="M144" s="621"/>
      <c r="N144" s="621"/>
      <c r="O144" s="621"/>
      <c r="P144" s="621"/>
      <c r="Q144" s="621"/>
    </row>
    <row r="145" spans="1:256" s="612" customFormat="1" ht="13.5" customHeight="1">
      <c r="A145" s="608"/>
      <c r="B145" s="557"/>
      <c r="C145" s="622"/>
      <c r="D145" s="599" t="s">
        <v>5195</v>
      </c>
      <c r="E145" s="622"/>
      <c r="F145" s="623">
        <v>1</v>
      </c>
      <c r="G145" s="349"/>
      <c r="H145" s="624"/>
      <c r="I145" s="625"/>
    </row>
    <row r="146" spans="1:256" s="612" customFormat="1" ht="40.5" customHeight="1">
      <c r="A146" s="608"/>
      <c r="B146" s="557"/>
      <c r="C146" s="622"/>
      <c r="D146" s="599" t="s">
        <v>5196</v>
      </c>
      <c r="E146" s="622"/>
      <c r="F146" s="623"/>
      <c r="G146" s="349"/>
      <c r="H146" s="624"/>
      <c r="I146" s="625"/>
      <c r="K146" s="637"/>
    </row>
    <row r="147" spans="1:256" s="612" customFormat="1" ht="40.5" customHeight="1">
      <c r="A147" s="608"/>
      <c r="B147" s="557"/>
      <c r="C147" s="622"/>
      <c r="D147" s="599" t="s">
        <v>5197</v>
      </c>
      <c r="E147" s="622"/>
      <c r="F147" s="623"/>
      <c r="G147" s="349"/>
      <c r="H147" s="624"/>
      <c r="I147" s="625"/>
      <c r="J147" s="3020"/>
      <c r="K147" s="637"/>
    </row>
    <row r="148" spans="1:256" s="612" customFormat="1" ht="67.5" customHeight="1">
      <c r="A148" s="629"/>
      <c r="B148" s="630"/>
      <c r="C148" s="631"/>
      <c r="D148" s="584" t="s">
        <v>310</v>
      </c>
      <c r="E148" s="632"/>
      <c r="F148" s="633"/>
      <c r="G148" s="697"/>
      <c r="H148" s="634"/>
      <c r="I148" s="635"/>
      <c r="R148" s="636"/>
      <c r="S148" s="636"/>
      <c r="T148" s="636"/>
      <c r="U148" s="636"/>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6"/>
      <c r="AZ148" s="636"/>
      <c r="BA148" s="636"/>
      <c r="BB148" s="636"/>
      <c r="BC148" s="636"/>
      <c r="BD148" s="636"/>
      <c r="BE148" s="636"/>
      <c r="BF148" s="636"/>
      <c r="BG148" s="636"/>
      <c r="BH148" s="636"/>
      <c r="BI148" s="636"/>
      <c r="BJ148" s="636"/>
      <c r="BK148" s="636"/>
      <c r="BL148" s="636"/>
      <c r="BM148" s="636"/>
      <c r="BN148" s="636"/>
      <c r="BO148" s="636"/>
      <c r="BP148" s="636"/>
      <c r="BQ148" s="636"/>
      <c r="BR148" s="636"/>
      <c r="BS148" s="636"/>
      <c r="BT148" s="636"/>
      <c r="BU148" s="636"/>
      <c r="BV148" s="636"/>
      <c r="BW148" s="636"/>
      <c r="BX148" s="636"/>
      <c r="BY148" s="636"/>
      <c r="BZ148" s="636"/>
      <c r="CA148" s="636"/>
      <c r="CB148" s="636"/>
      <c r="CC148" s="636"/>
      <c r="CD148" s="636"/>
      <c r="CE148" s="636"/>
      <c r="CF148" s="636"/>
      <c r="CG148" s="636"/>
      <c r="CH148" s="636"/>
      <c r="CI148" s="636"/>
      <c r="CJ148" s="636"/>
      <c r="CK148" s="636"/>
      <c r="CL148" s="636"/>
      <c r="CM148" s="636"/>
      <c r="CN148" s="636"/>
      <c r="CO148" s="636"/>
      <c r="CP148" s="636"/>
      <c r="CQ148" s="636"/>
      <c r="CR148" s="636"/>
      <c r="CS148" s="636"/>
      <c r="CT148" s="636"/>
      <c r="CU148" s="636"/>
      <c r="CV148" s="636"/>
      <c r="CW148" s="636"/>
      <c r="CX148" s="636"/>
      <c r="CY148" s="636"/>
      <c r="CZ148" s="636"/>
      <c r="DA148" s="636"/>
      <c r="DB148" s="636"/>
      <c r="DC148" s="636"/>
      <c r="DD148" s="636"/>
      <c r="DE148" s="636"/>
      <c r="DF148" s="636"/>
      <c r="DG148" s="636"/>
      <c r="DH148" s="636"/>
      <c r="DI148" s="636"/>
      <c r="DJ148" s="636"/>
      <c r="DK148" s="636"/>
      <c r="DL148" s="636"/>
      <c r="DM148" s="636"/>
      <c r="DN148" s="636"/>
      <c r="DO148" s="636"/>
      <c r="DP148" s="636"/>
      <c r="DQ148" s="636"/>
      <c r="DR148" s="636"/>
      <c r="DS148" s="636"/>
      <c r="DT148" s="636"/>
      <c r="DU148" s="636"/>
      <c r="DV148" s="636"/>
      <c r="DW148" s="636"/>
      <c r="DX148" s="636"/>
      <c r="DY148" s="636"/>
      <c r="DZ148" s="636"/>
      <c r="EA148" s="636"/>
      <c r="EB148" s="636"/>
      <c r="EC148" s="636"/>
      <c r="ED148" s="636"/>
      <c r="EE148" s="636"/>
      <c r="EF148" s="636"/>
      <c r="EG148" s="636"/>
      <c r="EH148" s="636"/>
      <c r="EI148" s="636"/>
      <c r="EJ148" s="636"/>
      <c r="EK148" s="636"/>
      <c r="EL148" s="636"/>
      <c r="EM148" s="636"/>
      <c r="EN148" s="636"/>
      <c r="EO148" s="636"/>
      <c r="EP148" s="636"/>
      <c r="EQ148" s="636"/>
      <c r="ER148" s="636"/>
      <c r="ES148" s="636"/>
      <c r="ET148" s="636"/>
      <c r="EU148" s="636"/>
      <c r="EV148" s="636"/>
      <c r="EW148" s="636"/>
      <c r="EX148" s="636"/>
      <c r="EY148" s="636"/>
      <c r="EZ148" s="636"/>
      <c r="FA148" s="636"/>
      <c r="FB148" s="636"/>
      <c r="FC148" s="636"/>
      <c r="FD148" s="636"/>
      <c r="FE148" s="636"/>
      <c r="FF148" s="636"/>
      <c r="FG148" s="636"/>
      <c r="FH148" s="636"/>
      <c r="FI148" s="636"/>
      <c r="FJ148" s="636"/>
      <c r="FK148" s="636"/>
      <c r="FL148" s="636"/>
      <c r="FM148" s="636"/>
      <c r="FN148" s="636"/>
      <c r="FO148" s="636"/>
      <c r="FP148" s="636"/>
      <c r="FQ148" s="636"/>
      <c r="FR148" s="636"/>
      <c r="FS148" s="636"/>
      <c r="FT148" s="636"/>
      <c r="FU148" s="636"/>
      <c r="FV148" s="636"/>
      <c r="FW148" s="636"/>
      <c r="FX148" s="636"/>
      <c r="FY148" s="636"/>
      <c r="FZ148" s="636"/>
      <c r="GA148" s="636"/>
      <c r="GB148" s="636"/>
      <c r="GC148" s="636"/>
      <c r="GD148" s="636"/>
      <c r="GE148" s="636"/>
      <c r="GF148" s="636"/>
      <c r="GG148" s="636"/>
      <c r="GH148" s="636"/>
      <c r="GI148" s="636"/>
      <c r="GJ148" s="636"/>
      <c r="GK148" s="636"/>
      <c r="GL148" s="636"/>
      <c r="GM148" s="636"/>
      <c r="GN148" s="636"/>
      <c r="GO148" s="636"/>
      <c r="GP148" s="636"/>
      <c r="GQ148" s="636"/>
      <c r="GR148" s="636"/>
      <c r="GS148" s="636"/>
      <c r="GT148" s="636"/>
      <c r="GU148" s="636"/>
      <c r="GV148" s="636"/>
      <c r="GW148" s="636"/>
      <c r="GX148" s="636"/>
      <c r="GY148" s="636"/>
      <c r="GZ148" s="636"/>
      <c r="HA148" s="636"/>
      <c r="HB148" s="636"/>
      <c r="HC148" s="636"/>
      <c r="HD148" s="636"/>
      <c r="HE148" s="636"/>
      <c r="HF148" s="636"/>
      <c r="HG148" s="636"/>
      <c r="HH148" s="636"/>
      <c r="HI148" s="636"/>
      <c r="HJ148" s="636"/>
      <c r="HK148" s="636"/>
      <c r="HL148" s="636"/>
      <c r="HM148" s="636"/>
      <c r="HN148" s="636"/>
      <c r="HO148" s="636"/>
      <c r="HP148" s="636"/>
      <c r="HQ148" s="636"/>
      <c r="HR148" s="636"/>
      <c r="HS148" s="636"/>
      <c r="HT148" s="636"/>
      <c r="HU148" s="636"/>
      <c r="HV148" s="636"/>
      <c r="HW148" s="636"/>
      <c r="HX148" s="636"/>
      <c r="HY148" s="636"/>
      <c r="HZ148" s="636"/>
      <c r="IA148" s="636"/>
      <c r="IB148" s="636"/>
      <c r="IC148" s="636"/>
      <c r="ID148" s="636"/>
      <c r="IE148" s="636"/>
      <c r="IF148" s="636"/>
      <c r="IG148" s="636"/>
      <c r="IH148" s="636"/>
      <c r="II148" s="636"/>
      <c r="IJ148" s="636"/>
      <c r="IK148" s="636"/>
      <c r="IL148" s="636"/>
      <c r="IM148" s="636"/>
      <c r="IN148" s="636"/>
      <c r="IO148" s="636"/>
      <c r="IP148" s="636"/>
      <c r="IQ148" s="636"/>
      <c r="IR148" s="636"/>
      <c r="IS148" s="636"/>
      <c r="IT148" s="636"/>
      <c r="IU148" s="636"/>
      <c r="IV148" s="636"/>
    </row>
    <row r="149" spans="1:256" s="612" customFormat="1" ht="13.5" customHeight="1">
      <c r="A149" s="608">
        <v>45</v>
      </c>
      <c r="B149" s="557">
        <v>271</v>
      </c>
      <c r="C149" s="557" t="s">
        <v>5198</v>
      </c>
      <c r="D149" s="557" t="s">
        <v>5199</v>
      </c>
      <c r="E149" s="557" t="s">
        <v>141</v>
      </c>
      <c r="F149" s="2905">
        <f>ROUND(SUM(F151:F152),3)</f>
        <v>252</v>
      </c>
      <c r="G149" s="301"/>
      <c r="H149" s="568">
        <f t="shared" ref="H149" si="34">ROUND(F149*G149,2)</f>
        <v>0</v>
      </c>
      <c r="I149" s="3000" t="s">
        <v>111</v>
      </c>
      <c r="J149" s="829"/>
      <c r="K149" s="650"/>
      <c r="L149" s="829"/>
      <c r="M149" s="638"/>
      <c r="N149" s="3021"/>
      <c r="O149" s="3022"/>
      <c r="P149" s="643"/>
      <c r="Q149" s="1083"/>
      <c r="R149" s="645"/>
      <c r="T149" s="3021"/>
      <c r="U149" s="647"/>
      <c r="V149" s="648"/>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c r="BA149" s="647"/>
      <c r="BB149" s="647"/>
      <c r="BC149" s="647"/>
      <c r="BD149" s="647"/>
      <c r="BE149" s="647"/>
      <c r="BF149" s="647"/>
      <c r="BG149" s="647"/>
      <c r="BH149" s="647"/>
      <c r="BI149" s="647"/>
      <c r="BJ149" s="647"/>
      <c r="BK149" s="647"/>
      <c r="BL149" s="647"/>
      <c r="BM149" s="647"/>
      <c r="BN149" s="647"/>
      <c r="BO149" s="647"/>
      <c r="BP149" s="647"/>
      <c r="BQ149" s="647"/>
      <c r="BR149" s="647"/>
      <c r="BS149" s="647"/>
      <c r="BT149" s="647"/>
      <c r="BU149" s="647"/>
      <c r="BV149" s="647"/>
      <c r="BW149" s="647"/>
      <c r="BX149" s="647"/>
      <c r="BY149" s="647"/>
      <c r="BZ149" s="647"/>
      <c r="CA149" s="647"/>
      <c r="CB149" s="647"/>
      <c r="CC149" s="647"/>
      <c r="CD149" s="647"/>
      <c r="CE149" s="647"/>
      <c r="CF149" s="647"/>
      <c r="CG149" s="647"/>
      <c r="CH149" s="647"/>
      <c r="CI149" s="647"/>
      <c r="CJ149" s="647"/>
      <c r="CK149" s="647"/>
      <c r="CL149" s="647"/>
      <c r="CM149" s="647"/>
      <c r="CN149" s="647"/>
      <c r="CO149" s="647"/>
      <c r="CP149" s="647"/>
      <c r="CQ149" s="647"/>
      <c r="CR149" s="647"/>
      <c r="CS149" s="647"/>
      <c r="CT149" s="647"/>
      <c r="CU149" s="647"/>
      <c r="CV149" s="647"/>
      <c r="CW149" s="647"/>
      <c r="CX149" s="647"/>
      <c r="CY149" s="647"/>
      <c r="CZ149" s="647"/>
      <c r="DA149" s="647"/>
      <c r="DB149" s="647"/>
      <c r="DC149" s="647"/>
      <c r="DD149" s="647"/>
      <c r="DE149" s="647"/>
      <c r="DF149" s="647"/>
      <c r="DG149" s="647"/>
      <c r="DH149" s="647"/>
      <c r="DI149" s="647"/>
      <c r="DJ149" s="647"/>
      <c r="DK149" s="647"/>
      <c r="DL149" s="647"/>
      <c r="DM149" s="647"/>
      <c r="DN149" s="647"/>
      <c r="DO149" s="647"/>
      <c r="DP149" s="647"/>
      <c r="DQ149" s="647"/>
      <c r="DR149" s="647"/>
      <c r="DS149" s="647"/>
      <c r="DT149" s="647"/>
      <c r="DU149" s="647"/>
      <c r="DV149" s="647"/>
      <c r="DW149" s="647"/>
      <c r="DX149" s="647"/>
      <c r="DY149" s="647"/>
      <c r="DZ149" s="647"/>
      <c r="EA149" s="647"/>
      <c r="EB149" s="647"/>
      <c r="EC149" s="647"/>
      <c r="ED149" s="647"/>
      <c r="EE149" s="647"/>
      <c r="EF149" s="647"/>
      <c r="EG149" s="647"/>
      <c r="EH149" s="647"/>
      <c r="EI149" s="647"/>
      <c r="EJ149" s="647"/>
      <c r="EK149" s="647"/>
      <c r="EL149" s="647"/>
      <c r="EM149" s="647"/>
      <c r="EN149" s="647"/>
      <c r="EO149" s="647"/>
      <c r="EP149" s="647"/>
      <c r="EQ149" s="647"/>
      <c r="ER149" s="647"/>
      <c r="ES149" s="647"/>
      <c r="ET149" s="647"/>
      <c r="EU149" s="647"/>
      <c r="EV149" s="647"/>
      <c r="EW149" s="647"/>
      <c r="EX149" s="647"/>
      <c r="EY149" s="647"/>
      <c r="EZ149" s="647"/>
      <c r="FA149" s="647"/>
      <c r="FB149" s="647"/>
      <c r="FC149" s="647"/>
      <c r="FD149" s="647"/>
      <c r="FE149" s="647"/>
      <c r="FF149" s="647"/>
      <c r="FG149" s="647"/>
      <c r="FH149" s="647"/>
      <c r="FI149" s="647"/>
      <c r="FJ149" s="647"/>
      <c r="FK149" s="647"/>
      <c r="FL149" s="647"/>
      <c r="FM149" s="647"/>
      <c r="FN149" s="647"/>
      <c r="FO149" s="647"/>
      <c r="FP149" s="647"/>
      <c r="FQ149" s="647"/>
      <c r="FR149" s="647"/>
      <c r="FS149" s="647"/>
      <c r="FT149" s="647"/>
      <c r="FU149" s="647"/>
      <c r="FV149" s="647"/>
      <c r="FW149" s="647"/>
      <c r="FX149" s="647"/>
      <c r="FY149" s="647"/>
      <c r="FZ149" s="647"/>
      <c r="GA149" s="647"/>
      <c r="GB149" s="647"/>
      <c r="GC149" s="647"/>
      <c r="GD149" s="647"/>
      <c r="GE149" s="647"/>
      <c r="GF149" s="647"/>
      <c r="GG149" s="647"/>
      <c r="GH149" s="647"/>
      <c r="GI149" s="647"/>
      <c r="GJ149" s="647"/>
      <c r="GK149" s="647"/>
      <c r="GL149" s="647"/>
      <c r="GM149" s="647"/>
      <c r="GN149" s="647"/>
      <c r="GO149" s="647"/>
      <c r="GP149" s="647"/>
      <c r="GQ149" s="647"/>
      <c r="GR149" s="647"/>
      <c r="GS149" s="647"/>
      <c r="GT149" s="647"/>
      <c r="GU149" s="647"/>
      <c r="GV149" s="647"/>
      <c r="GW149" s="647"/>
      <c r="GX149" s="647"/>
      <c r="GY149" s="647"/>
      <c r="GZ149" s="647"/>
      <c r="HA149" s="647"/>
      <c r="HB149" s="647"/>
      <c r="HC149" s="647"/>
      <c r="HD149" s="647"/>
      <c r="HE149" s="647"/>
      <c r="HF149" s="647"/>
      <c r="HG149" s="647"/>
      <c r="HH149" s="647"/>
      <c r="HI149" s="647"/>
      <c r="HJ149" s="647"/>
      <c r="HK149" s="647"/>
      <c r="HL149" s="647"/>
      <c r="HM149" s="647"/>
      <c r="HN149" s="647"/>
      <c r="HO149" s="647"/>
      <c r="HP149" s="647"/>
      <c r="HQ149" s="647"/>
      <c r="HR149" s="647"/>
      <c r="HS149" s="647"/>
      <c r="HT149" s="647"/>
      <c r="HU149" s="647"/>
      <c r="HV149" s="647"/>
      <c r="HW149" s="647"/>
      <c r="HX149" s="647"/>
      <c r="HY149" s="647"/>
      <c r="HZ149" s="647"/>
      <c r="IA149" s="647"/>
      <c r="IB149" s="647"/>
      <c r="IC149" s="647"/>
      <c r="ID149" s="647"/>
      <c r="IE149" s="647"/>
      <c r="IF149" s="647"/>
      <c r="IG149" s="647"/>
      <c r="IH149" s="647"/>
      <c r="II149" s="647"/>
      <c r="IJ149" s="647"/>
      <c r="IK149" s="647"/>
      <c r="IL149" s="647"/>
      <c r="IM149" s="647"/>
      <c r="IN149" s="647"/>
      <c r="IO149" s="647"/>
      <c r="IP149" s="647"/>
      <c r="IQ149" s="647"/>
      <c r="IR149" s="647"/>
      <c r="IS149" s="647"/>
      <c r="IT149" s="647"/>
      <c r="IU149" s="647"/>
      <c r="IV149" s="647"/>
    </row>
    <row r="150" spans="1:256" s="612" customFormat="1" ht="13.5" customHeight="1">
      <c r="A150" s="608"/>
      <c r="B150" s="557"/>
      <c r="C150" s="557"/>
      <c r="D150" s="599" t="s">
        <v>5200</v>
      </c>
      <c r="E150" s="557"/>
      <c r="F150" s="600"/>
      <c r="G150" s="301"/>
      <c r="H150" s="620"/>
      <c r="I150" s="3023"/>
      <c r="J150" s="3021"/>
      <c r="K150" s="638"/>
      <c r="L150" s="3021"/>
      <c r="M150" s="3022"/>
      <c r="N150" s="643"/>
      <c r="O150" s="1083"/>
      <c r="P150" s="645"/>
      <c r="R150" s="3021"/>
      <c r="S150" s="651"/>
      <c r="T150" s="646"/>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7"/>
      <c r="AX150" s="647"/>
      <c r="AY150" s="647"/>
      <c r="AZ150" s="647"/>
      <c r="BA150" s="647"/>
      <c r="BB150" s="647"/>
      <c r="BC150" s="647"/>
      <c r="BD150" s="647"/>
      <c r="BE150" s="647"/>
      <c r="BF150" s="647"/>
      <c r="BG150" s="647"/>
      <c r="BH150" s="647"/>
      <c r="BI150" s="647"/>
      <c r="BJ150" s="647"/>
      <c r="BK150" s="647"/>
      <c r="BL150" s="647"/>
      <c r="BM150" s="647"/>
      <c r="BN150" s="647"/>
      <c r="BO150" s="647"/>
      <c r="BP150" s="647"/>
      <c r="BQ150" s="647"/>
      <c r="BR150" s="647"/>
      <c r="BS150" s="647"/>
      <c r="BT150" s="647"/>
      <c r="BU150" s="647"/>
      <c r="BV150" s="647"/>
      <c r="BW150" s="647"/>
      <c r="BX150" s="647"/>
      <c r="BY150" s="647"/>
      <c r="BZ150" s="647"/>
      <c r="CA150" s="647"/>
      <c r="CB150" s="647"/>
      <c r="CC150" s="647"/>
      <c r="CD150" s="647"/>
      <c r="CE150" s="647"/>
      <c r="CF150" s="647"/>
      <c r="CG150" s="647"/>
      <c r="CH150" s="647"/>
      <c r="CI150" s="647"/>
      <c r="CJ150" s="647"/>
      <c r="CK150" s="647"/>
      <c r="CL150" s="647"/>
      <c r="CM150" s="647"/>
      <c r="CN150" s="647"/>
      <c r="CO150" s="647"/>
      <c r="CP150" s="647"/>
      <c r="CQ150" s="647"/>
      <c r="CR150" s="647"/>
      <c r="CS150" s="647"/>
      <c r="CT150" s="647"/>
      <c r="CU150" s="647"/>
      <c r="CV150" s="647"/>
      <c r="CW150" s="647"/>
      <c r="CX150" s="647"/>
      <c r="CY150" s="647"/>
      <c r="CZ150" s="647"/>
      <c r="DA150" s="647"/>
      <c r="DB150" s="647"/>
      <c r="DC150" s="647"/>
      <c r="DD150" s="647"/>
      <c r="DE150" s="647"/>
      <c r="DF150" s="647"/>
      <c r="DG150" s="647"/>
      <c r="DH150" s="647"/>
      <c r="DI150" s="647"/>
      <c r="DJ150" s="647"/>
      <c r="DK150" s="647"/>
      <c r="DL150" s="647"/>
      <c r="DM150" s="647"/>
      <c r="DN150" s="647"/>
      <c r="DO150" s="647"/>
      <c r="DP150" s="647"/>
      <c r="DQ150" s="647"/>
      <c r="DR150" s="647"/>
      <c r="DS150" s="647"/>
      <c r="DT150" s="647"/>
      <c r="DU150" s="647"/>
      <c r="DV150" s="647"/>
      <c r="DW150" s="647"/>
      <c r="DX150" s="647"/>
      <c r="DY150" s="647"/>
      <c r="DZ150" s="647"/>
      <c r="EA150" s="647"/>
      <c r="EB150" s="647"/>
      <c r="EC150" s="647"/>
      <c r="ED150" s="647"/>
      <c r="EE150" s="647"/>
      <c r="EF150" s="647"/>
      <c r="EG150" s="647"/>
      <c r="EH150" s="647"/>
      <c r="EI150" s="647"/>
      <c r="EJ150" s="647"/>
      <c r="EK150" s="647"/>
      <c r="EL150" s="647"/>
      <c r="EM150" s="647"/>
      <c r="EN150" s="647"/>
      <c r="EO150" s="647"/>
      <c r="EP150" s="647"/>
      <c r="EQ150" s="647"/>
      <c r="ER150" s="647"/>
      <c r="ES150" s="647"/>
      <c r="ET150" s="647"/>
      <c r="EU150" s="647"/>
      <c r="EV150" s="647"/>
      <c r="EW150" s="647"/>
      <c r="EX150" s="647"/>
      <c r="EY150" s="647"/>
      <c r="EZ150" s="647"/>
      <c r="FA150" s="647"/>
      <c r="FB150" s="647"/>
      <c r="FC150" s="647"/>
      <c r="FD150" s="647"/>
      <c r="FE150" s="647"/>
      <c r="FF150" s="647"/>
      <c r="FG150" s="647"/>
      <c r="FH150" s="647"/>
      <c r="FI150" s="647"/>
      <c r="FJ150" s="647"/>
      <c r="FK150" s="647"/>
      <c r="FL150" s="647"/>
      <c r="FM150" s="647"/>
      <c r="FN150" s="647"/>
      <c r="FO150" s="647"/>
      <c r="FP150" s="647"/>
      <c r="FQ150" s="647"/>
      <c r="FR150" s="647"/>
      <c r="FS150" s="647"/>
      <c r="FT150" s="647"/>
      <c r="FU150" s="647"/>
      <c r="FV150" s="647"/>
      <c r="FW150" s="647"/>
      <c r="FX150" s="647"/>
      <c r="FY150" s="647"/>
      <c r="FZ150" s="647"/>
      <c r="GA150" s="647"/>
      <c r="GB150" s="647"/>
      <c r="GC150" s="647"/>
      <c r="GD150" s="647"/>
      <c r="GE150" s="647"/>
      <c r="GF150" s="647"/>
      <c r="GG150" s="647"/>
      <c r="GH150" s="647"/>
      <c r="GI150" s="647"/>
      <c r="GJ150" s="647"/>
      <c r="GK150" s="647"/>
      <c r="GL150" s="647"/>
      <c r="GM150" s="647"/>
      <c r="GN150" s="647"/>
      <c r="GO150" s="647"/>
      <c r="GP150" s="647"/>
      <c r="GQ150" s="647"/>
      <c r="GR150" s="647"/>
      <c r="GS150" s="647"/>
      <c r="GT150" s="647"/>
      <c r="GU150" s="647"/>
      <c r="GV150" s="647"/>
      <c r="GW150" s="647"/>
      <c r="GX150" s="647"/>
      <c r="GY150" s="647"/>
      <c r="GZ150" s="647"/>
      <c r="HA150" s="647"/>
      <c r="HB150" s="647"/>
      <c r="HC150" s="647"/>
      <c r="HD150" s="647"/>
      <c r="HE150" s="647"/>
      <c r="HF150" s="647"/>
      <c r="HG150" s="647"/>
      <c r="HH150" s="647"/>
      <c r="HI150" s="647"/>
      <c r="HJ150" s="647"/>
      <c r="HK150" s="647"/>
      <c r="HL150" s="647"/>
      <c r="HM150" s="647"/>
      <c r="HN150" s="647"/>
      <c r="HO150" s="647"/>
      <c r="HP150" s="647"/>
      <c r="HQ150" s="647"/>
      <c r="HR150" s="647"/>
      <c r="HS150" s="647"/>
      <c r="HT150" s="647"/>
      <c r="HU150" s="647"/>
      <c r="HV150" s="647"/>
      <c r="HW150" s="647"/>
      <c r="HX150" s="647"/>
      <c r="HY150" s="647"/>
      <c r="HZ150" s="647"/>
      <c r="IA150" s="647"/>
      <c r="IB150" s="647"/>
      <c r="IC150" s="647"/>
      <c r="ID150" s="647"/>
      <c r="IE150" s="647"/>
      <c r="IF150" s="647"/>
      <c r="IG150" s="647"/>
      <c r="IH150" s="647"/>
      <c r="II150" s="647"/>
      <c r="IJ150" s="647"/>
      <c r="IK150" s="647"/>
      <c r="IL150" s="647"/>
      <c r="IM150" s="647"/>
      <c r="IN150" s="647"/>
      <c r="IO150" s="647"/>
      <c r="IP150" s="647"/>
      <c r="IQ150" s="647"/>
      <c r="IR150" s="647"/>
      <c r="IS150" s="647"/>
      <c r="IT150" s="647"/>
      <c r="IU150" s="647"/>
      <c r="IV150" s="647"/>
    </row>
    <row r="151" spans="1:256" s="612" customFormat="1" ht="13.5" customHeight="1">
      <c r="A151" s="608"/>
      <c r="B151" s="557"/>
      <c r="C151" s="557"/>
      <c r="D151" s="599" t="s">
        <v>5201</v>
      </c>
      <c r="E151" s="557"/>
      <c r="F151" s="600">
        <f>(80.7)</f>
        <v>80.7</v>
      </c>
      <c r="G151" s="301"/>
      <c r="H151" s="620"/>
      <c r="I151" s="3023"/>
      <c r="K151" s="650"/>
      <c r="L151" s="641"/>
      <c r="M151" s="641"/>
      <c r="N151" s="641"/>
      <c r="O151" s="642"/>
      <c r="P151" s="643"/>
      <c r="Q151" s="644"/>
      <c r="R151" s="645"/>
      <c r="S151" s="645"/>
      <c r="T151" s="646"/>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Q151" s="647"/>
      <c r="AR151" s="647"/>
      <c r="AS151" s="647"/>
      <c r="AT151" s="647"/>
      <c r="AU151" s="647"/>
      <c r="AV151" s="647"/>
      <c r="AW151" s="647"/>
      <c r="AX151" s="647"/>
      <c r="AY151" s="647"/>
      <c r="AZ151" s="647"/>
      <c r="BA151" s="647"/>
      <c r="BB151" s="647"/>
      <c r="BC151" s="647"/>
      <c r="BD151" s="647"/>
      <c r="BE151" s="647"/>
      <c r="BF151" s="647"/>
      <c r="BG151" s="647"/>
      <c r="BH151" s="647"/>
      <c r="BI151" s="647"/>
      <c r="BJ151" s="647"/>
      <c r="BK151" s="647"/>
      <c r="BL151" s="647"/>
      <c r="BM151" s="647"/>
      <c r="BN151" s="647"/>
      <c r="BO151" s="647"/>
      <c r="BP151" s="647"/>
      <c r="BQ151" s="647"/>
      <c r="BR151" s="647"/>
      <c r="BS151" s="647"/>
      <c r="BT151" s="647"/>
      <c r="BU151" s="647"/>
      <c r="BV151" s="647"/>
      <c r="BW151" s="647"/>
      <c r="BX151" s="647"/>
      <c r="BY151" s="647"/>
      <c r="BZ151" s="647"/>
      <c r="CA151" s="647"/>
      <c r="CB151" s="647"/>
      <c r="CC151" s="647"/>
      <c r="CD151" s="647"/>
      <c r="CE151" s="647"/>
      <c r="CF151" s="647"/>
      <c r="CG151" s="647"/>
      <c r="CH151" s="647"/>
      <c r="CI151" s="647"/>
      <c r="CJ151" s="647"/>
      <c r="CK151" s="647"/>
      <c r="CL151" s="647"/>
      <c r="CM151" s="647"/>
      <c r="CN151" s="647"/>
      <c r="CO151" s="647"/>
      <c r="CP151" s="647"/>
      <c r="CQ151" s="647"/>
      <c r="CR151" s="647"/>
      <c r="CS151" s="647"/>
      <c r="CT151" s="647"/>
      <c r="CU151" s="647"/>
      <c r="CV151" s="647"/>
      <c r="CW151" s="647"/>
      <c r="CX151" s="647"/>
      <c r="CY151" s="647"/>
      <c r="CZ151" s="647"/>
      <c r="DA151" s="647"/>
      <c r="DB151" s="647"/>
      <c r="DC151" s="647"/>
      <c r="DD151" s="647"/>
      <c r="DE151" s="647"/>
      <c r="DF151" s="647"/>
      <c r="DG151" s="647"/>
      <c r="DH151" s="647"/>
      <c r="DI151" s="647"/>
      <c r="DJ151" s="647"/>
      <c r="DK151" s="647"/>
      <c r="DL151" s="647"/>
      <c r="DM151" s="647"/>
      <c r="DN151" s="647"/>
      <c r="DO151" s="647"/>
      <c r="DP151" s="647"/>
      <c r="DQ151" s="647"/>
      <c r="DR151" s="647"/>
      <c r="DS151" s="647"/>
      <c r="DT151" s="647"/>
      <c r="DU151" s="647"/>
      <c r="DV151" s="647"/>
      <c r="DW151" s="647"/>
      <c r="DX151" s="647"/>
      <c r="DY151" s="647"/>
      <c r="DZ151" s="647"/>
      <c r="EA151" s="647"/>
      <c r="EB151" s="647"/>
      <c r="EC151" s="647"/>
      <c r="ED151" s="647"/>
      <c r="EE151" s="647"/>
      <c r="EF151" s="647"/>
      <c r="EG151" s="647"/>
      <c r="EH151" s="647"/>
      <c r="EI151" s="647"/>
      <c r="EJ151" s="647"/>
      <c r="EK151" s="647"/>
      <c r="EL151" s="647"/>
      <c r="EM151" s="647"/>
      <c r="EN151" s="647"/>
      <c r="EO151" s="647"/>
      <c r="EP151" s="647"/>
      <c r="EQ151" s="647"/>
      <c r="ER151" s="647"/>
      <c r="ES151" s="647"/>
      <c r="ET151" s="647"/>
      <c r="EU151" s="647"/>
      <c r="EV151" s="647"/>
      <c r="EW151" s="647"/>
      <c r="EX151" s="647"/>
      <c r="EY151" s="647"/>
      <c r="EZ151" s="647"/>
      <c r="FA151" s="647"/>
      <c r="FB151" s="647"/>
      <c r="FC151" s="647"/>
      <c r="FD151" s="647"/>
      <c r="FE151" s="647"/>
      <c r="FF151" s="647"/>
      <c r="FG151" s="647"/>
      <c r="FH151" s="647"/>
      <c r="FI151" s="647"/>
      <c r="FJ151" s="647"/>
      <c r="FK151" s="647"/>
      <c r="FL151" s="647"/>
      <c r="FM151" s="647"/>
      <c r="FN151" s="647"/>
      <c r="FO151" s="647"/>
      <c r="FP151" s="647"/>
      <c r="FQ151" s="647"/>
      <c r="FR151" s="647"/>
      <c r="FS151" s="647"/>
      <c r="FT151" s="647"/>
      <c r="FU151" s="647"/>
      <c r="FV151" s="647"/>
      <c r="FW151" s="647"/>
      <c r="FX151" s="647"/>
      <c r="FY151" s="647"/>
      <c r="FZ151" s="647"/>
      <c r="GA151" s="647"/>
      <c r="GB151" s="647"/>
      <c r="GC151" s="647"/>
      <c r="GD151" s="647"/>
      <c r="GE151" s="647"/>
      <c r="GF151" s="647"/>
      <c r="GG151" s="647"/>
      <c r="GH151" s="647"/>
      <c r="GI151" s="647"/>
      <c r="GJ151" s="647"/>
      <c r="GK151" s="647"/>
      <c r="GL151" s="647"/>
      <c r="GM151" s="647"/>
      <c r="GN151" s="647"/>
      <c r="GO151" s="647"/>
      <c r="GP151" s="647"/>
      <c r="GQ151" s="647"/>
      <c r="GR151" s="647"/>
      <c r="GS151" s="647"/>
      <c r="GT151" s="647"/>
      <c r="GU151" s="647"/>
      <c r="GV151" s="647"/>
      <c r="GW151" s="647"/>
      <c r="GX151" s="647"/>
      <c r="GY151" s="647"/>
      <c r="GZ151" s="647"/>
      <c r="HA151" s="647"/>
      <c r="HB151" s="647"/>
      <c r="HC151" s="647"/>
      <c r="HD151" s="647"/>
      <c r="HE151" s="647"/>
      <c r="HF151" s="647"/>
      <c r="HG151" s="647"/>
      <c r="HH151" s="647"/>
      <c r="HI151" s="647"/>
      <c r="HJ151" s="647"/>
      <c r="HK151" s="647"/>
      <c r="HL151" s="647"/>
      <c r="HM151" s="647"/>
      <c r="HN151" s="647"/>
      <c r="HO151" s="647"/>
      <c r="HP151" s="647"/>
      <c r="HQ151" s="647"/>
      <c r="HR151" s="647"/>
      <c r="HS151" s="647"/>
      <c r="HT151" s="647"/>
      <c r="HU151" s="647"/>
      <c r="HV151" s="647"/>
      <c r="HW151" s="647"/>
      <c r="HX151" s="647"/>
      <c r="HY151" s="647"/>
      <c r="HZ151" s="647"/>
      <c r="IA151" s="647"/>
      <c r="IB151" s="647"/>
      <c r="IC151" s="647"/>
      <c r="ID151" s="647"/>
      <c r="IE151" s="647"/>
      <c r="IF151" s="647"/>
      <c r="IG151" s="647"/>
      <c r="IH151" s="647"/>
      <c r="II151" s="647"/>
      <c r="IJ151" s="647"/>
      <c r="IK151" s="647"/>
      <c r="IL151" s="647"/>
      <c r="IM151" s="647"/>
      <c r="IN151" s="647"/>
      <c r="IO151" s="647"/>
      <c r="IP151" s="647"/>
      <c r="IQ151" s="647"/>
      <c r="IR151" s="647"/>
      <c r="IS151" s="647"/>
      <c r="IT151" s="647"/>
      <c r="IU151" s="647"/>
      <c r="IV151" s="647"/>
    </row>
    <row r="152" spans="1:256" s="612" customFormat="1" ht="27" customHeight="1">
      <c r="A152" s="608"/>
      <c r="B152" s="557"/>
      <c r="C152" s="557"/>
      <c r="D152" s="599" t="s">
        <v>5202</v>
      </c>
      <c r="E152" s="557"/>
      <c r="F152" s="600">
        <f>(24.4+24.7+1.5+8.3+21.5+12.6+2.5+69.8+3.7+2.3)</f>
        <v>171.29999999999998</v>
      </c>
      <c r="G152" s="301"/>
      <c r="H152" s="620"/>
      <c r="I152" s="3023"/>
      <c r="K152" s="650"/>
      <c r="L152" s="641"/>
      <c r="M152" s="641"/>
      <c r="N152" s="641"/>
      <c r="O152" s="642"/>
      <c r="P152" s="643"/>
      <c r="Q152" s="644"/>
      <c r="R152" s="645"/>
      <c r="S152" s="645"/>
      <c r="T152" s="646"/>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Q152" s="647"/>
      <c r="AR152" s="647"/>
      <c r="AS152" s="647"/>
      <c r="AT152" s="647"/>
      <c r="AU152" s="647"/>
      <c r="AV152" s="647"/>
      <c r="AW152" s="647"/>
      <c r="AX152" s="647"/>
      <c r="AY152" s="647"/>
      <c r="AZ152" s="647"/>
      <c r="BA152" s="647"/>
      <c r="BB152" s="647"/>
      <c r="BC152" s="647"/>
      <c r="BD152" s="647"/>
      <c r="BE152" s="647"/>
      <c r="BF152" s="647"/>
      <c r="BG152" s="647"/>
      <c r="BH152" s="647"/>
      <c r="BI152" s="647"/>
      <c r="BJ152" s="647"/>
      <c r="BK152" s="647"/>
      <c r="BL152" s="647"/>
      <c r="BM152" s="647"/>
      <c r="BN152" s="647"/>
      <c r="BO152" s="647"/>
      <c r="BP152" s="647"/>
      <c r="BQ152" s="647"/>
      <c r="BR152" s="647"/>
      <c r="BS152" s="647"/>
      <c r="BT152" s="647"/>
      <c r="BU152" s="647"/>
      <c r="BV152" s="647"/>
      <c r="BW152" s="647"/>
      <c r="BX152" s="647"/>
      <c r="BY152" s="647"/>
      <c r="BZ152" s="647"/>
      <c r="CA152" s="647"/>
      <c r="CB152" s="647"/>
      <c r="CC152" s="647"/>
      <c r="CD152" s="647"/>
      <c r="CE152" s="647"/>
      <c r="CF152" s="647"/>
      <c r="CG152" s="647"/>
      <c r="CH152" s="647"/>
      <c r="CI152" s="647"/>
      <c r="CJ152" s="647"/>
      <c r="CK152" s="647"/>
      <c r="CL152" s="647"/>
      <c r="CM152" s="647"/>
      <c r="CN152" s="647"/>
      <c r="CO152" s="647"/>
      <c r="CP152" s="647"/>
      <c r="CQ152" s="647"/>
      <c r="CR152" s="647"/>
      <c r="CS152" s="647"/>
      <c r="CT152" s="647"/>
      <c r="CU152" s="647"/>
      <c r="CV152" s="647"/>
      <c r="CW152" s="647"/>
      <c r="CX152" s="647"/>
      <c r="CY152" s="647"/>
      <c r="CZ152" s="647"/>
      <c r="DA152" s="647"/>
      <c r="DB152" s="647"/>
      <c r="DC152" s="647"/>
      <c r="DD152" s="647"/>
      <c r="DE152" s="647"/>
      <c r="DF152" s="647"/>
      <c r="DG152" s="647"/>
      <c r="DH152" s="647"/>
      <c r="DI152" s="647"/>
      <c r="DJ152" s="647"/>
      <c r="DK152" s="647"/>
      <c r="DL152" s="647"/>
      <c r="DM152" s="647"/>
      <c r="DN152" s="647"/>
      <c r="DO152" s="647"/>
      <c r="DP152" s="647"/>
      <c r="DQ152" s="647"/>
      <c r="DR152" s="647"/>
      <c r="DS152" s="647"/>
      <c r="DT152" s="647"/>
      <c r="DU152" s="647"/>
      <c r="DV152" s="647"/>
      <c r="DW152" s="647"/>
      <c r="DX152" s="647"/>
      <c r="DY152" s="647"/>
      <c r="DZ152" s="647"/>
      <c r="EA152" s="647"/>
      <c r="EB152" s="647"/>
      <c r="EC152" s="647"/>
      <c r="ED152" s="647"/>
      <c r="EE152" s="647"/>
      <c r="EF152" s="647"/>
      <c r="EG152" s="647"/>
      <c r="EH152" s="647"/>
      <c r="EI152" s="647"/>
      <c r="EJ152" s="647"/>
      <c r="EK152" s="647"/>
      <c r="EL152" s="647"/>
      <c r="EM152" s="647"/>
      <c r="EN152" s="647"/>
      <c r="EO152" s="647"/>
      <c r="EP152" s="647"/>
      <c r="EQ152" s="647"/>
      <c r="ER152" s="647"/>
      <c r="ES152" s="647"/>
      <c r="ET152" s="647"/>
      <c r="EU152" s="647"/>
      <c r="EV152" s="647"/>
      <c r="EW152" s="647"/>
      <c r="EX152" s="647"/>
      <c r="EY152" s="647"/>
      <c r="EZ152" s="647"/>
      <c r="FA152" s="647"/>
      <c r="FB152" s="647"/>
      <c r="FC152" s="647"/>
      <c r="FD152" s="647"/>
      <c r="FE152" s="647"/>
      <c r="FF152" s="647"/>
      <c r="FG152" s="647"/>
      <c r="FH152" s="647"/>
      <c r="FI152" s="647"/>
      <c r="FJ152" s="647"/>
      <c r="FK152" s="647"/>
      <c r="FL152" s="647"/>
      <c r="FM152" s="647"/>
      <c r="FN152" s="647"/>
      <c r="FO152" s="647"/>
      <c r="FP152" s="647"/>
      <c r="FQ152" s="647"/>
      <c r="FR152" s="647"/>
      <c r="FS152" s="647"/>
      <c r="FT152" s="647"/>
      <c r="FU152" s="647"/>
      <c r="FV152" s="647"/>
      <c r="FW152" s="647"/>
      <c r="FX152" s="647"/>
      <c r="FY152" s="647"/>
      <c r="FZ152" s="647"/>
      <c r="GA152" s="647"/>
      <c r="GB152" s="647"/>
      <c r="GC152" s="647"/>
      <c r="GD152" s="647"/>
      <c r="GE152" s="647"/>
      <c r="GF152" s="647"/>
      <c r="GG152" s="647"/>
      <c r="GH152" s="647"/>
      <c r="GI152" s="647"/>
      <c r="GJ152" s="647"/>
      <c r="GK152" s="647"/>
      <c r="GL152" s="647"/>
      <c r="GM152" s="647"/>
      <c r="GN152" s="647"/>
      <c r="GO152" s="647"/>
      <c r="GP152" s="647"/>
      <c r="GQ152" s="647"/>
      <c r="GR152" s="647"/>
      <c r="GS152" s="647"/>
      <c r="GT152" s="647"/>
      <c r="GU152" s="647"/>
      <c r="GV152" s="647"/>
      <c r="GW152" s="647"/>
      <c r="GX152" s="647"/>
      <c r="GY152" s="647"/>
      <c r="GZ152" s="647"/>
      <c r="HA152" s="647"/>
      <c r="HB152" s="647"/>
      <c r="HC152" s="647"/>
      <c r="HD152" s="647"/>
      <c r="HE152" s="647"/>
      <c r="HF152" s="647"/>
      <c r="HG152" s="647"/>
      <c r="HH152" s="647"/>
      <c r="HI152" s="647"/>
      <c r="HJ152" s="647"/>
      <c r="HK152" s="647"/>
      <c r="HL152" s="647"/>
      <c r="HM152" s="647"/>
      <c r="HN152" s="647"/>
      <c r="HO152" s="647"/>
      <c r="HP152" s="647"/>
      <c r="HQ152" s="647"/>
      <c r="HR152" s="647"/>
      <c r="HS152" s="647"/>
      <c r="HT152" s="647"/>
      <c r="HU152" s="647"/>
      <c r="HV152" s="647"/>
      <c r="HW152" s="647"/>
      <c r="HX152" s="647"/>
      <c r="HY152" s="647"/>
      <c r="HZ152" s="647"/>
      <c r="IA152" s="647"/>
      <c r="IB152" s="647"/>
      <c r="IC152" s="647"/>
      <c r="ID152" s="647"/>
      <c r="IE152" s="647"/>
      <c r="IF152" s="647"/>
      <c r="IG152" s="647"/>
      <c r="IH152" s="647"/>
      <c r="II152" s="647"/>
      <c r="IJ152" s="647"/>
      <c r="IK152" s="647"/>
      <c r="IL152" s="647"/>
      <c r="IM152" s="647"/>
      <c r="IN152" s="647"/>
      <c r="IO152" s="647"/>
      <c r="IP152" s="647"/>
      <c r="IQ152" s="647"/>
      <c r="IR152" s="647"/>
      <c r="IS152" s="647"/>
      <c r="IT152" s="647"/>
      <c r="IU152" s="647"/>
      <c r="IV152" s="647"/>
    </row>
    <row r="153" spans="1:256" s="612" customFormat="1" ht="67.5" customHeight="1">
      <c r="A153" s="608"/>
      <c r="B153" s="557"/>
      <c r="C153" s="557"/>
      <c r="D153" s="584" t="s">
        <v>310</v>
      </c>
      <c r="E153" s="557"/>
      <c r="F153" s="600"/>
      <c r="G153" s="301"/>
      <c r="H153" s="620"/>
      <c r="I153" s="649"/>
      <c r="J153" s="650"/>
      <c r="K153" s="650"/>
      <c r="L153" s="641"/>
      <c r="M153" s="641"/>
      <c r="N153" s="641"/>
      <c r="O153" s="642"/>
      <c r="P153" s="643"/>
      <c r="Q153" s="644"/>
      <c r="R153" s="645"/>
      <c r="S153" s="645"/>
      <c r="T153" s="646"/>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7"/>
      <c r="AY153" s="647"/>
      <c r="AZ153" s="647"/>
      <c r="BA153" s="647"/>
      <c r="BB153" s="647"/>
      <c r="BC153" s="647"/>
      <c r="BD153" s="647"/>
      <c r="BE153" s="647"/>
      <c r="BF153" s="647"/>
      <c r="BG153" s="647"/>
      <c r="BH153" s="647"/>
      <c r="BI153" s="647"/>
      <c r="BJ153" s="647"/>
      <c r="BK153" s="647"/>
      <c r="BL153" s="647"/>
      <c r="BM153" s="647"/>
      <c r="BN153" s="647"/>
      <c r="BO153" s="647"/>
      <c r="BP153" s="647"/>
      <c r="BQ153" s="647"/>
      <c r="BR153" s="647"/>
      <c r="BS153" s="647"/>
      <c r="BT153" s="647"/>
      <c r="BU153" s="647"/>
      <c r="BV153" s="647"/>
      <c r="BW153" s="647"/>
      <c r="BX153" s="647"/>
      <c r="BY153" s="647"/>
      <c r="BZ153" s="647"/>
      <c r="CA153" s="647"/>
      <c r="CB153" s="647"/>
      <c r="CC153" s="647"/>
      <c r="CD153" s="647"/>
      <c r="CE153" s="647"/>
      <c r="CF153" s="647"/>
      <c r="CG153" s="647"/>
      <c r="CH153" s="647"/>
      <c r="CI153" s="647"/>
      <c r="CJ153" s="647"/>
      <c r="CK153" s="647"/>
      <c r="CL153" s="647"/>
      <c r="CM153" s="647"/>
      <c r="CN153" s="647"/>
      <c r="CO153" s="647"/>
      <c r="CP153" s="647"/>
      <c r="CQ153" s="647"/>
      <c r="CR153" s="647"/>
      <c r="CS153" s="647"/>
      <c r="CT153" s="647"/>
      <c r="CU153" s="647"/>
      <c r="CV153" s="647"/>
      <c r="CW153" s="647"/>
      <c r="CX153" s="647"/>
      <c r="CY153" s="647"/>
      <c r="CZ153" s="647"/>
      <c r="DA153" s="647"/>
      <c r="DB153" s="647"/>
      <c r="DC153" s="647"/>
      <c r="DD153" s="647"/>
      <c r="DE153" s="647"/>
      <c r="DF153" s="647"/>
      <c r="DG153" s="647"/>
      <c r="DH153" s="647"/>
      <c r="DI153" s="647"/>
      <c r="DJ153" s="647"/>
      <c r="DK153" s="647"/>
      <c r="DL153" s="647"/>
      <c r="DM153" s="647"/>
      <c r="DN153" s="647"/>
      <c r="DO153" s="647"/>
      <c r="DP153" s="647"/>
      <c r="DQ153" s="647"/>
      <c r="DR153" s="647"/>
      <c r="DS153" s="647"/>
      <c r="DT153" s="647"/>
      <c r="DU153" s="647"/>
      <c r="DV153" s="647"/>
      <c r="DW153" s="647"/>
      <c r="DX153" s="647"/>
      <c r="DY153" s="647"/>
      <c r="DZ153" s="647"/>
      <c r="EA153" s="647"/>
      <c r="EB153" s="647"/>
      <c r="EC153" s="647"/>
      <c r="ED153" s="647"/>
      <c r="EE153" s="647"/>
      <c r="EF153" s="647"/>
      <c r="EG153" s="647"/>
      <c r="EH153" s="647"/>
      <c r="EI153" s="647"/>
      <c r="EJ153" s="647"/>
      <c r="EK153" s="647"/>
      <c r="EL153" s="647"/>
      <c r="EM153" s="647"/>
      <c r="EN153" s="647"/>
      <c r="EO153" s="647"/>
      <c r="EP153" s="647"/>
      <c r="EQ153" s="647"/>
      <c r="ER153" s="647"/>
      <c r="ES153" s="647"/>
      <c r="ET153" s="647"/>
      <c r="EU153" s="647"/>
      <c r="EV153" s="647"/>
      <c r="EW153" s="647"/>
      <c r="EX153" s="647"/>
      <c r="EY153" s="647"/>
      <c r="EZ153" s="647"/>
      <c r="FA153" s="647"/>
      <c r="FB153" s="647"/>
      <c r="FC153" s="647"/>
      <c r="FD153" s="647"/>
      <c r="FE153" s="647"/>
      <c r="FF153" s="647"/>
      <c r="FG153" s="647"/>
      <c r="FH153" s="647"/>
      <c r="FI153" s="647"/>
      <c r="FJ153" s="647"/>
      <c r="FK153" s="647"/>
      <c r="FL153" s="647"/>
      <c r="FM153" s="647"/>
      <c r="FN153" s="647"/>
      <c r="FO153" s="647"/>
      <c r="FP153" s="647"/>
      <c r="FQ153" s="647"/>
      <c r="FR153" s="647"/>
      <c r="FS153" s="647"/>
      <c r="FT153" s="647"/>
      <c r="FU153" s="647"/>
      <c r="FV153" s="647"/>
      <c r="FW153" s="647"/>
      <c r="FX153" s="647"/>
      <c r="FY153" s="647"/>
      <c r="FZ153" s="647"/>
      <c r="GA153" s="647"/>
      <c r="GB153" s="647"/>
      <c r="GC153" s="647"/>
      <c r="GD153" s="647"/>
      <c r="GE153" s="647"/>
      <c r="GF153" s="647"/>
      <c r="GG153" s="647"/>
      <c r="GH153" s="647"/>
      <c r="GI153" s="647"/>
      <c r="GJ153" s="647"/>
      <c r="GK153" s="647"/>
      <c r="GL153" s="647"/>
      <c r="GM153" s="647"/>
      <c r="GN153" s="647"/>
      <c r="GO153" s="647"/>
      <c r="GP153" s="647"/>
      <c r="GQ153" s="647"/>
      <c r="GR153" s="647"/>
      <c r="GS153" s="647"/>
      <c r="GT153" s="647"/>
      <c r="GU153" s="647"/>
      <c r="GV153" s="647"/>
      <c r="GW153" s="647"/>
      <c r="GX153" s="647"/>
      <c r="GY153" s="647"/>
      <c r="GZ153" s="647"/>
      <c r="HA153" s="647"/>
      <c r="HB153" s="647"/>
      <c r="HC153" s="647"/>
      <c r="HD153" s="647"/>
      <c r="HE153" s="647"/>
      <c r="HF153" s="647"/>
      <c r="HG153" s="647"/>
      <c r="HH153" s="647"/>
      <c r="HI153" s="647"/>
      <c r="HJ153" s="647"/>
      <c r="HK153" s="647"/>
      <c r="HL153" s="647"/>
      <c r="HM153" s="647"/>
      <c r="HN153" s="647"/>
      <c r="HO153" s="647"/>
      <c r="HP153" s="647"/>
      <c r="HQ153" s="647"/>
      <c r="HR153" s="647"/>
      <c r="HS153" s="647"/>
      <c r="HT153" s="647"/>
      <c r="HU153" s="647"/>
      <c r="HV153" s="647"/>
      <c r="HW153" s="647"/>
      <c r="HX153" s="647"/>
      <c r="HY153" s="647"/>
      <c r="HZ153" s="647"/>
      <c r="IA153" s="647"/>
      <c r="IB153" s="647"/>
      <c r="IC153" s="647"/>
      <c r="ID153" s="647"/>
      <c r="IE153" s="647"/>
      <c r="IF153" s="647"/>
      <c r="IG153" s="647"/>
      <c r="IH153" s="647"/>
      <c r="II153" s="647"/>
      <c r="IJ153" s="647"/>
      <c r="IK153" s="647"/>
      <c r="IL153" s="647"/>
      <c r="IM153" s="647"/>
      <c r="IN153" s="647"/>
      <c r="IO153" s="647"/>
      <c r="IP153" s="647"/>
      <c r="IQ153" s="647"/>
      <c r="IR153" s="647"/>
      <c r="IS153" s="647"/>
      <c r="IT153" s="647"/>
      <c r="IU153" s="647"/>
      <c r="IV153" s="647"/>
    </row>
    <row r="154" spans="1:256" s="612" customFormat="1" ht="13.5" customHeight="1">
      <c r="A154" s="608">
        <v>46</v>
      </c>
      <c r="B154" s="557">
        <v>271</v>
      </c>
      <c r="C154" s="557" t="s">
        <v>5203</v>
      </c>
      <c r="D154" s="557" t="s">
        <v>5204</v>
      </c>
      <c r="E154" s="557" t="s">
        <v>141</v>
      </c>
      <c r="F154" s="2905">
        <f>ROUND(SUM(F156:F157),3)</f>
        <v>252</v>
      </c>
      <c r="G154" s="301"/>
      <c r="H154" s="568">
        <f t="shared" ref="H154" si="35">ROUND(F154*G154,2)</f>
        <v>0</v>
      </c>
      <c r="I154" s="3000" t="s">
        <v>111</v>
      </c>
      <c r="J154" s="829"/>
      <c r="K154" s="650"/>
      <c r="L154" s="829"/>
      <c r="M154" s="638"/>
      <c r="N154" s="3021"/>
      <c r="O154" s="3022"/>
      <c r="P154" s="643"/>
      <c r="Q154" s="1083"/>
      <c r="R154" s="645"/>
      <c r="T154" s="3021"/>
      <c r="U154" s="647"/>
      <c r="V154" s="648"/>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7"/>
      <c r="AY154" s="647"/>
      <c r="AZ154" s="647"/>
      <c r="BA154" s="647"/>
      <c r="BB154" s="647"/>
      <c r="BC154" s="647"/>
      <c r="BD154" s="647"/>
      <c r="BE154" s="647"/>
      <c r="BF154" s="647"/>
      <c r="BG154" s="647"/>
      <c r="BH154" s="647"/>
      <c r="BI154" s="647"/>
      <c r="BJ154" s="647"/>
      <c r="BK154" s="647"/>
      <c r="BL154" s="647"/>
      <c r="BM154" s="647"/>
      <c r="BN154" s="647"/>
      <c r="BO154" s="647"/>
      <c r="BP154" s="647"/>
      <c r="BQ154" s="647"/>
      <c r="BR154" s="647"/>
      <c r="BS154" s="647"/>
      <c r="BT154" s="647"/>
      <c r="BU154" s="647"/>
      <c r="BV154" s="647"/>
      <c r="BW154" s="647"/>
      <c r="BX154" s="647"/>
      <c r="BY154" s="647"/>
      <c r="BZ154" s="647"/>
      <c r="CA154" s="647"/>
      <c r="CB154" s="647"/>
      <c r="CC154" s="647"/>
      <c r="CD154" s="647"/>
      <c r="CE154" s="647"/>
      <c r="CF154" s="647"/>
      <c r="CG154" s="647"/>
      <c r="CH154" s="647"/>
      <c r="CI154" s="647"/>
      <c r="CJ154" s="647"/>
      <c r="CK154" s="647"/>
      <c r="CL154" s="647"/>
      <c r="CM154" s="647"/>
      <c r="CN154" s="647"/>
      <c r="CO154" s="647"/>
      <c r="CP154" s="647"/>
      <c r="CQ154" s="647"/>
      <c r="CR154" s="647"/>
      <c r="CS154" s="647"/>
      <c r="CT154" s="647"/>
      <c r="CU154" s="647"/>
      <c r="CV154" s="647"/>
      <c r="CW154" s="647"/>
      <c r="CX154" s="647"/>
      <c r="CY154" s="647"/>
      <c r="CZ154" s="647"/>
      <c r="DA154" s="647"/>
      <c r="DB154" s="647"/>
      <c r="DC154" s="647"/>
      <c r="DD154" s="647"/>
      <c r="DE154" s="647"/>
      <c r="DF154" s="647"/>
      <c r="DG154" s="647"/>
      <c r="DH154" s="647"/>
      <c r="DI154" s="647"/>
      <c r="DJ154" s="647"/>
      <c r="DK154" s="647"/>
      <c r="DL154" s="647"/>
      <c r="DM154" s="647"/>
      <c r="DN154" s="647"/>
      <c r="DO154" s="647"/>
      <c r="DP154" s="647"/>
      <c r="DQ154" s="647"/>
      <c r="DR154" s="647"/>
      <c r="DS154" s="647"/>
      <c r="DT154" s="647"/>
      <c r="DU154" s="647"/>
      <c r="DV154" s="647"/>
      <c r="DW154" s="647"/>
      <c r="DX154" s="647"/>
      <c r="DY154" s="647"/>
      <c r="DZ154" s="647"/>
      <c r="EA154" s="647"/>
      <c r="EB154" s="647"/>
      <c r="EC154" s="647"/>
      <c r="ED154" s="647"/>
      <c r="EE154" s="647"/>
      <c r="EF154" s="647"/>
      <c r="EG154" s="647"/>
      <c r="EH154" s="647"/>
      <c r="EI154" s="647"/>
      <c r="EJ154" s="647"/>
      <c r="EK154" s="647"/>
      <c r="EL154" s="647"/>
      <c r="EM154" s="647"/>
      <c r="EN154" s="647"/>
      <c r="EO154" s="647"/>
      <c r="EP154" s="647"/>
      <c r="EQ154" s="647"/>
      <c r="ER154" s="647"/>
      <c r="ES154" s="647"/>
      <c r="ET154" s="647"/>
      <c r="EU154" s="647"/>
      <c r="EV154" s="647"/>
      <c r="EW154" s="647"/>
      <c r="EX154" s="647"/>
      <c r="EY154" s="647"/>
      <c r="EZ154" s="647"/>
      <c r="FA154" s="647"/>
      <c r="FB154" s="647"/>
      <c r="FC154" s="647"/>
      <c r="FD154" s="647"/>
      <c r="FE154" s="647"/>
      <c r="FF154" s="647"/>
      <c r="FG154" s="647"/>
      <c r="FH154" s="647"/>
      <c r="FI154" s="647"/>
      <c r="FJ154" s="647"/>
      <c r="FK154" s="647"/>
      <c r="FL154" s="647"/>
      <c r="FM154" s="647"/>
      <c r="FN154" s="647"/>
      <c r="FO154" s="647"/>
      <c r="FP154" s="647"/>
      <c r="FQ154" s="647"/>
      <c r="FR154" s="647"/>
      <c r="FS154" s="647"/>
      <c r="FT154" s="647"/>
      <c r="FU154" s="647"/>
      <c r="FV154" s="647"/>
      <c r="FW154" s="647"/>
      <c r="FX154" s="647"/>
      <c r="FY154" s="647"/>
      <c r="FZ154" s="647"/>
      <c r="GA154" s="647"/>
      <c r="GB154" s="647"/>
      <c r="GC154" s="647"/>
      <c r="GD154" s="647"/>
      <c r="GE154" s="647"/>
      <c r="GF154" s="647"/>
      <c r="GG154" s="647"/>
      <c r="GH154" s="647"/>
      <c r="GI154" s="647"/>
      <c r="GJ154" s="647"/>
      <c r="GK154" s="647"/>
      <c r="GL154" s="647"/>
      <c r="GM154" s="647"/>
      <c r="GN154" s="647"/>
      <c r="GO154" s="647"/>
      <c r="GP154" s="647"/>
      <c r="GQ154" s="647"/>
      <c r="GR154" s="647"/>
      <c r="GS154" s="647"/>
      <c r="GT154" s="647"/>
      <c r="GU154" s="647"/>
      <c r="GV154" s="647"/>
      <c r="GW154" s="647"/>
      <c r="GX154" s="647"/>
      <c r="GY154" s="647"/>
      <c r="GZ154" s="647"/>
      <c r="HA154" s="647"/>
      <c r="HB154" s="647"/>
      <c r="HC154" s="647"/>
      <c r="HD154" s="647"/>
      <c r="HE154" s="647"/>
      <c r="HF154" s="647"/>
      <c r="HG154" s="647"/>
      <c r="HH154" s="647"/>
      <c r="HI154" s="647"/>
      <c r="HJ154" s="647"/>
      <c r="HK154" s="647"/>
      <c r="HL154" s="647"/>
      <c r="HM154" s="647"/>
      <c r="HN154" s="647"/>
      <c r="HO154" s="647"/>
      <c r="HP154" s="647"/>
      <c r="HQ154" s="647"/>
      <c r="HR154" s="647"/>
      <c r="HS154" s="647"/>
      <c r="HT154" s="647"/>
      <c r="HU154" s="647"/>
      <c r="HV154" s="647"/>
      <c r="HW154" s="647"/>
      <c r="HX154" s="647"/>
      <c r="HY154" s="647"/>
      <c r="HZ154" s="647"/>
      <c r="IA154" s="647"/>
      <c r="IB154" s="647"/>
      <c r="IC154" s="647"/>
      <c r="ID154" s="647"/>
      <c r="IE154" s="647"/>
      <c r="IF154" s="647"/>
      <c r="IG154" s="647"/>
      <c r="IH154" s="647"/>
      <c r="II154" s="647"/>
      <c r="IJ154" s="647"/>
      <c r="IK154" s="647"/>
      <c r="IL154" s="647"/>
      <c r="IM154" s="647"/>
      <c r="IN154" s="647"/>
      <c r="IO154" s="647"/>
      <c r="IP154" s="647"/>
      <c r="IQ154" s="647"/>
      <c r="IR154" s="647"/>
      <c r="IS154" s="647"/>
      <c r="IT154" s="647"/>
      <c r="IU154" s="647"/>
      <c r="IV154" s="647"/>
    </row>
    <row r="155" spans="1:256" s="612" customFormat="1" ht="13.5" customHeight="1">
      <c r="A155" s="608"/>
      <c r="B155" s="557"/>
      <c r="C155" s="557"/>
      <c r="D155" s="599" t="s">
        <v>5205</v>
      </c>
      <c r="E155" s="557"/>
      <c r="F155" s="600"/>
      <c r="G155" s="301"/>
      <c r="H155" s="620"/>
      <c r="I155" s="3023"/>
      <c r="J155" s="3021"/>
      <c r="K155" s="638"/>
      <c r="L155" s="3021"/>
      <c r="M155" s="3022"/>
      <c r="N155" s="643"/>
      <c r="O155" s="1083"/>
      <c r="P155" s="645"/>
      <c r="R155" s="3021"/>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7"/>
      <c r="AY155" s="647"/>
      <c r="AZ155" s="647"/>
      <c r="BA155" s="647"/>
      <c r="BB155" s="647"/>
      <c r="BC155" s="647"/>
      <c r="BD155" s="647"/>
      <c r="BE155" s="647"/>
      <c r="BF155" s="647"/>
      <c r="BG155" s="647"/>
      <c r="BH155" s="647"/>
      <c r="BI155" s="647"/>
      <c r="BJ155" s="647"/>
      <c r="BK155" s="647"/>
      <c r="BL155" s="647"/>
      <c r="BM155" s="647"/>
      <c r="BN155" s="647"/>
      <c r="BO155" s="647"/>
      <c r="BP155" s="647"/>
      <c r="BQ155" s="647"/>
      <c r="BR155" s="647"/>
      <c r="BS155" s="647"/>
      <c r="BT155" s="647"/>
      <c r="BU155" s="647"/>
      <c r="BV155" s="647"/>
      <c r="BW155" s="647"/>
      <c r="BX155" s="647"/>
      <c r="BY155" s="647"/>
      <c r="BZ155" s="647"/>
      <c r="CA155" s="647"/>
      <c r="CB155" s="647"/>
      <c r="CC155" s="647"/>
      <c r="CD155" s="647"/>
      <c r="CE155" s="647"/>
      <c r="CF155" s="647"/>
      <c r="CG155" s="647"/>
      <c r="CH155" s="647"/>
      <c r="CI155" s="647"/>
      <c r="CJ155" s="647"/>
      <c r="CK155" s="647"/>
      <c r="CL155" s="647"/>
      <c r="CM155" s="647"/>
      <c r="CN155" s="647"/>
      <c r="CO155" s="647"/>
      <c r="CP155" s="647"/>
      <c r="CQ155" s="647"/>
      <c r="CR155" s="647"/>
      <c r="CS155" s="647"/>
      <c r="CT155" s="647"/>
      <c r="CU155" s="647"/>
      <c r="CV155" s="647"/>
      <c r="CW155" s="647"/>
      <c r="CX155" s="647"/>
      <c r="CY155" s="647"/>
      <c r="CZ155" s="647"/>
      <c r="DA155" s="647"/>
      <c r="DB155" s="647"/>
      <c r="DC155" s="647"/>
      <c r="DD155" s="647"/>
      <c r="DE155" s="647"/>
      <c r="DF155" s="647"/>
      <c r="DG155" s="647"/>
      <c r="DH155" s="647"/>
      <c r="DI155" s="647"/>
      <c r="DJ155" s="647"/>
      <c r="DK155" s="647"/>
      <c r="DL155" s="647"/>
      <c r="DM155" s="647"/>
      <c r="DN155" s="647"/>
      <c r="DO155" s="647"/>
      <c r="DP155" s="647"/>
      <c r="DQ155" s="647"/>
      <c r="DR155" s="647"/>
      <c r="DS155" s="647"/>
      <c r="DT155" s="647"/>
      <c r="DU155" s="647"/>
      <c r="DV155" s="647"/>
      <c r="DW155" s="647"/>
      <c r="DX155" s="647"/>
      <c r="DY155" s="647"/>
      <c r="DZ155" s="647"/>
      <c r="EA155" s="647"/>
      <c r="EB155" s="647"/>
      <c r="EC155" s="647"/>
      <c r="ED155" s="647"/>
      <c r="EE155" s="647"/>
      <c r="EF155" s="647"/>
      <c r="EG155" s="647"/>
      <c r="EH155" s="647"/>
      <c r="EI155" s="647"/>
      <c r="EJ155" s="647"/>
      <c r="EK155" s="647"/>
      <c r="EL155" s="647"/>
      <c r="EM155" s="647"/>
      <c r="EN155" s="647"/>
      <c r="EO155" s="647"/>
      <c r="EP155" s="647"/>
      <c r="EQ155" s="647"/>
      <c r="ER155" s="647"/>
      <c r="ES155" s="647"/>
      <c r="ET155" s="647"/>
      <c r="EU155" s="647"/>
      <c r="EV155" s="647"/>
      <c r="EW155" s="647"/>
      <c r="EX155" s="647"/>
      <c r="EY155" s="647"/>
      <c r="EZ155" s="647"/>
      <c r="FA155" s="647"/>
      <c r="FB155" s="647"/>
      <c r="FC155" s="647"/>
      <c r="FD155" s="647"/>
      <c r="FE155" s="647"/>
      <c r="FF155" s="647"/>
      <c r="FG155" s="647"/>
      <c r="FH155" s="647"/>
      <c r="FI155" s="647"/>
      <c r="FJ155" s="647"/>
      <c r="FK155" s="647"/>
      <c r="FL155" s="647"/>
      <c r="FM155" s="647"/>
      <c r="FN155" s="647"/>
      <c r="FO155" s="647"/>
      <c r="FP155" s="647"/>
      <c r="FQ155" s="647"/>
      <c r="FR155" s="647"/>
      <c r="FS155" s="647"/>
      <c r="FT155" s="647"/>
      <c r="FU155" s="647"/>
      <c r="FV155" s="647"/>
      <c r="FW155" s="647"/>
      <c r="FX155" s="647"/>
      <c r="FY155" s="647"/>
      <c r="FZ155" s="647"/>
      <c r="GA155" s="647"/>
      <c r="GB155" s="647"/>
      <c r="GC155" s="647"/>
      <c r="GD155" s="647"/>
      <c r="GE155" s="647"/>
      <c r="GF155" s="647"/>
      <c r="GG155" s="647"/>
      <c r="GH155" s="647"/>
      <c r="GI155" s="647"/>
      <c r="GJ155" s="647"/>
      <c r="GK155" s="647"/>
      <c r="GL155" s="647"/>
      <c r="GM155" s="647"/>
      <c r="GN155" s="647"/>
      <c r="GO155" s="647"/>
      <c r="GP155" s="647"/>
      <c r="GQ155" s="647"/>
      <c r="GR155" s="647"/>
      <c r="GS155" s="647"/>
      <c r="GT155" s="647"/>
      <c r="GU155" s="647"/>
      <c r="GV155" s="647"/>
      <c r="GW155" s="647"/>
      <c r="GX155" s="647"/>
      <c r="GY155" s="647"/>
      <c r="GZ155" s="647"/>
      <c r="HA155" s="647"/>
      <c r="HB155" s="647"/>
      <c r="HC155" s="647"/>
      <c r="HD155" s="647"/>
      <c r="HE155" s="647"/>
      <c r="HF155" s="647"/>
      <c r="HG155" s="647"/>
      <c r="HH155" s="647"/>
      <c r="HI155" s="647"/>
      <c r="HJ155" s="647"/>
      <c r="HK155" s="647"/>
      <c r="HL155" s="647"/>
      <c r="HM155" s="647"/>
      <c r="HN155" s="647"/>
      <c r="HO155" s="647"/>
      <c r="HP155" s="647"/>
      <c r="HQ155" s="647"/>
      <c r="HR155" s="647"/>
      <c r="HS155" s="647"/>
      <c r="HT155" s="647"/>
      <c r="HU155" s="647"/>
      <c r="HV155" s="647"/>
      <c r="HW155" s="647"/>
      <c r="HX155" s="647"/>
      <c r="HY155" s="647"/>
      <c r="HZ155" s="647"/>
      <c r="IA155" s="647"/>
      <c r="IB155" s="647"/>
      <c r="IC155" s="647"/>
      <c r="ID155" s="647"/>
      <c r="IE155" s="647"/>
      <c r="IF155" s="647"/>
      <c r="IG155" s="647"/>
      <c r="IH155" s="647"/>
      <c r="II155" s="647"/>
      <c r="IJ155" s="647"/>
      <c r="IK155" s="647"/>
      <c r="IL155" s="647"/>
      <c r="IM155" s="647"/>
      <c r="IN155" s="647"/>
      <c r="IO155" s="647"/>
      <c r="IP155" s="647"/>
      <c r="IQ155" s="647"/>
      <c r="IR155" s="647"/>
      <c r="IS155" s="647"/>
      <c r="IT155" s="647"/>
      <c r="IU155" s="647"/>
      <c r="IV155" s="647"/>
    </row>
    <row r="156" spans="1:256" s="612" customFormat="1" ht="27" customHeight="1">
      <c r="A156" s="608"/>
      <c r="B156" s="557"/>
      <c r="C156" s="557"/>
      <c r="D156" s="599" t="s">
        <v>5206</v>
      </c>
      <c r="E156" s="557"/>
      <c r="F156" s="600">
        <f>(80.7)</f>
        <v>80.7</v>
      </c>
      <c r="G156" s="301"/>
      <c r="H156" s="620"/>
      <c r="I156" s="3023"/>
      <c r="J156" s="638"/>
      <c r="K156" s="650"/>
      <c r="L156" s="641"/>
      <c r="M156" s="641"/>
      <c r="N156" s="641"/>
      <c r="O156" s="642"/>
      <c r="P156" s="643"/>
      <c r="Q156" s="644"/>
      <c r="R156" s="645"/>
      <c r="S156" s="645"/>
      <c r="T156" s="646"/>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7"/>
      <c r="AY156" s="647"/>
      <c r="AZ156" s="647"/>
      <c r="BA156" s="647"/>
      <c r="BB156" s="647"/>
      <c r="BC156" s="647"/>
      <c r="BD156" s="647"/>
      <c r="BE156" s="647"/>
      <c r="BF156" s="647"/>
      <c r="BG156" s="647"/>
      <c r="BH156" s="647"/>
      <c r="BI156" s="647"/>
      <c r="BJ156" s="647"/>
      <c r="BK156" s="647"/>
      <c r="BL156" s="647"/>
      <c r="BM156" s="647"/>
      <c r="BN156" s="647"/>
      <c r="BO156" s="647"/>
      <c r="BP156" s="647"/>
      <c r="BQ156" s="647"/>
      <c r="BR156" s="647"/>
      <c r="BS156" s="647"/>
      <c r="BT156" s="647"/>
      <c r="BU156" s="647"/>
      <c r="BV156" s="647"/>
      <c r="BW156" s="647"/>
      <c r="BX156" s="647"/>
      <c r="BY156" s="647"/>
      <c r="BZ156" s="647"/>
      <c r="CA156" s="647"/>
      <c r="CB156" s="647"/>
      <c r="CC156" s="647"/>
      <c r="CD156" s="647"/>
      <c r="CE156" s="647"/>
      <c r="CF156" s="647"/>
      <c r="CG156" s="647"/>
      <c r="CH156" s="647"/>
      <c r="CI156" s="647"/>
      <c r="CJ156" s="647"/>
      <c r="CK156" s="647"/>
      <c r="CL156" s="647"/>
      <c r="CM156" s="647"/>
      <c r="CN156" s="647"/>
      <c r="CO156" s="647"/>
      <c r="CP156" s="647"/>
      <c r="CQ156" s="647"/>
      <c r="CR156" s="647"/>
      <c r="CS156" s="647"/>
      <c r="CT156" s="647"/>
      <c r="CU156" s="647"/>
      <c r="CV156" s="647"/>
      <c r="CW156" s="647"/>
      <c r="CX156" s="647"/>
      <c r="CY156" s="647"/>
      <c r="CZ156" s="647"/>
      <c r="DA156" s="647"/>
      <c r="DB156" s="647"/>
      <c r="DC156" s="647"/>
      <c r="DD156" s="647"/>
      <c r="DE156" s="647"/>
      <c r="DF156" s="647"/>
      <c r="DG156" s="647"/>
      <c r="DH156" s="647"/>
      <c r="DI156" s="647"/>
      <c r="DJ156" s="647"/>
      <c r="DK156" s="647"/>
      <c r="DL156" s="647"/>
      <c r="DM156" s="647"/>
      <c r="DN156" s="647"/>
      <c r="DO156" s="647"/>
      <c r="DP156" s="647"/>
      <c r="DQ156" s="647"/>
      <c r="DR156" s="647"/>
      <c r="DS156" s="647"/>
      <c r="DT156" s="647"/>
      <c r="DU156" s="647"/>
      <c r="DV156" s="647"/>
      <c r="DW156" s="647"/>
      <c r="DX156" s="647"/>
      <c r="DY156" s="647"/>
      <c r="DZ156" s="647"/>
      <c r="EA156" s="647"/>
      <c r="EB156" s="647"/>
      <c r="EC156" s="647"/>
      <c r="ED156" s="647"/>
      <c r="EE156" s="647"/>
      <c r="EF156" s="647"/>
      <c r="EG156" s="647"/>
      <c r="EH156" s="647"/>
      <c r="EI156" s="647"/>
      <c r="EJ156" s="647"/>
      <c r="EK156" s="647"/>
      <c r="EL156" s="647"/>
      <c r="EM156" s="647"/>
      <c r="EN156" s="647"/>
      <c r="EO156" s="647"/>
      <c r="EP156" s="647"/>
      <c r="EQ156" s="647"/>
      <c r="ER156" s="647"/>
      <c r="ES156" s="647"/>
      <c r="ET156" s="647"/>
      <c r="EU156" s="647"/>
      <c r="EV156" s="647"/>
      <c r="EW156" s="647"/>
      <c r="EX156" s="647"/>
      <c r="EY156" s="647"/>
      <c r="EZ156" s="647"/>
      <c r="FA156" s="647"/>
      <c r="FB156" s="647"/>
      <c r="FC156" s="647"/>
      <c r="FD156" s="647"/>
      <c r="FE156" s="647"/>
      <c r="FF156" s="647"/>
      <c r="FG156" s="647"/>
      <c r="FH156" s="647"/>
      <c r="FI156" s="647"/>
      <c r="FJ156" s="647"/>
      <c r="FK156" s="647"/>
      <c r="FL156" s="647"/>
      <c r="FM156" s="647"/>
      <c r="FN156" s="647"/>
      <c r="FO156" s="647"/>
      <c r="FP156" s="647"/>
      <c r="FQ156" s="647"/>
      <c r="FR156" s="647"/>
      <c r="FS156" s="647"/>
      <c r="FT156" s="647"/>
      <c r="FU156" s="647"/>
      <c r="FV156" s="647"/>
      <c r="FW156" s="647"/>
      <c r="FX156" s="647"/>
      <c r="FY156" s="647"/>
      <c r="FZ156" s="647"/>
      <c r="GA156" s="647"/>
      <c r="GB156" s="647"/>
      <c r="GC156" s="647"/>
      <c r="GD156" s="647"/>
      <c r="GE156" s="647"/>
      <c r="GF156" s="647"/>
      <c r="GG156" s="647"/>
      <c r="GH156" s="647"/>
      <c r="GI156" s="647"/>
      <c r="GJ156" s="647"/>
      <c r="GK156" s="647"/>
      <c r="GL156" s="647"/>
      <c r="GM156" s="647"/>
      <c r="GN156" s="647"/>
      <c r="GO156" s="647"/>
      <c r="GP156" s="647"/>
      <c r="GQ156" s="647"/>
      <c r="GR156" s="647"/>
      <c r="GS156" s="647"/>
      <c r="GT156" s="647"/>
      <c r="GU156" s="647"/>
      <c r="GV156" s="647"/>
      <c r="GW156" s="647"/>
      <c r="GX156" s="647"/>
      <c r="GY156" s="647"/>
      <c r="GZ156" s="647"/>
      <c r="HA156" s="647"/>
      <c r="HB156" s="647"/>
      <c r="HC156" s="647"/>
      <c r="HD156" s="647"/>
      <c r="HE156" s="647"/>
      <c r="HF156" s="647"/>
      <c r="HG156" s="647"/>
      <c r="HH156" s="647"/>
      <c r="HI156" s="647"/>
      <c r="HJ156" s="647"/>
      <c r="HK156" s="647"/>
      <c r="HL156" s="647"/>
      <c r="HM156" s="647"/>
      <c r="HN156" s="647"/>
      <c r="HO156" s="647"/>
      <c r="HP156" s="647"/>
      <c r="HQ156" s="647"/>
      <c r="HR156" s="647"/>
      <c r="HS156" s="647"/>
      <c r="HT156" s="647"/>
      <c r="HU156" s="647"/>
      <c r="HV156" s="647"/>
      <c r="HW156" s="647"/>
      <c r="HX156" s="647"/>
      <c r="HY156" s="647"/>
      <c r="HZ156" s="647"/>
      <c r="IA156" s="647"/>
      <c r="IB156" s="647"/>
      <c r="IC156" s="647"/>
      <c r="ID156" s="647"/>
      <c r="IE156" s="647"/>
      <c r="IF156" s="647"/>
      <c r="IG156" s="647"/>
      <c r="IH156" s="647"/>
      <c r="II156" s="647"/>
      <c r="IJ156" s="647"/>
      <c r="IK156" s="647"/>
      <c r="IL156" s="647"/>
      <c r="IM156" s="647"/>
      <c r="IN156" s="647"/>
      <c r="IO156" s="647"/>
      <c r="IP156" s="647"/>
      <c r="IQ156" s="647"/>
      <c r="IR156" s="647"/>
      <c r="IS156" s="647"/>
      <c r="IT156" s="647"/>
      <c r="IU156" s="647"/>
      <c r="IV156" s="647"/>
    </row>
    <row r="157" spans="1:256" s="612" customFormat="1" ht="27" customHeight="1">
      <c r="A157" s="608"/>
      <c r="B157" s="557"/>
      <c r="C157" s="557"/>
      <c r="D157" s="599" t="s">
        <v>5207</v>
      </c>
      <c r="E157" s="557"/>
      <c r="F157" s="600">
        <f>(24.4+24.7+1.5+8.3+21.5+12.6+2.5+69.8+3.7+2.3)</f>
        <v>171.29999999999998</v>
      </c>
      <c r="G157" s="301"/>
      <c r="H157" s="620"/>
      <c r="I157" s="3023"/>
      <c r="J157" s="638"/>
      <c r="K157" s="650"/>
      <c r="L157" s="641"/>
      <c r="M157" s="641"/>
      <c r="N157" s="641"/>
      <c r="O157" s="642"/>
      <c r="P157" s="643"/>
      <c r="Q157" s="644"/>
      <c r="R157" s="645"/>
      <c r="S157" s="645"/>
      <c r="T157" s="646"/>
      <c r="U157" s="647"/>
      <c r="V157" s="647"/>
      <c r="W157" s="647"/>
      <c r="X157" s="647"/>
      <c r="Y157" s="647"/>
      <c r="Z157" s="647"/>
      <c r="AA157" s="647"/>
      <c r="AB157" s="647"/>
      <c r="AC157" s="647"/>
      <c r="AD157" s="647"/>
      <c r="AE157" s="647"/>
      <c r="AF157" s="647"/>
      <c r="AG157" s="647"/>
      <c r="AH157" s="647"/>
      <c r="AI157" s="647"/>
      <c r="AJ157" s="647"/>
      <c r="AK157" s="647"/>
      <c r="AL157" s="647"/>
      <c r="AM157" s="647"/>
      <c r="AN157" s="647"/>
      <c r="AO157" s="647"/>
      <c r="AP157" s="647"/>
      <c r="AQ157" s="647"/>
      <c r="AR157" s="647"/>
      <c r="AS157" s="647"/>
      <c r="AT157" s="647"/>
      <c r="AU157" s="647"/>
      <c r="AV157" s="647"/>
      <c r="AW157" s="647"/>
      <c r="AX157" s="647"/>
      <c r="AY157" s="647"/>
      <c r="AZ157" s="647"/>
      <c r="BA157" s="647"/>
      <c r="BB157" s="647"/>
      <c r="BC157" s="647"/>
      <c r="BD157" s="647"/>
      <c r="BE157" s="647"/>
      <c r="BF157" s="647"/>
      <c r="BG157" s="647"/>
      <c r="BH157" s="647"/>
      <c r="BI157" s="647"/>
      <c r="BJ157" s="647"/>
      <c r="BK157" s="647"/>
      <c r="BL157" s="647"/>
      <c r="BM157" s="647"/>
      <c r="BN157" s="647"/>
      <c r="BO157" s="647"/>
      <c r="BP157" s="647"/>
      <c r="BQ157" s="647"/>
      <c r="BR157" s="647"/>
      <c r="BS157" s="647"/>
      <c r="BT157" s="647"/>
      <c r="BU157" s="647"/>
      <c r="BV157" s="647"/>
      <c r="BW157" s="647"/>
      <c r="BX157" s="647"/>
      <c r="BY157" s="647"/>
      <c r="BZ157" s="647"/>
      <c r="CA157" s="647"/>
      <c r="CB157" s="647"/>
      <c r="CC157" s="647"/>
      <c r="CD157" s="647"/>
      <c r="CE157" s="647"/>
      <c r="CF157" s="647"/>
      <c r="CG157" s="647"/>
      <c r="CH157" s="647"/>
      <c r="CI157" s="647"/>
      <c r="CJ157" s="647"/>
      <c r="CK157" s="647"/>
      <c r="CL157" s="647"/>
      <c r="CM157" s="647"/>
      <c r="CN157" s="647"/>
      <c r="CO157" s="647"/>
      <c r="CP157" s="647"/>
      <c r="CQ157" s="647"/>
      <c r="CR157" s="647"/>
      <c r="CS157" s="647"/>
      <c r="CT157" s="647"/>
      <c r="CU157" s="647"/>
      <c r="CV157" s="647"/>
      <c r="CW157" s="647"/>
      <c r="CX157" s="647"/>
      <c r="CY157" s="647"/>
      <c r="CZ157" s="647"/>
      <c r="DA157" s="647"/>
      <c r="DB157" s="647"/>
      <c r="DC157" s="647"/>
      <c r="DD157" s="647"/>
      <c r="DE157" s="647"/>
      <c r="DF157" s="647"/>
      <c r="DG157" s="647"/>
      <c r="DH157" s="647"/>
      <c r="DI157" s="647"/>
      <c r="DJ157" s="647"/>
      <c r="DK157" s="647"/>
      <c r="DL157" s="647"/>
      <c r="DM157" s="647"/>
      <c r="DN157" s="647"/>
      <c r="DO157" s="647"/>
      <c r="DP157" s="647"/>
      <c r="DQ157" s="647"/>
      <c r="DR157" s="647"/>
      <c r="DS157" s="647"/>
      <c r="DT157" s="647"/>
      <c r="DU157" s="647"/>
      <c r="DV157" s="647"/>
      <c r="DW157" s="647"/>
      <c r="DX157" s="647"/>
      <c r="DY157" s="647"/>
      <c r="DZ157" s="647"/>
      <c r="EA157" s="647"/>
      <c r="EB157" s="647"/>
      <c r="EC157" s="647"/>
      <c r="ED157" s="647"/>
      <c r="EE157" s="647"/>
      <c r="EF157" s="647"/>
      <c r="EG157" s="647"/>
      <c r="EH157" s="647"/>
      <c r="EI157" s="647"/>
      <c r="EJ157" s="647"/>
      <c r="EK157" s="647"/>
      <c r="EL157" s="647"/>
      <c r="EM157" s="647"/>
      <c r="EN157" s="647"/>
      <c r="EO157" s="647"/>
      <c r="EP157" s="647"/>
      <c r="EQ157" s="647"/>
      <c r="ER157" s="647"/>
      <c r="ES157" s="647"/>
      <c r="ET157" s="647"/>
      <c r="EU157" s="647"/>
      <c r="EV157" s="647"/>
      <c r="EW157" s="647"/>
      <c r="EX157" s="647"/>
      <c r="EY157" s="647"/>
      <c r="EZ157" s="647"/>
      <c r="FA157" s="647"/>
      <c r="FB157" s="647"/>
      <c r="FC157" s="647"/>
      <c r="FD157" s="647"/>
      <c r="FE157" s="647"/>
      <c r="FF157" s="647"/>
      <c r="FG157" s="647"/>
      <c r="FH157" s="647"/>
      <c r="FI157" s="647"/>
      <c r="FJ157" s="647"/>
      <c r="FK157" s="647"/>
      <c r="FL157" s="647"/>
      <c r="FM157" s="647"/>
      <c r="FN157" s="647"/>
      <c r="FO157" s="647"/>
      <c r="FP157" s="647"/>
      <c r="FQ157" s="647"/>
      <c r="FR157" s="647"/>
      <c r="FS157" s="647"/>
      <c r="FT157" s="647"/>
      <c r="FU157" s="647"/>
      <c r="FV157" s="647"/>
      <c r="FW157" s="647"/>
      <c r="FX157" s="647"/>
      <c r="FY157" s="647"/>
      <c r="FZ157" s="647"/>
      <c r="GA157" s="647"/>
      <c r="GB157" s="647"/>
      <c r="GC157" s="647"/>
      <c r="GD157" s="647"/>
      <c r="GE157" s="647"/>
      <c r="GF157" s="647"/>
      <c r="GG157" s="647"/>
      <c r="GH157" s="647"/>
      <c r="GI157" s="647"/>
      <c r="GJ157" s="647"/>
      <c r="GK157" s="647"/>
      <c r="GL157" s="647"/>
      <c r="GM157" s="647"/>
      <c r="GN157" s="647"/>
      <c r="GO157" s="647"/>
      <c r="GP157" s="647"/>
      <c r="GQ157" s="647"/>
      <c r="GR157" s="647"/>
      <c r="GS157" s="647"/>
      <c r="GT157" s="647"/>
      <c r="GU157" s="647"/>
      <c r="GV157" s="647"/>
      <c r="GW157" s="647"/>
      <c r="GX157" s="647"/>
      <c r="GY157" s="647"/>
      <c r="GZ157" s="647"/>
      <c r="HA157" s="647"/>
      <c r="HB157" s="647"/>
      <c r="HC157" s="647"/>
      <c r="HD157" s="647"/>
      <c r="HE157" s="647"/>
      <c r="HF157" s="647"/>
      <c r="HG157" s="647"/>
      <c r="HH157" s="647"/>
      <c r="HI157" s="647"/>
      <c r="HJ157" s="647"/>
      <c r="HK157" s="647"/>
      <c r="HL157" s="647"/>
      <c r="HM157" s="647"/>
      <c r="HN157" s="647"/>
      <c r="HO157" s="647"/>
      <c r="HP157" s="647"/>
      <c r="HQ157" s="647"/>
      <c r="HR157" s="647"/>
      <c r="HS157" s="647"/>
      <c r="HT157" s="647"/>
      <c r="HU157" s="647"/>
      <c r="HV157" s="647"/>
      <c r="HW157" s="647"/>
      <c r="HX157" s="647"/>
      <c r="HY157" s="647"/>
      <c r="HZ157" s="647"/>
      <c r="IA157" s="647"/>
      <c r="IB157" s="647"/>
      <c r="IC157" s="647"/>
      <c r="ID157" s="647"/>
      <c r="IE157" s="647"/>
      <c r="IF157" s="647"/>
      <c r="IG157" s="647"/>
      <c r="IH157" s="647"/>
      <c r="II157" s="647"/>
      <c r="IJ157" s="647"/>
      <c r="IK157" s="647"/>
      <c r="IL157" s="647"/>
      <c r="IM157" s="647"/>
      <c r="IN157" s="647"/>
      <c r="IO157" s="647"/>
      <c r="IP157" s="647"/>
      <c r="IQ157" s="647"/>
      <c r="IR157" s="647"/>
      <c r="IS157" s="647"/>
      <c r="IT157" s="647"/>
      <c r="IU157" s="647"/>
      <c r="IV157" s="647"/>
    </row>
    <row r="158" spans="1:256" s="612" customFormat="1" ht="67.5" customHeight="1">
      <c r="A158" s="608"/>
      <c r="B158" s="557"/>
      <c r="C158" s="557"/>
      <c r="D158" s="584" t="s">
        <v>310</v>
      </c>
      <c r="E158" s="557"/>
      <c r="F158" s="600"/>
      <c r="G158" s="301"/>
      <c r="H158" s="620"/>
      <c r="I158" s="649"/>
      <c r="J158" s="650"/>
      <c r="K158" s="650"/>
      <c r="L158" s="641"/>
      <c r="M158" s="641"/>
      <c r="N158" s="641"/>
      <c r="O158" s="642"/>
      <c r="P158" s="643"/>
      <c r="Q158" s="644"/>
      <c r="R158" s="645"/>
      <c r="S158" s="645"/>
      <c r="T158" s="646"/>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7"/>
      <c r="AY158" s="647"/>
      <c r="AZ158" s="647"/>
      <c r="BA158" s="647"/>
      <c r="BB158" s="647"/>
      <c r="BC158" s="647"/>
      <c r="BD158" s="647"/>
      <c r="BE158" s="647"/>
      <c r="BF158" s="647"/>
      <c r="BG158" s="647"/>
      <c r="BH158" s="647"/>
      <c r="BI158" s="647"/>
      <c r="BJ158" s="647"/>
      <c r="BK158" s="647"/>
      <c r="BL158" s="647"/>
      <c r="BM158" s="647"/>
      <c r="BN158" s="647"/>
      <c r="BO158" s="647"/>
      <c r="BP158" s="647"/>
      <c r="BQ158" s="647"/>
      <c r="BR158" s="647"/>
      <c r="BS158" s="647"/>
      <c r="BT158" s="647"/>
      <c r="BU158" s="647"/>
      <c r="BV158" s="647"/>
      <c r="BW158" s="647"/>
      <c r="BX158" s="647"/>
      <c r="BY158" s="647"/>
      <c r="BZ158" s="647"/>
      <c r="CA158" s="647"/>
      <c r="CB158" s="647"/>
      <c r="CC158" s="647"/>
      <c r="CD158" s="647"/>
      <c r="CE158" s="647"/>
      <c r="CF158" s="647"/>
      <c r="CG158" s="647"/>
      <c r="CH158" s="647"/>
      <c r="CI158" s="647"/>
      <c r="CJ158" s="647"/>
      <c r="CK158" s="647"/>
      <c r="CL158" s="647"/>
      <c r="CM158" s="647"/>
      <c r="CN158" s="647"/>
      <c r="CO158" s="647"/>
      <c r="CP158" s="647"/>
      <c r="CQ158" s="647"/>
      <c r="CR158" s="647"/>
      <c r="CS158" s="647"/>
      <c r="CT158" s="647"/>
      <c r="CU158" s="647"/>
      <c r="CV158" s="647"/>
      <c r="CW158" s="647"/>
      <c r="CX158" s="647"/>
      <c r="CY158" s="647"/>
      <c r="CZ158" s="647"/>
      <c r="DA158" s="647"/>
      <c r="DB158" s="647"/>
      <c r="DC158" s="647"/>
      <c r="DD158" s="647"/>
      <c r="DE158" s="647"/>
      <c r="DF158" s="647"/>
      <c r="DG158" s="647"/>
      <c r="DH158" s="647"/>
      <c r="DI158" s="647"/>
      <c r="DJ158" s="647"/>
      <c r="DK158" s="647"/>
      <c r="DL158" s="647"/>
      <c r="DM158" s="647"/>
      <c r="DN158" s="647"/>
      <c r="DO158" s="647"/>
      <c r="DP158" s="647"/>
      <c r="DQ158" s="647"/>
      <c r="DR158" s="647"/>
      <c r="DS158" s="647"/>
      <c r="DT158" s="647"/>
      <c r="DU158" s="647"/>
      <c r="DV158" s="647"/>
      <c r="DW158" s="647"/>
      <c r="DX158" s="647"/>
      <c r="DY158" s="647"/>
      <c r="DZ158" s="647"/>
      <c r="EA158" s="647"/>
      <c r="EB158" s="647"/>
      <c r="EC158" s="647"/>
      <c r="ED158" s="647"/>
      <c r="EE158" s="647"/>
      <c r="EF158" s="647"/>
      <c r="EG158" s="647"/>
      <c r="EH158" s="647"/>
      <c r="EI158" s="647"/>
      <c r="EJ158" s="647"/>
      <c r="EK158" s="647"/>
      <c r="EL158" s="647"/>
      <c r="EM158" s="647"/>
      <c r="EN158" s="647"/>
      <c r="EO158" s="647"/>
      <c r="EP158" s="647"/>
      <c r="EQ158" s="647"/>
      <c r="ER158" s="647"/>
      <c r="ES158" s="647"/>
      <c r="ET158" s="647"/>
      <c r="EU158" s="647"/>
      <c r="EV158" s="647"/>
      <c r="EW158" s="647"/>
      <c r="EX158" s="647"/>
      <c r="EY158" s="647"/>
      <c r="EZ158" s="647"/>
      <c r="FA158" s="647"/>
      <c r="FB158" s="647"/>
      <c r="FC158" s="647"/>
      <c r="FD158" s="647"/>
      <c r="FE158" s="647"/>
      <c r="FF158" s="647"/>
      <c r="FG158" s="647"/>
      <c r="FH158" s="647"/>
      <c r="FI158" s="647"/>
      <c r="FJ158" s="647"/>
      <c r="FK158" s="647"/>
      <c r="FL158" s="647"/>
      <c r="FM158" s="647"/>
      <c r="FN158" s="647"/>
      <c r="FO158" s="647"/>
      <c r="FP158" s="647"/>
      <c r="FQ158" s="647"/>
      <c r="FR158" s="647"/>
      <c r="FS158" s="647"/>
      <c r="FT158" s="647"/>
      <c r="FU158" s="647"/>
      <c r="FV158" s="647"/>
      <c r="FW158" s="647"/>
      <c r="FX158" s="647"/>
      <c r="FY158" s="647"/>
      <c r="FZ158" s="647"/>
      <c r="GA158" s="647"/>
      <c r="GB158" s="647"/>
      <c r="GC158" s="647"/>
      <c r="GD158" s="647"/>
      <c r="GE158" s="647"/>
      <c r="GF158" s="647"/>
      <c r="GG158" s="647"/>
      <c r="GH158" s="647"/>
      <c r="GI158" s="647"/>
      <c r="GJ158" s="647"/>
      <c r="GK158" s="647"/>
      <c r="GL158" s="647"/>
      <c r="GM158" s="647"/>
      <c r="GN158" s="647"/>
      <c r="GO158" s="647"/>
      <c r="GP158" s="647"/>
      <c r="GQ158" s="647"/>
      <c r="GR158" s="647"/>
      <c r="GS158" s="647"/>
      <c r="GT158" s="647"/>
      <c r="GU158" s="647"/>
      <c r="GV158" s="647"/>
      <c r="GW158" s="647"/>
      <c r="GX158" s="647"/>
      <c r="GY158" s="647"/>
      <c r="GZ158" s="647"/>
      <c r="HA158" s="647"/>
      <c r="HB158" s="647"/>
      <c r="HC158" s="647"/>
      <c r="HD158" s="647"/>
      <c r="HE158" s="647"/>
      <c r="HF158" s="647"/>
      <c r="HG158" s="647"/>
      <c r="HH158" s="647"/>
      <c r="HI158" s="647"/>
      <c r="HJ158" s="647"/>
      <c r="HK158" s="647"/>
      <c r="HL158" s="647"/>
      <c r="HM158" s="647"/>
      <c r="HN158" s="647"/>
      <c r="HO158" s="647"/>
      <c r="HP158" s="647"/>
      <c r="HQ158" s="647"/>
      <c r="HR158" s="647"/>
      <c r="HS158" s="647"/>
      <c r="HT158" s="647"/>
      <c r="HU158" s="647"/>
      <c r="HV158" s="647"/>
      <c r="HW158" s="647"/>
      <c r="HX158" s="647"/>
      <c r="HY158" s="647"/>
      <c r="HZ158" s="647"/>
      <c r="IA158" s="647"/>
      <c r="IB158" s="647"/>
      <c r="IC158" s="647"/>
      <c r="ID158" s="647"/>
      <c r="IE158" s="647"/>
      <c r="IF158" s="647"/>
      <c r="IG158" s="647"/>
      <c r="IH158" s="647"/>
      <c r="II158" s="647"/>
      <c r="IJ158" s="647"/>
      <c r="IK158" s="647"/>
      <c r="IL158" s="647"/>
      <c r="IM158" s="647"/>
      <c r="IN158" s="647"/>
      <c r="IO158" s="647"/>
      <c r="IP158" s="647"/>
      <c r="IQ158" s="647"/>
      <c r="IR158" s="647"/>
      <c r="IS158" s="647"/>
      <c r="IT158" s="647"/>
      <c r="IU158" s="647"/>
      <c r="IV158" s="647"/>
    </row>
    <row r="159" spans="1:256" s="612" customFormat="1" ht="13.5" customHeight="1">
      <c r="A159" s="608"/>
      <c r="B159" s="608"/>
      <c r="C159" s="616" t="s">
        <v>356</v>
      </c>
      <c r="D159" s="616" t="s">
        <v>357</v>
      </c>
      <c r="E159" s="616"/>
      <c r="F159" s="617"/>
      <c r="G159" s="350"/>
      <c r="H159" s="618">
        <f>SUM(H160:H165)</f>
        <v>0</v>
      </c>
      <c r="I159" s="619"/>
    </row>
    <row r="160" spans="1:256" s="612" customFormat="1" ht="13.5" customHeight="1">
      <c r="A160" s="658" t="s">
        <v>1298</v>
      </c>
      <c r="B160" s="659" t="s">
        <v>2416</v>
      </c>
      <c r="C160" s="2683">
        <v>998276101</v>
      </c>
      <c r="D160" s="557" t="s">
        <v>2418</v>
      </c>
      <c r="E160" s="557" t="s">
        <v>175</v>
      </c>
      <c r="F160" s="2897">
        <f>ROUND(SUM(F161),3)</f>
        <v>145.82400000000001</v>
      </c>
      <c r="G160" s="288"/>
      <c r="H160" s="568">
        <f t="shared" ref="H160" si="36">ROUND(F160*G160,2)</f>
        <v>0</v>
      </c>
      <c r="I160" s="613" t="s">
        <v>137</v>
      </c>
      <c r="J160" s="660"/>
    </row>
    <row r="161" spans="1:256" s="612" customFormat="1" ht="13.5" customHeight="1">
      <c r="A161" s="351"/>
      <c r="B161" s="3024"/>
      <c r="C161" s="352"/>
      <c r="D161" s="599" t="s">
        <v>5208</v>
      </c>
      <c r="E161" s="352"/>
      <c r="F161" s="600">
        <f>(146.287-0.463)</f>
        <v>145.82400000000001</v>
      </c>
      <c r="G161" s="3049"/>
      <c r="H161" s="353"/>
      <c r="I161" s="613"/>
      <c r="J161" s="2753"/>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5"/>
      <c r="CB161" s="455"/>
      <c r="CC161" s="455"/>
      <c r="CD161" s="455"/>
      <c r="CE161" s="455"/>
      <c r="CF161" s="455"/>
      <c r="CG161" s="455"/>
      <c r="CH161" s="455"/>
      <c r="CI161" s="455"/>
      <c r="CJ161" s="455"/>
      <c r="CK161" s="455"/>
      <c r="CL161" s="455"/>
      <c r="CM161" s="455"/>
      <c r="CN161" s="455"/>
      <c r="CO161" s="455"/>
      <c r="CP161" s="455"/>
      <c r="CQ161" s="455"/>
      <c r="CR161" s="455"/>
      <c r="CS161" s="455"/>
      <c r="CT161" s="455"/>
      <c r="CU161" s="455"/>
      <c r="CV161" s="455"/>
      <c r="CW161" s="455"/>
      <c r="CX161" s="455"/>
      <c r="CY161" s="455"/>
      <c r="CZ161" s="455"/>
      <c r="DA161" s="455"/>
      <c r="DB161" s="455"/>
      <c r="DC161" s="455"/>
      <c r="DD161" s="455"/>
      <c r="DE161" s="455"/>
      <c r="DF161" s="455"/>
      <c r="DG161" s="455"/>
      <c r="DH161" s="455"/>
      <c r="DI161" s="455"/>
      <c r="DJ161" s="455"/>
      <c r="DK161" s="455"/>
      <c r="DL161" s="455"/>
      <c r="DM161" s="455"/>
      <c r="DN161" s="455"/>
      <c r="DO161" s="455"/>
      <c r="DP161" s="455"/>
      <c r="DQ161" s="455"/>
      <c r="DR161" s="455"/>
      <c r="DS161" s="455"/>
      <c r="DT161" s="455"/>
      <c r="DU161" s="455"/>
      <c r="DV161" s="455"/>
      <c r="DW161" s="455"/>
      <c r="DX161" s="455"/>
      <c r="DY161" s="455"/>
      <c r="DZ161" s="455"/>
      <c r="EA161" s="455"/>
      <c r="EB161" s="455"/>
      <c r="EC161" s="455"/>
      <c r="ED161" s="455"/>
      <c r="EE161" s="455"/>
      <c r="EF161" s="455"/>
      <c r="EG161" s="455"/>
      <c r="EH161" s="455"/>
      <c r="EI161" s="455"/>
      <c r="EJ161" s="455"/>
      <c r="EK161" s="455"/>
      <c r="EL161" s="455"/>
      <c r="EM161" s="455"/>
      <c r="EN161" s="455"/>
      <c r="EO161" s="455"/>
      <c r="EP161" s="455"/>
      <c r="EQ161" s="455"/>
      <c r="ER161" s="455"/>
      <c r="ES161" s="455"/>
      <c r="ET161" s="455"/>
      <c r="EU161" s="455"/>
      <c r="EV161" s="455"/>
      <c r="EW161" s="455"/>
      <c r="EX161" s="455"/>
      <c r="EY161" s="455"/>
      <c r="EZ161" s="455"/>
      <c r="FA161" s="455"/>
      <c r="FB161" s="455"/>
      <c r="FC161" s="455"/>
      <c r="FD161" s="455"/>
      <c r="FE161" s="455"/>
      <c r="FF161" s="455"/>
      <c r="FG161" s="455"/>
      <c r="FH161" s="455"/>
      <c r="FI161" s="455"/>
      <c r="FJ161" s="455"/>
      <c r="FK161" s="455"/>
      <c r="FL161" s="455"/>
      <c r="FM161" s="455"/>
      <c r="FN161" s="455"/>
      <c r="FO161" s="455"/>
      <c r="FP161" s="455"/>
      <c r="FQ161" s="455"/>
      <c r="FR161" s="455"/>
      <c r="FS161" s="455"/>
      <c r="FT161" s="455"/>
      <c r="FU161" s="455"/>
      <c r="FV161" s="455"/>
      <c r="FW161" s="455"/>
      <c r="FX161" s="455"/>
      <c r="FY161" s="455"/>
      <c r="FZ161" s="455"/>
      <c r="GA161" s="455"/>
      <c r="GB161" s="455"/>
      <c r="GC161" s="455"/>
      <c r="GD161" s="455"/>
      <c r="GE161" s="455"/>
      <c r="GF161" s="455"/>
      <c r="GG161" s="455"/>
      <c r="GH161" s="455"/>
      <c r="GI161" s="455"/>
      <c r="GJ161" s="455"/>
      <c r="GK161" s="455"/>
      <c r="GL161" s="455"/>
      <c r="GM161" s="455"/>
      <c r="GN161" s="455"/>
      <c r="GO161" s="455"/>
      <c r="GP161" s="455"/>
      <c r="GQ161" s="455"/>
      <c r="GR161" s="455"/>
      <c r="GS161" s="455"/>
      <c r="GT161" s="455"/>
      <c r="GU161" s="455"/>
      <c r="GV161" s="455"/>
      <c r="GW161" s="455"/>
      <c r="GX161" s="455"/>
      <c r="GY161" s="455"/>
      <c r="GZ161" s="455"/>
      <c r="HA161" s="455"/>
      <c r="HB161" s="455"/>
      <c r="HC161" s="455"/>
      <c r="HD161" s="455"/>
      <c r="HE161" s="455"/>
      <c r="HF161" s="455"/>
      <c r="HG161" s="455"/>
      <c r="HH161" s="455"/>
      <c r="HI161" s="455"/>
      <c r="HJ161" s="455"/>
      <c r="HK161" s="455"/>
      <c r="HL161" s="455"/>
      <c r="HM161" s="455"/>
      <c r="HN161" s="455"/>
      <c r="HO161" s="455"/>
      <c r="HP161" s="455"/>
      <c r="HQ161" s="455"/>
      <c r="HR161" s="455"/>
      <c r="HS161" s="455"/>
      <c r="HT161" s="455"/>
      <c r="HU161" s="455"/>
      <c r="HV161" s="455"/>
      <c r="HW161" s="455"/>
      <c r="HX161" s="455"/>
      <c r="HY161" s="455"/>
      <c r="HZ161" s="455"/>
      <c r="IA161" s="455"/>
      <c r="IB161" s="455"/>
      <c r="IC161" s="455"/>
      <c r="ID161" s="455"/>
      <c r="IE161" s="455"/>
      <c r="IF161" s="455"/>
      <c r="IG161" s="455"/>
      <c r="IH161" s="455"/>
      <c r="II161" s="455"/>
      <c r="IJ161" s="455"/>
      <c r="IK161" s="455"/>
      <c r="IL161" s="455"/>
      <c r="IM161" s="455"/>
      <c r="IN161" s="455"/>
      <c r="IO161" s="455"/>
      <c r="IP161" s="455"/>
      <c r="IQ161" s="455"/>
      <c r="IR161" s="455"/>
      <c r="IS161" s="455"/>
      <c r="IT161" s="455"/>
      <c r="IU161" s="455"/>
      <c r="IV161" s="455"/>
    </row>
    <row r="162" spans="1:256" s="1423" customFormat="1" ht="13.5" customHeight="1">
      <c r="A162" s="1538">
        <v>48</v>
      </c>
      <c r="B162" s="1539">
        <v>231</v>
      </c>
      <c r="C162" s="1539">
        <v>998231311</v>
      </c>
      <c r="D162" s="1539" t="s">
        <v>5209</v>
      </c>
      <c r="E162" s="1539" t="s">
        <v>175</v>
      </c>
      <c r="F162" s="2905">
        <f>ROUND(SUM(F163),3)</f>
        <v>0.46300000000000002</v>
      </c>
      <c r="G162" s="1546"/>
      <c r="H162" s="568">
        <f t="shared" ref="H162" si="37">ROUND(F162*G162,2)</f>
        <v>0</v>
      </c>
      <c r="I162" s="2690" t="s">
        <v>137</v>
      </c>
      <c r="J162" s="1542"/>
    </row>
    <row r="163" spans="1:256" s="612" customFormat="1" ht="13.5" customHeight="1">
      <c r="A163" s="351"/>
      <c r="B163" s="3024"/>
      <c r="C163" s="352"/>
      <c r="D163" s="599" t="s">
        <v>5210</v>
      </c>
      <c r="E163" s="352"/>
      <c r="F163" s="600">
        <f>0.463</f>
        <v>0.46300000000000002</v>
      </c>
      <c r="G163" s="3049"/>
      <c r="H163" s="353"/>
      <c r="I163" s="613"/>
      <c r="J163" s="2753"/>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455"/>
      <c r="AL163" s="455"/>
      <c r="AM163" s="455"/>
      <c r="AN163" s="455"/>
      <c r="AO163" s="455"/>
      <c r="AP163" s="455"/>
      <c r="AQ163" s="455"/>
      <c r="AR163" s="455"/>
      <c r="AS163" s="455"/>
      <c r="AT163" s="455"/>
      <c r="AU163" s="455"/>
      <c r="AV163" s="455"/>
      <c r="AW163" s="455"/>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5"/>
      <c r="CJ163" s="455"/>
      <c r="CK163" s="455"/>
      <c r="CL163" s="455"/>
      <c r="CM163" s="455"/>
      <c r="CN163" s="455"/>
      <c r="CO163" s="455"/>
      <c r="CP163" s="455"/>
      <c r="CQ163" s="455"/>
      <c r="CR163" s="455"/>
      <c r="CS163" s="455"/>
      <c r="CT163" s="455"/>
      <c r="CU163" s="455"/>
      <c r="CV163" s="455"/>
      <c r="CW163" s="455"/>
      <c r="CX163" s="455"/>
      <c r="CY163" s="455"/>
      <c r="CZ163" s="455"/>
      <c r="DA163" s="455"/>
      <c r="DB163" s="455"/>
      <c r="DC163" s="455"/>
      <c r="DD163" s="455"/>
      <c r="DE163" s="455"/>
      <c r="DF163" s="455"/>
      <c r="DG163" s="455"/>
      <c r="DH163" s="455"/>
      <c r="DI163" s="455"/>
      <c r="DJ163" s="455"/>
      <c r="DK163" s="455"/>
      <c r="DL163" s="455"/>
      <c r="DM163" s="455"/>
      <c r="DN163" s="455"/>
      <c r="DO163" s="455"/>
      <c r="DP163" s="455"/>
      <c r="DQ163" s="455"/>
      <c r="DR163" s="455"/>
      <c r="DS163" s="455"/>
      <c r="DT163" s="455"/>
      <c r="DU163" s="455"/>
      <c r="DV163" s="455"/>
      <c r="DW163" s="455"/>
      <c r="DX163" s="455"/>
      <c r="DY163" s="455"/>
      <c r="DZ163" s="455"/>
      <c r="EA163" s="455"/>
      <c r="EB163" s="455"/>
      <c r="EC163" s="455"/>
      <c r="ED163" s="455"/>
      <c r="EE163" s="455"/>
      <c r="EF163" s="455"/>
      <c r="EG163" s="455"/>
      <c r="EH163" s="455"/>
      <c r="EI163" s="455"/>
      <c r="EJ163" s="455"/>
      <c r="EK163" s="455"/>
      <c r="EL163" s="455"/>
      <c r="EM163" s="455"/>
      <c r="EN163" s="455"/>
      <c r="EO163" s="455"/>
      <c r="EP163" s="455"/>
      <c r="EQ163" s="455"/>
      <c r="ER163" s="455"/>
      <c r="ES163" s="455"/>
      <c r="ET163" s="455"/>
      <c r="EU163" s="455"/>
      <c r="EV163" s="455"/>
      <c r="EW163" s="455"/>
      <c r="EX163" s="455"/>
      <c r="EY163" s="455"/>
      <c r="EZ163" s="455"/>
      <c r="FA163" s="455"/>
      <c r="FB163" s="455"/>
      <c r="FC163" s="455"/>
      <c r="FD163" s="455"/>
      <c r="FE163" s="455"/>
      <c r="FF163" s="455"/>
      <c r="FG163" s="455"/>
      <c r="FH163" s="455"/>
      <c r="FI163" s="455"/>
      <c r="FJ163" s="455"/>
      <c r="FK163" s="455"/>
      <c r="FL163" s="455"/>
      <c r="FM163" s="455"/>
      <c r="FN163" s="455"/>
      <c r="FO163" s="455"/>
      <c r="FP163" s="455"/>
      <c r="FQ163" s="455"/>
      <c r="FR163" s="455"/>
      <c r="FS163" s="455"/>
      <c r="FT163" s="455"/>
      <c r="FU163" s="455"/>
      <c r="FV163" s="455"/>
      <c r="FW163" s="455"/>
      <c r="FX163" s="455"/>
      <c r="FY163" s="455"/>
      <c r="FZ163" s="455"/>
      <c r="GA163" s="455"/>
      <c r="GB163" s="455"/>
      <c r="GC163" s="455"/>
      <c r="GD163" s="455"/>
      <c r="GE163" s="455"/>
      <c r="GF163" s="455"/>
      <c r="GG163" s="455"/>
      <c r="GH163" s="455"/>
      <c r="GI163" s="455"/>
      <c r="GJ163" s="455"/>
      <c r="GK163" s="455"/>
      <c r="GL163" s="455"/>
      <c r="GM163" s="455"/>
      <c r="GN163" s="455"/>
      <c r="GO163" s="455"/>
      <c r="GP163" s="455"/>
      <c r="GQ163" s="455"/>
      <c r="GR163" s="455"/>
      <c r="GS163" s="455"/>
      <c r="GT163" s="455"/>
      <c r="GU163" s="455"/>
      <c r="GV163" s="455"/>
      <c r="GW163" s="455"/>
      <c r="GX163" s="455"/>
      <c r="GY163" s="455"/>
      <c r="GZ163" s="455"/>
      <c r="HA163" s="455"/>
      <c r="HB163" s="455"/>
      <c r="HC163" s="455"/>
      <c r="HD163" s="455"/>
      <c r="HE163" s="455"/>
      <c r="HF163" s="455"/>
      <c r="HG163" s="455"/>
      <c r="HH163" s="455"/>
      <c r="HI163" s="455"/>
      <c r="HJ163" s="455"/>
      <c r="HK163" s="455"/>
      <c r="HL163" s="455"/>
      <c r="HM163" s="455"/>
      <c r="HN163" s="455"/>
      <c r="HO163" s="455"/>
      <c r="HP163" s="455"/>
      <c r="HQ163" s="455"/>
      <c r="HR163" s="455"/>
      <c r="HS163" s="455"/>
      <c r="HT163" s="455"/>
      <c r="HU163" s="455"/>
      <c r="HV163" s="455"/>
      <c r="HW163" s="455"/>
      <c r="HX163" s="455"/>
      <c r="HY163" s="455"/>
      <c r="HZ163" s="455"/>
      <c r="IA163" s="455"/>
      <c r="IB163" s="455"/>
      <c r="IC163" s="455"/>
      <c r="ID163" s="455"/>
      <c r="IE163" s="455"/>
      <c r="IF163" s="455"/>
      <c r="IG163" s="455"/>
      <c r="IH163" s="455"/>
      <c r="II163" s="455"/>
      <c r="IJ163" s="455"/>
      <c r="IK163" s="455"/>
      <c r="IL163" s="455"/>
      <c r="IM163" s="455"/>
      <c r="IN163" s="455"/>
      <c r="IO163" s="455"/>
      <c r="IP163" s="455"/>
      <c r="IQ163" s="455"/>
      <c r="IR163" s="455"/>
      <c r="IS163" s="455"/>
      <c r="IT163" s="455"/>
      <c r="IU163" s="455"/>
      <c r="IV163" s="455"/>
    </row>
    <row r="164" spans="1:256" s="612" customFormat="1" ht="13.5" customHeight="1">
      <c r="A164" s="608">
        <v>49</v>
      </c>
      <c r="B164" s="557" t="s">
        <v>362</v>
      </c>
      <c r="C164" s="557" t="s">
        <v>2424</v>
      </c>
      <c r="D164" s="557" t="s">
        <v>2425</v>
      </c>
      <c r="E164" s="557" t="s">
        <v>69</v>
      </c>
      <c r="F164" s="2905">
        <f>ROUND(SUM(F165),3)</f>
        <v>5</v>
      </c>
      <c r="G164" s="288"/>
      <c r="H164" s="568">
        <f t="shared" ref="H164" si="38">ROUND(F164*G164,2)</f>
        <v>0</v>
      </c>
      <c r="I164" s="2690" t="s">
        <v>137</v>
      </c>
      <c r="J164" s="1543"/>
    </row>
    <row r="165" spans="1:256" s="612" customFormat="1" ht="27" customHeight="1">
      <c r="A165" s="608"/>
      <c r="B165" s="557"/>
      <c r="C165" s="622"/>
      <c r="D165" s="599" t="s">
        <v>365</v>
      </c>
      <c r="E165" s="622"/>
      <c r="F165" s="623">
        <v>5</v>
      </c>
      <c r="G165" s="349"/>
      <c r="H165" s="624"/>
      <c r="I165" s="625"/>
    </row>
    <row r="166" spans="1:256" ht="21" customHeight="1">
      <c r="A166" s="3025"/>
      <c r="B166" s="3026"/>
      <c r="C166" s="3026"/>
      <c r="D166" s="3026" t="s">
        <v>0</v>
      </c>
      <c r="E166" s="3026"/>
      <c r="F166" s="3027"/>
      <c r="G166" s="3028"/>
      <c r="H166" s="3028">
        <f>H9</f>
        <v>0</v>
      </c>
      <c r="I166" s="2686"/>
    </row>
    <row r="167" spans="1:256">
      <c r="A167" s="3029"/>
      <c r="B167" s="3029"/>
      <c r="C167" s="3030"/>
      <c r="D167" s="3030"/>
      <c r="E167" s="3031"/>
      <c r="F167" s="3032"/>
      <c r="G167" s="3033"/>
      <c r="H167" s="3033"/>
      <c r="I167" s="3034"/>
    </row>
    <row r="168" spans="1:256" ht="13.5" customHeight="1">
      <c r="A168" s="5216" t="s">
        <v>862</v>
      </c>
      <c r="B168" s="5217"/>
      <c r="C168" s="5218"/>
      <c r="D168" s="3035" t="s">
        <v>4249</v>
      </c>
      <c r="E168" s="3036"/>
      <c r="F168" s="3037"/>
      <c r="G168" s="3038"/>
      <c r="H168" s="3039">
        <f>H166</f>
        <v>0</v>
      </c>
      <c r="I168" s="3040"/>
    </row>
    <row r="169" spans="1:256" ht="13.5" customHeight="1">
      <c r="A169" s="3041"/>
      <c r="B169" s="3042"/>
      <c r="C169" s="3042"/>
      <c r="D169" s="2931"/>
      <c r="E169" s="3043"/>
      <c r="F169" s="3044"/>
      <c r="G169" s="3045"/>
      <c r="H169" s="2933"/>
      <c r="I169" s="2686"/>
    </row>
    <row r="170" spans="1:256" ht="13.5" customHeight="1">
      <c r="A170" s="689" t="s">
        <v>1</v>
      </c>
      <c r="B170" s="689"/>
      <c r="C170" s="689"/>
      <c r="D170" s="689"/>
      <c r="E170" s="689"/>
      <c r="F170" s="689"/>
      <c r="G170" s="689"/>
      <c r="H170" s="689"/>
      <c r="I170" s="689"/>
    </row>
    <row r="171" spans="1:256" ht="27" customHeight="1">
      <c r="A171" s="5159" t="s">
        <v>864</v>
      </c>
      <c r="B171" s="5159"/>
      <c r="C171" s="5159"/>
      <c r="D171" s="5159"/>
      <c r="E171" s="5159"/>
      <c r="F171" s="5159"/>
      <c r="G171" s="5159"/>
      <c r="H171" s="689"/>
      <c r="I171" s="2686"/>
    </row>
    <row r="172" spans="1:256" ht="93.75" customHeight="1">
      <c r="A172" s="5159" t="s">
        <v>104</v>
      </c>
      <c r="B172" s="5159"/>
      <c r="C172" s="5159"/>
      <c r="D172" s="5159"/>
      <c r="E172" s="5159"/>
      <c r="F172" s="5159"/>
      <c r="G172" s="5159"/>
      <c r="H172" s="689"/>
      <c r="I172" s="689"/>
    </row>
    <row r="173" spans="1:256" ht="13.5" customHeight="1">
      <c r="A173" s="5159" t="s">
        <v>105</v>
      </c>
      <c r="B173" s="5159"/>
      <c r="C173" s="5159"/>
      <c r="D173" s="5159"/>
      <c r="E173" s="5159"/>
      <c r="F173" s="5159"/>
      <c r="G173" s="5159"/>
      <c r="H173" s="691"/>
      <c r="I173" s="691"/>
    </row>
    <row r="174" spans="1:256" ht="13.5" customHeight="1">
      <c r="A174" s="5159" t="s">
        <v>106</v>
      </c>
      <c r="B174" s="5159"/>
      <c r="C174" s="5159"/>
      <c r="D174" s="5159"/>
      <c r="E174" s="5159"/>
      <c r="F174" s="5159"/>
      <c r="G174" s="5159"/>
      <c r="H174" s="691"/>
      <c r="I174" s="691"/>
    </row>
    <row r="175" spans="1:256" s="695" customFormat="1" ht="40.5" customHeight="1">
      <c r="A175" s="5156" t="s">
        <v>865</v>
      </c>
      <c r="B175" s="5156"/>
      <c r="C175" s="5156"/>
      <c r="D175" s="5156"/>
      <c r="E175" s="5156"/>
      <c r="F175" s="5156"/>
      <c r="G175" s="5156"/>
      <c r="I175" s="1272"/>
    </row>
    <row r="176" spans="1:256" s="695" customFormat="1" ht="94.5" customHeight="1">
      <c r="A176" s="5156" t="s">
        <v>1013</v>
      </c>
      <c r="B176" s="5156"/>
      <c r="C176" s="5156"/>
      <c r="D176" s="5156"/>
      <c r="E176" s="5156"/>
      <c r="F176" s="5156"/>
      <c r="G176" s="5156"/>
      <c r="H176" s="693"/>
      <c r="I176" s="694"/>
    </row>
  </sheetData>
  <sheetProtection algorithmName="SHA-512" hashValue="sXxlzQIlJI2ICJa0bR3QztdkVjVKDnpKtr2tjV+aPlBxQDBqCkrnjlQDy0SX91yHxiW08uqLMjpfHddXKRlzdw==" saltValue="mv/fcESn8FsbXf/fd01vZQ==" spinCount="100000" sheet="1" objects="1" scenarios="1"/>
  <mergeCells count="11">
    <mergeCell ref="A171:G171"/>
    <mergeCell ref="A2:I2"/>
    <mergeCell ref="A3:D3"/>
    <mergeCell ref="A4:D4"/>
    <mergeCell ref="R115:T115"/>
    <mergeCell ref="A168:C168"/>
    <mergeCell ref="A172:G172"/>
    <mergeCell ref="A173:G173"/>
    <mergeCell ref="A174:G174"/>
    <mergeCell ref="A175:G175"/>
    <mergeCell ref="A176:G17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03FD-B0D7-4962-952C-35F60CEEFB4F}">
  <sheetPr>
    <tabColor rgb="FFFF00FF"/>
    <pageSetUpPr fitToPage="1"/>
  </sheetPr>
  <dimension ref="A1:IV136"/>
  <sheetViews>
    <sheetView zoomScaleNormal="100" workbookViewId="0"/>
  </sheetViews>
  <sheetFormatPr defaultRowHeight="15"/>
  <cols>
    <col min="1" max="1" width="4.83203125" style="2801" customWidth="1"/>
    <col min="2" max="2" width="5" style="2801" customWidth="1"/>
    <col min="3" max="3" width="16.83203125" style="2801" customWidth="1"/>
    <col min="4" max="4" width="75.83203125" style="2801" customWidth="1"/>
    <col min="5" max="5" width="7.83203125" style="2801" customWidth="1"/>
    <col min="6" max="6" width="11.83203125" style="2801" customWidth="1"/>
    <col min="7" max="7" width="13.6640625" style="2801" customWidth="1"/>
    <col min="8" max="8" width="18.33203125" style="2801" customWidth="1"/>
    <col min="9" max="9" width="20.1640625" style="2801" customWidth="1"/>
    <col min="10" max="10" width="18.83203125" style="2801" customWidth="1"/>
    <col min="11" max="11" width="12.33203125" style="2801" customWidth="1"/>
    <col min="12" max="12" width="13.83203125" style="2801" customWidth="1"/>
    <col min="13" max="13" width="10.6640625" style="2801" customWidth="1"/>
    <col min="14" max="14" width="14.1640625" style="2801" customWidth="1"/>
    <col min="15" max="15" width="13.1640625" style="2801" customWidth="1"/>
    <col min="16" max="16" width="9.33203125" style="2801"/>
    <col min="17" max="17" width="17.5" style="2801" customWidth="1"/>
    <col min="18" max="18" width="11.5" style="2801" customWidth="1"/>
    <col min="19" max="19" width="12.83203125" style="2801" customWidth="1"/>
    <col min="20" max="16384" width="9.33203125" style="2801"/>
  </cols>
  <sheetData>
    <row r="1" spans="1:13" s="111" customFormat="1" ht="20.25" customHeight="1">
      <c r="A1" s="1" t="s">
        <v>2760</v>
      </c>
      <c r="B1" s="27"/>
      <c r="C1" s="28"/>
      <c r="D1" s="28"/>
      <c r="E1" s="285"/>
      <c r="F1" s="28"/>
      <c r="G1" s="28"/>
      <c r="H1" s="28"/>
    </row>
    <row r="2" spans="1:13" s="889" customFormat="1" ht="15" customHeight="1">
      <c r="A2" s="5199" t="s">
        <v>4243</v>
      </c>
      <c r="B2" s="5200"/>
      <c r="C2" s="5200"/>
      <c r="D2" s="5200"/>
      <c r="E2" s="5200"/>
      <c r="F2" s="5200"/>
      <c r="G2" s="5200"/>
      <c r="H2" s="5200"/>
      <c r="I2" s="5200"/>
      <c r="J2" s="111"/>
    </row>
    <row r="3" spans="1:13" s="888" customFormat="1" ht="13.5" customHeight="1">
      <c r="A3" s="5199" t="s">
        <v>4244</v>
      </c>
      <c r="B3" s="5219"/>
      <c r="C3" s="5219"/>
      <c r="D3" s="5219"/>
      <c r="E3" s="886"/>
      <c r="F3" s="887"/>
      <c r="G3" s="887"/>
      <c r="I3" s="2635"/>
      <c r="J3" s="2636"/>
      <c r="K3" s="889"/>
      <c r="M3" s="2637"/>
    </row>
    <row r="4" spans="1:13" s="888" customFormat="1" ht="13.5" customHeight="1">
      <c r="A4" s="5193" t="s">
        <v>5664</v>
      </c>
      <c r="B4" s="5219"/>
      <c r="C4" s="5219"/>
      <c r="D4" s="5219"/>
      <c r="E4" s="5193"/>
      <c r="F4" s="5200"/>
      <c r="G4" s="5200"/>
      <c r="H4" s="5200"/>
      <c r="I4" s="2635"/>
      <c r="J4" s="2636"/>
      <c r="M4" s="2637"/>
    </row>
    <row r="5" spans="1:13" s="889" customFormat="1" ht="13.5" customHeight="1">
      <c r="A5" s="1683" t="s">
        <v>5665</v>
      </c>
      <c r="B5" s="886"/>
      <c r="C5" s="886"/>
      <c r="D5" s="886"/>
      <c r="E5" s="886"/>
      <c r="F5" s="887"/>
      <c r="G5" s="887"/>
      <c r="H5" s="888"/>
      <c r="I5" s="888"/>
    </row>
    <row r="6" spans="1:13">
      <c r="A6" s="2797"/>
      <c r="B6" s="2797"/>
      <c r="C6" s="2797"/>
      <c r="D6" s="2798"/>
      <c r="E6" s="2799"/>
      <c r="F6" s="2797"/>
      <c r="G6" s="2797"/>
      <c r="H6" s="2797"/>
      <c r="I6" s="2800"/>
    </row>
    <row r="7" spans="1:13" ht="22.5">
      <c r="A7" s="2802" t="s">
        <v>118</v>
      </c>
      <c r="B7" s="2802" t="s">
        <v>119</v>
      </c>
      <c r="C7" s="2802" t="s">
        <v>120</v>
      </c>
      <c r="D7" s="2802" t="s">
        <v>121</v>
      </c>
      <c r="E7" s="2802" t="s">
        <v>122</v>
      </c>
      <c r="F7" s="2802" t="s">
        <v>123</v>
      </c>
      <c r="G7" s="2802" t="s">
        <v>124</v>
      </c>
      <c r="H7" s="2803" t="s">
        <v>2</v>
      </c>
      <c r="I7" s="2804" t="s">
        <v>46</v>
      </c>
      <c r="J7" s="396"/>
    </row>
    <row r="8" spans="1:13">
      <c r="A8" s="2802" t="s">
        <v>125</v>
      </c>
      <c r="B8" s="2802" t="s">
        <v>126</v>
      </c>
      <c r="C8" s="2802">
        <v>3</v>
      </c>
      <c r="D8" s="2802">
        <v>4</v>
      </c>
      <c r="E8" s="2802">
        <v>5</v>
      </c>
      <c r="F8" s="2802">
        <v>6</v>
      </c>
      <c r="G8" s="2802">
        <v>7</v>
      </c>
      <c r="H8" s="2803">
        <v>8</v>
      </c>
      <c r="I8" s="2804">
        <v>9</v>
      </c>
    </row>
    <row r="9" spans="1:13" ht="21" customHeight="1">
      <c r="A9" s="2805"/>
      <c r="B9" s="2806"/>
      <c r="C9" s="2806" t="s">
        <v>132</v>
      </c>
      <c r="D9" s="2806" t="s">
        <v>133</v>
      </c>
      <c r="E9" s="2806"/>
      <c r="F9" s="2807"/>
      <c r="G9" s="2808"/>
      <c r="H9" s="2808">
        <f>H10+H88+H92+H121</f>
        <v>0</v>
      </c>
      <c r="I9" s="2809"/>
    </row>
    <row r="10" spans="1:13" s="612" customFormat="1" ht="13.5" customHeight="1">
      <c r="A10" s="608"/>
      <c r="B10" s="557"/>
      <c r="C10" s="616" t="s">
        <v>125</v>
      </c>
      <c r="D10" s="616" t="s">
        <v>134</v>
      </c>
      <c r="E10" s="616"/>
      <c r="F10" s="909"/>
      <c r="G10" s="828"/>
      <c r="H10" s="828">
        <f>SUM(H11:H54,H60:H66,H71:H79,H86:H87)</f>
        <v>0</v>
      </c>
      <c r="I10" s="613"/>
    </row>
    <row r="11" spans="1:13" s="612" customFormat="1" ht="13.5" customHeight="1">
      <c r="A11" s="2655" t="s">
        <v>125</v>
      </c>
      <c r="B11" s="799" t="s">
        <v>135</v>
      </c>
      <c r="C11" s="352">
        <v>115101201</v>
      </c>
      <c r="D11" s="352" t="s">
        <v>136</v>
      </c>
      <c r="E11" s="352" t="s">
        <v>69</v>
      </c>
      <c r="F11" s="1258">
        <v>16</v>
      </c>
      <c r="G11" s="2784"/>
      <c r="H11" s="568">
        <f t="shared" ref="H11:H17" si="0">ROUND(F11*G11,2)</f>
        <v>0</v>
      </c>
      <c r="I11" s="744" t="s">
        <v>137</v>
      </c>
      <c r="J11" s="306"/>
    </row>
    <row r="12" spans="1:13" s="612" customFormat="1" ht="13.5" customHeight="1">
      <c r="A12" s="2655" t="s">
        <v>126</v>
      </c>
      <c r="B12" s="799" t="s">
        <v>135</v>
      </c>
      <c r="C12" s="352">
        <v>115101301</v>
      </c>
      <c r="D12" s="352" t="s">
        <v>138</v>
      </c>
      <c r="E12" s="352" t="s">
        <v>139</v>
      </c>
      <c r="F12" s="1258">
        <v>2</v>
      </c>
      <c r="G12" s="2784"/>
      <c r="H12" s="568">
        <f t="shared" si="0"/>
        <v>0</v>
      </c>
      <c r="I12" s="744" t="s">
        <v>137</v>
      </c>
      <c r="J12" s="306"/>
    </row>
    <row r="13" spans="1:13" s="612" customFormat="1" ht="13.5" customHeight="1">
      <c r="A13" s="2658" t="s">
        <v>127</v>
      </c>
      <c r="B13" s="799" t="s">
        <v>135</v>
      </c>
      <c r="C13" s="799">
        <v>119001402</v>
      </c>
      <c r="D13" s="799" t="s">
        <v>140</v>
      </c>
      <c r="E13" s="799" t="s">
        <v>141</v>
      </c>
      <c r="F13" s="1258">
        <v>1</v>
      </c>
      <c r="G13" s="286"/>
      <c r="H13" s="568">
        <f t="shared" si="0"/>
        <v>0</v>
      </c>
      <c r="I13" s="744" t="s">
        <v>137</v>
      </c>
      <c r="J13" s="306"/>
    </row>
    <row r="14" spans="1:13" s="612" customFormat="1" ht="13.5" customHeight="1">
      <c r="A14" s="2658" t="s">
        <v>128</v>
      </c>
      <c r="B14" s="799" t="s">
        <v>135</v>
      </c>
      <c r="C14" s="799">
        <v>119001406</v>
      </c>
      <c r="D14" s="799" t="s">
        <v>142</v>
      </c>
      <c r="E14" s="799" t="s">
        <v>141</v>
      </c>
      <c r="F14" s="1258">
        <v>1</v>
      </c>
      <c r="G14" s="286"/>
      <c r="H14" s="568">
        <f t="shared" si="0"/>
        <v>0</v>
      </c>
      <c r="I14" s="744" t="s">
        <v>137</v>
      </c>
      <c r="J14" s="306"/>
    </row>
    <row r="15" spans="1:13" s="612" customFormat="1" ht="13.5" customHeight="1">
      <c r="A15" s="2658" t="s">
        <v>129</v>
      </c>
      <c r="B15" s="799" t="s">
        <v>135</v>
      </c>
      <c r="C15" s="799">
        <v>119001412</v>
      </c>
      <c r="D15" s="799" t="s">
        <v>143</v>
      </c>
      <c r="E15" s="799" t="s">
        <v>141</v>
      </c>
      <c r="F15" s="1258">
        <v>1</v>
      </c>
      <c r="G15" s="286"/>
      <c r="H15" s="568">
        <f t="shared" si="0"/>
        <v>0</v>
      </c>
      <c r="I15" s="744" t="s">
        <v>137</v>
      </c>
      <c r="J15" s="306"/>
    </row>
    <row r="16" spans="1:13" s="612" customFormat="1" ht="13.5" customHeight="1">
      <c r="A16" s="2658" t="s">
        <v>130</v>
      </c>
      <c r="B16" s="799" t="s">
        <v>135</v>
      </c>
      <c r="C16" s="799">
        <v>119001422</v>
      </c>
      <c r="D16" s="799" t="s">
        <v>144</v>
      </c>
      <c r="E16" s="799" t="s">
        <v>141</v>
      </c>
      <c r="F16" s="1258">
        <v>3</v>
      </c>
      <c r="G16" s="286"/>
      <c r="H16" s="568">
        <f t="shared" si="0"/>
        <v>0</v>
      </c>
      <c r="I16" s="744" t="s">
        <v>137</v>
      </c>
      <c r="J16" s="306"/>
    </row>
    <row r="17" spans="1:23" s="612" customFormat="1" ht="27" customHeight="1">
      <c r="A17" s="608">
        <v>7</v>
      </c>
      <c r="B17" s="557" t="s">
        <v>135</v>
      </c>
      <c r="C17" s="557">
        <v>132254202</v>
      </c>
      <c r="D17" s="557" t="s">
        <v>5666</v>
      </c>
      <c r="E17" s="557" t="s">
        <v>146</v>
      </c>
      <c r="F17" s="573">
        <f>ROUND(SUM(F19:F19),3)</f>
        <v>20.088000000000001</v>
      </c>
      <c r="G17" s="288"/>
      <c r="H17" s="568">
        <f t="shared" si="0"/>
        <v>0</v>
      </c>
      <c r="I17" s="613" t="s">
        <v>137</v>
      </c>
      <c r="J17" s="610"/>
    </row>
    <row r="18" spans="1:23" s="604" customFormat="1" ht="13.5" customHeight="1">
      <c r="A18" s="1586"/>
      <c r="B18" s="596"/>
      <c r="C18" s="597"/>
      <c r="D18" s="1695" t="s">
        <v>5667</v>
      </c>
      <c r="E18" s="599"/>
      <c r="F18" s="600"/>
      <c r="G18" s="289"/>
      <c r="H18" s="601"/>
      <c r="I18" s="602"/>
      <c r="J18" s="610"/>
      <c r="K18" s="2810"/>
      <c r="U18" s="605"/>
      <c r="W18" s="605"/>
    </row>
    <row r="19" spans="1:23" s="604" customFormat="1" ht="13.5" customHeight="1">
      <c r="A19" s="1586"/>
      <c r="B19" s="596"/>
      <c r="C19" s="597"/>
      <c r="D19" s="1695" t="s">
        <v>5668</v>
      </c>
      <c r="E19" s="599"/>
      <c r="F19" s="600">
        <f>(15.5*1.2*1.8)*0.6</f>
        <v>20.087999999999997</v>
      </c>
      <c r="G19" s="289"/>
      <c r="H19" s="601"/>
      <c r="I19" s="602"/>
      <c r="J19" s="610"/>
      <c r="K19" s="2810"/>
      <c r="U19" s="605"/>
      <c r="W19" s="605"/>
    </row>
    <row r="20" spans="1:23" s="604" customFormat="1" ht="27" customHeight="1">
      <c r="A20" s="595"/>
      <c r="B20" s="596"/>
      <c r="C20" s="597"/>
      <c r="D20" s="597" t="s">
        <v>4323</v>
      </c>
      <c r="E20" s="597"/>
      <c r="F20" s="607"/>
      <c r="G20" s="289"/>
      <c r="H20" s="601"/>
      <c r="I20" s="602"/>
      <c r="J20" s="2811"/>
      <c r="U20" s="605"/>
      <c r="W20" s="605"/>
    </row>
    <row r="21" spans="1:23" s="612" customFormat="1" ht="27" customHeight="1">
      <c r="A21" s="608">
        <v>8</v>
      </c>
      <c r="B21" s="557" t="s">
        <v>135</v>
      </c>
      <c r="C21" s="557">
        <v>132354201</v>
      </c>
      <c r="D21" s="557" t="s">
        <v>5386</v>
      </c>
      <c r="E21" s="557" t="s">
        <v>146</v>
      </c>
      <c r="F21" s="573">
        <f>ROUND(SUM(F23:F23),3)</f>
        <v>11.718</v>
      </c>
      <c r="G21" s="288"/>
      <c r="H21" s="568">
        <f t="shared" ref="H21" si="1">ROUND(F21*G21,2)</f>
        <v>0</v>
      </c>
      <c r="I21" s="613" t="s">
        <v>137</v>
      </c>
      <c r="J21" s="610"/>
    </row>
    <row r="22" spans="1:23" s="604" customFormat="1" ht="13.5" customHeight="1">
      <c r="A22" s="1586"/>
      <c r="B22" s="596"/>
      <c r="C22" s="597"/>
      <c r="D22" s="1695" t="s">
        <v>5669</v>
      </c>
      <c r="E22" s="599"/>
      <c r="F22" s="600"/>
      <c r="G22" s="289"/>
      <c r="H22" s="601"/>
      <c r="I22" s="602"/>
      <c r="J22" s="610"/>
      <c r="K22" s="2810"/>
      <c r="U22" s="605"/>
      <c r="W22" s="605"/>
    </row>
    <row r="23" spans="1:23" s="604" customFormat="1" ht="13.5" customHeight="1">
      <c r="A23" s="1586"/>
      <c r="B23" s="596"/>
      <c r="C23" s="597"/>
      <c r="D23" s="1695" t="s">
        <v>5670</v>
      </c>
      <c r="E23" s="599"/>
      <c r="F23" s="600">
        <f>(15.5*1.2*1.8)*0.35</f>
        <v>11.717999999999998</v>
      </c>
      <c r="G23" s="289"/>
      <c r="H23" s="601"/>
      <c r="I23" s="602"/>
      <c r="J23" s="2811"/>
      <c r="U23" s="605"/>
      <c r="W23" s="605"/>
    </row>
    <row r="24" spans="1:23" s="604" customFormat="1" ht="27" customHeight="1">
      <c r="A24" s="595"/>
      <c r="B24" s="596"/>
      <c r="C24" s="597"/>
      <c r="D24" s="597" t="s">
        <v>4323</v>
      </c>
      <c r="E24" s="597"/>
      <c r="F24" s="607"/>
      <c r="G24" s="289"/>
      <c r="H24" s="601"/>
      <c r="I24" s="602"/>
      <c r="J24" s="606"/>
      <c r="U24" s="605"/>
      <c r="W24" s="605"/>
    </row>
    <row r="25" spans="1:23" s="612" customFormat="1" ht="27" customHeight="1">
      <c r="A25" s="608">
        <v>9</v>
      </c>
      <c r="B25" s="557" t="s">
        <v>135</v>
      </c>
      <c r="C25" s="557">
        <v>132454201</v>
      </c>
      <c r="D25" s="557" t="s">
        <v>5671</v>
      </c>
      <c r="E25" s="557" t="s">
        <v>146</v>
      </c>
      <c r="F25" s="573">
        <f>ROUND(SUM(F27:F27),3)</f>
        <v>1.6739999999999999</v>
      </c>
      <c r="G25" s="288"/>
      <c r="H25" s="568">
        <f t="shared" ref="H25" si="2">ROUND(F25*G25,2)</f>
        <v>0</v>
      </c>
      <c r="I25" s="613" t="s">
        <v>137</v>
      </c>
      <c r="J25" s="610"/>
    </row>
    <row r="26" spans="1:23" s="604" customFormat="1" ht="13.5" customHeight="1">
      <c r="A26" s="1586"/>
      <c r="B26" s="596"/>
      <c r="C26" s="597"/>
      <c r="D26" s="1695" t="s">
        <v>5672</v>
      </c>
      <c r="E26" s="599"/>
      <c r="F26" s="600"/>
      <c r="G26" s="289"/>
      <c r="H26" s="601"/>
      <c r="I26" s="602"/>
      <c r="J26" s="610"/>
      <c r="K26" s="2810"/>
      <c r="U26" s="605"/>
      <c r="W26" s="605"/>
    </row>
    <row r="27" spans="1:23" s="604" customFormat="1" ht="13.5" customHeight="1">
      <c r="A27" s="1586"/>
      <c r="B27" s="596"/>
      <c r="C27" s="597"/>
      <c r="D27" s="1695" t="s">
        <v>5673</v>
      </c>
      <c r="E27" s="599"/>
      <c r="F27" s="600">
        <f>(15.5*1.2*1.8)*0.05</f>
        <v>1.6739999999999999</v>
      </c>
      <c r="G27" s="289"/>
      <c r="H27" s="601"/>
      <c r="I27" s="602"/>
      <c r="J27" s="2811"/>
      <c r="U27" s="605"/>
      <c r="W27" s="605"/>
    </row>
    <row r="28" spans="1:23" s="604" customFormat="1" ht="27" customHeight="1">
      <c r="A28" s="595"/>
      <c r="B28" s="596"/>
      <c r="C28" s="597"/>
      <c r="D28" s="597" t="s">
        <v>4323</v>
      </c>
      <c r="E28" s="597"/>
      <c r="F28" s="607"/>
      <c r="G28" s="289"/>
      <c r="H28" s="601"/>
      <c r="I28" s="602"/>
      <c r="J28" s="606"/>
      <c r="U28" s="605"/>
      <c r="W28" s="605"/>
    </row>
    <row r="29" spans="1:23" s="612" customFormat="1" ht="13.5" customHeight="1">
      <c r="A29" s="608">
        <v>10</v>
      </c>
      <c r="B29" s="557" t="s">
        <v>135</v>
      </c>
      <c r="C29" s="557">
        <v>139001101</v>
      </c>
      <c r="D29" s="557" t="s">
        <v>160</v>
      </c>
      <c r="E29" s="557" t="s">
        <v>146</v>
      </c>
      <c r="F29" s="615">
        <f>SUM(F30)</f>
        <v>1.6740000000000004</v>
      </c>
      <c r="G29" s="288"/>
      <c r="H29" s="568">
        <f t="shared" ref="H29" si="3">ROUND(F29*G29,2)</f>
        <v>0</v>
      </c>
      <c r="I29" s="613" t="s">
        <v>137</v>
      </c>
    </row>
    <row r="30" spans="1:23" s="612" customFormat="1" ht="13.5" customHeight="1">
      <c r="A30" s="608"/>
      <c r="B30" s="557"/>
      <c r="C30" s="599"/>
      <c r="D30" s="599" t="s">
        <v>5674</v>
      </c>
      <c r="E30" s="599"/>
      <c r="F30" s="600">
        <f>((20.088)+(11.718)+(1.674))*0.05</f>
        <v>1.6740000000000004</v>
      </c>
      <c r="G30" s="290"/>
      <c r="H30" s="614"/>
      <c r="I30" s="613"/>
    </row>
    <row r="31" spans="1:23" s="612" customFormat="1" ht="13.5" customHeight="1">
      <c r="A31" s="608">
        <v>11</v>
      </c>
      <c r="B31" s="557" t="s">
        <v>135</v>
      </c>
      <c r="C31" s="557">
        <v>151101101</v>
      </c>
      <c r="D31" s="557" t="s">
        <v>2371</v>
      </c>
      <c r="E31" s="557" t="s">
        <v>163</v>
      </c>
      <c r="F31" s="573">
        <f>ROUND(SUM(F33:F33),3)</f>
        <v>44.64</v>
      </c>
      <c r="G31" s="301"/>
      <c r="H31" s="568">
        <f>ROUND(F31*G31,2)</f>
        <v>0</v>
      </c>
      <c r="I31" s="613" t="s">
        <v>137</v>
      </c>
    </row>
    <row r="32" spans="1:23" s="612" customFormat="1" ht="13.5" customHeight="1">
      <c r="A32" s="608"/>
      <c r="B32" s="557"/>
      <c r="C32" s="599"/>
      <c r="D32" s="599" t="s">
        <v>5675</v>
      </c>
      <c r="E32" s="599"/>
      <c r="F32" s="600"/>
      <c r="G32" s="317"/>
      <c r="H32" s="614"/>
      <c r="I32" s="613"/>
    </row>
    <row r="33" spans="1:23" s="604" customFormat="1" ht="13.5" customHeight="1">
      <c r="A33" s="1586"/>
      <c r="B33" s="596"/>
      <c r="C33" s="597"/>
      <c r="D33" s="1695" t="s">
        <v>5676</v>
      </c>
      <c r="E33" s="599"/>
      <c r="F33" s="600">
        <f>((15.5*1.8)*2)*0.8</f>
        <v>44.640000000000008</v>
      </c>
      <c r="G33" s="289"/>
      <c r="H33" s="601"/>
      <c r="I33" s="602"/>
      <c r="J33" s="2811"/>
      <c r="U33" s="605"/>
      <c r="W33" s="605"/>
    </row>
    <row r="34" spans="1:23" s="612" customFormat="1" ht="13.5" customHeight="1">
      <c r="A34" s="608">
        <v>12</v>
      </c>
      <c r="B34" s="557" t="s">
        <v>135</v>
      </c>
      <c r="C34" s="557">
        <v>151101111</v>
      </c>
      <c r="D34" s="557" t="s">
        <v>2378</v>
      </c>
      <c r="E34" s="557" t="s">
        <v>163</v>
      </c>
      <c r="F34" s="573">
        <f>ROUND(SUM(F31),3)</f>
        <v>44.64</v>
      </c>
      <c r="G34" s="301"/>
      <c r="H34" s="568">
        <f>ROUND(F34*G34,2)</f>
        <v>0</v>
      </c>
      <c r="I34" s="613" t="s">
        <v>137</v>
      </c>
    </row>
    <row r="35" spans="1:23" s="612" customFormat="1" ht="13.5" customHeight="1">
      <c r="A35" s="608">
        <v>13</v>
      </c>
      <c r="B35" s="557" t="s">
        <v>135</v>
      </c>
      <c r="C35" s="557">
        <v>174151101</v>
      </c>
      <c r="D35" s="557" t="s">
        <v>4579</v>
      </c>
      <c r="E35" s="557" t="s">
        <v>146</v>
      </c>
      <c r="F35" s="573">
        <f>ROUND(SUM(F37:F39),3)</f>
        <v>24.18</v>
      </c>
      <c r="G35" s="288"/>
      <c r="H35" s="568">
        <f>ROUND(F35*G35,2)</f>
        <v>0</v>
      </c>
      <c r="I35" s="613" t="s">
        <v>137</v>
      </c>
      <c r="J35" s="306"/>
    </row>
    <row r="36" spans="1:23" s="604" customFormat="1" ht="27" customHeight="1">
      <c r="A36" s="1586"/>
      <c r="B36" s="596"/>
      <c r="C36" s="597"/>
      <c r="D36" s="1695" t="s">
        <v>5677</v>
      </c>
      <c r="E36" s="599"/>
      <c r="F36" s="600"/>
      <c r="G36" s="289"/>
      <c r="H36" s="601"/>
      <c r="I36" s="602"/>
      <c r="J36" s="1580"/>
      <c r="U36" s="605"/>
      <c r="W36" s="605"/>
    </row>
    <row r="37" spans="1:23" s="604" customFormat="1" ht="27" customHeight="1">
      <c r="A37" s="1586"/>
      <c r="B37" s="596"/>
      <c r="C37" s="597"/>
      <c r="D37" s="1695" t="s">
        <v>5678</v>
      </c>
      <c r="E37" s="599"/>
      <c r="F37" s="600">
        <f>((15)*1.2)*(1.8-0.15-0.35)</f>
        <v>23.400000000000006</v>
      </c>
      <c r="G37" s="289"/>
      <c r="H37" s="601"/>
      <c r="I37" s="602"/>
      <c r="J37" s="2811"/>
      <c r="U37" s="605"/>
      <c r="W37" s="605"/>
    </row>
    <row r="38" spans="1:23" s="604" customFormat="1" ht="13.5" customHeight="1">
      <c r="A38" s="1586"/>
      <c r="B38" s="596"/>
      <c r="C38" s="597"/>
      <c r="D38" s="1695" t="s">
        <v>5679</v>
      </c>
      <c r="E38" s="599"/>
      <c r="F38" s="600"/>
      <c r="G38" s="289"/>
      <c r="H38" s="601"/>
      <c r="I38" s="602"/>
      <c r="J38" s="1580"/>
      <c r="U38" s="605"/>
      <c r="W38" s="605"/>
    </row>
    <row r="39" spans="1:23" s="604" customFormat="1" ht="27" customHeight="1">
      <c r="A39" s="1586"/>
      <c r="B39" s="596"/>
      <c r="C39" s="597"/>
      <c r="D39" s="1695" t="s">
        <v>5680</v>
      </c>
      <c r="E39" s="599"/>
      <c r="F39" s="600">
        <f>((0.5)*1.2)*(1.8-0.15-0.35)</f>
        <v>0.78000000000000014</v>
      </c>
      <c r="G39" s="289"/>
      <c r="H39" s="601"/>
      <c r="I39" s="602"/>
      <c r="J39" s="2811"/>
      <c r="U39" s="605"/>
      <c r="W39" s="605"/>
    </row>
    <row r="40" spans="1:23" s="612" customFormat="1" ht="13.5" customHeight="1">
      <c r="A40" s="729">
        <v>14</v>
      </c>
      <c r="B40" s="730">
        <v>583</v>
      </c>
      <c r="C40" s="730">
        <v>58343930</v>
      </c>
      <c r="D40" s="730" t="s">
        <v>4662</v>
      </c>
      <c r="E40" s="730" t="s">
        <v>175</v>
      </c>
      <c r="F40" s="731">
        <f>ROUND(SUM(F42),3)</f>
        <v>1.56</v>
      </c>
      <c r="G40" s="292"/>
      <c r="H40" s="733">
        <f>ROUND(F40*G40,2)</f>
        <v>0</v>
      </c>
      <c r="I40" s="734" t="s">
        <v>137</v>
      </c>
    </row>
    <row r="41" spans="1:23" s="604" customFormat="1" ht="13.5" customHeight="1">
      <c r="A41" s="2813"/>
      <c r="B41" s="2675"/>
      <c r="C41" s="2676"/>
      <c r="D41" s="1699" t="s">
        <v>5681</v>
      </c>
      <c r="E41" s="739"/>
      <c r="F41" s="740"/>
      <c r="G41" s="293"/>
      <c r="H41" s="2677"/>
      <c r="I41" s="2678"/>
      <c r="J41" s="1580"/>
      <c r="U41" s="605"/>
      <c r="W41" s="605"/>
    </row>
    <row r="42" spans="1:23" s="604" customFormat="1" ht="27" customHeight="1">
      <c r="A42" s="2813"/>
      <c r="B42" s="2675"/>
      <c r="C42" s="2676"/>
      <c r="D42" s="1699" t="s">
        <v>5682</v>
      </c>
      <c r="E42" s="739"/>
      <c r="F42" s="740">
        <f>(0.78)*2</f>
        <v>1.56</v>
      </c>
      <c r="G42" s="293"/>
      <c r="H42" s="2677"/>
      <c r="I42" s="2678"/>
      <c r="J42" s="2811"/>
      <c r="U42" s="605"/>
      <c r="W42" s="605"/>
    </row>
    <row r="43" spans="1:23" s="612" customFormat="1" ht="13.5" customHeight="1">
      <c r="A43" s="608">
        <v>15</v>
      </c>
      <c r="B43" s="557" t="s">
        <v>135</v>
      </c>
      <c r="C43" s="557">
        <v>175111101</v>
      </c>
      <c r="D43" s="557" t="s">
        <v>2392</v>
      </c>
      <c r="E43" s="557" t="s">
        <v>146</v>
      </c>
      <c r="F43" s="573">
        <f>ROUND(SUM(F45),3)</f>
        <v>6.51</v>
      </c>
      <c r="G43" s="288"/>
      <c r="H43" s="568">
        <f>ROUND(F43*G43,2)</f>
        <v>0</v>
      </c>
      <c r="I43" s="613" t="s">
        <v>137</v>
      </c>
      <c r="J43" s="306"/>
    </row>
    <row r="44" spans="1:23" s="604" customFormat="1" ht="13.5" customHeight="1">
      <c r="A44" s="1586"/>
      <c r="B44" s="596"/>
      <c r="C44" s="597"/>
      <c r="D44" s="1695" t="s">
        <v>5683</v>
      </c>
      <c r="E44" s="599"/>
      <c r="F44" s="600"/>
      <c r="G44" s="289"/>
      <c r="H44" s="601"/>
      <c r="I44" s="602"/>
      <c r="J44" s="1580"/>
      <c r="U44" s="605"/>
      <c r="W44" s="605"/>
    </row>
    <row r="45" spans="1:23" s="604" customFormat="1" ht="27" customHeight="1">
      <c r="A45" s="1586"/>
      <c r="B45" s="596"/>
      <c r="C45" s="597"/>
      <c r="D45" s="1695" t="s">
        <v>5684</v>
      </c>
      <c r="E45" s="599"/>
      <c r="F45" s="600">
        <f>(15.5*1.2)*0.35</f>
        <v>6.5099999999999989</v>
      </c>
      <c r="G45" s="289"/>
      <c r="H45" s="601"/>
      <c r="I45" s="602"/>
      <c r="J45" s="2811"/>
      <c r="U45" s="605"/>
      <c r="W45" s="605"/>
    </row>
    <row r="46" spans="1:23" s="612" customFormat="1" ht="13.5" customHeight="1">
      <c r="A46" s="729">
        <v>16</v>
      </c>
      <c r="B46" s="730">
        <v>583</v>
      </c>
      <c r="C46" s="730">
        <v>58343872</v>
      </c>
      <c r="D46" s="730" t="s">
        <v>2395</v>
      </c>
      <c r="E46" s="730" t="s">
        <v>175</v>
      </c>
      <c r="F46" s="731">
        <f>ROUND(SUM(F48),3)</f>
        <v>13.02</v>
      </c>
      <c r="G46" s="292"/>
      <c r="H46" s="733">
        <f>ROUND(F46*G46,2)</f>
        <v>0</v>
      </c>
      <c r="I46" s="734" t="s">
        <v>137</v>
      </c>
    </row>
    <row r="47" spans="1:23" s="604" customFormat="1" ht="13.5" customHeight="1">
      <c r="A47" s="2813"/>
      <c r="B47" s="2675"/>
      <c r="C47" s="2676"/>
      <c r="D47" s="1699" t="s">
        <v>5683</v>
      </c>
      <c r="E47" s="739"/>
      <c r="F47" s="740"/>
      <c r="G47" s="293"/>
      <c r="H47" s="2677"/>
      <c r="I47" s="2678"/>
      <c r="J47" s="1580"/>
      <c r="U47" s="605"/>
      <c r="W47" s="605"/>
    </row>
    <row r="48" spans="1:23" s="604" customFormat="1" ht="27" customHeight="1">
      <c r="A48" s="2813"/>
      <c r="B48" s="2675"/>
      <c r="C48" s="2676"/>
      <c r="D48" s="1699" t="s">
        <v>5685</v>
      </c>
      <c r="E48" s="739"/>
      <c r="F48" s="740">
        <f>(6.51)*2</f>
        <v>13.02</v>
      </c>
      <c r="G48" s="293"/>
      <c r="H48" s="2677"/>
      <c r="I48" s="2678"/>
      <c r="J48" s="2811"/>
      <c r="U48" s="605"/>
      <c r="W48" s="605"/>
    </row>
    <row r="49" spans="1:256" s="883" customFormat="1" ht="13.5" customHeight="1">
      <c r="A49" s="2814" t="s">
        <v>883</v>
      </c>
      <c r="B49" s="2815" t="s">
        <v>135</v>
      </c>
      <c r="C49" s="2816" t="s">
        <v>4782</v>
      </c>
      <c r="D49" s="2816" t="s">
        <v>4783</v>
      </c>
      <c r="E49" s="2816" t="s">
        <v>146</v>
      </c>
      <c r="F49" s="1258">
        <f>ROUND(SUM(F51,F53),3)</f>
        <v>23.4</v>
      </c>
      <c r="G49" s="1641">
        <f>ROUND(SUM(H55:H59)/F49,2)</f>
        <v>0</v>
      </c>
      <c r="H49" s="568">
        <f t="shared" ref="H49" si="4">ROUND(F49*G49,2)</f>
        <v>0</v>
      </c>
      <c r="I49" s="2817" t="s">
        <v>111</v>
      </c>
      <c r="J49" s="2818"/>
      <c r="K49" s="2819"/>
      <c r="L49" s="2819"/>
      <c r="M49" s="2818"/>
      <c r="N49" s="1644"/>
    </row>
    <row r="50" spans="1:256" s="883" customFormat="1" ht="13.5" customHeight="1">
      <c r="A50" s="2814"/>
      <c r="B50" s="2815"/>
      <c r="C50" s="2816"/>
      <c r="D50" s="2820" t="s">
        <v>4784</v>
      </c>
      <c r="E50" s="2816"/>
      <c r="F50" s="2821"/>
      <c r="G50" s="294"/>
      <c r="H50" s="2822"/>
      <c r="I50" s="2817"/>
      <c r="J50" s="2818"/>
      <c r="K50" s="2819"/>
      <c r="L50" s="2819"/>
      <c r="M50" s="2818"/>
      <c r="N50" s="1644"/>
    </row>
    <row r="51" spans="1:256" s="593" customFormat="1" ht="13.5" customHeight="1">
      <c r="A51" s="2702"/>
      <c r="B51" s="790"/>
      <c r="C51" s="2816"/>
      <c r="D51" s="756" t="s">
        <v>182</v>
      </c>
      <c r="E51" s="1260"/>
      <c r="F51" s="758">
        <f>ROUND(SUM(F52:F52),3)</f>
        <v>14.04</v>
      </c>
      <c r="G51" s="879"/>
      <c r="H51" s="587"/>
      <c r="I51" s="1014"/>
      <c r="J51" s="2818"/>
      <c r="K51" s="2819"/>
      <c r="L51" s="2819"/>
      <c r="M51" s="2818"/>
      <c r="N51" s="1644"/>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K51" s="213"/>
      <c r="EL51" s="213"/>
      <c r="EM51" s="213"/>
      <c r="EN51" s="213"/>
      <c r="EO51" s="213"/>
      <c r="EP51" s="213"/>
      <c r="EQ51" s="213"/>
      <c r="ER51" s="213"/>
      <c r="ES51" s="213"/>
      <c r="ET51" s="213"/>
      <c r="EU51" s="213"/>
      <c r="EV51" s="213"/>
      <c r="EW51" s="213"/>
      <c r="EX51" s="213"/>
      <c r="EY51" s="213"/>
      <c r="EZ51" s="213"/>
      <c r="FA51" s="213"/>
      <c r="FB51" s="213"/>
      <c r="FC51" s="213"/>
      <c r="FD51" s="213"/>
      <c r="FE51" s="213"/>
      <c r="FF51" s="213"/>
      <c r="FG51" s="213"/>
      <c r="FH51" s="213"/>
      <c r="FI51" s="213"/>
      <c r="FJ51" s="213"/>
      <c r="FK51" s="213"/>
      <c r="FL51" s="213"/>
      <c r="FM51" s="213"/>
      <c r="FN51" s="213"/>
      <c r="FO51" s="213"/>
      <c r="FP51" s="213"/>
      <c r="FQ51" s="213"/>
      <c r="FR51" s="213"/>
      <c r="FS51" s="213"/>
      <c r="FT51" s="213"/>
      <c r="FU51" s="213"/>
      <c r="FV51" s="213"/>
      <c r="FW51" s="213"/>
      <c r="FX51" s="213"/>
      <c r="FY51" s="213"/>
      <c r="FZ51" s="213"/>
      <c r="GA51" s="213"/>
      <c r="GB51" s="213"/>
      <c r="GC51" s="213"/>
      <c r="GD51" s="213"/>
      <c r="GE51" s="213"/>
      <c r="GF51" s="213"/>
      <c r="GG51" s="213"/>
      <c r="GH51" s="213"/>
      <c r="GI51" s="213"/>
      <c r="GJ51" s="213"/>
      <c r="GK51" s="213"/>
      <c r="GL51" s="213"/>
      <c r="GM51" s="213"/>
      <c r="GN51" s="213"/>
      <c r="GO51" s="213"/>
      <c r="GP51" s="213"/>
      <c r="GQ51" s="213"/>
      <c r="GR51" s="213"/>
      <c r="GS51" s="213"/>
      <c r="GT51" s="213"/>
      <c r="GU51" s="213"/>
      <c r="GV51" s="213"/>
      <c r="GW51" s="213"/>
      <c r="GX51" s="213"/>
      <c r="GY51" s="213"/>
      <c r="GZ51" s="213"/>
      <c r="HA51" s="213"/>
      <c r="HB51" s="213"/>
      <c r="HC51" s="213"/>
      <c r="HD51" s="213"/>
      <c r="HE51" s="213"/>
      <c r="HF51" s="213"/>
      <c r="HG51" s="213"/>
      <c r="HH51" s="213"/>
      <c r="HI51" s="213"/>
      <c r="HJ51" s="213"/>
      <c r="HK51" s="213"/>
      <c r="HL51" s="213"/>
      <c r="HM51" s="213"/>
      <c r="HN51" s="213"/>
      <c r="HO51" s="213"/>
      <c r="HP51" s="213"/>
      <c r="HQ51" s="213"/>
      <c r="HR51" s="213"/>
      <c r="HS51" s="213"/>
      <c r="HT51" s="213"/>
      <c r="HU51" s="213"/>
      <c r="HV51" s="213"/>
      <c r="HW51" s="213"/>
      <c r="HX51" s="213"/>
      <c r="HY51" s="213"/>
      <c r="HZ51" s="213"/>
      <c r="IA51" s="213"/>
      <c r="IB51" s="213"/>
      <c r="IC51" s="213"/>
      <c r="ID51" s="213"/>
      <c r="IE51" s="213"/>
      <c r="IF51" s="213"/>
      <c r="IG51" s="213"/>
      <c r="IH51" s="213"/>
      <c r="II51" s="213"/>
      <c r="IJ51" s="213"/>
      <c r="IK51" s="213"/>
      <c r="IL51" s="213"/>
      <c r="IM51" s="213"/>
      <c r="IN51" s="213"/>
      <c r="IO51" s="213"/>
      <c r="IP51" s="213"/>
      <c r="IQ51" s="213"/>
      <c r="IR51" s="213"/>
      <c r="IS51" s="213"/>
      <c r="IT51" s="213"/>
      <c r="IU51" s="213"/>
      <c r="IV51" s="213"/>
    </row>
    <row r="52" spans="1:256" s="883" customFormat="1" ht="13.5" customHeight="1">
      <c r="A52" s="2823"/>
      <c r="B52" s="2824"/>
      <c r="C52" s="2825"/>
      <c r="D52" s="2820" t="s">
        <v>5686</v>
      </c>
      <c r="E52" s="2820"/>
      <c r="F52" s="2826">
        <f>(23.4)*(0.6)</f>
        <v>14.04</v>
      </c>
      <c r="G52" s="294"/>
      <c r="H52" s="2822"/>
      <c r="I52" s="2827"/>
      <c r="J52" s="2818"/>
      <c r="K52" s="2819"/>
      <c r="L52" s="2819"/>
      <c r="M52" s="2818"/>
      <c r="N52" s="1644"/>
    </row>
    <row r="53" spans="1:256" s="593" customFormat="1" ht="13.5" customHeight="1">
      <c r="A53" s="2702"/>
      <c r="B53" s="790"/>
      <c r="C53" s="2816"/>
      <c r="D53" s="756" t="s">
        <v>185</v>
      </c>
      <c r="E53" s="1260"/>
      <c r="F53" s="758">
        <f>ROUND(SUM(F54:F54),3)</f>
        <v>9.36</v>
      </c>
      <c r="G53" s="879"/>
      <c r="H53" s="587"/>
      <c r="I53" s="1014"/>
      <c r="J53" s="1262"/>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c r="EO53" s="213"/>
      <c r="EP53" s="213"/>
      <c r="EQ53" s="213"/>
      <c r="ER53" s="213"/>
      <c r="ES53" s="213"/>
      <c r="ET53" s="213"/>
      <c r="EU53" s="213"/>
      <c r="EV53" s="213"/>
      <c r="EW53" s="213"/>
      <c r="EX53" s="213"/>
      <c r="EY53" s="213"/>
      <c r="EZ53" s="213"/>
      <c r="FA53" s="213"/>
      <c r="FB53" s="213"/>
      <c r="FC53" s="213"/>
      <c r="FD53" s="213"/>
      <c r="FE53" s="213"/>
      <c r="FF53" s="213"/>
      <c r="FG53" s="213"/>
      <c r="FH53" s="213"/>
      <c r="FI53" s="213"/>
      <c r="FJ53" s="213"/>
      <c r="FK53" s="213"/>
      <c r="FL53" s="213"/>
      <c r="FM53" s="213"/>
      <c r="FN53" s="213"/>
      <c r="FO53" s="213"/>
      <c r="FP53" s="213"/>
      <c r="FQ53" s="213"/>
      <c r="FR53" s="213"/>
      <c r="FS53" s="213"/>
      <c r="FT53" s="213"/>
      <c r="FU53" s="213"/>
      <c r="FV53" s="213"/>
      <c r="FW53" s="213"/>
      <c r="FX53" s="213"/>
      <c r="FY53" s="213"/>
      <c r="FZ53" s="213"/>
      <c r="GA53" s="213"/>
      <c r="GB53" s="213"/>
      <c r="GC53" s="213"/>
      <c r="GD53" s="213"/>
      <c r="GE53" s="213"/>
      <c r="GF53" s="213"/>
      <c r="GG53" s="213"/>
      <c r="GH53" s="213"/>
      <c r="GI53" s="213"/>
      <c r="GJ53" s="213"/>
      <c r="GK53" s="213"/>
      <c r="GL53" s="213"/>
      <c r="GM53" s="213"/>
      <c r="GN53" s="213"/>
      <c r="GO53" s="213"/>
      <c r="GP53" s="213"/>
      <c r="GQ53" s="213"/>
      <c r="GR53" s="213"/>
      <c r="GS53" s="213"/>
      <c r="GT53" s="213"/>
      <c r="GU53" s="213"/>
      <c r="GV53" s="213"/>
      <c r="GW53" s="213"/>
      <c r="GX53" s="213"/>
      <c r="GY53" s="213"/>
      <c r="GZ53" s="213"/>
      <c r="HA53" s="213"/>
      <c r="HB53" s="213"/>
      <c r="HC53" s="213"/>
      <c r="HD53" s="213"/>
      <c r="HE53" s="213"/>
      <c r="HF53" s="213"/>
      <c r="HG53" s="213"/>
      <c r="HH53" s="213"/>
      <c r="HI53" s="213"/>
      <c r="HJ53" s="213"/>
      <c r="HK53" s="213"/>
      <c r="HL53" s="213"/>
      <c r="HM53" s="213"/>
      <c r="HN53" s="213"/>
      <c r="HO53" s="213"/>
      <c r="HP53" s="213"/>
      <c r="HQ53" s="213"/>
      <c r="HR53" s="213"/>
      <c r="HS53" s="213"/>
      <c r="HT53" s="213"/>
      <c r="HU53" s="213"/>
      <c r="HV53" s="213"/>
      <c r="HW53" s="213"/>
      <c r="HX53" s="213"/>
      <c r="HY53" s="213"/>
      <c r="HZ53" s="213"/>
      <c r="IA53" s="213"/>
      <c r="IB53" s="213"/>
      <c r="IC53" s="213"/>
      <c r="ID53" s="213"/>
      <c r="IE53" s="213"/>
      <c r="IF53" s="213"/>
      <c r="IG53" s="213"/>
      <c r="IH53" s="213"/>
      <c r="II53" s="213"/>
      <c r="IJ53" s="213"/>
      <c r="IK53" s="213"/>
      <c r="IL53" s="213"/>
      <c r="IM53" s="213"/>
      <c r="IN53" s="213"/>
      <c r="IO53" s="213"/>
      <c r="IP53" s="213"/>
      <c r="IQ53" s="213"/>
      <c r="IR53" s="213"/>
      <c r="IS53" s="213"/>
      <c r="IT53" s="213"/>
      <c r="IU53" s="213"/>
      <c r="IV53" s="213"/>
    </row>
    <row r="54" spans="1:256" s="883" customFormat="1" ht="13.5" customHeight="1">
      <c r="A54" s="2823"/>
      <c r="B54" s="2824"/>
      <c r="C54" s="2825"/>
      <c r="D54" s="2820" t="s">
        <v>5687</v>
      </c>
      <c r="E54" s="2820"/>
      <c r="F54" s="2826">
        <f>(23.4)*((0.35)+(0.05))</f>
        <v>9.36</v>
      </c>
      <c r="G54" s="294"/>
      <c r="H54" s="2822"/>
      <c r="I54" s="2827"/>
      <c r="J54" s="2828"/>
      <c r="K54" s="2819"/>
      <c r="L54" s="2819"/>
      <c r="M54" s="2818"/>
      <c r="N54" s="1644"/>
    </row>
    <row r="55" spans="1:256" s="883" customFormat="1" ht="13.5" customHeight="1">
      <c r="A55" s="2829" t="s">
        <v>5688</v>
      </c>
      <c r="B55" s="2816"/>
      <c r="C55" s="777">
        <v>167151101</v>
      </c>
      <c r="D55" s="2820" t="s">
        <v>2401</v>
      </c>
      <c r="E55" s="2830" t="s">
        <v>146</v>
      </c>
      <c r="F55" s="2826">
        <f>F51</f>
        <v>14.04</v>
      </c>
      <c r="G55" s="295"/>
      <c r="H55" s="2710">
        <f t="shared" ref="H55:H59" si="5">ROUND(F55*G55,2)</f>
        <v>0</v>
      </c>
      <c r="I55" s="781" t="s">
        <v>137</v>
      </c>
      <c r="J55" s="2818"/>
      <c r="K55" s="2819"/>
      <c r="L55" s="2819"/>
      <c r="M55" s="2818"/>
      <c r="N55" s="1644"/>
      <c r="O55" s="612"/>
      <c r="P55" s="612"/>
      <c r="Q55" s="612"/>
      <c r="R55" s="612"/>
      <c r="S55" s="788"/>
      <c r="V55" s="612"/>
    </row>
    <row r="56" spans="1:256" s="883" customFormat="1" ht="13.5" customHeight="1">
      <c r="A56" s="2831" t="s">
        <v>5689</v>
      </c>
      <c r="B56" s="2816"/>
      <c r="C56" s="777">
        <v>167151102</v>
      </c>
      <c r="D56" s="2820" t="s">
        <v>4789</v>
      </c>
      <c r="E56" s="2820" t="s">
        <v>146</v>
      </c>
      <c r="F56" s="2826">
        <f>F53</f>
        <v>9.36</v>
      </c>
      <c r="G56" s="295"/>
      <c r="H56" s="2710">
        <f t="shared" si="5"/>
        <v>0</v>
      </c>
      <c r="I56" s="781" t="s">
        <v>137</v>
      </c>
      <c r="J56" s="783"/>
      <c r="K56" s="783"/>
      <c r="L56" s="2832"/>
      <c r="M56" s="2832"/>
      <c r="N56" s="2832"/>
      <c r="Q56" s="2832"/>
      <c r="V56" s="2713"/>
    </row>
    <row r="57" spans="1:256" s="883" customFormat="1" ht="27" customHeight="1">
      <c r="A57" s="2829" t="s">
        <v>5690</v>
      </c>
      <c r="B57" s="2816"/>
      <c r="C57" s="777">
        <v>162351103</v>
      </c>
      <c r="D57" s="2820" t="s">
        <v>4791</v>
      </c>
      <c r="E57" s="2830" t="s">
        <v>146</v>
      </c>
      <c r="F57" s="2826">
        <f>F51</f>
        <v>14.04</v>
      </c>
      <c r="G57" s="295"/>
      <c r="H57" s="2710">
        <f t="shared" si="5"/>
        <v>0</v>
      </c>
      <c r="I57" s="781" t="s">
        <v>137</v>
      </c>
      <c r="J57" s="2818"/>
      <c r="K57" s="2819"/>
      <c r="L57" s="2819"/>
      <c r="M57" s="2818"/>
      <c r="N57" s="1644"/>
      <c r="O57" s="2596"/>
    </row>
    <row r="58" spans="1:256" s="883" customFormat="1" ht="27" customHeight="1">
      <c r="A58" s="2831" t="s">
        <v>5691</v>
      </c>
      <c r="B58" s="2816"/>
      <c r="C58" s="777">
        <v>162351123</v>
      </c>
      <c r="D58" s="2820" t="s">
        <v>4793</v>
      </c>
      <c r="E58" s="2820" t="s">
        <v>146</v>
      </c>
      <c r="F58" s="2826">
        <f>F53</f>
        <v>9.36</v>
      </c>
      <c r="G58" s="295"/>
      <c r="H58" s="2710">
        <f t="shared" si="5"/>
        <v>0</v>
      </c>
      <c r="I58" s="781" t="s">
        <v>137</v>
      </c>
      <c r="J58" s="783"/>
      <c r="K58" s="783"/>
      <c r="L58" s="2832"/>
      <c r="M58" s="2832"/>
      <c r="N58" s="2832"/>
      <c r="Q58" s="2832"/>
      <c r="V58" s="2714"/>
    </row>
    <row r="59" spans="1:256" s="883" customFormat="1" ht="13.5" customHeight="1">
      <c r="A59" s="2829" t="s">
        <v>5692</v>
      </c>
      <c r="B59" s="2816"/>
      <c r="C59" s="777">
        <v>171251201</v>
      </c>
      <c r="D59" s="2820" t="s">
        <v>4795</v>
      </c>
      <c r="E59" s="2830" t="s">
        <v>146</v>
      </c>
      <c r="F59" s="2826">
        <f>F49</f>
        <v>23.4</v>
      </c>
      <c r="G59" s="295"/>
      <c r="H59" s="2710">
        <f t="shared" si="5"/>
        <v>0</v>
      </c>
      <c r="I59" s="781" t="s">
        <v>137</v>
      </c>
      <c r="J59" s="2818"/>
      <c r="K59" s="2819"/>
      <c r="L59" s="2819"/>
      <c r="M59" s="2818"/>
      <c r="N59" s="1644"/>
      <c r="O59" s="612"/>
      <c r="P59" s="612"/>
      <c r="Q59" s="612"/>
      <c r="R59" s="612"/>
      <c r="S59" s="788"/>
      <c r="V59" s="612"/>
    </row>
    <row r="60" spans="1:256" s="883" customFormat="1" ht="13.5" customHeight="1">
      <c r="A60" s="2814"/>
      <c r="B60" s="2816"/>
      <c r="C60" s="2816"/>
      <c r="D60" s="2820" t="s">
        <v>4796</v>
      </c>
      <c r="E60" s="2816"/>
      <c r="F60" s="2833"/>
      <c r="G60" s="296"/>
      <c r="H60" s="2822"/>
      <c r="I60" s="2817"/>
      <c r="J60" s="2818"/>
      <c r="K60" s="2819"/>
      <c r="L60" s="2819"/>
      <c r="M60" s="2818"/>
      <c r="N60" s="1644"/>
    </row>
    <row r="61" spans="1:256" s="883" customFormat="1" ht="13.5" customHeight="1">
      <c r="A61" s="2814" t="s">
        <v>196</v>
      </c>
      <c r="B61" s="2815" t="s">
        <v>135</v>
      </c>
      <c r="C61" s="2816" t="s">
        <v>4797</v>
      </c>
      <c r="D61" s="2816" t="s">
        <v>4798</v>
      </c>
      <c r="E61" s="2816" t="s">
        <v>146</v>
      </c>
      <c r="F61" s="1258">
        <f>ROUND(SUM(F63,F65),3)</f>
        <v>23.4</v>
      </c>
      <c r="G61" s="1641">
        <f>ROUND(SUM(H67:H70)/F61,2)</f>
        <v>0</v>
      </c>
      <c r="H61" s="1242">
        <f t="shared" ref="H61" si="6">ROUND(F61*G61,2)</f>
        <v>0</v>
      </c>
      <c r="I61" s="2817" t="s">
        <v>111</v>
      </c>
      <c r="J61" s="2818"/>
      <c r="K61" s="2819"/>
      <c r="L61" s="2819"/>
      <c r="M61" s="2818"/>
      <c r="N61" s="1644"/>
    </row>
    <row r="62" spans="1:256" s="883" customFormat="1" ht="13.5" customHeight="1">
      <c r="A62" s="2823"/>
      <c r="B62" s="2824"/>
      <c r="C62" s="2825"/>
      <c r="D62" s="2820" t="s">
        <v>4799</v>
      </c>
      <c r="E62" s="2820"/>
      <c r="F62" s="2826"/>
      <c r="G62" s="294"/>
      <c r="H62" s="2822"/>
      <c r="I62" s="2827"/>
      <c r="J62" s="2818"/>
      <c r="K62" s="2819"/>
      <c r="L62" s="2819"/>
      <c r="M62" s="2818"/>
      <c r="N62" s="1644"/>
      <c r="U62" s="2714"/>
    </row>
    <row r="63" spans="1:256" s="593" customFormat="1" ht="13.5" customHeight="1">
      <c r="A63" s="2702"/>
      <c r="B63" s="790"/>
      <c r="C63" s="2816"/>
      <c r="D63" s="756" t="s">
        <v>4800</v>
      </c>
      <c r="E63" s="1260"/>
      <c r="F63" s="758">
        <f>ROUND(SUM(F64:F64),3)</f>
        <v>14.04</v>
      </c>
      <c r="G63" s="879"/>
      <c r="H63" s="587"/>
      <c r="I63" s="1014"/>
      <c r="J63" s="2818"/>
      <c r="K63" s="2819"/>
      <c r="L63" s="2819"/>
      <c r="M63" s="2818"/>
      <c r="N63" s="1644"/>
      <c r="O63" s="213"/>
      <c r="P63" s="213"/>
      <c r="Q63" s="213"/>
      <c r="S63" s="213"/>
      <c r="U63" s="2714"/>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213"/>
      <c r="ER63" s="213"/>
      <c r="ES63" s="213"/>
      <c r="ET63" s="213"/>
      <c r="EU63" s="213"/>
      <c r="EV63" s="213"/>
      <c r="EW63" s="213"/>
      <c r="EX63" s="213"/>
      <c r="EY63" s="213"/>
      <c r="EZ63" s="213"/>
      <c r="FA63" s="213"/>
      <c r="FB63" s="213"/>
      <c r="FC63" s="213"/>
      <c r="FD63" s="213"/>
      <c r="FE63" s="213"/>
      <c r="FF63" s="213"/>
      <c r="FG63" s="213"/>
      <c r="FH63" s="213"/>
      <c r="FI63" s="213"/>
      <c r="FJ63" s="213"/>
      <c r="FK63" s="213"/>
      <c r="FL63" s="213"/>
      <c r="FM63" s="213"/>
      <c r="FN63" s="213"/>
      <c r="FO63" s="213"/>
      <c r="FP63" s="213"/>
      <c r="FQ63" s="213"/>
      <c r="FR63" s="213"/>
      <c r="FS63" s="213"/>
      <c r="FT63" s="213"/>
      <c r="FU63" s="213"/>
      <c r="FV63" s="213"/>
      <c r="FW63" s="213"/>
      <c r="FX63" s="213"/>
      <c r="FY63" s="213"/>
      <c r="FZ63" s="213"/>
      <c r="GA63" s="213"/>
      <c r="GB63" s="213"/>
      <c r="GC63" s="213"/>
      <c r="GD63" s="213"/>
      <c r="GE63" s="213"/>
      <c r="GF63" s="213"/>
      <c r="GG63" s="213"/>
      <c r="GH63" s="213"/>
      <c r="GI63" s="213"/>
      <c r="GJ63" s="213"/>
      <c r="GK63" s="213"/>
      <c r="GL63" s="213"/>
      <c r="GM63" s="213"/>
      <c r="GN63" s="213"/>
      <c r="GO63" s="213"/>
      <c r="GP63" s="213"/>
      <c r="GQ63" s="213"/>
      <c r="GR63" s="213"/>
      <c r="GS63" s="213"/>
      <c r="GT63" s="213"/>
      <c r="GU63" s="213"/>
      <c r="GV63" s="213"/>
      <c r="GW63" s="213"/>
      <c r="GX63" s="213"/>
      <c r="GY63" s="213"/>
      <c r="GZ63" s="213"/>
      <c r="HA63" s="213"/>
      <c r="HB63" s="213"/>
      <c r="HC63" s="213"/>
      <c r="HD63" s="213"/>
      <c r="HE63" s="213"/>
      <c r="HF63" s="213"/>
      <c r="HG63" s="213"/>
      <c r="HH63" s="213"/>
      <c r="HI63" s="213"/>
      <c r="HJ63" s="213"/>
      <c r="HK63" s="213"/>
      <c r="HL63" s="213"/>
      <c r="HM63" s="213"/>
      <c r="HN63" s="213"/>
      <c r="HO63" s="213"/>
      <c r="HP63" s="213"/>
      <c r="HQ63" s="213"/>
      <c r="HR63" s="213"/>
      <c r="HS63" s="213"/>
      <c r="HT63" s="213"/>
      <c r="HU63" s="213"/>
      <c r="HV63" s="213"/>
      <c r="HW63" s="213"/>
      <c r="HX63" s="213"/>
      <c r="HY63" s="213"/>
      <c r="HZ63" s="213"/>
      <c r="IA63" s="213"/>
      <c r="IB63" s="213"/>
      <c r="IC63" s="213"/>
      <c r="ID63" s="213"/>
      <c r="IE63" s="213"/>
      <c r="IF63" s="213"/>
      <c r="IG63" s="213"/>
      <c r="IH63" s="213"/>
      <c r="II63" s="213"/>
      <c r="IJ63" s="213"/>
      <c r="IK63" s="213"/>
      <c r="IL63" s="213"/>
      <c r="IM63" s="213"/>
      <c r="IN63" s="213"/>
      <c r="IO63" s="213"/>
      <c r="IP63" s="213"/>
      <c r="IQ63" s="213"/>
      <c r="IR63" s="213"/>
      <c r="IS63" s="213"/>
      <c r="IT63" s="213"/>
      <c r="IU63" s="213"/>
      <c r="IV63" s="213"/>
    </row>
    <row r="64" spans="1:256" s="883" customFormat="1" ht="13.5" customHeight="1">
      <c r="A64" s="2823"/>
      <c r="B64" s="2824"/>
      <c r="C64" s="2825"/>
      <c r="D64" s="2820" t="s">
        <v>5693</v>
      </c>
      <c r="E64" s="2820"/>
      <c r="F64" s="2826">
        <f>(23.4)*(0.6)</f>
        <v>14.04</v>
      </c>
      <c r="G64" s="294"/>
      <c r="H64" s="2822"/>
      <c r="I64" s="2827"/>
      <c r="J64" s="2818"/>
      <c r="K64" s="2819"/>
      <c r="L64" s="2819"/>
      <c r="M64" s="2818"/>
      <c r="N64" s="1644"/>
      <c r="U64" s="2714"/>
    </row>
    <row r="65" spans="1:256" s="593" customFormat="1" ht="13.5" customHeight="1">
      <c r="A65" s="2702"/>
      <c r="B65" s="790"/>
      <c r="C65" s="2816"/>
      <c r="D65" s="756" t="s">
        <v>4802</v>
      </c>
      <c r="E65" s="1260"/>
      <c r="F65" s="758">
        <f>ROUND(SUM(F66:F66),3)</f>
        <v>9.36</v>
      </c>
      <c r="G65" s="879"/>
      <c r="H65" s="587"/>
      <c r="I65" s="1014"/>
      <c r="J65" s="2716"/>
      <c r="L65" s="213"/>
      <c r="M65" s="213"/>
      <c r="N65" s="213"/>
      <c r="O65" s="213"/>
      <c r="P65" s="213"/>
      <c r="Q65" s="213"/>
      <c r="S65" s="213"/>
      <c r="U65" s="2714"/>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213"/>
      <c r="EV65" s="213"/>
      <c r="EW65" s="213"/>
      <c r="EX65" s="213"/>
      <c r="EY65" s="213"/>
      <c r="EZ65" s="213"/>
      <c r="FA65" s="213"/>
      <c r="FB65" s="213"/>
      <c r="FC65" s="213"/>
      <c r="FD65" s="213"/>
      <c r="FE65" s="213"/>
      <c r="FF65" s="213"/>
      <c r="FG65" s="213"/>
      <c r="FH65" s="213"/>
      <c r="FI65" s="213"/>
      <c r="FJ65" s="213"/>
      <c r="FK65" s="213"/>
      <c r="FL65" s="213"/>
      <c r="FM65" s="213"/>
      <c r="FN65" s="213"/>
      <c r="FO65" s="213"/>
      <c r="FP65" s="213"/>
      <c r="FQ65" s="213"/>
      <c r="FR65" s="213"/>
      <c r="FS65" s="213"/>
      <c r="FT65" s="213"/>
      <c r="FU65" s="213"/>
      <c r="FV65" s="213"/>
      <c r="FW65" s="213"/>
      <c r="FX65" s="213"/>
      <c r="FY65" s="213"/>
      <c r="FZ65" s="213"/>
      <c r="GA65" s="213"/>
      <c r="GB65" s="213"/>
      <c r="GC65" s="213"/>
      <c r="GD65" s="213"/>
      <c r="GE65" s="213"/>
      <c r="GF65" s="213"/>
      <c r="GG65" s="213"/>
      <c r="GH65" s="213"/>
      <c r="GI65" s="213"/>
      <c r="GJ65" s="213"/>
      <c r="GK65" s="213"/>
      <c r="GL65" s="213"/>
      <c r="GM65" s="213"/>
      <c r="GN65" s="213"/>
      <c r="GO65" s="213"/>
      <c r="GP65" s="213"/>
      <c r="GQ65" s="213"/>
      <c r="GR65" s="213"/>
      <c r="GS65" s="213"/>
      <c r="GT65" s="213"/>
      <c r="GU65" s="213"/>
      <c r="GV65" s="213"/>
      <c r="GW65" s="213"/>
      <c r="GX65" s="213"/>
      <c r="GY65" s="213"/>
      <c r="GZ65" s="213"/>
      <c r="HA65" s="213"/>
      <c r="HB65" s="213"/>
      <c r="HC65" s="213"/>
      <c r="HD65" s="213"/>
      <c r="HE65" s="213"/>
      <c r="HF65" s="213"/>
      <c r="HG65" s="213"/>
      <c r="HH65" s="213"/>
      <c r="HI65" s="213"/>
      <c r="HJ65" s="213"/>
      <c r="HK65" s="213"/>
      <c r="HL65" s="213"/>
      <c r="HM65" s="213"/>
      <c r="HN65" s="213"/>
      <c r="HO65" s="213"/>
      <c r="HP65" s="213"/>
      <c r="HQ65" s="213"/>
      <c r="HR65" s="213"/>
      <c r="HS65" s="213"/>
      <c r="HT65" s="213"/>
      <c r="HU65" s="213"/>
      <c r="HV65" s="213"/>
      <c r="HW65" s="213"/>
      <c r="HX65" s="213"/>
      <c r="HY65" s="213"/>
      <c r="HZ65" s="213"/>
      <c r="IA65" s="213"/>
      <c r="IB65" s="213"/>
      <c r="IC65" s="213"/>
      <c r="ID65" s="213"/>
      <c r="IE65" s="213"/>
      <c r="IF65" s="213"/>
      <c r="IG65" s="213"/>
      <c r="IH65" s="213"/>
      <c r="II65" s="213"/>
      <c r="IJ65" s="213"/>
      <c r="IK65" s="213"/>
      <c r="IL65" s="213"/>
      <c r="IM65" s="213"/>
      <c r="IN65" s="213"/>
      <c r="IO65" s="213"/>
      <c r="IP65" s="213"/>
      <c r="IQ65" s="213"/>
      <c r="IR65" s="213"/>
      <c r="IS65" s="213"/>
      <c r="IT65" s="213"/>
      <c r="IU65" s="213"/>
      <c r="IV65" s="213"/>
    </row>
    <row r="66" spans="1:256" s="883" customFormat="1" ht="13.5" customHeight="1">
      <c r="A66" s="2823"/>
      <c r="B66" s="2824"/>
      <c r="C66" s="2825"/>
      <c r="D66" s="2820" t="s">
        <v>5694</v>
      </c>
      <c r="E66" s="2820"/>
      <c r="F66" s="2826">
        <f>(23.4)*((0.35)+(0.05))</f>
        <v>9.36</v>
      </c>
      <c r="G66" s="294"/>
      <c r="H66" s="2822"/>
      <c r="I66" s="2827"/>
      <c r="U66" s="2714"/>
    </row>
    <row r="67" spans="1:256" s="883" customFormat="1" ht="13.5" customHeight="1">
      <c r="A67" s="2829" t="s">
        <v>5248</v>
      </c>
      <c r="B67" s="2816"/>
      <c r="C67" s="777">
        <v>167151101</v>
      </c>
      <c r="D67" s="2820" t="s">
        <v>2401</v>
      </c>
      <c r="E67" s="2830" t="s">
        <v>146</v>
      </c>
      <c r="F67" s="2826">
        <f>F63</f>
        <v>14.04</v>
      </c>
      <c r="G67" s="295"/>
      <c r="H67" s="2710">
        <f t="shared" ref="H67:H70" si="7">ROUND(F67*G67,2)</f>
        <v>0</v>
      </c>
      <c r="I67" s="781" t="s">
        <v>137</v>
      </c>
      <c r="J67" s="2818"/>
      <c r="K67" s="2819"/>
      <c r="L67" s="2819"/>
      <c r="M67" s="2818"/>
      <c r="N67" s="1644"/>
      <c r="O67" s="612"/>
      <c r="P67" s="612"/>
      <c r="Q67" s="612"/>
      <c r="R67" s="612"/>
      <c r="S67" s="788"/>
      <c r="V67" s="612"/>
    </row>
    <row r="68" spans="1:256" s="883" customFormat="1" ht="13.5" customHeight="1">
      <c r="A68" s="2831" t="s">
        <v>5249</v>
      </c>
      <c r="B68" s="2816"/>
      <c r="C68" s="777">
        <v>167151102</v>
      </c>
      <c r="D68" s="2820" t="s">
        <v>4789</v>
      </c>
      <c r="E68" s="2820" t="s">
        <v>146</v>
      </c>
      <c r="F68" s="2826">
        <f>F65</f>
        <v>9.36</v>
      </c>
      <c r="G68" s="295"/>
      <c r="H68" s="2710">
        <f t="shared" si="7"/>
        <v>0</v>
      </c>
      <c r="I68" s="781" t="s">
        <v>137</v>
      </c>
      <c r="J68" s="783"/>
      <c r="K68" s="783"/>
      <c r="L68" s="2832"/>
      <c r="M68" s="2832"/>
      <c r="N68" s="2832"/>
      <c r="Q68" s="2832"/>
      <c r="V68" s="2713"/>
    </row>
    <row r="69" spans="1:256" s="883" customFormat="1" ht="27" customHeight="1">
      <c r="A69" s="2829" t="s">
        <v>5250</v>
      </c>
      <c r="B69" s="2816"/>
      <c r="C69" s="777">
        <v>162351103</v>
      </c>
      <c r="D69" s="2820" t="s">
        <v>4791</v>
      </c>
      <c r="E69" s="2830" t="s">
        <v>146</v>
      </c>
      <c r="F69" s="2826">
        <f>F63</f>
        <v>14.04</v>
      </c>
      <c r="G69" s="295"/>
      <c r="H69" s="2710">
        <f t="shared" si="7"/>
        <v>0</v>
      </c>
      <c r="I69" s="781" t="s">
        <v>137</v>
      </c>
      <c r="J69" s="2818"/>
      <c r="K69" s="2819"/>
      <c r="L69" s="2819"/>
      <c r="M69" s="2818"/>
      <c r="N69" s="1644"/>
      <c r="O69" s="2596"/>
    </row>
    <row r="70" spans="1:256" s="883" customFormat="1" ht="27" customHeight="1">
      <c r="A70" s="2831" t="s">
        <v>5251</v>
      </c>
      <c r="B70" s="2816"/>
      <c r="C70" s="777">
        <v>162351123</v>
      </c>
      <c r="D70" s="2820" t="s">
        <v>4793</v>
      </c>
      <c r="E70" s="2820" t="s">
        <v>146</v>
      </c>
      <c r="F70" s="2826">
        <f>F65</f>
        <v>9.36</v>
      </c>
      <c r="G70" s="295"/>
      <c r="H70" s="2710">
        <f t="shared" si="7"/>
        <v>0</v>
      </c>
      <c r="I70" s="781" t="s">
        <v>137</v>
      </c>
      <c r="J70" s="783"/>
      <c r="K70" s="783"/>
      <c r="L70" s="2832"/>
      <c r="M70" s="2832"/>
      <c r="N70" s="2832"/>
      <c r="Q70" s="2832"/>
      <c r="V70" s="2714"/>
    </row>
    <row r="71" spans="1:256" s="883" customFormat="1" ht="27" customHeight="1">
      <c r="A71" s="2829"/>
      <c r="B71" s="2816"/>
      <c r="C71" s="2816"/>
      <c r="D71" s="2717" t="s">
        <v>4808</v>
      </c>
      <c r="E71" s="2830"/>
      <c r="F71" s="2826"/>
      <c r="G71" s="297"/>
      <c r="H71" s="2833"/>
      <c r="I71" s="781"/>
      <c r="J71" s="2818"/>
      <c r="K71" s="2819"/>
      <c r="L71" s="2819"/>
      <c r="M71" s="2818"/>
      <c r="N71" s="1644"/>
    </row>
    <row r="72" spans="1:256" s="796" customFormat="1" ht="27" customHeight="1">
      <c r="A72" s="1015">
        <v>19</v>
      </c>
      <c r="B72" s="1016" t="s">
        <v>135</v>
      </c>
      <c r="C72" s="1648" t="s">
        <v>180</v>
      </c>
      <c r="D72" s="1648" t="s">
        <v>6330</v>
      </c>
      <c r="E72" s="1648" t="s">
        <v>146</v>
      </c>
      <c r="F72" s="2659">
        <f>ROUND(SUM(F74,F77),3)</f>
        <v>10.08</v>
      </c>
      <c r="G72" s="2718">
        <f>ROUND(SUM(H80:H85)/F72,2)</f>
        <v>0</v>
      </c>
      <c r="H72" s="568">
        <f>ROUND(F72*G72,2)</f>
        <v>0</v>
      </c>
      <c r="I72" s="2719" t="s">
        <v>111</v>
      </c>
      <c r="J72" s="2720"/>
      <c r="L72" s="797"/>
      <c r="M72" s="797"/>
      <c r="N72" s="797"/>
      <c r="O72" s="797"/>
      <c r="P72" s="797"/>
      <c r="Q72" s="797"/>
      <c r="R72" s="797"/>
      <c r="S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796" customFormat="1" ht="13.5" customHeight="1">
      <c r="A73" s="1015"/>
      <c r="B73" s="1016"/>
      <c r="C73" s="1648"/>
      <c r="D73" s="1036" t="s">
        <v>4809</v>
      </c>
      <c r="E73" s="1648"/>
      <c r="F73" s="1649"/>
      <c r="G73" s="298"/>
      <c r="H73" s="1038"/>
      <c r="I73" s="1019"/>
      <c r="J73" s="1650"/>
      <c r="L73" s="797"/>
      <c r="M73" s="797"/>
      <c r="N73" s="797"/>
      <c r="O73" s="797"/>
      <c r="P73" s="797"/>
      <c r="Q73" s="797"/>
      <c r="R73" s="797"/>
      <c r="S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797"/>
      <c r="CE73" s="797"/>
      <c r="CF73" s="797"/>
      <c r="CG73" s="797"/>
      <c r="CH73" s="797"/>
      <c r="CI73" s="797"/>
      <c r="CJ73" s="797"/>
      <c r="CK73" s="797"/>
      <c r="CL73" s="797"/>
      <c r="CM73" s="797"/>
      <c r="CN73" s="797"/>
      <c r="CO73" s="797"/>
      <c r="CP73" s="797"/>
      <c r="CQ73" s="797"/>
      <c r="CR73" s="797"/>
      <c r="CS73" s="797"/>
      <c r="CT73" s="797"/>
      <c r="CU73" s="797"/>
      <c r="CV73" s="797"/>
      <c r="CW73" s="797"/>
      <c r="CX73" s="797"/>
      <c r="CY73" s="797"/>
      <c r="CZ73" s="797"/>
      <c r="DA73" s="797"/>
      <c r="DB73" s="797"/>
      <c r="DC73" s="797"/>
      <c r="DD73" s="797"/>
      <c r="DE73" s="797"/>
      <c r="DF73" s="797"/>
      <c r="DG73" s="797"/>
      <c r="DH73" s="797"/>
      <c r="DI73" s="797"/>
      <c r="DJ73" s="797"/>
      <c r="DK73" s="797"/>
      <c r="DL73" s="797"/>
      <c r="DM73" s="797"/>
      <c r="DN73" s="797"/>
      <c r="DO73" s="797"/>
      <c r="DP73" s="797"/>
      <c r="DQ73" s="797"/>
      <c r="DR73" s="797"/>
      <c r="DS73" s="797"/>
      <c r="DT73" s="797"/>
      <c r="DU73" s="797"/>
      <c r="DV73" s="797"/>
      <c r="DW73" s="797"/>
      <c r="DX73" s="797"/>
      <c r="DY73" s="797"/>
      <c r="DZ73" s="797"/>
      <c r="EA73" s="797"/>
      <c r="EB73" s="797"/>
      <c r="EC73" s="797"/>
      <c r="ED73" s="797"/>
      <c r="EE73" s="797"/>
      <c r="EF73" s="797"/>
      <c r="EG73" s="797"/>
      <c r="EH73" s="797"/>
      <c r="EI73" s="797"/>
      <c r="EJ73" s="797"/>
      <c r="EK73" s="797"/>
      <c r="EL73" s="797"/>
      <c r="EM73" s="797"/>
      <c r="EN73" s="797"/>
      <c r="EO73" s="797"/>
      <c r="EP73" s="797"/>
      <c r="EQ73" s="797"/>
      <c r="ER73" s="797"/>
      <c r="ES73" s="797"/>
      <c r="ET73" s="797"/>
      <c r="EU73" s="797"/>
      <c r="EV73" s="797"/>
      <c r="EW73" s="797"/>
      <c r="EX73" s="797"/>
      <c r="EY73" s="797"/>
      <c r="EZ73" s="797"/>
      <c r="FA73" s="797"/>
      <c r="FB73" s="797"/>
      <c r="FC73" s="797"/>
      <c r="FD73" s="797"/>
      <c r="FE73" s="797"/>
      <c r="FF73" s="797"/>
      <c r="FG73" s="797"/>
      <c r="FH73" s="797"/>
      <c r="FI73" s="797"/>
      <c r="FJ73" s="797"/>
      <c r="FK73" s="797"/>
      <c r="FL73" s="797"/>
      <c r="FM73" s="797"/>
      <c r="FN73" s="797"/>
      <c r="FO73" s="797"/>
      <c r="FP73" s="797"/>
      <c r="FQ73" s="797"/>
      <c r="FR73" s="797"/>
      <c r="FS73" s="797"/>
      <c r="FT73" s="797"/>
      <c r="FU73" s="797"/>
      <c r="FV73" s="797"/>
      <c r="FW73" s="797"/>
      <c r="FX73" s="797"/>
      <c r="FY73" s="797"/>
      <c r="FZ73" s="797"/>
      <c r="GA73" s="797"/>
      <c r="GB73" s="797"/>
      <c r="GC73" s="797"/>
      <c r="GD73" s="797"/>
      <c r="GE73" s="797"/>
      <c r="GF73" s="797"/>
      <c r="GG73" s="797"/>
      <c r="GH73" s="797"/>
      <c r="GI73" s="797"/>
      <c r="GJ73" s="797"/>
      <c r="GK73" s="797"/>
      <c r="GL73" s="797"/>
      <c r="GM73" s="797"/>
      <c r="GN73" s="797"/>
      <c r="GO73" s="797"/>
      <c r="GP73" s="797"/>
      <c r="GQ73" s="797"/>
      <c r="GR73" s="797"/>
      <c r="GS73" s="797"/>
      <c r="GT73" s="797"/>
      <c r="GU73" s="797"/>
      <c r="GV73" s="797"/>
      <c r="GW73" s="797"/>
      <c r="GX73" s="797"/>
      <c r="GY73" s="797"/>
      <c r="GZ73" s="797"/>
      <c r="HA73" s="797"/>
      <c r="HB73" s="797"/>
      <c r="HC73" s="797"/>
      <c r="HD73" s="797"/>
      <c r="HE73" s="797"/>
      <c r="HF73" s="797"/>
      <c r="HG73" s="797"/>
      <c r="HH73" s="797"/>
      <c r="HI73" s="797"/>
      <c r="HJ73" s="797"/>
      <c r="HK73" s="797"/>
      <c r="HL73" s="797"/>
      <c r="HM73" s="797"/>
      <c r="HN73" s="797"/>
      <c r="HO73" s="797"/>
      <c r="HP73" s="797"/>
      <c r="HQ73" s="797"/>
      <c r="HR73" s="797"/>
      <c r="HS73" s="797"/>
      <c r="HT73" s="797"/>
      <c r="HU73" s="797"/>
      <c r="HV73" s="797"/>
      <c r="HW73" s="797"/>
      <c r="HX73" s="797"/>
      <c r="HY73" s="797"/>
      <c r="HZ73" s="797"/>
      <c r="IA73" s="797"/>
      <c r="IB73" s="797"/>
      <c r="IC73" s="797"/>
      <c r="ID73" s="797"/>
      <c r="IE73" s="797"/>
      <c r="IF73" s="797"/>
      <c r="IG73" s="797"/>
      <c r="IH73" s="797"/>
      <c r="II73" s="797"/>
      <c r="IJ73" s="797"/>
      <c r="IK73" s="797"/>
      <c r="IL73" s="797"/>
      <c r="IM73" s="797"/>
      <c r="IN73" s="797"/>
      <c r="IO73" s="797"/>
      <c r="IP73" s="797"/>
      <c r="IQ73" s="797"/>
      <c r="IR73" s="797"/>
      <c r="IS73" s="797"/>
      <c r="IT73" s="797"/>
      <c r="IU73" s="797"/>
      <c r="IV73" s="797"/>
    </row>
    <row r="74" spans="1:256" s="1587" customFormat="1" ht="13.5" customHeight="1">
      <c r="A74" s="2721"/>
      <c r="B74" s="2722"/>
      <c r="C74" s="799"/>
      <c r="D74" s="756" t="s">
        <v>182</v>
      </c>
      <c r="E74" s="2723"/>
      <c r="F74" s="758">
        <f>ROUND(SUM(F75:F76),3)</f>
        <v>6.048</v>
      </c>
      <c r="G74" s="299"/>
      <c r="H74" s="2724"/>
      <c r="I74" s="2725"/>
      <c r="J74" s="2726"/>
      <c r="L74" s="1588"/>
      <c r="M74" s="1588"/>
      <c r="N74" s="1588"/>
      <c r="O74" s="1588"/>
      <c r="P74" s="1588"/>
      <c r="Q74" s="1588"/>
      <c r="R74" s="1588"/>
      <c r="S74" s="1588"/>
      <c r="V74" s="1588"/>
      <c r="W74" s="1588"/>
      <c r="X74" s="1588"/>
      <c r="Y74" s="1588"/>
      <c r="Z74" s="1588"/>
      <c r="AA74" s="1588"/>
      <c r="AB74" s="1588"/>
      <c r="AC74" s="1588"/>
      <c r="AD74" s="1588"/>
      <c r="AE74" s="1588"/>
      <c r="AF74" s="1588"/>
      <c r="AG74" s="1588"/>
      <c r="AH74" s="1588"/>
      <c r="AI74" s="1588"/>
      <c r="AJ74" s="1588"/>
      <c r="AK74" s="1588"/>
      <c r="AL74" s="1588"/>
      <c r="AM74" s="1588"/>
      <c r="AN74" s="1588"/>
      <c r="AO74" s="1588"/>
      <c r="AP74" s="1588"/>
      <c r="AQ74" s="1588"/>
      <c r="AR74" s="1588"/>
      <c r="AS74" s="1588"/>
      <c r="AT74" s="1588"/>
      <c r="AU74" s="1588"/>
      <c r="AV74" s="1588"/>
      <c r="AW74" s="1588"/>
      <c r="AX74" s="1588"/>
      <c r="AY74" s="1588"/>
      <c r="AZ74" s="1588"/>
      <c r="BA74" s="1588"/>
      <c r="BB74" s="1588"/>
      <c r="BC74" s="1588"/>
      <c r="BD74" s="1588"/>
      <c r="BE74" s="1588"/>
      <c r="BF74" s="1588"/>
      <c r="BG74" s="1588"/>
      <c r="BH74" s="1588"/>
      <c r="BI74" s="1588"/>
      <c r="BJ74" s="1588"/>
      <c r="BK74" s="1588"/>
      <c r="BL74" s="1588"/>
      <c r="BM74" s="1588"/>
      <c r="BN74" s="1588"/>
      <c r="BO74" s="1588"/>
      <c r="BP74" s="1588"/>
      <c r="BQ74" s="1588"/>
      <c r="BR74" s="1588"/>
      <c r="BS74" s="1588"/>
      <c r="BT74" s="1588"/>
      <c r="BU74" s="1588"/>
      <c r="BV74" s="1588"/>
      <c r="BW74" s="1588"/>
      <c r="BX74" s="1588"/>
      <c r="BY74" s="1588"/>
      <c r="BZ74" s="1588"/>
      <c r="CA74" s="1588"/>
      <c r="CB74" s="1588"/>
      <c r="CC74" s="1588"/>
      <c r="CD74" s="1588"/>
      <c r="CE74" s="1588"/>
      <c r="CF74" s="1588"/>
      <c r="CG74" s="1588"/>
      <c r="CH74" s="1588"/>
      <c r="CI74" s="1588"/>
      <c r="CJ74" s="1588"/>
      <c r="CK74" s="1588"/>
      <c r="CL74" s="1588"/>
      <c r="CM74" s="1588"/>
      <c r="CN74" s="1588"/>
      <c r="CO74" s="1588"/>
      <c r="CP74" s="1588"/>
      <c r="CQ74" s="1588"/>
      <c r="CR74" s="1588"/>
      <c r="CS74" s="1588"/>
      <c r="CT74" s="1588"/>
      <c r="CU74" s="1588"/>
      <c r="CV74" s="1588"/>
      <c r="CW74" s="1588"/>
      <c r="CX74" s="1588"/>
      <c r="CY74" s="1588"/>
      <c r="CZ74" s="1588"/>
      <c r="DA74" s="1588"/>
      <c r="DB74" s="1588"/>
      <c r="DC74" s="1588"/>
      <c r="DD74" s="1588"/>
      <c r="DE74" s="1588"/>
      <c r="DF74" s="1588"/>
      <c r="DG74" s="1588"/>
      <c r="DH74" s="1588"/>
      <c r="DI74" s="1588"/>
      <c r="DJ74" s="1588"/>
      <c r="DK74" s="1588"/>
      <c r="DL74" s="1588"/>
      <c r="DM74" s="1588"/>
      <c r="DN74" s="1588"/>
      <c r="DO74" s="1588"/>
      <c r="DP74" s="1588"/>
      <c r="DQ74" s="1588"/>
      <c r="DR74" s="1588"/>
      <c r="DS74" s="1588"/>
      <c r="DT74" s="1588"/>
      <c r="DU74" s="1588"/>
      <c r="DV74" s="1588"/>
      <c r="DW74" s="1588"/>
      <c r="DX74" s="1588"/>
      <c r="DY74" s="1588"/>
      <c r="DZ74" s="1588"/>
      <c r="EA74" s="1588"/>
      <c r="EB74" s="1588"/>
      <c r="EC74" s="1588"/>
      <c r="ED74" s="1588"/>
      <c r="EE74" s="1588"/>
      <c r="EF74" s="1588"/>
      <c r="EG74" s="1588"/>
      <c r="EH74" s="1588"/>
      <c r="EI74" s="1588"/>
      <c r="EJ74" s="1588"/>
      <c r="EK74" s="1588"/>
      <c r="EL74" s="1588"/>
      <c r="EM74" s="1588"/>
      <c r="EN74" s="1588"/>
      <c r="EO74" s="1588"/>
      <c r="EP74" s="1588"/>
      <c r="EQ74" s="1588"/>
      <c r="ER74" s="1588"/>
      <c r="ES74" s="1588"/>
      <c r="ET74" s="1588"/>
      <c r="EU74" s="1588"/>
      <c r="EV74" s="1588"/>
      <c r="EW74" s="1588"/>
      <c r="EX74" s="1588"/>
      <c r="EY74" s="1588"/>
      <c r="EZ74" s="1588"/>
      <c r="FA74" s="1588"/>
      <c r="FB74" s="1588"/>
      <c r="FC74" s="1588"/>
      <c r="FD74" s="1588"/>
      <c r="FE74" s="1588"/>
      <c r="FF74" s="1588"/>
      <c r="FG74" s="1588"/>
      <c r="FH74" s="1588"/>
      <c r="FI74" s="1588"/>
      <c r="FJ74" s="1588"/>
      <c r="FK74" s="1588"/>
      <c r="FL74" s="1588"/>
      <c r="FM74" s="1588"/>
      <c r="FN74" s="1588"/>
      <c r="FO74" s="1588"/>
      <c r="FP74" s="1588"/>
      <c r="FQ74" s="1588"/>
      <c r="FR74" s="1588"/>
      <c r="FS74" s="1588"/>
      <c r="FT74" s="1588"/>
      <c r="FU74" s="1588"/>
      <c r="FV74" s="1588"/>
      <c r="FW74" s="1588"/>
      <c r="FX74" s="1588"/>
      <c r="FY74" s="1588"/>
      <c r="FZ74" s="1588"/>
      <c r="GA74" s="1588"/>
      <c r="GB74" s="1588"/>
      <c r="GC74" s="1588"/>
      <c r="GD74" s="1588"/>
      <c r="GE74" s="1588"/>
      <c r="GF74" s="1588"/>
      <c r="GG74" s="1588"/>
      <c r="GH74" s="1588"/>
      <c r="GI74" s="1588"/>
      <c r="GJ74" s="1588"/>
      <c r="GK74" s="1588"/>
      <c r="GL74" s="1588"/>
      <c r="GM74" s="1588"/>
      <c r="GN74" s="1588"/>
      <c r="GO74" s="1588"/>
      <c r="GP74" s="1588"/>
      <c r="GQ74" s="1588"/>
      <c r="GR74" s="1588"/>
      <c r="GS74" s="1588"/>
      <c r="GT74" s="1588"/>
      <c r="GU74" s="1588"/>
      <c r="GV74" s="1588"/>
      <c r="GW74" s="1588"/>
      <c r="GX74" s="1588"/>
      <c r="GY74" s="1588"/>
      <c r="GZ74" s="1588"/>
      <c r="HA74" s="1588"/>
      <c r="HB74" s="1588"/>
      <c r="HC74" s="1588"/>
      <c r="HD74" s="1588"/>
      <c r="HE74" s="1588"/>
      <c r="HF74" s="1588"/>
      <c r="HG74" s="1588"/>
      <c r="HH74" s="1588"/>
      <c r="HI74" s="1588"/>
      <c r="HJ74" s="1588"/>
      <c r="HK74" s="1588"/>
      <c r="HL74" s="1588"/>
      <c r="HM74" s="1588"/>
      <c r="HN74" s="1588"/>
      <c r="HO74" s="1588"/>
      <c r="HP74" s="1588"/>
      <c r="HQ74" s="1588"/>
      <c r="HR74" s="1588"/>
      <c r="HS74" s="1588"/>
      <c r="HT74" s="1588"/>
      <c r="HU74" s="1588"/>
      <c r="HV74" s="1588"/>
      <c r="HW74" s="1588"/>
      <c r="HX74" s="1588"/>
      <c r="HY74" s="1588"/>
      <c r="HZ74" s="1588"/>
      <c r="IA74" s="1588"/>
      <c r="IB74" s="1588"/>
      <c r="IC74" s="1588"/>
      <c r="ID74" s="1588"/>
      <c r="IE74" s="1588"/>
      <c r="IF74" s="1588"/>
      <c r="IG74" s="1588"/>
      <c r="IH74" s="1588"/>
      <c r="II74" s="1588"/>
      <c r="IJ74" s="1588"/>
      <c r="IK74" s="1588"/>
      <c r="IL74" s="1588"/>
      <c r="IM74" s="1588"/>
      <c r="IN74" s="1588"/>
      <c r="IO74" s="1588"/>
      <c r="IP74" s="1588"/>
      <c r="IQ74" s="1588"/>
      <c r="IR74" s="1588"/>
      <c r="IS74" s="1588"/>
      <c r="IT74" s="1588"/>
      <c r="IU74" s="1588"/>
      <c r="IV74" s="1588"/>
    </row>
    <row r="75" spans="1:256" s="796" customFormat="1" ht="13.5" customHeight="1">
      <c r="A75" s="1033"/>
      <c r="B75" s="1034"/>
      <c r="C75" s="1035"/>
      <c r="D75" s="1036" t="s">
        <v>5695</v>
      </c>
      <c r="E75" s="1036"/>
      <c r="F75" s="2727">
        <f>(20.088)</f>
        <v>20.088000000000001</v>
      </c>
      <c r="G75" s="298"/>
      <c r="H75" s="1038"/>
      <c r="I75" s="2728"/>
      <c r="J75" s="2729"/>
      <c r="K75" s="2730"/>
      <c r="L75" s="2731"/>
      <c r="M75" s="2731"/>
      <c r="N75" s="2731"/>
      <c r="O75" s="2731"/>
      <c r="P75" s="797"/>
      <c r="Q75" s="797"/>
      <c r="R75" s="797"/>
      <c r="S75" s="797"/>
      <c r="V75" s="797"/>
      <c r="W75" s="797"/>
      <c r="X75" s="797"/>
      <c r="Y75" s="797"/>
      <c r="Z75" s="797"/>
      <c r="AA75" s="797"/>
      <c r="AB75" s="797"/>
      <c r="AC75" s="797"/>
      <c r="AD75" s="797"/>
      <c r="AE75" s="797"/>
      <c r="AF75" s="797"/>
      <c r="AG75" s="797"/>
      <c r="AH75" s="797"/>
      <c r="AI75" s="797"/>
      <c r="AJ75" s="797"/>
      <c r="AK75" s="797"/>
      <c r="AL75" s="797"/>
      <c r="AM75" s="797"/>
      <c r="AN75" s="797"/>
      <c r="AO75" s="797"/>
      <c r="AP75" s="797"/>
      <c r="AQ75" s="797"/>
      <c r="AR75" s="797"/>
      <c r="AS75" s="797"/>
      <c r="AT75" s="797"/>
      <c r="AU75" s="797"/>
      <c r="AV75" s="797"/>
      <c r="AW75" s="797"/>
      <c r="AX75" s="797"/>
      <c r="AY75" s="797"/>
      <c r="AZ75" s="797"/>
      <c r="BA75" s="797"/>
      <c r="BB75" s="797"/>
      <c r="BC75" s="797"/>
      <c r="BD75" s="797"/>
      <c r="BE75" s="797"/>
      <c r="BF75" s="797"/>
      <c r="BG75" s="797"/>
      <c r="BH75" s="797"/>
      <c r="BI75" s="797"/>
      <c r="BJ75" s="797"/>
      <c r="BK75" s="797"/>
      <c r="BL75" s="797"/>
      <c r="BM75" s="797"/>
      <c r="BN75" s="797"/>
      <c r="BO75" s="797"/>
      <c r="BP75" s="797"/>
      <c r="BQ75" s="797"/>
      <c r="BR75" s="797"/>
      <c r="BS75" s="797"/>
      <c r="BT75" s="797"/>
      <c r="BU75" s="797"/>
      <c r="BV75" s="797"/>
      <c r="BW75" s="797"/>
      <c r="BX75" s="797"/>
      <c r="BY75" s="797"/>
      <c r="BZ75" s="797"/>
      <c r="CA75" s="797"/>
      <c r="CB75" s="797"/>
      <c r="CC75" s="797"/>
      <c r="CD75" s="797"/>
      <c r="CE75" s="797"/>
      <c r="CF75" s="797"/>
      <c r="CG75" s="797"/>
      <c r="CH75" s="797"/>
      <c r="CI75" s="797"/>
      <c r="CJ75" s="797"/>
      <c r="CK75" s="797"/>
      <c r="CL75" s="797"/>
      <c r="CM75" s="797"/>
      <c r="CN75" s="797"/>
      <c r="CO75" s="797"/>
      <c r="CP75" s="797"/>
      <c r="CQ75" s="797"/>
      <c r="CR75" s="797"/>
      <c r="CS75" s="797"/>
      <c r="CT75" s="797"/>
      <c r="CU75" s="797"/>
      <c r="CV75" s="797"/>
      <c r="CW75" s="797"/>
      <c r="CX75" s="797"/>
      <c r="CY75" s="797"/>
      <c r="CZ75" s="797"/>
      <c r="DA75" s="797"/>
      <c r="DB75" s="797"/>
      <c r="DC75" s="797"/>
      <c r="DD75" s="797"/>
      <c r="DE75" s="797"/>
      <c r="DF75" s="797"/>
      <c r="DG75" s="797"/>
      <c r="DH75" s="797"/>
      <c r="DI75" s="797"/>
      <c r="DJ75" s="797"/>
      <c r="DK75" s="797"/>
      <c r="DL75" s="797"/>
      <c r="DM75" s="797"/>
      <c r="DN75" s="797"/>
      <c r="DO75" s="797"/>
      <c r="DP75" s="797"/>
      <c r="DQ75" s="797"/>
      <c r="DR75" s="797"/>
      <c r="DS75" s="797"/>
      <c r="DT75" s="797"/>
      <c r="DU75" s="797"/>
      <c r="DV75" s="797"/>
      <c r="DW75" s="797"/>
      <c r="DX75" s="797"/>
      <c r="DY75" s="797"/>
      <c r="DZ75" s="797"/>
      <c r="EA75" s="797"/>
      <c r="EB75" s="797"/>
      <c r="EC75" s="797"/>
      <c r="ED75" s="797"/>
      <c r="EE75" s="797"/>
      <c r="EF75" s="797"/>
      <c r="EG75" s="797"/>
      <c r="EH75" s="797"/>
      <c r="EI75" s="797"/>
      <c r="EJ75" s="797"/>
      <c r="EK75" s="797"/>
      <c r="EL75" s="797"/>
      <c r="EM75" s="797"/>
      <c r="EN75" s="797"/>
      <c r="EO75" s="797"/>
      <c r="EP75" s="797"/>
      <c r="EQ75" s="797"/>
      <c r="ER75" s="797"/>
      <c r="ES75" s="797"/>
      <c r="ET75" s="797"/>
      <c r="EU75" s="797"/>
      <c r="EV75" s="797"/>
      <c r="EW75" s="797"/>
      <c r="EX75" s="797"/>
      <c r="EY75" s="797"/>
      <c r="EZ75" s="797"/>
      <c r="FA75" s="797"/>
      <c r="FB75" s="797"/>
      <c r="FC75" s="797"/>
      <c r="FD75" s="797"/>
      <c r="FE75" s="797"/>
      <c r="FF75" s="797"/>
      <c r="FG75" s="797"/>
      <c r="FH75" s="797"/>
      <c r="FI75" s="797"/>
      <c r="FJ75" s="797"/>
      <c r="FK75" s="797"/>
      <c r="FL75" s="797"/>
      <c r="FM75" s="797"/>
      <c r="FN75" s="797"/>
      <c r="FO75" s="797"/>
      <c r="FP75" s="797"/>
      <c r="FQ75" s="797"/>
      <c r="FR75" s="797"/>
      <c r="FS75" s="797"/>
      <c r="FT75" s="797"/>
      <c r="FU75" s="797"/>
      <c r="FV75" s="797"/>
      <c r="FW75" s="797"/>
      <c r="FX75" s="797"/>
      <c r="FY75" s="797"/>
      <c r="FZ75" s="797"/>
      <c r="GA75" s="797"/>
      <c r="GB75" s="797"/>
      <c r="GC75" s="797"/>
      <c r="GD75" s="797"/>
      <c r="GE75" s="797"/>
      <c r="GF75" s="797"/>
      <c r="GG75" s="797"/>
      <c r="GH75" s="797"/>
      <c r="GI75" s="797"/>
      <c r="GJ75" s="797"/>
      <c r="GK75" s="797"/>
      <c r="GL75" s="797"/>
      <c r="GM75" s="797"/>
      <c r="GN75" s="797"/>
      <c r="GO75" s="797"/>
      <c r="GP75" s="797"/>
      <c r="GQ75" s="797"/>
      <c r="GR75" s="797"/>
      <c r="GS75" s="797"/>
      <c r="GT75" s="797"/>
      <c r="GU75" s="797"/>
      <c r="GV75" s="797"/>
      <c r="GW75" s="797"/>
      <c r="GX75" s="797"/>
      <c r="GY75" s="797"/>
      <c r="GZ75" s="797"/>
      <c r="HA75" s="797"/>
      <c r="HB75" s="797"/>
      <c r="HC75" s="797"/>
      <c r="HD75" s="797"/>
      <c r="HE75" s="797"/>
      <c r="HF75" s="797"/>
      <c r="HG75" s="797"/>
      <c r="HH75" s="797"/>
      <c r="HI75" s="797"/>
      <c r="HJ75" s="797"/>
      <c r="HK75" s="797"/>
      <c r="HL75" s="797"/>
      <c r="HM75" s="797"/>
      <c r="HN75" s="797"/>
      <c r="HO75" s="797"/>
      <c r="HP75" s="797"/>
      <c r="HQ75" s="797"/>
      <c r="HR75" s="797"/>
      <c r="HS75" s="797"/>
      <c r="HT75" s="797"/>
      <c r="HU75" s="797"/>
      <c r="HV75" s="797"/>
      <c r="HW75" s="797"/>
      <c r="HX75" s="797"/>
      <c r="HY75" s="797"/>
      <c r="HZ75" s="797"/>
      <c r="IA75" s="797"/>
      <c r="IB75" s="797"/>
      <c r="IC75" s="797"/>
      <c r="ID75" s="797"/>
      <c r="IE75" s="797"/>
      <c r="IF75" s="797"/>
      <c r="IG75" s="797"/>
      <c r="IH75" s="797"/>
      <c r="II75" s="797"/>
      <c r="IJ75" s="797"/>
      <c r="IK75" s="797"/>
      <c r="IL75" s="797"/>
      <c r="IM75" s="797"/>
      <c r="IN75" s="797"/>
      <c r="IO75" s="797"/>
      <c r="IP75" s="797"/>
      <c r="IQ75" s="797"/>
      <c r="IR75" s="797"/>
      <c r="IS75" s="797"/>
      <c r="IT75" s="797"/>
      <c r="IU75" s="797"/>
      <c r="IV75" s="797"/>
    </row>
    <row r="76" spans="1:256" s="796" customFormat="1" ht="13.5" customHeight="1">
      <c r="A76" s="1033"/>
      <c r="B76" s="1034"/>
      <c r="C76" s="1035"/>
      <c r="D76" s="1036" t="s">
        <v>5696</v>
      </c>
      <c r="E76" s="1036"/>
      <c r="F76" s="2727">
        <f>-(14.04)</f>
        <v>-14.04</v>
      </c>
      <c r="G76" s="298"/>
      <c r="H76" s="1038"/>
      <c r="I76" s="2728"/>
      <c r="J76" s="2729"/>
      <c r="K76" s="2730"/>
      <c r="L76" s="2731"/>
      <c r="M76" s="2731"/>
      <c r="N76" s="2731"/>
      <c r="O76" s="2731"/>
      <c r="P76" s="797"/>
      <c r="Q76" s="797"/>
      <c r="R76" s="797"/>
      <c r="S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7"/>
      <c r="BC76" s="797"/>
      <c r="BD76" s="797"/>
      <c r="BE76" s="797"/>
      <c r="BF76" s="797"/>
      <c r="BG76" s="797"/>
      <c r="BH76" s="797"/>
      <c r="BI76" s="797"/>
      <c r="BJ76" s="797"/>
      <c r="BK76" s="797"/>
      <c r="BL76" s="797"/>
      <c r="BM76" s="797"/>
      <c r="BN76" s="797"/>
      <c r="BO76" s="797"/>
      <c r="BP76" s="797"/>
      <c r="BQ76" s="797"/>
      <c r="BR76" s="797"/>
      <c r="BS76" s="797"/>
      <c r="BT76" s="797"/>
      <c r="BU76" s="797"/>
      <c r="BV76" s="797"/>
      <c r="BW76" s="797"/>
      <c r="BX76" s="797"/>
      <c r="BY76" s="797"/>
      <c r="BZ76" s="797"/>
      <c r="CA76" s="797"/>
      <c r="CB76" s="797"/>
      <c r="CC76" s="797"/>
      <c r="CD76" s="797"/>
      <c r="CE76" s="797"/>
      <c r="CF76" s="797"/>
      <c r="CG76" s="797"/>
      <c r="CH76" s="797"/>
      <c r="CI76" s="797"/>
      <c r="CJ76" s="797"/>
      <c r="CK76" s="797"/>
      <c r="CL76" s="797"/>
      <c r="CM76" s="797"/>
      <c r="CN76" s="797"/>
      <c r="CO76" s="797"/>
      <c r="CP76" s="797"/>
      <c r="CQ76" s="797"/>
      <c r="CR76" s="797"/>
      <c r="CS76" s="797"/>
      <c r="CT76" s="797"/>
      <c r="CU76" s="797"/>
      <c r="CV76" s="797"/>
      <c r="CW76" s="797"/>
      <c r="CX76" s="797"/>
      <c r="CY76" s="797"/>
      <c r="CZ76" s="797"/>
      <c r="DA76" s="797"/>
      <c r="DB76" s="797"/>
      <c r="DC76" s="797"/>
      <c r="DD76" s="797"/>
      <c r="DE76" s="797"/>
      <c r="DF76" s="797"/>
      <c r="DG76" s="797"/>
      <c r="DH76" s="797"/>
      <c r="DI76" s="797"/>
      <c r="DJ76" s="797"/>
      <c r="DK76" s="797"/>
      <c r="DL76" s="797"/>
      <c r="DM76" s="797"/>
      <c r="DN76" s="797"/>
      <c r="DO76" s="797"/>
      <c r="DP76" s="797"/>
      <c r="DQ76" s="797"/>
      <c r="DR76" s="797"/>
      <c r="DS76" s="797"/>
      <c r="DT76" s="797"/>
      <c r="DU76" s="797"/>
      <c r="DV76" s="797"/>
      <c r="DW76" s="797"/>
      <c r="DX76" s="797"/>
      <c r="DY76" s="797"/>
      <c r="DZ76" s="797"/>
      <c r="EA76" s="797"/>
      <c r="EB76" s="797"/>
      <c r="EC76" s="797"/>
      <c r="ED76" s="797"/>
      <c r="EE76" s="797"/>
      <c r="EF76" s="797"/>
      <c r="EG76" s="797"/>
      <c r="EH76" s="797"/>
      <c r="EI76" s="797"/>
      <c r="EJ76" s="797"/>
      <c r="EK76" s="797"/>
      <c r="EL76" s="797"/>
      <c r="EM76" s="797"/>
      <c r="EN76" s="797"/>
      <c r="EO76" s="797"/>
      <c r="EP76" s="797"/>
      <c r="EQ76" s="797"/>
      <c r="ER76" s="797"/>
      <c r="ES76" s="797"/>
      <c r="ET76" s="797"/>
      <c r="EU76" s="797"/>
      <c r="EV76" s="797"/>
      <c r="EW76" s="797"/>
      <c r="EX76" s="797"/>
      <c r="EY76" s="797"/>
      <c r="EZ76" s="797"/>
      <c r="FA76" s="797"/>
      <c r="FB76" s="797"/>
      <c r="FC76" s="797"/>
      <c r="FD76" s="797"/>
      <c r="FE76" s="797"/>
      <c r="FF76" s="797"/>
      <c r="FG76" s="797"/>
      <c r="FH76" s="797"/>
      <c r="FI76" s="797"/>
      <c r="FJ76" s="797"/>
      <c r="FK76" s="797"/>
      <c r="FL76" s="797"/>
      <c r="FM76" s="797"/>
      <c r="FN76" s="797"/>
      <c r="FO76" s="797"/>
      <c r="FP76" s="797"/>
      <c r="FQ76" s="797"/>
      <c r="FR76" s="797"/>
      <c r="FS76" s="797"/>
      <c r="FT76" s="797"/>
      <c r="FU76" s="797"/>
      <c r="FV76" s="797"/>
      <c r="FW76" s="797"/>
      <c r="FX76" s="797"/>
      <c r="FY76" s="797"/>
      <c r="FZ76" s="797"/>
      <c r="GA76" s="797"/>
      <c r="GB76" s="797"/>
      <c r="GC76" s="797"/>
      <c r="GD76" s="797"/>
      <c r="GE76" s="797"/>
      <c r="GF76" s="797"/>
      <c r="GG76" s="797"/>
      <c r="GH76" s="797"/>
      <c r="GI76" s="797"/>
      <c r="GJ76" s="797"/>
      <c r="GK76" s="797"/>
      <c r="GL76" s="797"/>
      <c r="GM76" s="797"/>
      <c r="GN76" s="797"/>
      <c r="GO76" s="797"/>
      <c r="GP76" s="797"/>
      <c r="GQ76" s="797"/>
      <c r="GR76" s="797"/>
      <c r="GS76" s="797"/>
      <c r="GT76" s="797"/>
      <c r="GU76" s="797"/>
      <c r="GV76" s="797"/>
      <c r="GW76" s="797"/>
      <c r="GX76" s="797"/>
      <c r="GY76" s="797"/>
      <c r="GZ76" s="797"/>
      <c r="HA76" s="797"/>
      <c r="HB76" s="797"/>
      <c r="HC76" s="797"/>
      <c r="HD76" s="797"/>
      <c r="HE76" s="797"/>
      <c r="HF76" s="797"/>
      <c r="HG76" s="797"/>
      <c r="HH76" s="797"/>
      <c r="HI76" s="797"/>
      <c r="HJ76" s="797"/>
      <c r="HK76" s="797"/>
      <c r="HL76" s="797"/>
      <c r="HM76" s="797"/>
      <c r="HN76" s="797"/>
      <c r="HO76" s="797"/>
      <c r="HP76" s="797"/>
      <c r="HQ76" s="797"/>
      <c r="HR76" s="797"/>
      <c r="HS76" s="797"/>
      <c r="HT76" s="797"/>
      <c r="HU76" s="797"/>
      <c r="HV76" s="797"/>
      <c r="HW76" s="797"/>
      <c r="HX76" s="797"/>
      <c r="HY76" s="797"/>
      <c r="HZ76" s="797"/>
      <c r="IA76" s="797"/>
      <c r="IB76" s="797"/>
      <c r="IC76" s="797"/>
      <c r="ID76" s="797"/>
      <c r="IE76" s="797"/>
      <c r="IF76" s="797"/>
      <c r="IG76" s="797"/>
      <c r="IH76" s="797"/>
      <c r="II76" s="797"/>
      <c r="IJ76" s="797"/>
      <c r="IK76" s="797"/>
      <c r="IL76" s="797"/>
      <c r="IM76" s="797"/>
      <c r="IN76" s="797"/>
      <c r="IO76" s="797"/>
      <c r="IP76" s="797"/>
      <c r="IQ76" s="797"/>
      <c r="IR76" s="797"/>
      <c r="IS76" s="797"/>
      <c r="IT76" s="797"/>
      <c r="IU76" s="797"/>
      <c r="IV76" s="797"/>
    </row>
    <row r="77" spans="1:256" s="1587" customFormat="1" ht="13.5" customHeight="1">
      <c r="A77" s="2721"/>
      <c r="B77" s="2722"/>
      <c r="C77" s="799"/>
      <c r="D77" s="756" t="s">
        <v>185</v>
      </c>
      <c r="E77" s="2723"/>
      <c r="F77" s="758">
        <f>ROUND(SUM(F78:F79),3)</f>
        <v>4.032</v>
      </c>
      <c r="G77" s="299"/>
      <c r="H77" s="2724"/>
      <c r="I77" s="2725"/>
      <c r="J77" s="2726"/>
      <c r="K77" s="2732"/>
      <c r="L77" s="1588"/>
      <c r="M77" s="1588"/>
      <c r="N77" s="1588"/>
      <c r="O77" s="1588"/>
      <c r="P77" s="1588"/>
      <c r="Q77" s="1588"/>
      <c r="R77" s="1588"/>
      <c r="S77" s="1588"/>
      <c r="V77" s="1588"/>
      <c r="W77" s="1588"/>
      <c r="X77" s="1588"/>
      <c r="Y77" s="1588"/>
      <c r="Z77" s="1588"/>
      <c r="AA77" s="1588"/>
      <c r="AB77" s="1588"/>
      <c r="AC77" s="1588"/>
      <c r="AD77" s="1588"/>
      <c r="AE77" s="1588"/>
      <c r="AF77" s="1588"/>
      <c r="AG77" s="1588"/>
      <c r="AH77" s="1588"/>
      <c r="AI77" s="1588"/>
      <c r="AJ77" s="1588"/>
      <c r="AK77" s="1588"/>
      <c r="AL77" s="1588"/>
      <c r="AM77" s="1588"/>
      <c r="AN77" s="1588"/>
      <c r="AO77" s="1588"/>
      <c r="AP77" s="1588"/>
      <c r="AQ77" s="1588"/>
      <c r="AR77" s="1588"/>
      <c r="AS77" s="1588"/>
      <c r="AT77" s="1588"/>
      <c r="AU77" s="1588"/>
      <c r="AV77" s="1588"/>
      <c r="AW77" s="1588"/>
      <c r="AX77" s="1588"/>
      <c r="AY77" s="1588"/>
      <c r="AZ77" s="1588"/>
      <c r="BA77" s="1588"/>
      <c r="BB77" s="1588"/>
      <c r="BC77" s="1588"/>
      <c r="BD77" s="1588"/>
      <c r="BE77" s="1588"/>
      <c r="BF77" s="1588"/>
      <c r="BG77" s="1588"/>
      <c r="BH77" s="1588"/>
      <c r="BI77" s="1588"/>
      <c r="BJ77" s="1588"/>
      <c r="BK77" s="1588"/>
      <c r="BL77" s="1588"/>
      <c r="BM77" s="1588"/>
      <c r="BN77" s="1588"/>
      <c r="BO77" s="1588"/>
      <c r="BP77" s="1588"/>
      <c r="BQ77" s="1588"/>
      <c r="BR77" s="1588"/>
      <c r="BS77" s="1588"/>
      <c r="BT77" s="1588"/>
      <c r="BU77" s="1588"/>
      <c r="BV77" s="1588"/>
      <c r="BW77" s="1588"/>
      <c r="BX77" s="1588"/>
      <c r="BY77" s="1588"/>
      <c r="BZ77" s="1588"/>
      <c r="CA77" s="1588"/>
      <c r="CB77" s="1588"/>
      <c r="CC77" s="1588"/>
      <c r="CD77" s="1588"/>
      <c r="CE77" s="1588"/>
      <c r="CF77" s="1588"/>
      <c r="CG77" s="1588"/>
      <c r="CH77" s="1588"/>
      <c r="CI77" s="1588"/>
      <c r="CJ77" s="1588"/>
      <c r="CK77" s="1588"/>
      <c r="CL77" s="1588"/>
      <c r="CM77" s="1588"/>
      <c r="CN77" s="1588"/>
      <c r="CO77" s="1588"/>
      <c r="CP77" s="1588"/>
      <c r="CQ77" s="1588"/>
      <c r="CR77" s="1588"/>
      <c r="CS77" s="1588"/>
      <c r="CT77" s="1588"/>
      <c r="CU77" s="1588"/>
      <c r="CV77" s="1588"/>
      <c r="CW77" s="1588"/>
      <c r="CX77" s="1588"/>
      <c r="CY77" s="1588"/>
      <c r="CZ77" s="1588"/>
      <c r="DA77" s="1588"/>
      <c r="DB77" s="1588"/>
      <c r="DC77" s="1588"/>
      <c r="DD77" s="1588"/>
      <c r="DE77" s="1588"/>
      <c r="DF77" s="1588"/>
      <c r="DG77" s="1588"/>
      <c r="DH77" s="1588"/>
      <c r="DI77" s="1588"/>
      <c r="DJ77" s="1588"/>
      <c r="DK77" s="1588"/>
      <c r="DL77" s="1588"/>
      <c r="DM77" s="1588"/>
      <c r="DN77" s="1588"/>
      <c r="DO77" s="1588"/>
      <c r="DP77" s="1588"/>
      <c r="DQ77" s="1588"/>
      <c r="DR77" s="1588"/>
      <c r="DS77" s="1588"/>
      <c r="DT77" s="1588"/>
      <c r="DU77" s="1588"/>
      <c r="DV77" s="1588"/>
      <c r="DW77" s="1588"/>
      <c r="DX77" s="1588"/>
      <c r="DY77" s="1588"/>
      <c r="DZ77" s="1588"/>
      <c r="EA77" s="1588"/>
      <c r="EB77" s="1588"/>
      <c r="EC77" s="1588"/>
      <c r="ED77" s="1588"/>
      <c r="EE77" s="1588"/>
      <c r="EF77" s="1588"/>
      <c r="EG77" s="1588"/>
      <c r="EH77" s="1588"/>
      <c r="EI77" s="1588"/>
      <c r="EJ77" s="1588"/>
      <c r="EK77" s="1588"/>
      <c r="EL77" s="1588"/>
      <c r="EM77" s="1588"/>
      <c r="EN77" s="1588"/>
      <c r="EO77" s="1588"/>
      <c r="EP77" s="1588"/>
      <c r="EQ77" s="1588"/>
      <c r="ER77" s="1588"/>
      <c r="ES77" s="1588"/>
      <c r="ET77" s="1588"/>
      <c r="EU77" s="1588"/>
      <c r="EV77" s="1588"/>
      <c r="EW77" s="1588"/>
      <c r="EX77" s="1588"/>
      <c r="EY77" s="1588"/>
      <c r="EZ77" s="1588"/>
      <c r="FA77" s="1588"/>
      <c r="FB77" s="1588"/>
      <c r="FC77" s="1588"/>
      <c r="FD77" s="1588"/>
      <c r="FE77" s="1588"/>
      <c r="FF77" s="1588"/>
      <c r="FG77" s="1588"/>
      <c r="FH77" s="1588"/>
      <c r="FI77" s="1588"/>
      <c r="FJ77" s="1588"/>
      <c r="FK77" s="1588"/>
      <c r="FL77" s="1588"/>
      <c r="FM77" s="1588"/>
      <c r="FN77" s="1588"/>
      <c r="FO77" s="1588"/>
      <c r="FP77" s="1588"/>
      <c r="FQ77" s="1588"/>
      <c r="FR77" s="1588"/>
      <c r="FS77" s="1588"/>
      <c r="FT77" s="1588"/>
      <c r="FU77" s="1588"/>
      <c r="FV77" s="1588"/>
      <c r="FW77" s="1588"/>
      <c r="FX77" s="1588"/>
      <c r="FY77" s="1588"/>
      <c r="FZ77" s="1588"/>
      <c r="GA77" s="1588"/>
      <c r="GB77" s="1588"/>
      <c r="GC77" s="1588"/>
      <c r="GD77" s="1588"/>
      <c r="GE77" s="1588"/>
      <c r="GF77" s="1588"/>
      <c r="GG77" s="1588"/>
      <c r="GH77" s="1588"/>
      <c r="GI77" s="1588"/>
      <c r="GJ77" s="1588"/>
      <c r="GK77" s="1588"/>
      <c r="GL77" s="1588"/>
      <c r="GM77" s="1588"/>
      <c r="GN77" s="1588"/>
      <c r="GO77" s="1588"/>
      <c r="GP77" s="1588"/>
      <c r="GQ77" s="1588"/>
      <c r="GR77" s="1588"/>
      <c r="GS77" s="1588"/>
      <c r="GT77" s="1588"/>
      <c r="GU77" s="1588"/>
      <c r="GV77" s="1588"/>
      <c r="GW77" s="1588"/>
      <c r="GX77" s="1588"/>
      <c r="GY77" s="1588"/>
      <c r="GZ77" s="1588"/>
      <c r="HA77" s="1588"/>
      <c r="HB77" s="1588"/>
      <c r="HC77" s="1588"/>
      <c r="HD77" s="1588"/>
      <c r="HE77" s="1588"/>
      <c r="HF77" s="1588"/>
      <c r="HG77" s="1588"/>
      <c r="HH77" s="1588"/>
      <c r="HI77" s="1588"/>
      <c r="HJ77" s="1588"/>
      <c r="HK77" s="1588"/>
      <c r="HL77" s="1588"/>
      <c r="HM77" s="1588"/>
      <c r="HN77" s="1588"/>
      <c r="HO77" s="1588"/>
      <c r="HP77" s="1588"/>
      <c r="HQ77" s="1588"/>
      <c r="HR77" s="1588"/>
      <c r="HS77" s="1588"/>
      <c r="HT77" s="1588"/>
      <c r="HU77" s="1588"/>
      <c r="HV77" s="1588"/>
      <c r="HW77" s="1588"/>
      <c r="HX77" s="1588"/>
      <c r="HY77" s="1588"/>
      <c r="HZ77" s="1588"/>
      <c r="IA77" s="1588"/>
      <c r="IB77" s="1588"/>
      <c r="IC77" s="1588"/>
      <c r="ID77" s="1588"/>
      <c r="IE77" s="1588"/>
      <c r="IF77" s="1588"/>
      <c r="IG77" s="1588"/>
      <c r="IH77" s="1588"/>
      <c r="II77" s="1588"/>
      <c r="IJ77" s="1588"/>
      <c r="IK77" s="1588"/>
      <c r="IL77" s="1588"/>
      <c r="IM77" s="1588"/>
      <c r="IN77" s="1588"/>
      <c r="IO77" s="1588"/>
      <c r="IP77" s="1588"/>
      <c r="IQ77" s="1588"/>
      <c r="IR77" s="1588"/>
      <c r="IS77" s="1588"/>
      <c r="IT77" s="1588"/>
      <c r="IU77" s="1588"/>
      <c r="IV77" s="1588"/>
    </row>
    <row r="78" spans="1:256" s="796" customFormat="1" ht="13.5" customHeight="1">
      <c r="A78" s="1033"/>
      <c r="B78" s="1034"/>
      <c r="C78" s="1035"/>
      <c r="D78" s="1036" t="s">
        <v>5697</v>
      </c>
      <c r="E78" s="1036"/>
      <c r="F78" s="2727">
        <f>(11.718)+(1.674)</f>
        <v>13.391999999999999</v>
      </c>
      <c r="G78" s="298"/>
      <c r="H78" s="1038"/>
      <c r="I78" s="2728"/>
      <c r="J78" s="2729"/>
      <c r="K78" s="2730"/>
      <c r="L78" s="2731"/>
      <c r="M78" s="2731"/>
      <c r="N78" s="2731"/>
      <c r="O78" s="2731"/>
      <c r="P78" s="797"/>
      <c r="Q78" s="797"/>
      <c r="R78" s="797"/>
      <c r="S78" s="797"/>
      <c r="V78" s="797"/>
      <c r="W78" s="797"/>
      <c r="X78" s="797"/>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7"/>
      <c r="AY78" s="797"/>
      <c r="AZ78" s="797"/>
      <c r="BA78" s="797"/>
      <c r="BB78" s="797"/>
      <c r="BC78" s="797"/>
      <c r="BD78" s="797"/>
      <c r="BE78" s="797"/>
      <c r="BF78" s="797"/>
      <c r="BG78" s="797"/>
      <c r="BH78" s="797"/>
      <c r="BI78" s="797"/>
      <c r="BJ78" s="797"/>
      <c r="BK78" s="797"/>
      <c r="BL78" s="797"/>
      <c r="BM78" s="797"/>
      <c r="BN78" s="797"/>
      <c r="BO78" s="797"/>
      <c r="BP78" s="797"/>
      <c r="BQ78" s="797"/>
      <c r="BR78" s="797"/>
      <c r="BS78" s="797"/>
      <c r="BT78" s="797"/>
      <c r="BU78" s="797"/>
      <c r="BV78" s="797"/>
      <c r="BW78" s="797"/>
      <c r="BX78" s="797"/>
      <c r="BY78" s="797"/>
      <c r="BZ78" s="797"/>
      <c r="CA78" s="797"/>
      <c r="CB78" s="797"/>
      <c r="CC78" s="797"/>
      <c r="CD78" s="797"/>
      <c r="CE78" s="797"/>
      <c r="CF78" s="797"/>
      <c r="CG78" s="797"/>
      <c r="CH78" s="797"/>
      <c r="CI78" s="797"/>
      <c r="CJ78" s="797"/>
      <c r="CK78" s="797"/>
      <c r="CL78" s="797"/>
      <c r="CM78" s="797"/>
      <c r="CN78" s="797"/>
      <c r="CO78" s="797"/>
      <c r="CP78" s="797"/>
      <c r="CQ78" s="797"/>
      <c r="CR78" s="797"/>
      <c r="CS78" s="797"/>
      <c r="CT78" s="797"/>
      <c r="CU78" s="797"/>
      <c r="CV78" s="797"/>
      <c r="CW78" s="797"/>
      <c r="CX78" s="797"/>
      <c r="CY78" s="797"/>
      <c r="CZ78" s="797"/>
      <c r="DA78" s="797"/>
      <c r="DB78" s="797"/>
      <c r="DC78" s="797"/>
      <c r="DD78" s="797"/>
      <c r="DE78" s="797"/>
      <c r="DF78" s="797"/>
      <c r="DG78" s="797"/>
      <c r="DH78" s="797"/>
      <c r="DI78" s="797"/>
      <c r="DJ78" s="797"/>
      <c r="DK78" s="797"/>
      <c r="DL78" s="797"/>
      <c r="DM78" s="797"/>
      <c r="DN78" s="797"/>
      <c r="DO78" s="797"/>
      <c r="DP78" s="797"/>
      <c r="DQ78" s="797"/>
      <c r="DR78" s="797"/>
      <c r="DS78" s="797"/>
      <c r="DT78" s="797"/>
      <c r="DU78" s="797"/>
      <c r="DV78" s="797"/>
      <c r="DW78" s="797"/>
      <c r="DX78" s="797"/>
      <c r="DY78" s="797"/>
      <c r="DZ78" s="797"/>
      <c r="EA78" s="797"/>
      <c r="EB78" s="797"/>
      <c r="EC78" s="797"/>
      <c r="ED78" s="797"/>
      <c r="EE78" s="797"/>
      <c r="EF78" s="797"/>
      <c r="EG78" s="797"/>
      <c r="EH78" s="797"/>
      <c r="EI78" s="797"/>
      <c r="EJ78" s="797"/>
      <c r="EK78" s="797"/>
      <c r="EL78" s="797"/>
      <c r="EM78" s="797"/>
      <c r="EN78" s="797"/>
      <c r="EO78" s="797"/>
      <c r="EP78" s="797"/>
      <c r="EQ78" s="797"/>
      <c r="ER78" s="797"/>
      <c r="ES78" s="797"/>
      <c r="ET78" s="797"/>
      <c r="EU78" s="797"/>
      <c r="EV78" s="797"/>
      <c r="EW78" s="797"/>
      <c r="EX78" s="797"/>
      <c r="EY78" s="797"/>
      <c r="EZ78" s="797"/>
      <c r="FA78" s="797"/>
      <c r="FB78" s="797"/>
      <c r="FC78" s="797"/>
      <c r="FD78" s="797"/>
      <c r="FE78" s="797"/>
      <c r="FF78" s="797"/>
      <c r="FG78" s="797"/>
      <c r="FH78" s="797"/>
      <c r="FI78" s="797"/>
      <c r="FJ78" s="797"/>
      <c r="FK78" s="797"/>
      <c r="FL78" s="797"/>
      <c r="FM78" s="797"/>
      <c r="FN78" s="797"/>
      <c r="FO78" s="797"/>
      <c r="FP78" s="797"/>
      <c r="FQ78" s="797"/>
      <c r="FR78" s="797"/>
      <c r="FS78" s="797"/>
      <c r="FT78" s="797"/>
      <c r="FU78" s="797"/>
      <c r="FV78" s="797"/>
      <c r="FW78" s="797"/>
      <c r="FX78" s="797"/>
      <c r="FY78" s="797"/>
      <c r="FZ78" s="797"/>
      <c r="GA78" s="797"/>
      <c r="GB78" s="797"/>
      <c r="GC78" s="797"/>
      <c r="GD78" s="797"/>
      <c r="GE78" s="797"/>
      <c r="GF78" s="797"/>
      <c r="GG78" s="797"/>
      <c r="GH78" s="797"/>
      <c r="GI78" s="797"/>
      <c r="GJ78" s="797"/>
      <c r="GK78" s="797"/>
      <c r="GL78" s="797"/>
      <c r="GM78" s="797"/>
      <c r="GN78" s="797"/>
      <c r="GO78" s="797"/>
      <c r="GP78" s="797"/>
      <c r="GQ78" s="797"/>
      <c r="GR78" s="797"/>
      <c r="GS78" s="797"/>
      <c r="GT78" s="797"/>
      <c r="GU78" s="797"/>
      <c r="GV78" s="797"/>
      <c r="GW78" s="797"/>
      <c r="GX78" s="797"/>
      <c r="GY78" s="797"/>
      <c r="GZ78" s="797"/>
      <c r="HA78" s="797"/>
      <c r="HB78" s="797"/>
      <c r="HC78" s="797"/>
      <c r="HD78" s="797"/>
      <c r="HE78" s="797"/>
      <c r="HF78" s="797"/>
      <c r="HG78" s="797"/>
      <c r="HH78" s="797"/>
      <c r="HI78" s="797"/>
      <c r="HJ78" s="797"/>
      <c r="HK78" s="797"/>
      <c r="HL78" s="797"/>
      <c r="HM78" s="797"/>
      <c r="HN78" s="797"/>
      <c r="HO78" s="797"/>
      <c r="HP78" s="797"/>
      <c r="HQ78" s="797"/>
      <c r="HR78" s="797"/>
      <c r="HS78" s="797"/>
      <c r="HT78" s="797"/>
      <c r="HU78" s="797"/>
      <c r="HV78" s="797"/>
      <c r="HW78" s="797"/>
      <c r="HX78" s="797"/>
      <c r="HY78" s="797"/>
      <c r="HZ78" s="797"/>
      <c r="IA78" s="797"/>
      <c r="IB78" s="797"/>
      <c r="IC78" s="797"/>
      <c r="ID78" s="797"/>
      <c r="IE78" s="797"/>
      <c r="IF78" s="797"/>
      <c r="IG78" s="797"/>
      <c r="IH78" s="797"/>
      <c r="II78" s="797"/>
      <c r="IJ78" s="797"/>
      <c r="IK78" s="797"/>
      <c r="IL78" s="797"/>
      <c r="IM78" s="797"/>
      <c r="IN78" s="797"/>
      <c r="IO78" s="797"/>
      <c r="IP78" s="797"/>
      <c r="IQ78" s="797"/>
      <c r="IR78" s="797"/>
      <c r="IS78" s="797"/>
      <c r="IT78" s="797"/>
      <c r="IU78" s="797"/>
      <c r="IV78" s="797"/>
    </row>
    <row r="79" spans="1:256" s="796" customFormat="1" ht="13.5" customHeight="1">
      <c r="A79" s="1033"/>
      <c r="B79" s="1034"/>
      <c r="C79" s="1035"/>
      <c r="D79" s="1036" t="s">
        <v>5698</v>
      </c>
      <c r="E79" s="1036"/>
      <c r="F79" s="2834">
        <f>-(9.36)</f>
        <v>-9.36</v>
      </c>
      <c r="G79" s="298"/>
      <c r="H79" s="1038"/>
      <c r="I79" s="2728"/>
      <c r="J79" s="2729"/>
      <c r="K79" s="2730"/>
      <c r="L79" s="2731"/>
      <c r="M79" s="2731"/>
      <c r="N79" s="2731"/>
      <c r="O79" s="2731"/>
      <c r="P79" s="797"/>
      <c r="Q79" s="797"/>
      <c r="R79" s="797"/>
      <c r="S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row>
    <row r="80" spans="1:256" s="804" customFormat="1" ht="13.5" customHeight="1">
      <c r="A80" s="798" t="s">
        <v>5255</v>
      </c>
      <c r="B80" s="799"/>
      <c r="C80" s="777">
        <v>167151101</v>
      </c>
      <c r="D80" s="2820" t="s">
        <v>2401</v>
      </c>
      <c r="E80" s="801" t="s">
        <v>146</v>
      </c>
      <c r="F80" s="802">
        <f>F74</f>
        <v>6.048</v>
      </c>
      <c r="G80" s="295"/>
      <c r="H80" s="803">
        <f t="shared" ref="H80:H81" si="8">ROUND(F80*G80,2)</f>
        <v>0</v>
      </c>
      <c r="I80" s="781" t="s">
        <v>137</v>
      </c>
      <c r="J80" s="647"/>
      <c r="K80" s="647"/>
      <c r="L80" s="612"/>
      <c r="M80" s="612"/>
      <c r="N80" s="612"/>
      <c r="O80" s="612"/>
      <c r="P80" s="612"/>
      <c r="Q80" s="612"/>
      <c r="R80" s="612"/>
      <c r="S80" s="788"/>
      <c r="V80" s="612"/>
    </row>
    <row r="81" spans="1:256" s="804" customFormat="1" ht="13.5" customHeight="1">
      <c r="A81" s="798" t="s">
        <v>5256</v>
      </c>
      <c r="B81" s="799"/>
      <c r="C81" s="777">
        <v>167151102</v>
      </c>
      <c r="D81" s="2717" t="s">
        <v>2402</v>
      </c>
      <c r="E81" s="801" t="s">
        <v>146</v>
      </c>
      <c r="F81" s="802">
        <f>F77</f>
        <v>4.032</v>
      </c>
      <c r="G81" s="295"/>
      <c r="H81" s="803">
        <f t="shared" si="8"/>
        <v>0</v>
      </c>
      <c r="I81" s="781" t="s">
        <v>137</v>
      </c>
      <c r="J81" s="647"/>
      <c r="K81" s="647"/>
      <c r="L81" s="612"/>
      <c r="M81" s="612"/>
      <c r="N81" s="612"/>
      <c r="O81" s="612"/>
      <c r="P81" s="612"/>
      <c r="Q81" s="612"/>
      <c r="R81" s="612"/>
      <c r="S81" s="788"/>
      <c r="V81" s="612"/>
    </row>
    <row r="82" spans="1:256" s="796" customFormat="1" ht="27" customHeight="1">
      <c r="A82" s="792" t="s">
        <v>5257</v>
      </c>
      <c r="B82" s="793"/>
      <c r="C82" s="793" t="s">
        <v>6324</v>
      </c>
      <c r="D82" s="793" t="s">
        <v>6317</v>
      </c>
      <c r="E82" s="793" t="s">
        <v>146</v>
      </c>
      <c r="F82" s="794">
        <f>F74</f>
        <v>6.048</v>
      </c>
      <c r="G82" s="470"/>
      <c r="H82" s="795">
        <f t="shared" ref="H82:H83" si="9">F82*G82</f>
        <v>0</v>
      </c>
      <c r="I82" s="781" t="s">
        <v>112</v>
      </c>
      <c r="J82" s="783"/>
      <c r="K82" s="783"/>
      <c r="L82" s="621"/>
      <c r="M82" s="621"/>
      <c r="N82" s="621"/>
      <c r="O82" s="621"/>
      <c r="P82" s="621"/>
      <c r="Q82" s="621"/>
      <c r="R82" s="621"/>
      <c r="S82" s="784"/>
      <c r="V82" s="783"/>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797"/>
      <c r="BA82" s="797"/>
      <c r="BB82" s="797"/>
      <c r="BC82" s="797"/>
      <c r="BD82" s="797"/>
      <c r="BE82" s="797"/>
      <c r="BF82" s="797"/>
      <c r="BG82" s="797"/>
      <c r="BH82" s="797"/>
      <c r="BI82" s="797"/>
      <c r="BJ82" s="797"/>
      <c r="BK82" s="797"/>
      <c r="BL82" s="797"/>
      <c r="BM82" s="797"/>
      <c r="BN82" s="797"/>
      <c r="BO82" s="797"/>
      <c r="BP82" s="797"/>
      <c r="BQ82" s="797"/>
      <c r="BR82" s="797"/>
      <c r="BS82" s="797"/>
      <c r="BT82" s="797"/>
      <c r="BU82" s="797"/>
      <c r="BV82" s="797"/>
      <c r="BW82" s="797"/>
      <c r="BX82" s="797"/>
      <c r="BY82" s="797"/>
      <c r="BZ82" s="797"/>
      <c r="CA82" s="797"/>
      <c r="CB82" s="797"/>
      <c r="CC82" s="797"/>
      <c r="CD82" s="797"/>
      <c r="CE82" s="797"/>
      <c r="CF82" s="797"/>
      <c r="CG82" s="797"/>
      <c r="CH82" s="797"/>
      <c r="CI82" s="797"/>
      <c r="CJ82" s="797"/>
      <c r="CK82" s="797"/>
      <c r="CL82" s="797"/>
      <c r="CM82" s="797"/>
      <c r="CN82" s="797"/>
      <c r="CO82" s="797"/>
      <c r="CP82" s="797"/>
      <c r="CQ82" s="797"/>
      <c r="CR82" s="797"/>
      <c r="CS82" s="797"/>
      <c r="CT82" s="797"/>
      <c r="CU82" s="797"/>
      <c r="CV82" s="797"/>
      <c r="CW82" s="797"/>
      <c r="CX82" s="797"/>
      <c r="CY82" s="797"/>
      <c r="CZ82" s="797"/>
      <c r="DA82" s="797"/>
      <c r="DB82" s="797"/>
      <c r="DC82" s="797"/>
      <c r="DD82" s="797"/>
      <c r="DE82" s="797"/>
      <c r="DF82" s="797"/>
      <c r="DG82" s="797"/>
      <c r="DH82" s="797"/>
      <c r="DI82" s="797"/>
      <c r="DJ82" s="797"/>
      <c r="DK82" s="797"/>
      <c r="DL82" s="797"/>
      <c r="DM82" s="797"/>
      <c r="DN82" s="797"/>
      <c r="DO82" s="797"/>
      <c r="DP82" s="797"/>
      <c r="DQ82" s="797"/>
      <c r="DR82" s="797"/>
      <c r="DS82" s="797"/>
      <c r="DT82" s="797"/>
      <c r="DU82" s="797"/>
      <c r="DV82" s="797"/>
      <c r="DW82" s="797"/>
      <c r="DX82" s="797"/>
      <c r="DY82" s="797"/>
      <c r="DZ82" s="797"/>
      <c r="EA82" s="797"/>
      <c r="EB82" s="797"/>
      <c r="EC82" s="797"/>
      <c r="ED82" s="797"/>
      <c r="EE82" s="797"/>
      <c r="EF82" s="797"/>
      <c r="EG82" s="797"/>
      <c r="EH82" s="797"/>
      <c r="EI82" s="797"/>
      <c r="EJ82" s="797"/>
      <c r="EK82" s="797"/>
      <c r="EL82" s="797"/>
      <c r="EM82" s="797"/>
      <c r="EN82" s="797"/>
      <c r="EO82" s="797"/>
      <c r="EP82" s="797"/>
      <c r="EQ82" s="797"/>
      <c r="ER82" s="797"/>
      <c r="ES82" s="797"/>
      <c r="ET82" s="797"/>
      <c r="EU82" s="797"/>
      <c r="EV82" s="797"/>
      <c r="EW82" s="797"/>
      <c r="EX82" s="797"/>
      <c r="EY82" s="797"/>
      <c r="EZ82" s="797"/>
      <c r="FA82" s="797"/>
      <c r="FB82" s="797"/>
      <c r="FC82" s="797"/>
      <c r="FD82" s="797"/>
      <c r="FE82" s="797"/>
      <c r="FF82" s="797"/>
      <c r="FG82" s="797"/>
      <c r="FH82" s="797"/>
      <c r="FI82" s="797"/>
      <c r="FJ82" s="797"/>
      <c r="FK82" s="797"/>
      <c r="FL82" s="797"/>
      <c r="FM82" s="797"/>
      <c r="FN82" s="797"/>
      <c r="FO82" s="797"/>
      <c r="FP82" s="797"/>
      <c r="FQ82" s="797"/>
      <c r="FR82" s="797"/>
      <c r="FS82" s="797"/>
      <c r="FT82" s="797"/>
      <c r="FU82" s="797"/>
      <c r="FV82" s="797"/>
      <c r="FW82" s="797"/>
      <c r="FX82" s="797"/>
      <c r="FY82" s="797"/>
      <c r="FZ82" s="797"/>
      <c r="GA82" s="797"/>
      <c r="GB82" s="797"/>
      <c r="GC82" s="797"/>
      <c r="GD82" s="797"/>
      <c r="GE82" s="797"/>
      <c r="GF82" s="797"/>
      <c r="GG82" s="797"/>
      <c r="GH82" s="797"/>
      <c r="GI82" s="797"/>
      <c r="GJ82" s="797"/>
      <c r="GK82" s="797"/>
      <c r="GL82" s="797"/>
      <c r="GM82" s="797"/>
      <c r="GN82" s="797"/>
      <c r="GO82" s="797"/>
      <c r="GP82" s="797"/>
      <c r="GQ82" s="797"/>
      <c r="GR82" s="797"/>
      <c r="GS82" s="797"/>
      <c r="GT82" s="797"/>
      <c r="GU82" s="797"/>
      <c r="GV82" s="797"/>
      <c r="GW82" s="797"/>
      <c r="GX82" s="797"/>
      <c r="GY82" s="797"/>
      <c r="GZ82" s="797"/>
      <c r="HA82" s="797"/>
      <c r="HB82" s="797"/>
      <c r="HC82" s="797"/>
      <c r="HD82" s="797"/>
      <c r="HE82" s="797"/>
      <c r="HF82" s="797"/>
      <c r="HG82" s="797"/>
      <c r="HH82" s="797"/>
      <c r="HI82" s="797"/>
      <c r="HJ82" s="797"/>
      <c r="HK82" s="797"/>
      <c r="HL82" s="797"/>
      <c r="HM82" s="797"/>
      <c r="HN82" s="797"/>
      <c r="HO82" s="797"/>
      <c r="HP82" s="797"/>
      <c r="HQ82" s="797"/>
      <c r="HR82" s="797"/>
      <c r="HS82" s="797"/>
      <c r="HT82" s="797"/>
      <c r="HU82" s="797"/>
      <c r="HV82" s="797"/>
      <c r="HW82" s="797"/>
      <c r="HX82" s="797"/>
      <c r="HY82" s="797"/>
      <c r="HZ82" s="797"/>
      <c r="IA82" s="797"/>
      <c r="IB82" s="797"/>
      <c r="IC82" s="797"/>
      <c r="ID82" s="797"/>
      <c r="IE82" s="797"/>
      <c r="IF82" s="797"/>
      <c r="IG82" s="797"/>
      <c r="IH82" s="797"/>
      <c r="II82" s="797"/>
      <c r="IJ82" s="797"/>
      <c r="IK82" s="797"/>
      <c r="IL82" s="797"/>
      <c r="IM82" s="797"/>
      <c r="IN82" s="797"/>
      <c r="IO82" s="797"/>
      <c r="IP82" s="797"/>
      <c r="IQ82" s="797"/>
      <c r="IR82" s="797"/>
      <c r="IS82" s="797"/>
      <c r="IT82" s="797"/>
      <c r="IU82" s="797"/>
      <c r="IV82" s="797"/>
    </row>
    <row r="83" spans="1:256" s="796" customFormat="1" ht="27" customHeight="1">
      <c r="A83" s="792" t="s">
        <v>5258</v>
      </c>
      <c r="B83" s="793"/>
      <c r="C83" s="793" t="s">
        <v>6325</v>
      </c>
      <c r="D83" s="793" t="s">
        <v>6318</v>
      </c>
      <c r="E83" s="793" t="s">
        <v>146</v>
      </c>
      <c r="F83" s="794">
        <f>F77</f>
        <v>4.032</v>
      </c>
      <c r="G83" s="470"/>
      <c r="H83" s="795">
        <f t="shared" si="9"/>
        <v>0</v>
      </c>
      <c r="I83" s="781" t="s">
        <v>112</v>
      </c>
      <c r="J83" s="783"/>
      <c r="K83" s="783"/>
      <c r="L83" s="621"/>
      <c r="M83" s="621"/>
      <c r="N83" s="621"/>
      <c r="O83" s="621"/>
      <c r="P83" s="621"/>
      <c r="Q83" s="621"/>
      <c r="R83" s="621"/>
      <c r="S83" s="784"/>
      <c r="V83" s="783"/>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797"/>
      <c r="BA83" s="797"/>
      <c r="BB83" s="797"/>
      <c r="BC83" s="797"/>
      <c r="BD83" s="797"/>
      <c r="BE83" s="797"/>
      <c r="BF83" s="797"/>
      <c r="BG83" s="797"/>
      <c r="BH83" s="797"/>
      <c r="BI83" s="797"/>
      <c r="BJ83" s="797"/>
      <c r="BK83" s="797"/>
      <c r="BL83" s="797"/>
      <c r="BM83" s="797"/>
      <c r="BN83" s="797"/>
      <c r="BO83" s="797"/>
      <c r="BP83" s="797"/>
      <c r="BQ83" s="797"/>
      <c r="BR83" s="797"/>
      <c r="BS83" s="797"/>
      <c r="BT83" s="797"/>
      <c r="BU83" s="797"/>
      <c r="BV83" s="797"/>
      <c r="BW83" s="797"/>
      <c r="BX83" s="797"/>
      <c r="BY83" s="797"/>
      <c r="BZ83" s="797"/>
      <c r="CA83" s="797"/>
      <c r="CB83" s="797"/>
      <c r="CC83" s="797"/>
      <c r="CD83" s="797"/>
      <c r="CE83" s="797"/>
      <c r="CF83" s="797"/>
      <c r="CG83" s="797"/>
      <c r="CH83" s="797"/>
      <c r="CI83" s="797"/>
      <c r="CJ83" s="797"/>
      <c r="CK83" s="797"/>
      <c r="CL83" s="797"/>
      <c r="CM83" s="797"/>
      <c r="CN83" s="797"/>
      <c r="CO83" s="797"/>
      <c r="CP83" s="797"/>
      <c r="CQ83" s="797"/>
      <c r="CR83" s="797"/>
      <c r="CS83" s="797"/>
      <c r="CT83" s="797"/>
      <c r="CU83" s="797"/>
      <c r="CV83" s="797"/>
      <c r="CW83" s="797"/>
      <c r="CX83" s="797"/>
      <c r="CY83" s="797"/>
      <c r="CZ83" s="797"/>
      <c r="DA83" s="797"/>
      <c r="DB83" s="797"/>
      <c r="DC83" s="797"/>
      <c r="DD83" s="797"/>
      <c r="DE83" s="797"/>
      <c r="DF83" s="797"/>
      <c r="DG83" s="797"/>
      <c r="DH83" s="797"/>
      <c r="DI83" s="797"/>
      <c r="DJ83" s="797"/>
      <c r="DK83" s="797"/>
      <c r="DL83" s="797"/>
      <c r="DM83" s="797"/>
      <c r="DN83" s="797"/>
      <c r="DO83" s="797"/>
      <c r="DP83" s="797"/>
      <c r="DQ83" s="797"/>
      <c r="DR83" s="797"/>
      <c r="DS83" s="797"/>
      <c r="DT83" s="797"/>
      <c r="DU83" s="797"/>
      <c r="DV83" s="797"/>
      <c r="DW83" s="797"/>
      <c r="DX83" s="797"/>
      <c r="DY83" s="797"/>
      <c r="DZ83" s="797"/>
      <c r="EA83" s="797"/>
      <c r="EB83" s="797"/>
      <c r="EC83" s="797"/>
      <c r="ED83" s="797"/>
      <c r="EE83" s="797"/>
      <c r="EF83" s="797"/>
      <c r="EG83" s="797"/>
      <c r="EH83" s="797"/>
      <c r="EI83" s="797"/>
      <c r="EJ83" s="797"/>
      <c r="EK83" s="797"/>
      <c r="EL83" s="797"/>
      <c r="EM83" s="797"/>
      <c r="EN83" s="797"/>
      <c r="EO83" s="797"/>
      <c r="EP83" s="797"/>
      <c r="EQ83" s="797"/>
      <c r="ER83" s="797"/>
      <c r="ES83" s="797"/>
      <c r="ET83" s="797"/>
      <c r="EU83" s="797"/>
      <c r="EV83" s="797"/>
      <c r="EW83" s="797"/>
      <c r="EX83" s="797"/>
      <c r="EY83" s="797"/>
      <c r="EZ83" s="797"/>
      <c r="FA83" s="797"/>
      <c r="FB83" s="797"/>
      <c r="FC83" s="797"/>
      <c r="FD83" s="797"/>
      <c r="FE83" s="797"/>
      <c r="FF83" s="797"/>
      <c r="FG83" s="797"/>
      <c r="FH83" s="797"/>
      <c r="FI83" s="797"/>
      <c r="FJ83" s="797"/>
      <c r="FK83" s="797"/>
      <c r="FL83" s="797"/>
      <c r="FM83" s="797"/>
      <c r="FN83" s="797"/>
      <c r="FO83" s="797"/>
      <c r="FP83" s="797"/>
      <c r="FQ83" s="797"/>
      <c r="FR83" s="797"/>
      <c r="FS83" s="797"/>
      <c r="FT83" s="797"/>
      <c r="FU83" s="797"/>
      <c r="FV83" s="797"/>
      <c r="FW83" s="797"/>
      <c r="FX83" s="797"/>
      <c r="FY83" s="797"/>
      <c r="FZ83" s="797"/>
      <c r="GA83" s="797"/>
      <c r="GB83" s="797"/>
      <c r="GC83" s="797"/>
      <c r="GD83" s="797"/>
      <c r="GE83" s="797"/>
      <c r="GF83" s="797"/>
      <c r="GG83" s="797"/>
      <c r="GH83" s="797"/>
      <c r="GI83" s="797"/>
      <c r="GJ83" s="797"/>
      <c r="GK83" s="797"/>
      <c r="GL83" s="797"/>
      <c r="GM83" s="797"/>
      <c r="GN83" s="797"/>
      <c r="GO83" s="797"/>
      <c r="GP83" s="797"/>
      <c r="GQ83" s="797"/>
      <c r="GR83" s="797"/>
      <c r="GS83" s="797"/>
      <c r="GT83" s="797"/>
      <c r="GU83" s="797"/>
      <c r="GV83" s="797"/>
      <c r="GW83" s="797"/>
      <c r="GX83" s="797"/>
      <c r="GY83" s="797"/>
      <c r="GZ83" s="797"/>
      <c r="HA83" s="797"/>
      <c r="HB83" s="797"/>
      <c r="HC83" s="797"/>
      <c r="HD83" s="797"/>
      <c r="HE83" s="797"/>
      <c r="HF83" s="797"/>
      <c r="HG83" s="797"/>
      <c r="HH83" s="797"/>
      <c r="HI83" s="797"/>
      <c r="HJ83" s="797"/>
      <c r="HK83" s="797"/>
      <c r="HL83" s="797"/>
      <c r="HM83" s="797"/>
      <c r="HN83" s="797"/>
      <c r="HO83" s="797"/>
      <c r="HP83" s="797"/>
      <c r="HQ83" s="797"/>
      <c r="HR83" s="797"/>
      <c r="HS83" s="797"/>
      <c r="HT83" s="797"/>
      <c r="HU83" s="797"/>
      <c r="HV83" s="797"/>
      <c r="HW83" s="797"/>
      <c r="HX83" s="797"/>
      <c r="HY83" s="797"/>
      <c r="HZ83" s="797"/>
      <c r="IA83" s="797"/>
      <c r="IB83" s="797"/>
      <c r="IC83" s="797"/>
      <c r="ID83" s="797"/>
      <c r="IE83" s="797"/>
      <c r="IF83" s="797"/>
      <c r="IG83" s="797"/>
      <c r="IH83" s="797"/>
      <c r="II83" s="797"/>
      <c r="IJ83" s="797"/>
      <c r="IK83" s="797"/>
      <c r="IL83" s="797"/>
      <c r="IM83" s="797"/>
      <c r="IN83" s="797"/>
      <c r="IO83" s="797"/>
      <c r="IP83" s="797"/>
      <c r="IQ83" s="797"/>
      <c r="IR83" s="797"/>
      <c r="IS83" s="797"/>
      <c r="IT83" s="797"/>
      <c r="IU83" s="797"/>
      <c r="IV83" s="797"/>
    </row>
    <row r="84" spans="1:256" s="804" customFormat="1" ht="27" customHeight="1">
      <c r="A84" s="798" t="s">
        <v>5413</v>
      </c>
      <c r="B84" s="799"/>
      <c r="C84" s="777">
        <v>171251101</v>
      </c>
      <c r="D84" s="800" t="s">
        <v>192</v>
      </c>
      <c r="E84" s="801" t="s">
        <v>146</v>
      </c>
      <c r="F84" s="802">
        <f>F72</f>
        <v>10.08</v>
      </c>
      <c r="G84" s="295"/>
      <c r="H84" s="803">
        <f t="shared" ref="H84:H85" si="10">ROUND(F84*G84,2)</f>
        <v>0</v>
      </c>
      <c r="I84" s="781" t="s">
        <v>137</v>
      </c>
      <c r="J84" s="647"/>
      <c r="K84" s="647"/>
      <c r="L84" s="612"/>
      <c r="M84" s="612"/>
      <c r="N84" s="612"/>
      <c r="O84" s="612"/>
      <c r="P84" s="612"/>
      <c r="Q84" s="612"/>
      <c r="R84" s="612"/>
      <c r="S84" s="788"/>
      <c r="V84" s="612"/>
    </row>
    <row r="85" spans="1:256" s="804" customFormat="1" ht="27" customHeight="1">
      <c r="A85" s="798" t="s">
        <v>5699</v>
      </c>
      <c r="B85" s="799"/>
      <c r="C85" s="805" t="s">
        <v>6311</v>
      </c>
      <c r="D85" s="806" t="s">
        <v>6323</v>
      </c>
      <c r="E85" s="801" t="s">
        <v>175</v>
      </c>
      <c r="F85" s="802">
        <f>F72*2</f>
        <v>20.16</v>
      </c>
      <c r="G85" s="295"/>
      <c r="H85" s="803">
        <f t="shared" si="10"/>
        <v>0</v>
      </c>
      <c r="I85" s="781" t="s">
        <v>112</v>
      </c>
      <c r="J85" s="647"/>
      <c r="K85" s="647"/>
      <c r="L85" s="612"/>
      <c r="M85" s="612"/>
      <c r="N85" s="612"/>
      <c r="O85" s="612"/>
      <c r="P85" s="612"/>
      <c r="Q85" s="612"/>
      <c r="R85" s="612"/>
      <c r="S85" s="788"/>
      <c r="V85" s="612"/>
    </row>
    <row r="86" spans="1:256" s="647" customFormat="1" ht="13.5" customHeight="1">
      <c r="A86" s="807"/>
      <c r="B86" s="808"/>
      <c r="C86" s="809"/>
      <c r="D86" s="810" t="s">
        <v>193</v>
      </c>
      <c r="E86" s="811"/>
      <c r="F86" s="812"/>
      <c r="G86" s="881"/>
      <c r="H86" s="813"/>
      <c r="I86" s="814"/>
      <c r="J86" s="815"/>
      <c r="L86" s="612"/>
      <c r="M86" s="612"/>
      <c r="N86" s="612"/>
      <c r="O86" s="612"/>
      <c r="P86" s="612"/>
      <c r="Q86" s="612"/>
      <c r="R86" s="612"/>
      <c r="S86" s="788"/>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6"/>
      <c r="BA86" s="816"/>
      <c r="BB86" s="816"/>
      <c r="BC86" s="816"/>
      <c r="BD86" s="816"/>
      <c r="BE86" s="816"/>
      <c r="BF86" s="816"/>
      <c r="BG86" s="816"/>
      <c r="BH86" s="816"/>
      <c r="BI86" s="816"/>
      <c r="BJ86" s="816"/>
      <c r="BK86" s="816"/>
      <c r="BL86" s="816"/>
      <c r="BM86" s="816"/>
      <c r="BN86" s="816"/>
      <c r="BO86" s="816"/>
      <c r="BP86" s="816"/>
      <c r="BQ86" s="816"/>
      <c r="BR86" s="816"/>
      <c r="BS86" s="816"/>
      <c r="BT86" s="816"/>
      <c r="BU86" s="816"/>
      <c r="BV86" s="816"/>
      <c r="BW86" s="816"/>
      <c r="BX86" s="816"/>
      <c r="BY86" s="816"/>
      <c r="BZ86" s="816"/>
      <c r="CA86" s="816"/>
      <c r="CB86" s="816"/>
      <c r="CC86" s="816"/>
      <c r="CD86" s="816"/>
      <c r="CE86" s="816"/>
      <c r="CF86" s="816"/>
      <c r="CG86" s="816"/>
      <c r="CH86" s="816"/>
      <c r="CI86" s="816"/>
      <c r="CJ86" s="816"/>
      <c r="CK86" s="816"/>
      <c r="CL86" s="816"/>
      <c r="CM86" s="816"/>
      <c r="CN86" s="816"/>
      <c r="CO86" s="816"/>
      <c r="CP86" s="816"/>
      <c r="CQ86" s="816"/>
      <c r="CR86" s="816"/>
      <c r="CS86" s="816"/>
      <c r="CT86" s="816"/>
      <c r="CU86" s="816"/>
      <c r="CV86" s="816"/>
      <c r="CW86" s="816"/>
      <c r="CX86" s="816"/>
      <c r="CY86" s="816"/>
      <c r="CZ86" s="816"/>
      <c r="DA86" s="816"/>
      <c r="DB86" s="816"/>
      <c r="DC86" s="816"/>
      <c r="DD86" s="816"/>
      <c r="DE86" s="816"/>
      <c r="DF86" s="816"/>
      <c r="DG86" s="816"/>
      <c r="DH86" s="816"/>
      <c r="DI86" s="816"/>
      <c r="DJ86" s="816"/>
      <c r="DK86" s="816"/>
      <c r="DL86" s="816"/>
      <c r="DM86" s="816"/>
      <c r="DN86" s="816"/>
      <c r="DO86" s="816"/>
      <c r="DP86" s="816"/>
      <c r="DQ86" s="816"/>
      <c r="DR86" s="816"/>
      <c r="DS86" s="816"/>
      <c r="DT86" s="816"/>
      <c r="DU86" s="816"/>
      <c r="DV86" s="816"/>
      <c r="DW86" s="816"/>
      <c r="DX86" s="816"/>
      <c r="DY86" s="816"/>
      <c r="DZ86" s="816"/>
      <c r="EA86" s="816"/>
      <c r="EB86" s="816"/>
      <c r="EC86" s="816"/>
      <c r="ED86" s="816"/>
      <c r="EE86" s="816"/>
      <c r="EF86" s="816"/>
      <c r="EG86" s="816"/>
      <c r="EH86" s="816"/>
      <c r="EI86" s="816"/>
      <c r="EJ86" s="816"/>
      <c r="EK86" s="816"/>
      <c r="EL86" s="816"/>
      <c r="EM86" s="816"/>
      <c r="EN86" s="816"/>
      <c r="EO86" s="816"/>
      <c r="EP86" s="816"/>
      <c r="EQ86" s="816"/>
      <c r="ER86" s="816"/>
      <c r="ES86" s="816"/>
      <c r="ET86" s="816"/>
      <c r="EU86" s="816"/>
      <c r="EV86" s="816"/>
      <c r="EW86" s="816"/>
      <c r="EX86" s="816"/>
      <c r="EY86" s="816"/>
      <c r="EZ86" s="816"/>
      <c r="FA86" s="816"/>
      <c r="FB86" s="816"/>
      <c r="FC86" s="816"/>
      <c r="FD86" s="816"/>
      <c r="FE86" s="816"/>
      <c r="FF86" s="816"/>
      <c r="FG86" s="816"/>
      <c r="FH86" s="816"/>
      <c r="FI86" s="816"/>
      <c r="FJ86" s="816"/>
      <c r="FK86" s="816"/>
      <c r="FL86" s="816"/>
      <c r="FM86" s="816"/>
      <c r="FN86" s="816"/>
      <c r="FO86" s="816"/>
      <c r="FP86" s="816"/>
      <c r="FQ86" s="816"/>
      <c r="FR86" s="816"/>
      <c r="FS86" s="816"/>
      <c r="FT86" s="816"/>
      <c r="FU86" s="816"/>
      <c r="FV86" s="816"/>
      <c r="FW86" s="816"/>
      <c r="FX86" s="816"/>
      <c r="FY86" s="816"/>
      <c r="FZ86" s="816"/>
      <c r="GA86" s="816"/>
      <c r="GB86" s="816"/>
      <c r="GC86" s="816"/>
      <c r="GD86" s="816"/>
      <c r="GE86" s="816"/>
      <c r="GF86" s="816"/>
      <c r="GG86" s="816"/>
      <c r="GH86" s="816"/>
      <c r="GI86" s="816"/>
      <c r="GJ86" s="816"/>
      <c r="GK86" s="816"/>
      <c r="GL86" s="816"/>
      <c r="GM86" s="816"/>
      <c r="GN86" s="816"/>
      <c r="GO86" s="816"/>
      <c r="GP86" s="816"/>
      <c r="GQ86" s="816"/>
      <c r="GR86" s="816"/>
      <c r="GS86" s="816"/>
      <c r="GT86" s="816"/>
      <c r="GU86" s="816"/>
      <c r="GV86" s="816"/>
      <c r="GW86" s="816"/>
      <c r="GX86" s="816"/>
      <c r="GY86" s="816"/>
      <c r="GZ86" s="816"/>
      <c r="HA86" s="816"/>
      <c r="HB86" s="816"/>
      <c r="HC86" s="816"/>
      <c r="HD86" s="816"/>
      <c r="HE86" s="816"/>
      <c r="HF86" s="816"/>
      <c r="HG86" s="816"/>
      <c r="HH86" s="816"/>
      <c r="HI86" s="816"/>
      <c r="HJ86" s="816"/>
      <c r="HK86" s="816"/>
      <c r="HL86" s="816"/>
      <c r="HM86" s="816"/>
      <c r="HN86" s="816"/>
      <c r="HO86" s="816"/>
      <c r="HP86" s="816"/>
      <c r="HQ86" s="816"/>
      <c r="HR86" s="816"/>
      <c r="HS86" s="816"/>
      <c r="HT86" s="816"/>
      <c r="HU86" s="816"/>
      <c r="HV86" s="816"/>
      <c r="HW86" s="816"/>
      <c r="HX86" s="816"/>
      <c r="HY86" s="816"/>
      <c r="HZ86" s="816"/>
      <c r="IA86" s="816"/>
      <c r="IB86" s="816"/>
      <c r="IC86" s="816"/>
      <c r="ID86" s="816"/>
      <c r="IE86" s="816"/>
      <c r="IF86" s="816"/>
      <c r="IG86" s="816"/>
      <c r="IH86" s="816"/>
      <c r="II86" s="816"/>
      <c r="IJ86" s="816"/>
      <c r="IK86" s="816"/>
      <c r="IL86" s="816"/>
      <c r="IM86" s="816"/>
      <c r="IN86" s="816"/>
      <c r="IO86" s="816"/>
      <c r="IP86" s="816"/>
      <c r="IQ86" s="816"/>
      <c r="IR86" s="816"/>
      <c r="IS86" s="816"/>
      <c r="IT86" s="816"/>
      <c r="IU86" s="816"/>
      <c r="IV86" s="816"/>
    </row>
    <row r="87" spans="1:256" s="1587" customFormat="1" ht="81" customHeight="1">
      <c r="A87" s="1602"/>
      <c r="B87" s="1603"/>
      <c r="C87" s="1604"/>
      <c r="D87" s="584" t="s">
        <v>2404</v>
      </c>
      <c r="E87" s="1605"/>
      <c r="F87" s="1606"/>
      <c r="G87" s="299"/>
      <c r="H87" s="1607"/>
      <c r="I87" s="1608"/>
      <c r="L87" s="1588"/>
      <c r="M87" s="1588"/>
      <c r="N87" s="1588"/>
      <c r="O87" s="1588"/>
      <c r="P87" s="1588"/>
      <c r="Q87" s="1588"/>
      <c r="R87" s="1588"/>
      <c r="S87" s="1588"/>
      <c r="T87" s="1588"/>
      <c r="U87" s="1588"/>
      <c r="V87" s="1588"/>
      <c r="W87" s="1588"/>
      <c r="X87" s="1588"/>
      <c r="Y87" s="1588"/>
      <c r="Z87" s="1588"/>
      <c r="AA87" s="1588"/>
      <c r="AB87" s="1588"/>
      <c r="AC87" s="1588"/>
      <c r="AD87" s="1588"/>
      <c r="AE87" s="1588"/>
      <c r="AF87" s="1588"/>
      <c r="AG87" s="1588"/>
      <c r="AH87" s="1588"/>
      <c r="AI87" s="1588"/>
      <c r="AJ87" s="1588"/>
      <c r="AK87" s="1588"/>
      <c r="AL87" s="1588"/>
      <c r="AM87" s="1588"/>
      <c r="AN87" s="1588"/>
      <c r="AO87" s="1588"/>
      <c r="AP87" s="1588"/>
      <c r="AQ87" s="1588"/>
      <c r="AR87" s="1588"/>
      <c r="AS87" s="1588"/>
      <c r="AT87" s="1588"/>
      <c r="AU87" s="1588"/>
      <c r="AV87" s="1588"/>
      <c r="AW87" s="1588"/>
      <c r="AX87" s="1588"/>
      <c r="AY87" s="1588"/>
      <c r="AZ87" s="1588"/>
      <c r="BA87" s="1588"/>
      <c r="BB87" s="1588"/>
      <c r="BC87" s="1588"/>
      <c r="BD87" s="1588"/>
      <c r="BE87" s="1588"/>
      <c r="BF87" s="1588"/>
      <c r="BG87" s="1588"/>
      <c r="BH87" s="1588"/>
      <c r="BI87" s="1588"/>
      <c r="BJ87" s="1588"/>
      <c r="BK87" s="1588"/>
      <c r="BL87" s="1588"/>
      <c r="BM87" s="1588"/>
      <c r="BN87" s="1588"/>
      <c r="BO87" s="1588"/>
      <c r="BP87" s="1588"/>
      <c r="BQ87" s="1588"/>
      <c r="BR87" s="1588"/>
      <c r="BS87" s="1588"/>
      <c r="BT87" s="1588"/>
      <c r="BU87" s="1588"/>
      <c r="BV87" s="1588"/>
      <c r="BW87" s="1588"/>
      <c r="BX87" s="1588"/>
      <c r="BY87" s="1588"/>
      <c r="BZ87" s="1588"/>
      <c r="CA87" s="1588"/>
      <c r="CB87" s="1588"/>
      <c r="CC87" s="1588"/>
      <c r="CD87" s="1588"/>
      <c r="CE87" s="1588"/>
      <c r="CF87" s="1588"/>
      <c r="CG87" s="1588"/>
      <c r="CH87" s="1588"/>
      <c r="CI87" s="1588"/>
      <c r="CJ87" s="1588"/>
      <c r="CK87" s="1588"/>
      <c r="CL87" s="1588"/>
      <c r="CM87" s="1588"/>
      <c r="CN87" s="1588"/>
      <c r="CO87" s="1588"/>
      <c r="CP87" s="1588"/>
      <c r="CQ87" s="1588"/>
      <c r="CR87" s="1588"/>
      <c r="CS87" s="1588"/>
      <c r="CT87" s="1588"/>
      <c r="CU87" s="1588"/>
      <c r="CV87" s="1588"/>
      <c r="CW87" s="1588"/>
      <c r="CX87" s="1588"/>
      <c r="CY87" s="1588"/>
      <c r="CZ87" s="1588"/>
      <c r="DA87" s="1588"/>
      <c r="DB87" s="1588"/>
      <c r="DC87" s="1588"/>
      <c r="DD87" s="1588"/>
      <c r="DE87" s="1588"/>
      <c r="DF87" s="1588"/>
      <c r="DG87" s="1588"/>
      <c r="DH87" s="1588"/>
      <c r="DI87" s="1588"/>
      <c r="DJ87" s="1588"/>
      <c r="DK87" s="1588"/>
      <c r="DL87" s="1588"/>
      <c r="DM87" s="1588"/>
      <c r="DN87" s="1588"/>
      <c r="DO87" s="1588"/>
      <c r="DP87" s="1588"/>
      <c r="DQ87" s="1588"/>
      <c r="DR87" s="1588"/>
      <c r="DS87" s="1588"/>
      <c r="DT87" s="1588"/>
      <c r="DU87" s="1588"/>
      <c r="DV87" s="1588"/>
      <c r="DW87" s="1588"/>
      <c r="DX87" s="1588"/>
      <c r="DY87" s="1588"/>
      <c r="DZ87" s="1588"/>
      <c r="EA87" s="1588"/>
      <c r="EB87" s="1588"/>
      <c r="EC87" s="1588"/>
      <c r="ED87" s="1588"/>
      <c r="EE87" s="1588"/>
      <c r="EF87" s="1588"/>
      <c r="EG87" s="1588"/>
      <c r="EH87" s="1588"/>
      <c r="EI87" s="1588"/>
      <c r="EJ87" s="1588"/>
      <c r="EK87" s="1588"/>
      <c r="EL87" s="1588"/>
      <c r="EM87" s="1588"/>
      <c r="EN87" s="1588"/>
      <c r="EO87" s="1588"/>
      <c r="EP87" s="1588"/>
      <c r="EQ87" s="1588"/>
      <c r="ER87" s="1588"/>
      <c r="ES87" s="1588"/>
      <c r="ET87" s="1588"/>
      <c r="EU87" s="1588"/>
      <c r="EV87" s="1588"/>
      <c r="EW87" s="1588"/>
      <c r="EX87" s="1588"/>
      <c r="EY87" s="1588"/>
      <c r="EZ87" s="1588"/>
      <c r="FA87" s="1588"/>
      <c r="FB87" s="1588"/>
      <c r="FC87" s="1588"/>
      <c r="FD87" s="1588"/>
      <c r="FE87" s="1588"/>
      <c r="FF87" s="1588"/>
      <c r="FG87" s="1588"/>
      <c r="FH87" s="1588"/>
      <c r="FI87" s="1588"/>
      <c r="FJ87" s="1588"/>
      <c r="FK87" s="1588"/>
      <c r="FL87" s="1588"/>
      <c r="FM87" s="1588"/>
      <c r="FN87" s="1588"/>
      <c r="FO87" s="1588"/>
      <c r="FP87" s="1588"/>
      <c r="FQ87" s="1588"/>
      <c r="FR87" s="1588"/>
      <c r="FS87" s="1588"/>
      <c r="FT87" s="1588"/>
      <c r="FU87" s="1588"/>
      <c r="FV87" s="1588"/>
      <c r="FW87" s="1588"/>
      <c r="FX87" s="1588"/>
      <c r="FY87" s="1588"/>
      <c r="FZ87" s="1588"/>
      <c r="GA87" s="1588"/>
      <c r="GB87" s="1588"/>
      <c r="GC87" s="1588"/>
      <c r="GD87" s="1588"/>
      <c r="GE87" s="1588"/>
      <c r="GF87" s="1588"/>
      <c r="GG87" s="1588"/>
      <c r="GH87" s="1588"/>
      <c r="GI87" s="1588"/>
      <c r="GJ87" s="1588"/>
      <c r="GK87" s="1588"/>
      <c r="GL87" s="1588"/>
      <c r="GM87" s="1588"/>
      <c r="GN87" s="1588"/>
      <c r="GO87" s="1588"/>
      <c r="GP87" s="1588"/>
      <c r="GQ87" s="1588"/>
      <c r="GR87" s="1588"/>
      <c r="GS87" s="1588"/>
      <c r="GT87" s="1588"/>
      <c r="GU87" s="1588"/>
      <c r="GV87" s="1588"/>
      <c r="GW87" s="1588"/>
      <c r="GX87" s="1588"/>
      <c r="GY87" s="1588"/>
      <c r="GZ87" s="1588"/>
      <c r="HA87" s="1588"/>
      <c r="HB87" s="1588"/>
      <c r="HC87" s="1588"/>
      <c r="HD87" s="1588"/>
      <c r="HE87" s="1588"/>
      <c r="HF87" s="1588"/>
      <c r="HG87" s="1588"/>
      <c r="HH87" s="1588"/>
      <c r="HI87" s="1588"/>
      <c r="HJ87" s="1588"/>
      <c r="HK87" s="1588"/>
      <c r="HL87" s="1588"/>
      <c r="HM87" s="1588"/>
      <c r="HN87" s="1588"/>
      <c r="HO87" s="1588"/>
      <c r="HP87" s="1588"/>
      <c r="HQ87" s="1588"/>
      <c r="HR87" s="1588"/>
      <c r="HS87" s="1588"/>
      <c r="HT87" s="1588"/>
      <c r="HU87" s="1588"/>
      <c r="HV87" s="1588"/>
      <c r="HW87" s="1588"/>
      <c r="HX87" s="1588"/>
      <c r="HY87" s="1588"/>
      <c r="HZ87" s="1588"/>
      <c r="IA87" s="1588"/>
      <c r="IB87" s="1588"/>
      <c r="IC87" s="1588"/>
      <c r="ID87" s="1588"/>
      <c r="IE87" s="1588"/>
      <c r="IF87" s="1588"/>
      <c r="IG87" s="1588"/>
      <c r="IH87" s="1588"/>
      <c r="II87" s="1588"/>
      <c r="IJ87" s="1588"/>
      <c r="IK87" s="1588"/>
      <c r="IL87" s="1588"/>
      <c r="IM87" s="1588"/>
      <c r="IN87" s="1588"/>
      <c r="IO87" s="1588"/>
      <c r="IP87" s="1588"/>
      <c r="IQ87" s="1588"/>
      <c r="IR87" s="1588"/>
      <c r="IS87" s="1588"/>
      <c r="IT87" s="1588"/>
      <c r="IU87" s="1588"/>
      <c r="IV87" s="1588"/>
    </row>
    <row r="88" spans="1:256" s="1685" customFormat="1" ht="13.5" customHeight="1">
      <c r="A88" s="2835"/>
      <c r="B88" s="1703"/>
      <c r="C88" s="2836">
        <v>4</v>
      </c>
      <c r="D88" s="2836" t="s">
        <v>279</v>
      </c>
      <c r="E88" s="2836"/>
      <c r="F88" s="2837"/>
      <c r="G88" s="397"/>
      <c r="H88" s="2838">
        <f>SUM(H89:H91)</f>
        <v>0</v>
      </c>
      <c r="I88" s="1704"/>
      <c r="L88" s="2839"/>
    </row>
    <row r="89" spans="1:256" s="612" customFormat="1" ht="13.5" customHeight="1">
      <c r="A89" s="608">
        <v>20</v>
      </c>
      <c r="B89" s="557">
        <v>271</v>
      </c>
      <c r="C89" s="557">
        <v>451573111</v>
      </c>
      <c r="D89" s="557" t="s">
        <v>2405</v>
      </c>
      <c r="E89" s="557" t="s">
        <v>146</v>
      </c>
      <c r="F89" s="573">
        <f>ROUND(SUM(F90:F91),3)</f>
        <v>2.79</v>
      </c>
      <c r="G89" s="301"/>
      <c r="H89" s="568">
        <f>ROUND(F89*G89,2)</f>
        <v>0</v>
      </c>
      <c r="I89" s="613" t="s">
        <v>137</v>
      </c>
    </row>
    <row r="90" spans="1:256" s="604" customFormat="1" ht="13.5" customHeight="1">
      <c r="A90" s="1586"/>
      <c r="B90" s="596"/>
      <c r="C90" s="597"/>
      <c r="D90" s="1695" t="s">
        <v>5700</v>
      </c>
      <c r="E90" s="599"/>
      <c r="F90" s="600"/>
      <c r="G90" s="289"/>
      <c r="H90" s="601"/>
      <c r="I90" s="602"/>
      <c r="J90" s="1580"/>
      <c r="U90" s="605"/>
      <c r="W90" s="605"/>
    </row>
    <row r="91" spans="1:256" s="604" customFormat="1" ht="27" customHeight="1">
      <c r="A91" s="1586"/>
      <c r="B91" s="596"/>
      <c r="C91" s="597"/>
      <c r="D91" s="1695" t="s">
        <v>5701</v>
      </c>
      <c r="E91" s="599"/>
      <c r="F91" s="600">
        <f>(15.5*1.2)*0.15</f>
        <v>2.7899999999999996</v>
      </c>
      <c r="G91" s="289"/>
      <c r="H91" s="601"/>
      <c r="I91" s="602"/>
      <c r="J91" s="2811"/>
      <c r="U91" s="605"/>
      <c r="W91" s="605"/>
    </row>
    <row r="92" spans="1:256" s="612" customFormat="1" ht="13.5" customHeight="1">
      <c r="A92" s="608"/>
      <c r="B92" s="557"/>
      <c r="C92" s="616" t="s">
        <v>1171</v>
      </c>
      <c r="D92" s="616" t="s">
        <v>1646</v>
      </c>
      <c r="E92" s="616"/>
      <c r="F92" s="617"/>
      <c r="G92" s="303"/>
      <c r="H92" s="828">
        <f>SUM(H93:H120)</f>
        <v>0</v>
      </c>
      <c r="I92" s="613"/>
    </row>
    <row r="93" spans="1:256" s="612" customFormat="1" ht="27" customHeight="1">
      <c r="A93" s="608">
        <v>21</v>
      </c>
      <c r="B93" s="557">
        <v>271</v>
      </c>
      <c r="C93" s="557" t="s">
        <v>5702</v>
      </c>
      <c r="D93" s="557" t="s">
        <v>5703</v>
      </c>
      <c r="E93" s="557" t="s">
        <v>141</v>
      </c>
      <c r="F93" s="573">
        <f>ROUND(SUM(F95:F95),3)</f>
        <v>17.05</v>
      </c>
      <c r="G93" s="288"/>
      <c r="H93" s="568">
        <f>ROUND(F93*G93,2)</f>
        <v>0</v>
      </c>
      <c r="I93" s="613" t="s">
        <v>111</v>
      </c>
    </row>
    <row r="94" spans="1:256" s="2809" customFormat="1" ht="13.5" customHeight="1">
      <c r="A94" s="2840"/>
      <c r="B94" s="2841"/>
      <c r="C94" s="2842"/>
      <c r="D94" s="2843" t="s">
        <v>5704</v>
      </c>
      <c r="E94" s="2842"/>
      <c r="F94" s="2844"/>
      <c r="G94" s="398"/>
      <c r="H94" s="2845"/>
      <c r="I94" s="2846"/>
    </row>
    <row r="95" spans="1:256" s="604" customFormat="1" ht="13.5" customHeight="1">
      <c r="A95" s="1586"/>
      <c r="B95" s="596"/>
      <c r="C95" s="597"/>
      <c r="D95" s="2843" t="s">
        <v>5705</v>
      </c>
      <c r="E95" s="599"/>
      <c r="F95" s="600">
        <f>(15.5)*1.1</f>
        <v>17.05</v>
      </c>
      <c r="G95" s="289"/>
      <c r="H95" s="601"/>
      <c r="I95" s="2846"/>
      <c r="J95" s="2809"/>
      <c r="U95" s="605"/>
      <c r="W95" s="605"/>
    </row>
    <row r="96" spans="1:256" s="2809" customFormat="1" ht="13.5" customHeight="1">
      <c r="A96" s="2840"/>
      <c r="B96" s="2841"/>
      <c r="C96" s="2842"/>
      <c r="D96" s="2843" t="s">
        <v>5706</v>
      </c>
      <c r="E96" s="2842"/>
      <c r="F96" s="2844"/>
      <c r="G96" s="398"/>
      <c r="H96" s="2845"/>
      <c r="I96" s="2847"/>
    </row>
    <row r="97" spans="1:256" s="612" customFormat="1" ht="13.5" customHeight="1">
      <c r="A97" s="608">
        <v>22</v>
      </c>
      <c r="B97" s="557">
        <v>271</v>
      </c>
      <c r="C97" s="557" t="s">
        <v>4910</v>
      </c>
      <c r="D97" s="557" t="s">
        <v>5707</v>
      </c>
      <c r="E97" s="557" t="s">
        <v>205</v>
      </c>
      <c r="F97" s="573">
        <f>ROUND(SUM(F99:F99),3)</f>
        <v>1</v>
      </c>
      <c r="G97" s="288"/>
      <c r="H97" s="568">
        <f>ROUND(F97*G97,2)</f>
        <v>0</v>
      </c>
      <c r="I97" s="613" t="s">
        <v>111</v>
      </c>
    </row>
    <row r="98" spans="1:256" s="2809" customFormat="1" ht="13.5" customHeight="1">
      <c r="A98" s="2840"/>
      <c r="B98" s="2841"/>
      <c r="C98" s="2842"/>
      <c r="D98" s="2843" t="s">
        <v>4987</v>
      </c>
      <c r="E98" s="2842"/>
      <c r="F98" s="2844"/>
      <c r="G98" s="398"/>
      <c r="H98" s="2845"/>
      <c r="I98" s="2847"/>
    </row>
    <row r="99" spans="1:256" s="2809" customFormat="1" ht="13.5" customHeight="1">
      <c r="A99" s="2840"/>
      <c r="B99" s="2841"/>
      <c r="C99" s="2842"/>
      <c r="D99" s="2843" t="s">
        <v>5708</v>
      </c>
      <c r="E99" s="2842"/>
      <c r="F99" s="2844">
        <v>1</v>
      </c>
      <c r="G99" s="398"/>
      <c r="H99" s="2845"/>
      <c r="I99" s="2847"/>
    </row>
    <row r="100" spans="1:256" s="2809" customFormat="1" ht="27" customHeight="1">
      <c r="A100" s="2840"/>
      <c r="B100" s="2841"/>
      <c r="C100" s="2842"/>
      <c r="D100" s="2843" t="s">
        <v>2410</v>
      </c>
      <c r="E100" s="2842"/>
      <c r="F100" s="2844"/>
      <c r="G100" s="398"/>
      <c r="H100" s="2845"/>
      <c r="I100" s="2847"/>
    </row>
    <row r="101" spans="1:256" s="612" customFormat="1" ht="13.5" customHeight="1">
      <c r="A101" s="608">
        <v>23</v>
      </c>
      <c r="B101" s="557">
        <v>271</v>
      </c>
      <c r="C101" s="557" t="s">
        <v>2407</v>
      </c>
      <c r="D101" s="557" t="s">
        <v>5709</v>
      </c>
      <c r="E101" s="557" t="s">
        <v>205</v>
      </c>
      <c r="F101" s="573">
        <f>ROUND(SUM(F102),3)</f>
        <v>1</v>
      </c>
      <c r="G101" s="288"/>
      <c r="H101" s="568">
        <f>ROUND(F101*G101,2)</f>
        <v>0</v>
      </c>
      <c r="I101" s="613" t="s">
        <v>111</v>
      </c>
    </row>
    <row r="102" spans="1:256" s="455" customFormat="1" ht="13.5" customHeight="1">
      <c r="A102" s="351"/>
      <c r="B102" s="352"/>
      <c r="C102" s="352"/>
      <c r="D102" s="719" t="s">
        <v>5710</v>
      </c>
      <c r="E102" s="352"/>
      <c r="F102" s="2848">
        <v>1</v>
      </c>
      <c r="G102" s="398"/>
      <c r="H102" s="362"/>
      <c r="I102" s="363"/>
      <c r="J102" s="2753"/>
      <c r="K102" s="2752"/>
      <c r="L102" s="2752"/>
      <c r="M102" s="2752"/>
      <c r="N102" s="2752"/>
      <c r="O102" s="2752"/>
      <c r="P102" s="2752"/>
      <c r="Q102" s="2752"/>
      <c r="R102" s="2752"/>
      <c r="S102" s="2752"/>
      <c r="T102" s="2752"/>
      <c r="U102" s="2752"/>
      <c r="V102" s="2752"/>
      <c r="W102" s="2752"/>
      <c r="X102" s="2752"/>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2"/>
      <c r="BE102" s="2752"/>
      <c r="BF102" s="2752"/>
      <c r="BG102" s="2752"/>
      <c r="BH102" s="2752"/>
      <c r="BI102" s="2752"/>
      <c r="BJ102" s="2752"/>
      <c r="BK102" s="2752"/>
      <c r="BL102" s="2752"/>
      <c r="BM102" s="2752"/>
      <c r="BN102" s="2752"/>
      <c r="BO102" s="2752"/>
      <c r="BP102" s="2752"/>
      <c r="BQ102" s="2752"/>
      <c r="BR102" s="2752"/>
      <c r="BS102" s="2752"/>
      <c r="BT102" s="2752"/>
      <c r="BU102" s="2752"/>
      <c r="BV102" s="2752"/>
      <c r="BW102" s="2752"/>
      <c r="BX102" s="2752"/>
      <c r="BY102" s="2752"/>
      <c r="BZ102" s="2752"/>
      <c r="CA102" s="2752"/>
      <c r="CB102" s="2752"/>
      <c r="CC102" s="2752"/>
      <c r="CD102" s="2752"/>
      <c r="CE102" s="2752"/>
      <c r="CF102" s="2752"/>
      <c r="CG102" s="2752"/>
      <c r="CH102" s="2752"/>
      <c r="CI102" s="2752"/>
      <c r="CJ102" s="2752"/>
      <c r="CK102" s="2752"/>
      <c r="CL102" s="2752"/>
      <c r="CM102" s="2752"/>
      <c r="CN102" s="2752"/>
      <c r="CO102" s="2752"/>
      <c r="CP102" s="2752"/>
      <c r="CQ102" s="2752"/>
      <c r="CR102" s="2752"/>
      <c r="CS102" s="2752"/>
      <c r="CT102" s="2752"/>
      <c r="CU102" s="2752"/>
      <c r="CV102" s="2752"/>
      <c r="CW102" s="2752"/>
      <c r="CX102" s="2752"/>
      <c r="CY102" s="2752"/>
      <c r="CZ102" s="2752"/>
      <c r="DA102" s="2752"/>
      <c r="DB102" s="2752"/>
      <c r="DC102" s="2752"/>
      <c r="DD102" s="2752"/>
      <c r="DE102" s="2752"/>
      <c r="DF102" s="2752"/>
      <c r="DG102" s="2752"/>
      <c r="DH102" s="2752"/>
      <c r="DI102" s="2752"/>
      <c r="DJ102" s="2752"/>
      <c r="DK102" s="2752"/>
      <c r="DL102" s="2752"/>
      <c r="DM102" s="2752"/>
      <c r="DN102" s="2752"/>
      <c r="DO102" s="2752"/>
      <c r="DP102" s="2752"/>
      <c r="DQ102" s="2752"/>
      <c r="DR102" s="2752"/>
      <c r="DS102" s="2752"/>
      <c r="DT102" s="2752"/>
      <c r="DU102" s="2752"/>
      <c r="DV102" s="2752"/>
      <c r="DW102" s="2752"/>
      <c r="DX102" s="2752"/>
      <c r="DY102" s="2752"/>
      <c r="DZ102" s="2752"/>
      <c r="EA102" s="2752"/>
      <c r="EB102" s="2752"/>
      <c r="EC102" s="2752"/>
      <c r="ED102" s="2752"/>
      <c r="EE102" s="2752"/>
      <c r="EF102" s="2752"/>
      <c r="EG102" s="2752"/>
      <c r="EH102" s="2752"/>
      <c r="EI102" s="2752"/>
      <c r="EJ102" s="2752"/>
      <c r="EK102" s="2752"/>
      <c r="EL102" s="2752"/>
      <c r="EM102" s="2752"/>
      <c r="EN102" s="2752"/>
      <c r="EO102" s="2752"/>
      <c r="EP102" s="2752"/>
      <c r="EQ102" s="2752"/>
      <c r="ER102" s="2752"/>
      <c r="ES102" s="2752"/>
      <c r="ET102" s="2752"/>
      <c r="EU102" s="2752"/>
      <c r="EV102" s="2752"/>
      <c r="EW102" s="2752"/>
      <c r="EX102" s="2752"/>
      <c r="EY102" s="2752"/>
      <c r="EZ102" s="2752"/>
      <c r="FA102" s="2752"/>
      <c r="FB102" s="2752"/>
      <c r="FC102" s="2752"/>
      <c r="FD102" s="2752"/>
      <c r="FE102" s="2752"/>
      <c r="FF102" s="2752"/>
      <c r="FG102" s="2752"/>
      <c r="FH102" s="2752"/>
      <c r="FI102" s="2752"/>
      <c r="FJ102" s="2752"/>
      <c r="FK102" s="2752"/>
      <c r="FL102" s="2752"/>
      <c r="FM102" s="2752"/>
      <c r="FN102" s="2752"/>
      <c r="FO102" s="2752"/>
      <c r="FP102" s="2752"/>
      <c r="FQ102" s="2752"/>
      <c r="FR102" s="2752"/>
      <c r="FS102" s="2752"/>
      <c r="FT102" s="2752"/>
      <c r="FU102" s="2752"/>
      <c r="FV102" s="2752"/>
      <c r="FW102" s="2752"/>
      <c r="FX102" s="2752"/>
      <c r="FY102" s="2752"/>
      <c r="FZ102" s="2752"/>
      <c r="GA102" s="2752"/>
      <c r="GB102" s="2752"/>
      <c r="GC102" s="2752"/>
      <c r="GD102" s="2752"/>
      <c r="GE102" s="2752"/>
      <c r="GF102" s="2752"/>
      <c r="GG102" s="2752"/>
      <c r="GH102" s="2752"/>
      <c r="GI102" s="2752"/>
      <c r="GJ102" s="2752"/>
      <c r="GK102" s="2752"/>
      <c r="GL102" s="2752"/>
      <c r="GM102" s="2752"/>
      <c r="GN102" s="2752"/>
      <c r="GO102" s="2752"/>
      <c r="GP102" s="2752"/>
      <c r="GQ102" s="2752"/>
      <c r="GR102" s="2752"/>
      <c r="GS102" s="2752"/>
      <c r="GT102" s="2752"/>
      <c r="GU102" s="2752"/>
      <c r="GV102" s="2752"/>
      <c r="GW102" s="2752"/>
      <c r="GX102" s="2752"/>
      <c r="GY102" s="2752"/>
      <c r="GZ102" s="2752"/>
      <c r="HA102" s="2752"/>
      <c r="HB102" s="2752"/>
      <c r="HC102" s="2752"/>
      <c r="HD102" s="2752"/>
      <c r="HE102" s="2752"/>
      <c r="HF102" s="2752"/>
      <c r="HG102" s="2752"/>
      <c r="HH102" s="2752"/>
      <c r="HI102" s="2752"/>
      <c r="HJ102" s="2752"/>
      <c r="HK102" s="2752"/>
      <c r="HL102" s="2752"/>
      <c r="HM102" s="2752"/>
      <c r="HN102" s="2752"/>
      <c r="HO102" s="2752"/>
      <c r="HP102" s="2752"/>
      <c r="HQ102" s="2752"/>
      <c r="HR102" s="2752"/>
      <c r="HS102" s="2752"/>
      <c r="HT102" s="2752"/>
      <c r="HU102" s="2752"/>
      <c r="HV102" s="2752"/>
      <c r="HW102" s="2752"/>
      <c r="HX102" s="2752"/>
      <c r="HY102" s="2752"/>
      <c r="HZ102" s="2752"/>
      <c r="IA102" s="2752"/>
      <c r="IB102" s="2752"/>
      <c r="IC102" s="2752"/>
      <c r="ID102" s="2752"/>
      <c r="IE102" s="2752"/>
      <c r="IF102" s="2752"/>
      <c r="IG102" s="2752"/>
      <c r="IH102" s="2752"/>
      <c r="II102" s="2752"/>
      <c r="IJ102" s="2752"/>
      <c r="IK102" s="2752"/>
      <c r="IL102" s="2752"/>
      <c r="IM102" s="2752"/>
      <c r="IN102" s="2752"/>
      <c r="IO102" s="2752"/>
      <c r="IP102" s="2752"/>
      <c r="IQ102" s="2752"/>
      <c r="IR102" s="2752"/>
      <c r="IS102" s="2752"/>
      <c r="IT102" s="2752"/>
      <c r="IU102" s="2752"/>
      <c r="IV102" s="2752"/>
    </row>
    <row r="103" spans="1:256" s="455" customFormat="1" ht="27" customHeight="1">
      <c r="A103" s="2849"/>
      <c r="B103" s="2842"/>
      <c r="C103" s="2850"/>
      <c r="D103" s="2843" t="s">
        <v>5279</v>
      </c>
      <c r="E103" s="2850"/>
      <c r="F103" s="2757"/>
      <c r="G103" s="399"/>
      <c r="H103" s="2851"/>
      <c r="I103" s="2852"/>
      <c r="J103" s="2760"/>
      <c r="K103" s="2801"/>
      <c r="L103" s="2801"/>
      <c r="M103" s="2801"/>
      <c r="N103" s="2801"/>
      <c r="O103" s="2801"/>
      <c r="P103" s="2801"/>
      <c r="Q103" s="2801"/>
      <c r="R103" s="2801"/>
      <c r="S103" s="2801"/>
      <c r="T103" s="2801"/>
      <c r="U103" s="2801"/>
      <c r="V103" s="2801"/>
      <c r="W103" s="2801"/>
      <c r="X103" s="2801"/>
      <c r="Y103" s="2801"/>
      <c r="Z103" s="2801"/>
      <c r="AA103" s="2801"/>
      <c r="AB103" s="2801"/>
      <c r="AC103" s="2801"/>
      <c r="AD103" s="2801"/>
      <c r="AE103" s="2801"/>
      <c r="AF103" s="2801"/>
      <c r="AG103" s="2801"/>
      <c r="AH103" s="2801"/>
      <c r="AI103" s="2801"/>
      <c r="AJ103" s="2801"/>
      <c r="AK103" s="2801"/>
      <c r="AL103" s="2801"/>
      <c r="AM103" s="2801"/>
      <c r="AN103" s="2801"/>
      <c r="AO103" s="2801"/>
      <c r="AP103" s="2801"/>
      <c r="AQ103" s="2801"/>
      <c r="AR103" s="2801"/>
      <c r="AS103" s="2801"/>
      <c r="AT103" s="2801"/>
      <c r="AU103" s="2801"/>
      <c r="AV103" s="2801"/>
      <c r="AW103" s="2801"/>
      <c r="AX103" s="2801"/>
      <c r="AY103" s="2801"/>
      <c r="AZ103" s="2801"/>
      <c r="BA103" s="2801"/>
      <c r="BB103" s="2801"/>
      <c r="BC103" s="2801"/>
      <c r="BD103" s="2801"/>
      <c r="BE103" s="2801"/>
      <c r="BF103" s="2801"/>
      <c r="BG103" s="2801"/>
      <c r="BH103" s="2801"/>
      <c r="BI103" s="2801"/>
      <c r="BJ103" s="2801"/>
      <c r="BK103" s="2801"/>
      <c r="BL103" s="2801"/>
      <c r="BM103" s="2801"/>
      <c r="BN103" s="2801"/>
      <c r="BO103" s="2801"/>
      <c r="BP103" s="2801"/>
      <c r="BQ103" s="2801"/>
      <c r="BR103" s="2801"/>
      <c r="BS103" s="2801"/>
      <c r="BT103" s="2801"/>
      <c r="BU103" s="2801"/>
      <c r="BV103" s="2801"/>
      <c r="BW103" s="2801"/>
      <c r="BX103" s="2801"/>
      <c r="BY103" s="2801"/>
      <c r="BZ103" s="2801"/>
      <c r="CA103" s="2801"/>
      <c r="CB103" s="2801"/>
      <c r="CC103" s="2801"/>
      <c r="CD103" s="2801"/>
      <c r="CE103" s="2801"/>
      <c r="CF103" s="2801"/>
      <c r="CG103" s="2801"/>
      <c r="CH103" s="2801"/>
      <c r="CI103" s="2801"/>
      <c r="CJ103" s="2801"/>
      <c r="CK103" s="2801"/>
      <c r="CL103" s="2801"/>
      <c r="CM103" s="2801"/>
      <c r="CN103" s="2801"/>
      <c r="CO103" s="2801"/>
      <c r="CP103" s="2801"/>
      <c r="CQ103" s="2801"/>
      <c r="CR103" s="2801"/>
      <c r="CS103" s="2801"/>
      <c r="CT103" s="2801"/>
      <c r="CU103" s="2801"/>
      <c r="CV103" s="2801"/>
      <c r="CW103" s="2801"/>
      <c r="CX103" s="2801"/>
      <c r="CY103" s="2801"/>
      <c r="CZ103" s="2801"/>
      <c r="DA103" s="2801"/>
      <c r="DB103" s="2801"/>
      <c r="DC103" s="2801"/>
      <c r="DD103" s="2801"/>
      <c r="DE103" s="2801"/>
      <c r="DF103" s="2801"/>
      <c r="DG103" s="2801"/>
      <c r="DH103" s="2801"/>
      <c r="DI103" s="2801"/>
      <c r="DJ103" s="2801"/>
      <c r="DK103" s="2801"/>
      <c r="DL103" s="2801"/>
      <c r="DM103" s="2801"/>
      <c r="DN103" s="2801"/>
      <c r="DO103" s="2801"/>
      <c r="DP103" s="2801"/>
      <c r="DQ103" s="2801"/>
      <c r="DR103" s="2801"/>
      <c r="DS103" s="2801"/>
      <c r="DT103" s="2801"/>
      <c r="DU103" s="2801"/>
      <c r="DV103" s="2801"/>
      <c r="DW103" s="2801"/>
      <c r="DX103" s="2801"/>
      <c r="DY103" s="2801"/>
      <c r="DZ103" s="2801"/>
      <c r="EA103" s="2801"/>
      <c r="EB103" s="2801"/>
      <c r="EC103" s="2801"/>
      <c r="ED103" s="2801"/>
      <c r="EE103" s="2801"/>
      <c r="EF103" s="2801"/>
      <c r="EG103" s="2801"/>
      <c r="EH103" s="2801"/>
      <c r="EI103" s="2801"/>
      <c r="EJ103" s="2801"/>
      <c r="EK103" s="2801"/>
      <c r="EL103" s="2801"/>
      <c r="EM103" s="2801"/>
      <c r="EN103" s="2801"/>
      <c r="EO103" s="2801"/>
      <c r="EP103" s="2801"/>
      <c r="EQ103" s="2801"/>
      <c r="ER103" s="2801"/>
      <c r="ES103" s="2801"/>
      <c r="ET103" s="2801"/>
      <c r="EU103" s="2801"/>
      <c r="EV103" s="2801"/>
      <c r="EW103" s="2801"/>
      <c r="EX103" s="2801"/>
      <c r="EY103" s="2801"/>
      <c r="EZ103" s="2801"/>
      <c r="FA103" s="2801"/>
      <c r="FB103" s="2801"/>
      <c r="FC103" s="2801"/>
      <c r="FD103" s="2801"/>
      <c r="FE103" s="2801"/>
      <c r="FF103" s="2801"/>
      <c r="FG103" s="2801"/>
      <c r="FH103" s="2801"/>
      <c r="FI103" s="2801"/>
      <c r="FJ103" s="2801"/>
      <c r="FK103" s="2801"/>
      <c r="FL103" s="2801"/>
      <c r="FM103" s="2801"/>
      <c r="FN103" s="2801"/>
      <c r="FO103" s="2801"/>
      <c r="FP103" s="2801"/>
      <c r="FQ103" s="2801"/>
      <c r="FR103" s="2801"/>
      <c r="FS103" s="2801"/>
      <c r="FT103" s="2801"/>
      <c r="FU103" s="2801"/>
      <c r="FV103" s="2801"/>
      <c r="FW103" s="2801"/>
      <c r="FX103" s="2801"/>
      <c r="FY103" s="2801"/>
      <c r="FZ103" s="2801"/>
      <c r="GA103" s="2801"/>
      <c r="GB103" s="2801"/>
      <c r="GC103" s="2801"/>
      <c r="GD103" s="2801"/>
      <c r="GE103" s="2801"/>
      <c r="GF103" s="2801"/>
      <c r="GG103" s="2801"/>
      <c r="GH103" s="2801"/>
      <c r="GI103" s="2801"/>
      <c r="GJ103" s="2801"/>
      <c r="GK103" s="2801"/>
      <c r="GL103" s="2801"/>
      <c r="GM103" s="2801"/>
      <c r="GN103" s="2801"/>
      <c r="GO103" s="2801"/>
      <c r="GP103" s="2801"/>
      <c r="GQ103" s="2801"/>
      <c r="GR103" s="2801"/>
      <c r="GS103" s="2801"/>
      <c r="GT103" s="2801"/>
      <c r="GU103" s="2801"/>
      <c r="GV103" s="2801"/>
      <c r="GW103" s="2801"/>
      <c r="GX103" s="2801"/>
      <c r="GY103" s="2801"/>
      <c r="GZ103" s="2801"/>
      <c r="HA103" s="2801"/>
      <c r="HB103" s="2801"/>
      <c r="HC103" s="2801"/>
      <c r="HD103" s="2801"/>
      <c r="HE103" s="2801"/>
      <c r="HF103" s="2801"/>
      <c r="HG103" s="2801"/>
      <c r="HH103" s="2801"/>
      <c r="HI103" s="2801"/>
      <c r="HJ103" s="2801"/>
      <c r="HK103" s="2801"/>
      <c r="HL103" s="2801"/>
      <c r="HM103" s="2801"/>
      <c r="HN103" s="2801"/>
      <c r="HO103" s="2801"/>
      <c r="HP103" s="2801"/>
      <c r="HQ103" s="2801"/>
      <c r="HR103" s="2801"/>
      <c r="HS103" s="2801"/>
      <c r="HT103" s="2801"/>
      <c r="HU103" s="2801"/>
      <c r="HV103" s="2801"/>
      <c r="HW103" s="2801"/>
      <c r="HX103" s="2801"/>
      <c r="HY103" s="2801"/>
      <c r="HZ103" s="2801"/>
      <c r="IA103" s="2801"/>
      <c r="IB103" s="2801"/>
      <c r="IC103" s="2801"/>
      <c r="ID103" s="2801"/>
      <c r="IE103" s="2801"/>
      <c r="IF103" s="2801"/>
      <c r="IG103" s="2801"/>
      <c r="IH103" s="2801"/>
      <c r="II103" s="2801"/>
      <c r="IJ103" s="2801"/>
      <c r="IK103" s="2801"/>
      <c r="IL103" s="2801"/>
      <c r="IM103" s="2801"/>
      <c r="IN103" s="2801"/>
      <c r="IO103" s="2801"/>
      <c r="IP103" s="2801"/>
      <c r="IQ103" s="2801"/>
      <c r="IR103" s="2801"/>
      <c r="IS103" s="2801"/>
      <c r="IT103" s="2801"/>
      <c r="IU103" s="2801"/>
      <c r="IV103" s="2801"/>
    </row>
    <row r="104" spans="1:256" s="612" customFormat="1" ht="13.5" customHeight="1">
      <c r="A104" s="608">
        <v>24</v>
      </c>
      <c r="B104" s="557" t="s">
        <v>2416</v>
      </c>
      <c r="C104" s="557" t="s">
        <v>5711</v>
      </c>
      <c r="D104" s="557" t="s">
        <v>5712</v>
      </c>
      <c r="E104" s="557" t="s">
        <v>141</v>
      </c>
      <c r="F104" s="573">
        <f>ROUND(SUM(F106:F106),3)</f>
        <v>15.5</v>
      </c>
      <c r="G104" s="288"/>
      <c r="H104" s="568">
        <f>ROUND(F104*G104,2)</f>
        <v>0</v>
      </c>
      <c r="I104" s="613" t="s">
        <v>111</v>
      </c>
    </row>
    <row r="105" spans="1:256" s="612" customFormat="1" ht="13.5" customHeight="1">
      <c r="A105" s="608"/>
      <c r="B105" s="557"/>
      <c r="C105" s="557"/>
      <c r="D105" s="2843" t="s">
        <v>5713</v>
      </c>
      <c r="E105" s="557"/>
      <c r="F105" s="615"/>
      <c r="G105" s="288"/>
      <c r="H105" s="609"/>
      <c r="I105" s="613"/>
    </row>
    <row r="106" spans="1:256" s="2809" customFormat="1" ht="27" customHeight="1">
      <c r="A106" s="2840"/>
      <c r="B106" s="2841"/>
      <c r="C106" s="2842"/>
      <c r="D106" s="2843" t="s">
        <v>5714</v>
      </c>
      <c r="E106" s="2842"/>
      <c r="F106" s="2844">
        <f>(15.5)</f>
        <v>15.5</v>
      </c>
      <c r="G106" s="398"/>
      <c r="H106" s="2845"/>
      <c r="I106" s="2847"/>
    </row>
    <row r="107" spans="1:256" s="612" customFormat="1" ht="13.5" customHeight="1">
      <c r="A107" s="608">
        <v>25</v>
      </c>
      <c r="B107" s="557">
        <v>271</v>
      </c>
      <c r="C107" s="557">
        <v>892241111</v>
      </c>
      <c r="D107" s="557" t="s">
        <v>5715</v>
      </c>
      <c r="E107" s="557" t="s">
        <v>141</v>
      </c>
      <c r="F107" s="573">
        <f>ROUND(SUM(F109:F109),3)</f>
        <v>31</v>
      </c>
      <c r="G107" s="288"/>
      <c r="H107" s="568">
        <f>ROUND(F107*G107,2)</f>
        <v>0</v>
      </c>
      <c r="I107" s="613" t="s">
        <v>137</v>
      </c>
    </row>
    <row r="108" spans="1:256" s="612" customFormat="1" ht="13.5" customHeight="1">
      <c r="A108" s="608"/>
      <c r="B108" s="557"/>
      <c r="C108" s="557"/>
      <c r="D108" s="2843" t="s">
        <v>5716</v>
      </c>
      <c r="E108" s="557"/>
      <c r="F108" s="615"/>
      <c r="G108" s="288"/>
      <c r="H108" s="2845"/>
      <c r="I108" s="613"/>
    </row>
    <row r="109" spans="1:256" s="2809" customFormat="1" ht="27" customHeight="1">
      <c r="A109" s="2840"/>
      <c r="B109" s="2841"/>
      <c r="C109" s="2842"/>
      <c r="D109" s="2843" t="s">
        <v>5717</v>
      </c>
      <c r="E109" s="2842"/>
      <c r="F109" s="2844">
        <f>(15.5)*2</f>
        <v>31</v>
      </c>
      <c r="G109" s="398"/>
      <c r="H109" s="2845"/>
      <c r="I109" s="2847"/>
    </row>
    <row r="110" spans="1:256" s="612" customFormat="1" ht="13.5" customHeight="1">
      <c r="A110" s="608">
        <v>26</v>
      </c>
      <c r="B110" s="557" t="s">
        <v>2416</v>
      </c>
      <c r="C110" s="557">
        <v>892372111</v>
      </c>
      <c r="D110" s="557" t="s">
        <v>5718</v>
      </c>
      <c r="E110" s="557" t="s">
        <v>205</v>
      </c>
      <c r="F110" s="573">
        <f>ROUND(SUM(F112:F112),3)</f>
        <v>1</v>
      </c>
      <c r="G110" s="288"/>
      <c r="H110" s="568">
        <f>ROUND(F110*G110,2)</f>
        <v>0</v>
      </c>
      <c r="I110" s="613" t="s">
        <v>137</v>
      </c>
    </row>
    <row r="111" spans="1:256" s="612" customFormat="1" ht="13.5" customHeight="1">
      <c r="A111" s="608"/>
      <c r="B111" s="557"/>
      <c r="C111" s="557"/>
      <c r="D111" s="2843" t="s">
        <v>5719</v>
      </c>
      <c r="E111" s="557"/>
      <c r="F111" s="615"/>
      <c r="G111" s="288"/>
      <c r="H111" s="609"/>
      <c r="I111" s="613"/>
    </row>
    <row r="112" spans="1:256" s="2809" customFormat="1" ht="27" customHeight="1">
      <c r="A112" s="2840"/>
      <c r="B112" s="2841"/>
      <c r="C112" s="2842"/>
      <c r="D112" s="2843" t="s">
        <v>5720</v>
      </c>
      <c r="E112" s="2842"/>
      <c r="F112" s="2844">
        <v>1</v>
      </c>
      <c r="G112" s="398"/>
      <c r="H112" s="2845"/>
      <c r="I112" s="2847"/>
    </row>
    <row r="113" spans="1:256" s="2809" customFormat="1" ht="13.5" customHeight="1">
      <c r="A113" s="2840"/>
      <c r="B113" s="2841"/>
      <c r="C113" s="2842"/>
      <c r="D113" s="2843" t="s">
        <v>5721</v>
      </c>
      <c r="E113" s="2842"/>
      <c r="F113" s="2844"/>
      <c r="G113" s="398"/>
      <c r="H113" s="2845"/>
      <c r="I113" s="2847"/>
    </row>
    <row r="114" spans="1:256" s="1587" customFormat="1" ht="108" customHeight="1">
      <c r="A114" s="1602"/>
      <c r="B114" s="1603"/>
      <c r="C114" s="1604"/>
      <c r="D114" s="584" t="s">
        <v>5722</v>
      </c>
      <c r="E114" s="1605"/>
      <c r="F114" s="1606"/>
      <c r="G114" s="299"/>
      <c r="H114" s="1607"/>
      <c r="I114" s="1608"/>
      <c r="L114" s="1588"/>
      <c r="M114" s="1588"/>
      <c r="N114" s="1588"/>
      <c r="O114" s="1588"/>
      <c r="P114" s="1588"/>
      <c r="Q114" s="1588"/>
      <c r="R114" s="1588"/>
      <c r="S114" s="1588"/>
      <c r="T114" s="1588"/>
      <c r="U114" s="1588"/>
      <c r="V114" s="1588"/>
      <c r="W114" s="1588"/>
      <c r="X114" s="1588"/>
      <c r="Y114" s="1588"/>
      <c r="Z114" s="1588"/>
      <c r="AA114" s="1588"/>
      <c r="AB114" s="1588"/>
      <c r="AC114" s="1588"/>
      <c r="AD114" s="1588"/>
      <c r="AE114" s="1588"/>
      <c r="AF114" s="1588"/>
      <c r="AG114" s="1588"/>
      <c r="AH114" s="1588"/>
      <c r="AI114" s="1588"/>
      <c r="AJ114" s="1588"/>
      <c r="AK114" s="1588"/>
      <c r="AL114" s="1588"/>
      <c r="AM114" s="1588"/>
      <c r="AN114" s="1588"/>
      <c r="AO114" s="1588"/>
      <c r="AP114" s="1588"/>
      <c r="AQ114" s="1588"/>
      <c r="AR114" s="1588"/>
      <c r="AS114" s="1588"/>
      <c r="AT114" s="1588"/>
      <c r="AU114" s="1588"/>
      <c r="AV114" s="1588"/>
      <c r="AW114" s="1588"/>
      <c r="AX114" s="1588"/>
      <c r="AY114" s="1588"/>
      <c r="AZ114" s="1588"/>
      <c r="BA114" s="1588"/>
      <c r="BB114" s="1588"/>
      <c r="BC114" s="1588"/>
      <c r="BD114" s="1588"/>
      <c r="BE114" s="1588"/>
      <c r="BF114" s="1588"/>
      <c r="BG114" s="1588"/>
      <c r="BH114" s="1588"/>
      <c r="BI114" s="1588"/>
      <c r="BJ114" s="1588"/>
      <c r="BK114" s="1588"/>
      <c r="BL114" s="1588"/>
      <c r="BM114" s="1588"/>
      <c r="BN114" s="1588"/>
      <c r="BO114" s="1588"/>
      <c r="BP114" s="1588"/>
      <c r="BQ114" s="1588"/>
      <c r="BR114" s="1588"/>
      <c r="BS114" s="1588"/>
      <c r="BT114" s="1588"/>
      <c r="BU114" s="1588"/>
      <c r="BV114" s="1588"/>
      <c r="BW114" s="1588"/>
      <c r="BX114" s="1588"/>
      <c r="BY114" s="1588"/>
      <c r="BZ114" s="1588"/>
      <c r="CA114" s="1588"/>
      <c r="CB114" s="1588"/>
      <c r="CC114" s="1588"/>
      <c r="CD114" s="1588"/>
      <c r="CE114" s="1588"/>
      <c r="CF114" s="1588"/>
      <c r="CG114" s="1588"/>
      <c r="CH114" s="1588"/>
      <c r="CI114" s="1588"/>
      <c r="CJ114" s="1588"/>
      <c r="CK114" s="1588"/>
      <c r="CL114" s="1588"/>
      <c r="CM114" s="1588"/>
      <c r="CN114" s="1588"/>
      <c r="CO114" s="1588"/>
      <c r="CP114" s="1588"/>
      <c r="CQ114" s="1588"/>
      <c r="CR114" s="1588"/>
      <c r="CS114" s="1588"/>
      <c r="CT114" s="1588"/>
      <c r="CU114" s="1588"/>
      <c r="CV114" s="1588"/>
      <c r="CW114" s="1588"/>
      <c r="CX114" s="1588"/>
      <c r="CY114" s="1588"/>
      <c r="CZ114" s="1588"/>
      <c r="DA114" s="1588"/>
      <c r="DB114" s="1588"/>
      <c r="DC114" s="1588"/>
      <c r="DD114" s="1588"/>
      <c r="DE114" s="1588"/>
      <c r="DF114" s="1588"/>
      <c r="DG114" s="1588"/>
      <c r="DH114" s="1588"/>
      <c r="DI114" s="1588"/>
      <c r="DJ114" s="1588"/>
      <c r="DK114" s="1588"/>
      <c r="DL114" s="1588"/>
      <c r="DM114" s="1588"/>
      <c r="DN114" s="1588"/>
      <c r="DO114" s="1588"/>
      <c r="DP114" s="1588"/>
      <c r="DQ114" s="1588"/>
      <c r="DR114" s="1588"/>
      <c r="DS114" s="1588"/>
      <c r="DT114" s="1588"/>
      <c r="DU114" s="1588"/>
      <c r="DV114" s="1588"/>
      <c r="DW114" s="1588"/>
      <c r="DX114" s="1588"/>
      <c r="DY114" s="1588"/>
      <c r="DZ114" s="1588"/>
      <c r="EA114" s="1588"/>
      <c r="EB114" s="1588"/>
      <c r="EC114" s="1588"/>
      <c r="ED114" s="1588"/>
      <c r="EE114" s="1588"/>
      <c r="EF114" s="1588"/>
      <c r="EG114" s="1588"/>
      <c r="EH114" s="1588"/>
      <c r="EI114" s="1588"/>
      <c r="EJ114" s="1588"/>
      <c r="EK114" s="1588"/>
      <c r="EL114" s="1588"/>
      <c r="EM114" s="1588"/>
      <c r="EN114" s="1588"/>
      <c r="EO114" s="1588"/>
      <c r="EP114" s="1588"/>
      <c r="EQ114" s="1588"/>
      <c r="ER114" s="1588"/>
      <c r="ES114" s="1588"/>
      <c r="ET114" s="1588"/>
      <c r="EU114" s="1588"/>
      <c r="EV114" s="1588"/>
      <c r="EW114" s="1588"/>
      <c r="EX114" s="1588"/>
      <c r="EY114" s="1588"/>
      <c r="EZ114" s="1588"/>
      <c r="FA114" s="1588"/>
      <c r="FB114" s="1588"/>
      <c r="FC114" s="1588"/>
      <c r="FD114" s="1588"/>
      <c r="FE114" s="1588"/>
      <c r="FF114" s="1588"/>
      <c r="FG114" s="1588"/>
      <c r="FH114" s="1588"/>
      <c r="FI114" s="1588"/>
      <c r="FJ114" s="1588"/>
      <c r="FK114" s="1588"/>
      <c r="FL114" s="1588"/>
      <c r="FM114" s="1588"/>
      <c r="FN114" s="1588"/>
      <c r="FO114" s="1588"/>
      <c r="FP114" s="1588"/>
      <c r="FQ114" s="1588"/>
      <c r="FR114" s="1588"/>
      <c r="FS114" s="1588"/>
      <c r="FT114" s="1588"/>
      <c r="FU114" s="1588"/>
      <c r="FV114" s="1588"/>
      <c r="FW114" s="1588"/>
      <c r="FX114" s="1588"/>
      <c r="FY114" s="1588"/>
      <c r="FZ114" s="1588"/>
      <c r="GA114" s="1588"/>
      <c r="GB114" s="1588"/>
      <c r="GC114" s="1588"/>
      <c r="GD114" s="1588"/>
      <c r="GE114" s="1588"/>
      <c r="GF114" s="1588"/>
      <c r="GG114" s="1588"/>
      <c r="GH114" s="1588"/>
      <c r="GI114" s="1588"/>
      <c r="GJ114" s="1588"/>
      <c r="GK114" s="1588"/>
      <c r="GL114" s="1588"/>
      <c r="GM114" s="1588"/>
      <c r="GN114" s="1588"/>
      <c r="GO114" s="1588"/>
      <c r="GP114" s="1588"/>
      <c r="GQ114" s="1588"/>
      <c r="GR114" s="1588"/>
      <c r="GS114" s="1588"/>
      <c r="GT114" s="1588"/>
      <c r="GU114" s="1588"/>
      <c r="GV114" s="1588"/>
      <c r="GW114" s="1588"/>
      <c r="GX114" s="1588"/>
      <c r="GY114" s="1588"/>
      <c r="GZ114" s="1588"/>
      <c r="HA114" s="1588"/>
      <c r="HB114" s="1588"/>
      <c r="HC114" s="1588"/>
      <c r="HD114" s="1588"/>
      <c r="HE114" s="1588"/>
      <c r="HF114" s="1588"/>
      <c r="HG114" s="1588"/>
      <c r="HH114" s="1588"/>
      <c r="HI114" s="1588"/>
      <c r="HJ114" s="1588"/>
      <c r="HK114" s="1588"/>
      <c r="HL114" s="1588"/>
      <c r="HM114" s="1588"/>
      <c r="HN114" s="1588"/>
      <c r="HO114" s="1588"/>
      <c r="HP114" s="1588"/>
      <c r="HQ114" s="1588"/>
      <c r="HR114" s="1588"/>
      <c r="HS114" s="1588"/>
      <c r="HT114" s="1588"/>
      <c r="HU114" s="1588"/>
      <c r="HV114" s="1588"/>
      <c r="HW114" s="1588"/>
      <c r="HX114" s="1588"/>
      <c r="HY114" s="1588"/>
      <c r="HZ114" s="1588"/>
      <c r="IA114" s="1588"/>
      <c r="IB114" s="1588"/>
      <c r="IC114" s="1588"/>
      <c r="ID114" s="1588"/>
      <c r="IE114" s="1588"/>
      <c r="IF114" s="1588"/>
      <c r="IG114" s="1588"/>
      <c r="IH114" s="1588"/>
      <c r="II114" s="1588"/>
      <c r="IJ114" s="1588"/>
      <c r="IK114" s="1588"/>
      <c r="IL114" s="1588"/>
      <c r="IM114" s="1588"/>
      <c r="IN114" s="1588"/>
      <c r="IO114" s="1588"/>
      <c r="IP114" s="1588"/>
      <c r="IQ114" s="1588"/>
      <c r="IR114" s="1588"/>
      <c r="IS114" s="1588"/>
      <c r="IT114" s="1588"/>
      <c r="IU114" s="1588"/>
      <c r="IV114" s="1588"/>
    </row>
    <row r="115" spans="1:256" s="612" customFormat="1" ht="13.5" customHeight="1">
      <c r="A115" s="608">
        <v>27</v>
      </c>
      <c r="B115" s="557" t="s">
        <v>2416</v>
      </c>
      <c r="C115" s="557">
        <v>899721111</v>
      </c>
      <c r="D115" s="557" t="s">
        <v>5723</v>
      </c>
      <c r="E115" s="557" t="s">
        <v>141</v>
      </c>
      <c r="F115" s="573">
        <f>ROUND(SUM(F117:F117),3)</f>
        <v>15.5</v>
      </c>
      <c r="G115" s="288"/>
      <c r="H115" s="568">
        <f>ROUND(F115*G115,2)</f>
        <v>0</v>
      </c>
      <c r="I115" s="613" t="s">
        <v>137</v>
      </c>
    </row>
    <row r="116" spans="1:256" s="612" customFormat="1" ht="13.5" customHeight="1">
      <c r="A116" s="608"/>
      <c r="B116" s="608"/>
      <c r="C116" s="599"/>
      <c r="D116" s="599" t="s">
        <v>5724</v>
      </c>
      <c r="E116" s="599"/>
      <c r="F116" s="2322"/>
      <c r="G116" s="317"/>
      <c r="H116" s="614"/>
      <c r="I116" s="852"/>
    </row>
    <row r="117" spans="1:256" s="2809" customFormat="1" ht="27" customHeight="1">
      <c r="A117" s="2840"/>
      <c r="B117" s="2841"/>
      <c r="C117" s="2842"/>
      <c r="D117" s="2843" t="s">
        <v>5725</v>
      </c>
      <c r="E117" s="2842"/>
      <c r="F117" s="2844">
        <f>(15.5)</f>
        <v>15.5</v>
      </c>
      <c r="G117" s="398"/>
      <c r="H117" s="2845"/>
      <c r="I117" s="2847"/>
    </row>
    <row r="118" spans="1:256" s="612" customFormat="1" ht="13.5" customHeight="1">
      <c r="A118" s="608">
        <v>28</v>
      </c>
      <c r="B118" s="557" t="s">
        <v>2416</v>
      </c>
      <c r="C118" s="557">
        <v>899722114</v>
      </c>
      <c r="D118" s="557" t="s">
        <v>5056</v>
      </c>
      <c r="E118" s="557" t="s">
        <v>141</v>
      </c>
      <c r="F118" s="573">
        <f>ROUND(SUM(F120:F120),3)</f>
        <v>15.5</v>
      </c>
      <c r="G118" s="288"/>
      <c r="H118" s="568">
        <f>ROUND(F118*G118,2)</f>
        <v>0</v>
      </c>
      <c r="I118" s="613" t="s">
        <v>137</v>
      </c>
    </row>
    <row r="119" spans="1:256" s="612" customFormat="1" ht="13.5" customHeight="1">
      <c r="A119" s="608"/>
      <c r="B119" s="608"/>
      <c r="C119" s="599"/>
      <c r="D119" s="599" t="s">
        <v>5726</v>
      </c>
      <c r="E119" s="599"/>
      <c r="F119" s="2322"/>
      <c r="G119" s="317"/>
      <c r="H119" s="614"/>
      <c r="I119" s="852"/>
    </row>
    <row r="120" spans="1:256" s="2809" customFormat="1" ht="27" customHeight="1">
      <c r="A120" s="2840"/>
      <c r="B120" s="2841"/>
      <c r="C120" s="2842"/>
      <c r="D120" s="2843" t="s">
        <v>5727</v>
      </c>
      <c r="E120" s="2842"/>
      <c r="F120" s="2844">
        <f>(15.5)</f>
        <v>15.5</v>
      </c>
      <c r="G120" s="398"/>
      <c r="H120" s="2845"/>
      <c r="I120" s="2847"/>
    </row>
    <row r="121" spans="1:256" s="612" customFormat="1" ht="13.5" customHeight="1">
      <c r="A121" s="608"/>
      <c r="B121" s="608"/>
      <c r="C121" s="616" t="s">
        <v>356</v>
      </c>
      <c r="D121" s="616" t="s">
        <v>357</v>
      </c>
      <c r="E121" s="616"/>
      <c r="F121" s="617"/>
      <c r="G121" s="303"/>
      <c r="H121" s="828">
        <f>SUM(H122:H125)</f>
        <v>0</v>
      </c>
      <c r="I121" s="619"/>
    </row>
    <row r="122" spans="1:256" s="612" customFormat="1" ht="13.5" customHeight="1">
      <c r="A122" s="658" t="s">
        <v>5540</v>
      </c>
      <c r="B122" s="659" t="s">
        <v>2416</v>
      </c>
      <c r="C122" s="2842">
        <v>998276101</v>
      </c>
      <c r="D122" s="557" t="s">
        <v>2418</v>
      </c>
      <c r="E122" s="557" t="s">
        <v>175</v>
      </c>
      <c r="F122" s="573">
        <f>ROUND(SUM(F123),3)</f>
        <v>20.021000000000001</v>
      </c>
      <c r="G122" s="288"/>
      <c r="H122" s="568">
        <f>ROUND(F122*G122,2)</f>
        <v>0</v>
      </c>
      <c r="I122" s="613" t="s">
        <v>137</v>
      </c>
      <c r="J122" s="660"/>
    </row>
    <row r="123" spans="1:256" s="612" customFormat="1" ht="13.5" customHeight="1">
      <c r="A123" s="658"/>
      <c r="B123" s="659"/>
      <c r="C123" s="2842"/>
      <c r="D123" s="719" t="s">
        <v>5728</v>
      </c>
      <c r="E123" s="557"/>
      <c r="F123" s="623">
        <f>20.021</f>
        <v>20.021000000000001</v>
      </c>
      <c r="G123" s="288"/>
      <c r="H123" s="609"/>
      <c r="I123" s="613"/>
      <c r="J123" s="660"/>
    </row>
    <row r="124" spans="1:256" s="612" customFormat="1" ht="13.5" customHeight="1">
      <c r="A124" s="608">
        <v>30</v>
      </c>
      <c r="B124" s="557" t="s">
        <v>362</v>
      </c>
      <c r="C124" s="557" t="s">
        <v>2424</v>
      </c>
      <c r="D124" s="557" t="s">
        <v>2425</v>
      </c>
      <c r="E124" s="557" t="s">
        <v>69</v>
      </c>
      <c r="F124" s="573">
        <f>ROUND(SUM(F125),3)</f>
        <v>10</v>
      </c>
      <c r="G124" s="288"/>
      <c r="H124" s="568">
        <f>ROUND(F124*G124,2)</f>
        <v>0</v>
      </c>
      <c r="I124" s="613" t="s">
        <v>137</v>
      </c>
      <c r="J124" s="306"/>
    </row>
    <row r="125" spans="1:256" s="612" customFormat="1" ht="27" customHeight="1">
      <c r="A125" s="608"/>
      <c r="B125" s="557"/>
      <c r="C125" s="622"/>
      <c r="D125" s="599" t="s">
        <v>365</v>
      </c>
      <c r="E125" s="622"/>
      <c r="F125" s="623">
        <v>10</v>
      </c>
      <c r="G125" s="311"/>
      <c r="H125" s="664"/>
      <c r="I125" s="625"/>
      <c r="J125" s="306"/>
      <c r="K125" s="663"/>
      <c r="L125" s="663"/>
    </row>
    <row r="126" spans="1:256" ht="21" customHeight="1">
      <c r="A126" s="2853"/>
      <c r="B126" s="2854"/>
      <c r="C126" s="2854"/>
      <c r="D126" s="2854" t="s">
        <v>0</v>
      </c>
      <c r="E126" s="2854"/>
      <c r="F126" s="2855"/>
      <c r="G126" s="2856"/>
      <c r="H126" s="2856">
        <f>H9</f>
        <v>0</v>
      </c>
      <c r="I126" s="2809"/>
    </row>
    <row r="127" spans="1:256">
      <c r="A127" s="2857"/>
      <c r="B127" s="2857"/>
      <c r="C127" s="2858"/>
      <c r="D127" s="2858"/>
      <c r="E127" s="2859"/>
      <c r="F127" s="2860"/>
      <c r="G127" s="2861"/>
      <c r="H127" s="2861"/>
      <c r="I127" s="2862"/>
    </row>
    <row r="128" spans="1:256" ht="13.5" customHeight="1">
      <c r="A128" s="5220" t="s">
        <v>862</v>
      </c>
      <c r="B128" s="5221"/>
      <c r="C128" s="5222"/>
      <c r="D128" s="2863" t="s">
        <v>5729</v>
      </c>
      <c r="E128" s="2864"/>
      <c r="F128" s="2865"/>
      <c r="G128" s="2866"/>
      <c r="H128" s="2867">
        <f>H126</f>
        <v>0</v>
      </c>
      <c r="I128" s="2868"/>
    </row>
    <row r="129" spans="1:9" ht="13.5" customHeight="1">
      <c r="A129" s="2869"/>
      <c r="B129" s="2870"/>
      <c r="C129" s="2870"/>
      <c r="D129" s="2871"/>
      <c r="E129" s="2872"/>
      <c r="F129" s="2873"/>
      <c r="G129" s="2874"/>
      <c r="H129" s="2875"/>
      <c r="I129" s="2809"/>
    </row>
    <row r="130" spans="1:9" ht="13.5" customHeight="1">
      <c r="A130" s="689" t="s">
        <v>1</v>
      </c>
      <c r="B130" s="689"/>
      <c r="C130" s="689"/>
      <c r="D130" s="689"/>
      <c r="E130" s="689"/>
      <c r="F130" s="689"/>
      <c r="G130" s="689"/>
      <c r="H130" s="689"/>
      <c r="I130" s="689"/>
    </row>
    <row r="131" spans="1:9" ht="27" customHeight="1">
      <c r="A131" s="5159" t="s">
        <v>864</v>
      </c>
      <c r="B131" s="5159"/>
      <c r="C131" s="5159"/>
      <c r="D131" s="5159"/>
      <c r="E131" s="5159"/>
      <c r="F131" s="5159"/>
      <c r="G131" s="5159"/>
      <c r="H131" s="689"/>
      <c r="I131" s="2809"/>
    </row>
    <row r="132" spans="1:9" ht="93.75" customHeight="1">
      <c r="A132" s="5159" t="s">
        <v>104</v>
      </c>
      <c r="B132" s="5159"/>
      <c r="C132" s="5159"/>
      <c r="D132" s="5159"/>
      <c r="E132" s="5159"/>
      <c r="F132" s="5159"/>
      <c r="G132" s="5159"/>
      <c r="H132" s="689"/>
      <c r="I132" s="689"/>
    </row>
    <row r="133" spans="1:9" ht="13.5" customHeight="1">
      <c r="A133" s="5159" t="s">
        <v>105</v>
      </c>
      <c r="B133" s="5159"/>
      <c r="C133" s="5159"/>
      <c r="D133" s="5159"/>
      <c r="E133" s="5159"/>
      <c r="F133" s="5159"/>
      <c r="G133" s="5159"/>
      <c r="H133" s="691"/>
      <c r="I133" s="691"/>
    </row>
    <row r="134" spans="1:9" ht="13.5" customHeight="1">
      <c r="A134" s="5159" t="s">
        <v>106</v>
      </c>
      <c r="B134" s="5159"/>
      <c r="C134" s="5159"/>
      <c r="D134" s="5159"/>
      <c r="E134" s="5159"/>
      <c r="F134" s="5159"/>
      <c r="G134" s="5159"/>
      <c r="H134" s="691"/>
      <c r="I134" s="691"/>
    </row>
    <row r="135" spans="1:9" s="1682" customFormat="1" ht="40.5" customHeight="1">
      <c r="A135" s="5156" t="s">
        <v>865</v>
      </c>
      <c r="B135" s="5156"/>
      <c r="C135" s="5156"/>
      <c r="D135" s="5156"/>
      <c r="E135" s="5156"/>
      <c r="F135" s="5156"/>
      <c r="G135" s="5156"/>
      <c r="I135" s="1685"/>
    </row>
    <row r="136" spans="1:9" s="695" customFormat="1" ht="94.5" customHeight="1">
      <c r="A136" s="5156" t="s">
        <v>1013</v>
      </c>
      <c r="B136" s="5156"/>
      <c r="C136" s="5156"/>
      <c r="D136" s="5156"/>
      <c r="E136" s="5156"/>
      <c r="F136" s="5156"/>
      <c r="G136" s="5156"/>
      <c r="H136" s="693"/>
      <c r="I136" s="694"/>
    </row>
  </sheetData>
  <sheetProtection algorithmName="SHA-512" hashValue="L3edA0I5vpRJz2gqQGvSrz8o5MWDvhfO3azY9CNYRa0X2gM55Fnhp6RIibEi2wCfRiD1xr/v4Dg7mySCu1G7xA==" saltValue="snZYVP6cesgFZo/RpELN6Q==" spinCount="100000" sheet="1" objects="1" scenarios="1"/>
  <mergeCells count="11">
    <mergeCell ref="A132:G132"/>
    <mergeCell ref="A133:G133"/>
    <mergeCell ref="A134:G134"/>
    <mergeCell ref="A135:G135"/>
    <mergeCell ref="A136:G136"/>
    <mergeCell ref="A131:G131"/>
    <mergeCell ref="A2:I2"/>
    <mergeCell ref="A3:D3"/>
    <mergeCell ref="A4:D4"/>
    <mergeCell ref="E4:H4"/>
    <mergeCell ref="A128:C12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45F1-FC03-4E82-BDC4-0DE9CAFA511F}">
  <sheetPr>
    <tabColor rgb="FFFF00FF"/>
    <pageSetUpPr fitToPage="1"/>
  </sheetPr>
  <dimension ref="A1:IV138"/>
  <sheetViews>
    <sheetView zoomScaleNormal="100" workbookViewId="0"/>
  </sheetViews>
  <sheetFormatPr defaultRowHeight="12.75"/>
  <cols>
    <col min="1" max="1" width="4.83203125" style="612" customWidth="1"/>
    <col min="2" max="2" width="5" style="612" customWidth="1"/>
    <col min="3" max="3" width="16.83203125" style="612" customWidth="1"/>
    <col min="4" max="4" width="75.83203125" style="612" customWidth="1"/>
    <col min="5" max="5" width="7.83203125" style="612" customWidth="1"/>
    <col min="6" max="6" width="11.83203125" style="612" customWidth="1"/>
    <col min="7" max="7" width="13.6640625" style="612" customWidth="1"/>
    <col min="8" max="8" width="18.33203125" style="612" customWidth="1"/>
    <col min="9" max="9" width="20.1640625" style="612" customWidth="1"/>
    <col min="10" max="10" width="18.5" style="612" customWidth="1"/>
    <col min="11" max="11" width="9.33203125" style="612"/>
    <col min="12" max="12" width="14" style="612" customWidth="1"/>
    <col min="13" max="13" width="19" style="612" customWidth="1"/>
    <col min="14" max="16" width="9.33203125" style="612"/>
    <col min="17" max="17" width="13.33203125" style="612" customWidth="1"/>
    <col min="18" max="256" width="9.33203125" style="612"/>
    <col min="257" max="257" width="4.83203125" style="612" customWidth="1"/>
    <col min="258" max="258" width="5" style="612" customWidth="1"/>
    <col min="259" max="259" width="16.83203125" style="612" customWidth="1"/>
    <col min="260" max="260" width="75.83203125" style="612" customWidth="1"/>
    <col min="261" max="261" width="7.83203125" style="612" customWidth="1"/>
    <col min="262" max="262" width="11.83203125" style="612" customWidth="1"/>
    <col min="263" max="263" width="13.6640625" style="612" customWidth="1"/>
    <col min="264" max="264" width="18.33203125" style="612" customWidth="1"/>
    <col min="265" max="265" width="20.1640625" style="612" customWidth="1"/>
    <col min="266" max="266" width="14.6640625" style="612" customWidth="1"/>
    <col min="267" max="272" width="9.33203125" style="612"/>
    <col min="273" max="273" width="13.33203125" style="612" customWidth="1"/>
    <col min="274" max="512" width="9.33203125" style="612"/>
    <col min="513" max="513" width="4.83203125" style="612" customWidth="1"/>
    <col min="514" max="514" width="5" style="612" customWidth="1"/>
    <col min="515" max="515" width="16.83203125" style="612" customWidth="1"/>
    <col min="516" max="516" width="75.83203125" style="612" customWidth="1"/>
    <col min="517" max="517" width="7.83203125" style="612" customWidth="1"/>
    <col min="518" max="518" width="11.83203125" style="612" customWidth="1"/>
    <col min="519" max="519" width="13.6640625" style="612" customWidth="1"/>
    <col min="520" max="520" width="18.33203125" style="612" customWidth="1"/>
    <col min="521" max="521" width="20.1640625" style="612" customWidth="1"/>
    <col min="522" max="522" width="14.6640625" style="612" customWidth="1"/>
    <col min="523" max="528" width="9.33203125" style="612"/>
    <col min="529" max="529" width="13.33203125" style="612" customWidth="1"/>
    <col min="530" max="768" width="9.33203125" style="612"/>
    <col min="769" max="769" width="4.83203125" style="612" customWidth="1"/>
    <col min="770" max="770" width="5" style="612" customWidth="1"/>
    <col min="771" max="771" width="16.83203125" style="612" customWidth="1"/>
    <col min="772" max="772" width="75.83203125" style="612" customWidth="1"/>
    <col min="773" max="773" width="7.83203125" style="612" customWidth="1"/>
    <col min="774" max="774" width="11.83203125" style="612" customWidth="1"/>
    <col min="775" max="775" width="13.6640625" style="612" customWidth="1"/>
    <col min="776" max="776" width="18.33203125" style="612" customWidth="1"/>
    <col min="777" max="777" width="20.1640625" style="612" customWidth="1"/>
    <col min="778" max="778" width="14.6640625" style="612" customWidth="1"/>
    <col min="779" max="784" width="9.33203125" style="612"/>
    <col min="785" max="785" width="13.33203125" style="612" customWidth="1"/>
    <col min="786" max="1024" width="9.33203125" style="612"/>
    <col min="1025" max="1025" width="4.83203125" style="612" customWidth="1"/>
    <col min="1026" max="1026" width="5" style="612" customWidth="1"/>
    <col min="1027" max="1027" width="16.83203125" style="612" customWidth="1"/>
    <col min="1028" max="1028" width="75.83203125" style="612" customWidth="1"/>
    <col min="1029" max="1029" width="7.83203125" style="612" customWidth="1"/>
    <col min="1030" max="1030" width="11.83203125" style="612" customWidth="1"/>
    <col min="1031" max="1031" width="13.6640625" style="612" customWidth="1"/>
    <col min="1032" max="1032" width="18.33203125" style="612" customWidth="1"/>
    <col min="1033" max="1033" width="20.1640625" style="612" customWidth="1"/>
    <col min="1034" max="1034" width="14.6640625" style="612" customWidth="1"/>
    <col min="1035" max="1040" width="9.33203125" style="612"/>
    <col min="1041" max="1041" width="13.33203125" style="612" customWidth="1"/>
    <col min="1042" max="1280" width="9.33203125" style="612"/>
    <col min="1281" max="1281" width="4.83203125" style="612" customWidth="1"/>
    <col min="1282" max="1282" width="5" style="612" customWidth="1"/>
    <col min="1283" max="1283" width="16.83203125" style="612" customWidth="1"/>
    <col min="1284" max="1284" width="75.83203125" style="612" customWidth="1"/>
    <col min="1285" max="1285" width="7.83203125" style="612" customWidth="1"/>
    <col min="1286" max="1286" width="11.83203125" style="612" customWidth="1"/>
    <col min="1287" max="1287" width="13.6640625" style="612" customWidth="1"/>
    <col min="1288" max="1288" width="18.33203125" style="612" customWidth="1"/>
    <col min="1289" max="1289" width="20.1640625" style="612" customWidth="1"/>
    <col min="1290" max="1290" width="14.6640625" style="612" customWidth="1"/>
    <col min="1291" max="1296" width="9.33203125" style="612"/>
    <col min="1297" max="1297" width="13.33203125" style="612" customWidth="1"/>
    <col min="1298" max="1536" width="9.33203125" style="612"/>
    <col min="1537" max="1537" width="4.83203125" style="612" customWidth="1"/>
    <col min="1538" max="1538" width="5" style="612" customWidth="1"/>
    <col min="1539" max="1539" width="16.83203125" style="612" customWidth="1"/>
    <col min="1540" max="1540" width="75.83203125" style="612" customWidth="1"/>
    <col min="1541" max="1541" width="7.83203125" style="612" customWidth="1"/>
    <col min="1542" max="1542" width="11.83203125" style="612" customWidth="1"/>
    <col min="1543" max="1543" width="13.6640625" style="612" customWidth="1"/>
    <col min="1544" max="1544" width="18.33203125" style="612" customWidth="1"/>
    <col min="1545" max="1545" width="20.1640625" style="612" customWidth="1"/>
    <col min="1546" max="1546" width="14.6640625" style="612" customWidth="1"/>
    <col min="1547" max="1552" width="9.33203125" style="612"/>
    <col min="1553" max="1553" width="13.33203125" style="612" customWidth="1"/>
    <col min="1554" max="1792" width="9.33203125" style="612"/>
    <col min="1793" max="1793" width="4.83203125" style="612" customWidth="1"/>
    <col min="1794" max="1794" width="5" style="612" customWidth="1"/>
    <col min="1795" max="1795" width="16.83203125" style="612" customWidth="1"/>
    <col min="1796" max="1796" width="75.83203125" style="612" customWidth="1"/>
    <col min="1797" max="1797" width="7.83203125" style="612" customWidth="1"/>
    <col min="1798" max="1798" width="11.83203125" style="612" customWidth="1"/>
    <col min="1799" max="1799" width="13.6640625" style="612" customWidth="1"/>
    <col min="1800" max="1800" width="18.33203125" style="612" customWidth="1"/>
    <col min="1801" max="1801" width="20.1640625" style="612" customWidth="1"/>
    <col min="1802" max="1802" width="14.6640625" style="612" customWidth="1"/>
    <col min="1803" max="1808" width="9.33203125" style="612"/>
    <col min="1809" max="1809" width="13.33203125" style="612" customWidth="1"/>
    <col min="1810" max="2048" width="9.33203125" style="612"/>
    <col min="2049" max="2049" width="4.83203125" style="612" customWidth="1"/>
    <col min="2050" max="2050" width="5" style="612" customWidth="1"/>
    <col min="2051" max="2051" width="16.83203125" style="612" customWidth="1"/>
    <col min="2052" max="2052" width="75.83203125" style="612" customWidth="1"/>
    <col min="2053" max="2053" width="7.83203125" style="612" customWidth="1"/>
    <col min="2054" max="2054" width="11.83203125" style="612" customWidth="1"/>
    <col min="2055" max="2055" width="13.6640625" style="612" customWidth="1"/>
    <col min="2056" max="2056" width="18.33203125" style="612" customWidth="1"/>
    <col min="2057" max="2057" width="20.1640625" style="612" customWidth="1"/>
    <col min="2058" max="2058" width="14.6640625" style="612" customWidth="1"/>
    <col min="2059" max="2064" width="9.33203125" style="612"/>
    <col min="2065" max="2065" width="13.33203125" style="612" customWidth="1"/>
    <col min="2066" max="2304" width="9.33203125" style="612"/>
    <col min="2305" max="2305" width="4.83203125" style="612" customWidth="1"/>
    <col min="2306" max="2306" width="5" style="612" customWidth="1"/>
    <col min="2307" max="2307" width="16.83203125" style="612" customWidth="1"/>
    <col min="2308" max="2308" width="75.83203125" style="612" customWidth="1"/>
    <col min="2309" max="2309" width="7.83203125" style="612" customWidth="1"/>
    <col min="2310" max="2310" width="11.83203125" style="612" customWidth="1"/>
    <col min="2311" max="2311" width="13.6640625" style="612" customWidth="1"/>
    <col min="2312" max="2312" width="18.33203125" style="612" customWidth="1"/>
    <col min="2313" max="2313" width="20.1640625" style="612" customWidth="1"/>
    <col min="2314" max="2314" width="14.6640625" style="612" customWidth="1"/>
    <col min="2315" max="2320" width="9.33203125" style="612"/>
    <col min="2321" max="2321" width="13.33203125" style="612" customWidth="1"/>
    <col min="2322" max="2560" width="9.33203125" style="612"/>
    <col min="2561" max="2561" width="4.83203125" style="612" customWidth="1"/>
    <col min="2562" max="2562" width="5" style="612" customWidth="1"/>
    <col min="2563" max="2563" width="16.83203125" style="612" customWidth="1"/>
    <col min="2564" max="2564" width="75.83203125" style="612" customWidth="1"/>
    <col min="2565" max="2565" width="7.83203125" style="612" customWidth="1"/>
    <col min="2566" max="2566" width="11.83203125" style="612" customWidth="1"/>
    <col min="2567" max="2567" width="13.6640625" style="612" customWidth="1"/>
    <col min="2568" max="2568" width="18.33203125" style="612" customWidth="1"/>
    <col min="2569" max="2569" width="20.1640625" style="612" customWidth="1"/>
    <col min="2570" max="2570" width="14.6640625" style="612" customWidth="1"/>
    <col min="2571" max="2576" width="9.33203125" style="612"/>
    <col min="2577" max="2577" width="13.33203125" style="612" customWidth="1"/>
    <col min="2578" max="2816" width="9.33203125" style="612"/>
    <col min="2817" max="2817" width="4.83203125" style="612" customWidth="1"/>
    <col min="2818" max="2818" width="5" style="612" customWidth="1"/>
    <col min="2819" max="2819" width="16.83203125" style="612" customWidth="1"/>
    <col min="2820" max="2820" width="75.83203125" style="612" customWidth="1"/>
    <col min="2821" max="2821" width="7.83203125" style="612" customWidth="1"/>
    <col min="2822" max="2822" width="11.83203125" style="612" customWidth="1"/>
    <col min="2823" max="2823" width="13.6640625" style="612" customWidth="1"/>
    <col min="2824" max="2824" width="18.33203125" style="612" customWidth="1"/>
    <col min="2825" max="2825" width="20.1640625" style="612" customWidth="1"/>
    <col min="2826" max="2826" width="14.6640625" style="612" customWidth="1"/>
    <col min="2827" max="2832" width="9.33203125" style="612"/>
    <col min="2833" max="2833" width="13.33203125" style="612" customWidth="1"/>
    <col min="2834" max="3072" width="9.33203125" style="612"/>
    <col min="3073" max="3073" width="4.83203125" style="612" customWidth="1"/>
    <col min="3074" max="3074" width="5" style="612" customWidth="1"/>
    <col min="3075" max="3075" width="16.83203125" style="612" customWidth="1"/>
    <col min="3076" max="3076" width="75.83203125" style="612" customWidth="1"/>
    <col min="3077" max="3077" width="7.83203125" style="612" customWidth="1"/>
    <col min="3078" max="3078" width="11.83203125" style="612" customWidth="1"/>
    <col min="3079" max="3079" width="13.6640625" style="612" customWidth="1"/>
    <col min="3080" max="3080" width="18.33203125" style="612" customWidth="1"/>
    <col min="3081" max="3081" width="20.1640625" style="612" customWidth="1"/>
    <col min="3082" max="3082" width="14.6640625" style="612" customWidth="1"/>
    <col min="3083" max="3088" width="9.33203125" style="612"/>
    <col min="3089" max="3089" width="13.33203125" style="612" customWidth="1"/>
    <col min="3090" max="3328" width="9.33203125" style="612"/>
    <col min="3329" max="3329" width="4.83203125" style="612" customWidth="1"/>
    <col min="3330" max="3330" width="5" style="612" customWidth="1"/>
    <col min="3331" max="3331" width="16.83203125" style="612" customWidth="1"/>
    <col min="3332" max="3332" width="75.83203125" style="612" customWidth="1"/>
    <col min="3333" max="3333" width="7.83203125" style="612" customWidth="1"/>
    <col min="3334" max="3334" width="11.83203125" style="612" customWidth="1"/>
    <col min="3335" max="3335" width="13.6640625" style="612" customWidth="1"/>
    <col min="3336" max="3336" width="18.33203125" style="612" customWidth="1"/>
    <col min="3337" max="3337" width="20.1640625" style="612" customWidth="1"/>
    <col min="3338" max="3338" width="14.6640625" style="612" customWidth="1"/>
    <col min="3339" max="3344" width="9.33203125" style="612"/>
    <col min="3345" max="3345" width="13.33203125" style="612" customWidth="1"/>
    <col min="3346" max="3584" width="9.33203125" style="612"/>
    <col min="3585" max="3585" width="4.83203125" style="612" customWidth="1"/>
    <col min="3586" max="3586" width="5" style="612" customWidth="1"/>
    <col min="3587" max="3587" width="16.83203125" style="612" customWidth="1"/>
    <col min="3588" max="3588" width="75.83203125" style="612" customWidth="1"/>
    <col min="3589" max="3589" width="7.83203125" style="612" customWidth="1"/>
    <col min="3590" max="3590" width="11.83203125" style="612" customWidth="1"/>
    <col min="3591" max="3591" width="13.6640625" style="612" customWidth="1"/>
    <col min="3592" max="3592" width="18.33203125" style="612" customWidth="1"/>
    <col min="3593" max="3593" width="20.1640625" style="612" customWidth="1"/>
    <col min="3594" max="3594" width="14.6640625" style="612" customWidth="1"/>
    <col min="3595" max="3600" width="9.33203125" style="612"/>
    <col min="3601" max="3601" width="13.33203125" style="612" customWidth="1"/>
    <col min="3602" max="3840" width="9.33203125" style="612"/>
    <col min="3841" max="3841" width="4.83203125" style="612" customWidth="1"/>
    <col min="3842" max="3842" width="5" style="612" customWidth="1"/>
    <col min="3843" max="3843" width="16.83203125" style="612" customWidth="1"/>
    <col min="3844" max="3844" width="75.83203125" style="612" customWidth="1"/>
    <col min="3845" max="3845" width="7.83203125" style="612" customWidth="1"/>
    <col min="3846" max="3846" width="11.83203125" style="612" customWidth="1"/>
    <col min="3847" max="3847" width="13.6640625" style="612" customWidth="1"/>
    <col min="3848" max="3848" width="18.33203125" style="612" customWidth="1"/>
    <col min="3849" max="3849" width="20.1640625" style="612" customWidth="1"/>
    <col min="3850" max="3850" width="14.6640625" style="612" customWidth="1"/>
    <col min="3851" max="3856" width="9.33203125" style="612"/>
    <col min="3857" max="3857" width="13.33203125" style="612" customWidth="1"/>
    <col min="3858" max="4096" width="9.33203125" style="612"/>
    <col min="4097" max="4097" width="4.83203125" style="612" customWidth="1"/>
    <col min="4098" max="4098" width="5" style="612" customWidth="1"/>
    <col min="4099" max="4099" width="16.83203125" style="612" customWidth="1"/>
    <col min="4100" max="4100" width="75.83203125" style="612" customWidth="1"/>
    <col min="4101" max="4101" width="7.83203125" style="612" customWidth="1"/>
    <col min="4102" max="4102" width="11.83203125" style="612" customWidth="1"/>
    <col min="4103" max="4103" width="13.6640625" style="612" customWidth="1"/>
    <col min="4104" max="4104" width="18.33203125" style="612" customWidth="1"/>
    <col min="4105" max="4105" width="20.1640625" style="612" customWidth="1"/>
    <col min="4106" max="4106" width="14.6640625" style="612" customWidth="1"/>
    <col min="4107" max="4112" width="9.33203125" style="612"/>
    <col min="4113" max="4113" width="13.33203125" style="612" customWidth="1"/>
    <col min="4114" max="4352" width="9.33203125" style="612"/>
    <col min="4353" max="4353" width="4.83203125" style="612" customWidth="1"/>
    <col min="4354" max="4354" width="5" style="612" customWidth="1"/>
    <col min="4355" max="4355" width="16.83203125" style="612" customWidth="1"/>
    <col min="4356" max="4356" width="75.83203125" style="612" customWidth="1"/>
    <col min="4357" max="4357" width="7.83203125" style="612" customWidth="1"/>
    <col min="4358" max="4358" width="11.83203125" style="612" customWidth="1"/>
    <col min="4359" max="4359" width="13.6640625" style="612" customWidth="1"/>
    <col min="4360" max="4360" width="18.33203125" style="612" customWidth="1"/>
    <col min="4361" max="4361" width="20.1640625" style="612" customWidth="1"/>
    <col min="4362" max="4362" width="14.6640625" style="612" customWidth="1"/>
    <col min="4363" max="4368" width="9.33203125" style="612"/>
    <col min="4369" max="4369" width="13.33203125" style="612" customWidth="1"/>
    <col min="4370" max="4608" width="9.33203125" style="612"/>
    <col min="4609" max="4609" width="4.83203125" style="612" customWidth="1"/>
    <col min="4610" max="4610" width="5" style="612" customWidth="1"/>
    <col min="4611" max="4611" width="16.83203125" style="612" customWidth="1"/>
    <col min="4612" max="4612" width="75.83203125" style="612" customWidth="1"/>
    <col min="4613" max="4613" width="7.83203125" style="612" customWidth="1"/>
    <col min="4614" max="4614" width="11.83203125" style="612" customWidth="1"/>
    <col min="4615" max="4615" width="13.6640625" style="612" customWidth="1"/>
    <col min="4616" max="4616" width="18.33203125" style="612" customWidth="1"/>
    <col min="4617" max="4617" width="20.1640625" style="612" customWidth="1"/>
    <col min="4618" max="4618" width="14.6640625" style="612" customWidth="1"/>
    <col min="4619" max="4624" width="9.33203125" style="612"/>
    <col min="4625" max="4625" width="13.33203125" style="612" customWidth="1"/>
    <col min="4626" max="4864" width="9.33203125" style="612"/>
    <col min="4865" max="4865" width="4.83203125" style="612" customWidth="1"/>
    <col min="4866" max="4866" width="5" style="612" customWidth="1"/>
    <col min="4867" max="4867" width="16.83203125" style="612" customWidth="1"/>
    <col min="4868" max="4868" width="75.83203125" style="612" customWidth="1"/>
    <col min="4869" max="4869" width="7.83203125" style="612" customWidth="1"/>
    <col min="4870" max="4870" width="11.83203125" style="612" customWidth="1"/>
    <col min="4871" max="4871" width="13.6640625" style="612" customWidth="1"/>
    <col min="4872" max="4872" width="18.33203125" style="612" customWidth="1"/>
    <col min="4873" max="4873" width="20.1640625" style="612" customWidth="1"/>
    <col min="4874" max="4874" width="14.6640625" style="612" customWidth="1"/>
    <col min="4875" max="4880" width="9.33203125" style="612"/>
    <col min="4881" max="4881" width="13.33203125" style="612" customWidth="1"/>
    <col min="4882" max="5120" width="9.33203125" style="612"/>
    <col min="5121" max="5121" width="4.83203125" style="612" customWidth="1"/>
    <col min="5122" max="5122" width="5" style="612" customWidth="1"/>
    <col min="5123" max="5123" width="16.83203125" style="612" customWidth="1"/>
    <col min="5124" max="5124" width="75.83203125" style="612" customWidth="1"/>
    <col min="5125" max="5125" width="7.83203125" style="612" customWidth="1"/>
    <col min="5126" max="5126" width="11.83203125" style="612" customWidth="1"/>
    <col min="5127" max="5127" width="13.6640625" style="612" customWidth="1"/>
    <col min="5128" max="5128" width="18.33203125" style="612" customWidth="1"/>
    <col min="5129" max="5129" width="20.1640625" style="612" customWidth="1"/>
    <col min="5130" max="5130" width="14.6640625" style="612" customWidth="1"/>
    <col min="5131" max="5136" width="9.33203125" style="612"/>
    <col min="5137" max="5137" width="13.33203125" style="612" customWidth="1"/>
    <col min="5138" max="5376" width="9.33203125" style="612"/>
    <col min="5377" max="5377" width="4.83203125" style="612" customWidth="1"/>
    <col min="5378" max="5378" width="5" style="612" customWidth="1"/>
    <col min="5379" max="5379" width="16.83203125" style="612" customWidth="1"/>
    <col min="5380" max="5380" width="75.83203125" style="612" customWidth="1"/>
    <col min="5381" max="5381" width="7.83203125" style="612" customWidth="1"/>
    <col min="5382" max="5382" width="11.83203125" style="612" customWidth="1"/>
    <col min="5383" max="5383" width="13.6640625" style="612" customWidth="1"/>
    <col min="5384" max="5384" width="18.33203125" style="612" customWidth="1"/>
    <col min="5385" max="5385" width="20.1640625" style="612" customWidth="1"/>
    <col min="5386" max="5386" width="14.6640625" style="612" customWidth="1"/>
    <col min="5387" max="5392" width="9.33203125" style="612"/>
    <col min="5393" max="5393" width="13.33203125" style="612" customWidth="1"/>
    <col min="5394" max="5632" width="9.33203125" style="612"/>
    <col min="5633" max="5633" width="4.83203125" style="612" customWidth="1"/>
    <col min="5634" max="5634" width="5" style="612" customWidth="1"/>
    <col min="5635" max="5635" width="16.83203125" style="612" customWidth="1"/>
    <col min="5636" max="5636" width="75.83203125" style="612" customWidth="1"/>
    <col min="5637" max="5637" width="7.83203125" style="612" customWidth="1"/>
    <col min="5638" max="5638" width="11.83203125" style="612" customWidth="1"/>
    <col min="5639" max="5639" width="13.6640625" style="612" customWidth="1"/>
    <col min="5640" max="5640" width="18.33203125" style="612" customWidth="1"/>
    <col min="5641" max="5641" width="20.1640625" style="612" customWidth="1"/>
    <col min="5642" max="5642" width="14.6640625" style="612" customWidth="1"/>
    <col min="5643" max="5648" width="9.33203125" style="612"/>
    <col min="5649" max="5649" width="13.33203125" style="612" customWidth="1"/>
    <col min="5650" max="5888" width="9.33203125" style="612"/>
    <col min="5889" max="5889" width="4.83203125" style="612" customWidth="1"/>
    <col min="5890" max="5890" width="5" style="612" customWidth="1"/>
    <col min="5891" max="5891" width="16.83203125" style="612" customWidth="1"/>
    <col min="5892" max="5892" width="75.83203125" style="612" customWidth="1"/>
    <col min="5893" max="5893" width="7.83203125" style="612" customWidth="1"/>
    <col min="5894" max="5894" width="11.83203125" style="612" customWidth="1"/>
    <col min="5895" max="5895" width="13.6640625" style="612" customWidth="1"/>
    <col min="5896" max="5896" width="18.33203125" style="612" customWidth="1"/>
    <col min="5897" max="5897" width="20.1640625" style="612" customWidth="1"/>
    <col min="5898" max="5898" width="14.6640625" style="612" customWidth="1"/>
    <col min="5899" max="5904" width="9.33203125" style="612"/>
    <col min="5905" max="5905" width="13.33203125" style="612" customWidth="1"/>
    <col min="5906" max="6144" width="9.33203125" style="612"/>
    <col min="6145" max="6145" width="4.83203125" style="612" customWidth="1"/>
    <col min="6146" max="6146" width="5" style="612" customWidth="1"/>
    <col min="6147" max="6147" width="16.83203125" style="612" customWidth="1"/>
    <col min="6148" max="6148" width="75.83203125" style="612" customWidth="1"/>
    <col min="6149" max="6149" width="7.83203125" style="612" customWidth="1"/>
    <col min="6150" max="6150" width="11.83203125" style="612" customWidth="1"/>
    <col min="6151" max="6151" width="13.6640625" style="612" customWidth="1"/>
    <col min="6152" max="6152" width="18.33203125" style="612" customWidth="1"/>
    <col min="6153" max="6153" width="20.1640625" style="612" customWidth="1"/>
    <col min="6154" max="6154" width="14.6640625" style="612" customWidth="1"/>
    <col min="6155" max="6160" width="9.33203125" style="612"/>
    <col min="6161" max="6161" width="13.33203125" style="612" customWidth="1"/>
    <col min="6162" max="6400" width="9.33203125" style="612"/>
    <col min="6401" max="6401" width="4.83203125" style="612" customWidth="1"/>
    <col min="6402" max="6402" width="5" style="612" customWidth="1"/>
    <col min="6403" max="6403" width="16.83203125" style="612" customWidth="1"/>
    <col min="6404" max="6404" width="75.83203125" style="612" customWidth="1"/>
    <col min="6405" max="6405" width="7.83203125" style="612" customWidth="1"/>
    <col min="6406" max="6406" width="11.83203125" style="612" customWidth="1"/>
    <col min="6407" max="6407" width="13.6640625" style="612" customWidth="1"/>
    <col min="6408" max="6408" width="18.33203125" style="612" customWidth="1"/>
    <col min="6409" max="6409" width="20.1640625" style="612" customWidth="1"/>
    <col min="6410" max="6410" width="14.6640625" style="612" customWidth="1"/>
    <col min="6411" max="6416" width="9.33203125" style="612"/>
    <col min="6417" max="6417" width="13.33203125" style="612" customWidth="1"/>
    <col min="6418" max="6656" width="9.33203125" style="612"/>
    <col min="6657" max="6657" width="4.83203125" style="612" customWidth="1"/>
    <col min="6658" max="6658" width="5" style="612" customWidth="1"/>
    <col min="6659" max="6659" width="16.83203125" style="612" customWidth="1"/>
    <col min="6660" max="6660" width="75.83203125" style="612" customWidth="1"/>
    <col min="6661" max="6661" width="7.83203125" style="612" customWidth="1"/>
    <col min="6662" max="6662" width="11.83203125" style="612" customWidth="1"/>
    <col min="6663" max="6663" width="13.6640625" style="612" customWidth="1"/>
    <col min="6664" max="6664" width="18.33203125" style="612" customWidth="1"/>
    <col min="6665" max="6665" width="20.1640625" style="612" customWidth="1"/>
    <col min="6666" max="6666" width="14.6640625" style="612" customWidth="1"/>
    <col min="6667" max="6672" width="9.33203125" style="612"/>
    <col min="6673" max="6673" width="13.33203125" style="612" customWidth="1"/>
    <col min="6674" max="6912" width="9.33203125" style="612"/>
    <col min="6913" max="6913" width="4.83203125" style="612" customWidth="1"/>
    <col min="6914" max="6914" width="5" style="612" customWidth="1"/>
    <col min="6915" max="6915" width="16.83203125" style="612" customWidth="1"/>
    <col min="6916" max="6916" width="75.83203125" style="612" customWidth="1"/>
    <col min="6917" max="6917" width="7.83203125" style="612" customWidth="1"/>
    <col min="6918" max="6918" width="11.83203125" style="612" customWidth="1"/>
    <col min="6919" max="6919" width="13.6640625" style="612" customWidth="1"/>
    <col min="6920" max="6920" width="18.33203125" style="612" customWidth="1"/>
    <col min="6921" max="6921" width="20.1640625" style="612" customWidth="1"/>
    <col min="6922" max="6922" width="14.6640625" style="612" customWidth="1"/>
    <col min="6923" max="6928" width="9.33203125" style="612"/>
    <col min="6929" max="6929" width="13.33203125" style="612" customWidth="1"/>
    <col min="6930" max="7168" width="9.33203125" style="612"/>
    <col min="7169" max="7169" width="4.83203125" style="612" customWidth="1"/>
    <col min="7170" max="7170" width="5" style="612" customWidth="1"/>
    <col min="7171" max="7171" width="16.83203125" style="612" customWidth="1"/>
    <col min="7172" max="7172" width="75.83203125" style="612" customWidth="1"/>
    <col min="7173" max="7173" width="7.83203125" style="612" customWidth="1"/>
    <col min="7174" max="7174" width="11.83203125" style="612" customWidth="1"/>
    <col min="7175" max="7175" width="13.6640625" style="612" customWidth="1"/>
    <col min="7176" max="7176" width="18.33203125" style="612" customWidth="1"/>
    <col min="7177" max="7177" width="20.1640625" style="612" customWidth="1"/>
    <col min="7178" max="7178" width="14.6640625" style="612" customWidth="1"/>
    <col min="7179" max="7184" width="9.33203125" style="612"/>
    <col min="7185" max="7185" width="13.33203125" style="612" customWidth="1"/>
    <col min="7186" max="7424" width="9.33203125" style="612"/>
    <col min="7425" max="7425" width="4.83203125" style="612" customWidth="1"/>
    <col min="7426" max="7426" width="5" style="612" customWidth="1"/>
    <col min="7427" max="7427" width="16.83203125" style="612" customWidth="1"/>
    <col min="7428" max="7428" width="75.83203125" style="612" customWidth="1"/>
    <col min="7429" max="7429" width="7.83203125" style="612" customWidth="1"/>
    <col min="7430" max="7430" width="11.83203125" style="612" customWidth="1"/>
    <col min="7431" max="7431" width="13.6640625" style="612" customWidth="1"/>
    <col min="7432" max="7432" width="18.33203125" style="612" customWidth="1"/>
    <col min="7433" max="7433" width="20.1640625" style="612" customWidth="1"/>
    <col min="7434" max="7434" width="14.6640625" style="612" customWidth="1"/>
    <col min="7435" max="7440" width="9.33203125" style="612"/>
    <col min="7441" max="7441" width="13.33203125" style="612" customWidth="1"/>
    <col min="7442" max="7680" width="9.33203125" style="612"/>
    <col min="7681" max="7681" width="4.83203125" style="612" customWidth="1"/>
    <col min="7682" max="7682" width="5" style="612" customWidth="1"/>
    <col min="7683" max="7683" width="16.83203125" style="612" customWidth="1"/>
    <col min="7684" max="7684" width="75.83203125" style="612" customWidth="1"/>
    <col min="7685" max="7685" width="7.83203125" style="612" customWidth="1"/>
    <col min="7686" max="7686" width="11.83203125" style="612" customWidth="1"/>
    <col min="7687" max="7687" width="13.6640625" style="612" customWidth="1"/>
    <col min="7688" max="7688" width="18.33203125" style="612" customWidth="1"/>
    <col min="7689" max="7689" width="20.1640625" style="612" customWidth="1"/>
    <col min="7690" max="7690" width="14.6640625" style="612" customWidth="1"/>
    <col min="7691" max="7696" width="9.33203125" style="612"/>
    <col min="7697" max="7697" width="13.33203125" style="612" customWidth="1"/>
    <col min="7698" max="7936" width="9.33203125" style="612"/>
    <col min="7937" max="7937" width="4.83203125" style="612" customWidth="1"/>
    <col min="7938" max="7938" width="5" style="612" customWidth="1"/>
    <col min="7939" max="7939" width="16.83203125" style="612" customWidth="1"/>
    <col min="7940" max="7940" width="75.83203125" style="612" customWidth="1"/>
    <col min="7941" max="7941" width="7.83203125" style="612" customWidth="1"/>
    <col min="7942" max="7942" width="11.83203125" style="612" customWidth="1"/>
    <col min="7943" max="7943" width="13.6640625" style="612" customWidth="1"/>
    <col min="7944" max="7944" width="18.33203125" style="612" customWidth="1"/>
    <col min="7945" max="7945" width="20.1640625" style="612" customWidth="1"/>
    <col min="7946" max="7946" width="14.6640625" style="612" customWidth="1"/>
    <col min="7947" max="7952" width="9.33203125" style="612"/>
    <col min="7953" max="7953" width="13.33203125" style="612" customWidth="1"/>
    <col min="7954" max="8192" width="9.33203125" style="612"/>
    <col min="8193" max="8193" width="4.83203125" style="612" customWidth="1"/>
    <col min="8194" max="8194" width="5" style="612" customWidth="1"/>
    <col min="8195" max="8195" width="16.83203125" style="612" customWidth="1"/>
    <col min="8196" max="8196" width="75.83203125" style="612" customWidth="1"/>
    <col min="8197" max="8197" width="7.83203125" style="612" customWidth="1"/>
    <col min="8198" max="8198" width="11.83203125" style="612" customWidth="1"/>
    <col min="8199" max="8199" width="13.6640625" style="612" customWidth="1"/>
    <col min="8200" max="8200" width="18.33203125" style="612" customWidth="1"/>
    <col min="8201" max="8201" width="20.1640625" style="612" customWidth="1"/>
    <col min="8202" max="8202" width="14.6640625" style="612" customWidth="1"/>
    <col min="8203" max="8208" width="9.33203125" style="612"/>
    <col min="8209" max="8209" width="13.33203125" style="612" customWidth="1"/>
    <col min="8210" max="8448" width="9.33203125" style="612"/>
    <col min="8449" max="8449" width="4.83203125" style="612" customWidth="1"/>
    <col min="8450" max="8450" width="5" style="612" customWidth="1"/>
    <col min="8451" max="8451" width="16.83203125" style="612" customWidth="1"/>
    <col min="8452" max="8452" width="75.83203125" style="612" customWidth="1"/>
    <col min="8453" max="8453" width="7.83203125" style="612" customWidth="1"/>
    <col min="8454" max="8454" width="11.83203125" style="612" customWidth="1"/>
    <col min="8455" max="8455" width="13.6640625" style="612" customWidth="1"/>
    <col min="8456" max="8456" width="18.33203125" style="612" customWidth="1"/>
    <col min="8457" max="8457" width="20.1640625" style="612" customWidth="1"/>
    <col min="8458" max="8458" width="14.6640625" style="612" customWidth="1"/>
    <col min="8459" max="8464" width="9.33203125" style="612"/>
    <col min="8465" max="8465" width="13.33203125" style="612" customWidth="1"/>
    <col min="8466" max="8704" width="9.33203125" style="612"/>
    <col min="8705" max="8705" width="4.83203125" style="612" customWidth="1"/>
    <col min="8706" max="8706" width="5" style="612" customWidth="1"/>
    <col min="8707" max="8707" width="16.83203125" style="612" customWidth="1"/>
    <col min="8708" max="8708" width="75.83203125" style="612" customWidth="1"/>
    <col min="8709" max="8709" width="7.83203125" style="612" customWidth="1"/>
    <col min="8710" max="8710" width="11.83203125" style="612" customWidth="1"/>
    <col min="8711" max="8711" width="13.6640625" style="612" customWidth="1"/>
    <col min="8712" max="8712" width="18.33203125" style="612" customWidth="1"/>
    <col min="8713" max="8713" width="20.1640625" style="612" customWidth="1"/>
    <col min="8714" max="8714" width="14.6640625" style="612" customWidth="1"/>
    <col min="8715" max="8720" width="9.33203125" style="612"/>
    <col min="8721" max="8721" width="13.33203125" style="612" customWidth="1"/>
    <col min="8722" max="8960" width="9.33203125" style="612"/>
    <col min="8961" max="8961" width="4.83203125" style="612" customWidth="1"/>
    <col min="8962" max="8962" width="5" style="612" customWidth="1"/>
    <col min="8963" max="8963" width="16.83203125" style="612" customWidth="1"/>
    <col min="8964" max="8964" width="75.83203125" style="612" customWidth="1"/>
    <col min="8965" max="8965" width="7.83203125" style="612" customWidth="1"/>
    <col min="8966" max="8966" width="11.83203125" style="612" customWidth="1"/>
    <col min="8967" max="8967" width="13.6640625" style="612" customWidth="1"/>
    <col min="8968" max="8968" width="18.33203125" style="612" customWidth="1"/>
    <col min="8969" max="8969" width="20.1640625" style="612" customWidth="1"/>
    <col min="8970" max="8970" width="14.6640625" style="612" customWidth="1"/>
    <col min="8971" max="8976" width="9.33203125" style="612"/>
    <col min="8977" max="8977" width="13.33203125" style="612" customWidth="1"/>
    <col min="8978" max="9216" width="9.33203125" style="612"/>
    <col min="9217" max="9217" width="4.83203125" style="612" customWidth="1"/>
    <col min="9218" max="9218" width="5" style="612" customWidth="1"/>
    <col min="9219" max="9219" width="16.83203125" style="612" customWidth="1"/>
    <col min="9220" max="9220" width="75.83203125" style="612" customWidth="1"/>
    <col min="9221" max="9221" width="7.83203125" style="612" customWidth="1"/>
    <col min="9222" max="9222" width="11.83203125" style="612" customWidth="1"/>
    <col min="9223" max="9223" width="13.6640625" style="612" customWidth="1"/>
    <col min="9224" max="9224" width="18.33203125" style="612" customWidth="1"/>
    <col min="9225" max="9225" width="20.1640625" style="612" customWidth="1"/>
    <col min="9226" max="9226" width="14.6640625" style="612" customWidth="1"/>
    <col min="9227" max="9232" width="9.33203125" style="612"/>
    <col min="9233" max="9233" width="13.33203125" style="612" customWidth="1"/>
    <col min="9234" max="9472" width="9.33203125" style="612"/>
    <col min="9473" max="9473" width="4.83203125" style="612" customWidth="1"/>
    <col min="9474" max="9474" width="5" style="612" customWidth="1"/>
    <col min="9475" max="9475" width="16.83203125" style="612" customWidth="1"/>
    <col min="9476" max="9476" width="75.83203125" style="612" customWidth="1"/>
    <col min="9477" max="9477" width="7.83203125" style="612" customWidth="1"/>
    <col min="9478" max="9478" width="11.83203125" style="612" customWidth="1"/>
    <col min="9479" max="9479" width="13.6640625" style="612" customWidth="1"/>
    <col min="9480" max="9480" width="18.33203125" style="612" customWidth="1"/>
    <col min="9481" max="9481" width="20.1640625" style="612" customWidth="1"/>
    <col min="9482" max="9482" width="14.6640625" style="612" customWidth="1"/>
    <col min="9483" max="9488" width="9.33203125" style="612"/>
    <col min="9489" max="9489" width="13.33203125" style="612" customWidth="1"/>
    <col min="9490" max="9728" width="9.33203125" style="612"/>
    <col min="9729" max="9729" width="4.83203125" style="612" customWidth="1"/>
    <col min="9730" max="9730" width="5" style="612" customWidth="1"/>
    <col min="9731" max="9731" width="16.83203125" style="612" customWidth="1"/>
    <col min="9732" max="9732" width="75.83203125" style="612" customWidth="1"/>
    <col min="9733" max="9733" width="7.83203125" style="612" customWidth="1"/>
    <col min="9734" max="9734" width="11.83203125" style="612" customWidth="1"/>
    <col min="9735" max="9735" width="13.6640625" style="612" customWidth="1"/>
    <col min="9736" max="9736" width="18.33203125" style="612" customWidth="1"/>
    <col min="9737" max="9737" width="20.1640625" style="612" customWidth="1"/>
    <col min="9738" max="9738" width="14.6640625" style="612" customWidth="1"/>
    <col min="9739" max="9744" width="9.33203125" style="612"/>
    <col min="9745" max="9745" width="13.33203125" style="612" customWidth="1"/>
    <col min="9746" max="9984" width="9.33203125" style="612"/>
    <col min="9985" max="9985" width="4.83203125" style="612" customWidth="1"/>
    <col min="9986" max="9986" width="5" style="612" customWidth="1"/>
    <col min="9987" max="9987" width="16.83203125" style="612" customWidth="1"/>
    <col min="9988" max="9988" width="75.83203125" style="612" customWidth="1"/>
    <col min="9989" max="9989" width="7.83203125" style="612" customWidth="1"/>
    <col min="9990" max="9990" width="11.83203125" style="612" customWidth="1"/>
    <col min="9991" max="9991" width="13.6640625" style="612" customWidth="1"/>
    <col min="9992" max="9992" width="18.33203125" style="612" customWidth="1"/>
    <col min="9993" max="9993" width="20.1640625" style="612" customWidth="1"/>
    <col min="9994" max="9994" width="14.6640625" style="612" customWidth="1"/>
    <col min="9995" max="10000" width="9.33203125" style="612"/>
    <col min="10001" max="10001" width="13.33203125" style="612" customWidth="1"/>
    <col min="10002" max="10240" width="9.33203125" style="612"/>
    <col min="10241" max="10241" width="4.83203125" style="612" customWidth="1"/>
    <col min="10242" max="10242" width="5" style="612" customWidth="1"/>
    <col min="10243" max="10243" width="16.83203125" style="612" customWidth="1"/>
    <col min="10244" max="10244" width="75.83203125" style="612" customWidth="1"/>
    <col min="10245" max="10245" width="7.83203125" style="612" customWidth="1"/>
    <col min="10246" max="10246" width="11.83203125" style="612" customWidth="1"/>
    <col min="10247" max="10247" width="13.6640625" style="612" customWidth="1"/>
    <col min="10248" max="10248" width="18.33203125" style="612" customWidth="1"/>
    <col min="10249" max="10249" width="20.1640625" style="612" customWidth="1"/>
    <col min="10250" max="10250" width="14.6640625" style="612" customWidth="1"/>
    <col min="10251" max="10256" width="9.33203125" style="612"/>
    <col min="10257" max="10257" width="13.33203125" style="612" customWidth="1"/>
    <col min="10258" max="10496" width="9.33203125" style="612"/>
    <col min="10497" max="10497" width="4.83203125" style="612" customWidth="1"/>
    <col min="10498" max="10498" width="5" style="612" customWidth="1"/>
    <col min="10499" max="10499" width="16.83203125" style="612" customWidth="1"/>
    <col min="10500" max="10500" width="75.83203125" style="612" customWidth="1"/>
    <col min="10501" max="10501" width="7.83203125" style="612" customWidth="1"/>
    <col min="10502" max="10502" width="11.83203125" style="612" customWidth="1"/>
    <col min="10503" max="10503" width="13.6640625" style="612" customWidth="1"/>
    <col min="10504" max="10504" width="18.33203125" style="612" customWidth="1"/>
    <col min="10505" max="10505" width="20.1640625" style="612" customWidth="1"/>
    <col min="10506" max="10506" width="14.6640625" style="612" customWidth="1"/>
    <col min="10507" max="10512" width="9.33203125" style="612"/>
    <col min="10513" max="10513" width="13.33203125" style="612" customWidth="1"/>
    <col min="10514" max="10752" width="9.33203125" style="612"/>
    <col min="10753" max="10753" width="4.83203125" style="612" customWidth="1"/>
    <col min="10754" max="10754" width="5" style="612" customWidth="1"/>
    <col min="10755" max="10755" width="16.83203125" style="612" customWidth="1"/>
    <col min="10756" max="10756" width="75.83203125" style="612" customWidth="1"/>
    <col min="10757" max="10757" width="7.83203125" style="612" customWidth="1"/>
    <col min="10758" max="10758" width="11.83203125" style="612" customWidth="1"/>
    <col min="10759" max="10759" width="13.6640625" style="612" customWidth="1"/>
    <col min="10760" max="10760" width="18.33203125" style="612" customWidth="1"/>
    <col min="10761" max="10761" width="20.1640625" style="612" customWidth="1"/>
    <col min="10762" max="10762" width="14.6640625" style="612" customWidth="1"/>
    <col min="10763" max="10768" width="9.33203125" style="612"/>
    <col min="10769" max="10769" width="13.33203125" style="612" customWidth="1"/>
    <col min="10770" max="11008" width="9.33203125" style="612"/>
    <col min="11009" max="11009" width="4.83203125" style="612" customWidth="1"/>
    <col min="11010" max="11010" width="5" style="612" customWidth="1"/>
    <col min="11011" max="11011" width="16.83203125" style="612" customWidth="1"/>
    <col min="11012" max="11012" width="75.83203125" style="612" customWidth="1"/>
    <col min="11013" max="11013" width="7.83203125" style="612" customWidth="1"/>
    <col min="11014" max="11014" width="11.83203125" style="612" customWidth="1"/>
    <col min="11015" max="11015" width="13.6640625" style="612" customWidth="1"/>
    <col min="11016" max="11016" width="18.33203125" style="612" customWidth="1"/>
    <col min="11017" max="11017" width="20.1640625" style="612" customWidth="1"/>
    <col min="11018" max="11018" width="14.6640625" style="612" customWidth="1"/>
    <col min="11019" max="11024" width="9.33203125" style="612"/>
    <col min="11025" max="11025" width="13.33203125" style="612" customWidth="1"/>
    <col min="11026" max="11264" width="9.33203125" style="612"/>
    <col min="11265" max="11265" width="4.83203125" style="612" customWidth="1"/>
    <col min="11266" max="11266" width="5" style="612" customWidth="1"/>
    <col min="11267" max="11267" width="16.83203125" style="612" customWidth="1"/>
    <col min="11268" max="11268" width="75.83203125" style="612" customWidth="1"/>
    <col min="11269" max="11269" width="7.83203125" style="612" customWidth="1"/>
    <col min="11270" max="11270" width="11.83203125" style="612" customWidth="1"/>
    <col min="11271" max="11271" width="13.6640625" style="612" customWidth="1"/>
    <col min="11272" max="11272" width="18.33203125" style="612" customWidth="1"/>
    <col min="11273" max="11273" width="20.1640625" style="612" customWidth="1"/>
    <col min="11274" max="11274" width="14.6640625" style="612" customWidth="1"/>
    <col min="11275" max="11280" width="9.33203125" style="612"/>
    <col min="11281" max="11281" width="13.33203125" style="612" customWidth="1"/>
    <col min="11282" max="11520" width="9.33203125" style="612"/>
    <col min="11521" max="11521" width="4.83203125" style="612" customWidth="1"/>
    <col min="11522" max="11522" width="5" style="612" customWidth="1"/>
    <col min="11523" max="11523" width="16.83203125" style="612" customWidth="1"/>
    <col min="11524" max="11524" width="75.83203125" style="612" customWidth="1"/>
    <col min="11525" max="11525" width="7.83203125" style="612" customWidth="1"/>
    <col min="11526" max="11526" width="11.83203125" style="612" customWidth="1"/>
    <col min="11527" max="11527" width="13.6640625" style="612" customWidth="1"/>
    <col min="11528" max="11528" width="18.33203125" style="612" customWidth="1"/>
    <col min="11529" max="11529" width="20.1640625" style="612" customWidth="1"/>
    <col min="11530" max="11530" width="14.6640625" style="612" customWidth="1"/>
    <col min="11531" max="11536" width="9.33203125" style="612"/>
    <col min="11537" max="11537" width="13.33203125" style="612" customWidth="1"/>
    <col min="11538" max="11776" width="9.33203125" style="612"/>
    <col min="11777" max="11777" width="4.83203125" style="612" customWidth="1"/>
    <col min="11778" max="11778" width="5" style="612" customWidth="1"/>
    <col min="11779" max="11779" width="16.83203125" style="612" customWidth="1"/>
    <col min="11780" max="11780" width="75.83203125" style="612" customWidth="1"/>
    <col min="11781" max="11781" width="7.83203125" style="612" customWidth="1"/>
    <col min="11782" max="11782" width="11.83203125" style="612" customWidth="1"/>
    <col min="11783" max="11783" width="13.6640625" style="612" customWidth="1"/>
    <col min="11784" max="11784" width="18.33203125" style="612" customWidth="1"/>
    <col min="11785" max="11785" width="20.1640625" style="612" customWidth="1"/>
    <col min="11786" max="11786" width="14.6640625" style="612" customWidth="1"/>
    <col min="11787" max="11792" width="9.33203125" style="612"/>
    <col min="11793" max="11793" width="13.33203125" style="612" customWidth="1"/>
    <col min="11794" max="12032" width="9.33203125" style="612"/>
    <col min="12033" max="12033" width="4.83203125" style="612" customWidth="1"/>
    <col min="12034" max="12034" width="5" style="612" customWidth="1"/>
    <col min="12035" max="12035" width="16.83203125" style="612" customWidth="1"/>
    <col min="12036" max="12036" width="75.83203125" style="612" customWidth="1"/>
    <col min="12037" max="12037" width="7.83203125" style="612" customWidth="1"/>
    <col min="12038" max="12038" width="11.83203125" style="612" customWidth="1"/>
    <col min="12039" max="12039" width="13.6640625" style="612" customWidth="1"/>
    <col min="12040" max="12040" width="18.33203125" style="612" customWidth="1"/>
    <col min="12041" max="12041" width="20.1640625" style="612" customWidth="1"/>
    <col min="12042" max="12042" width="14.6640625" style="612" customWidth="1"/>
    <col min="12043" max="12048" width="9.33203125" style="612"/>
    <col min="12049" max="12049" width="13.33203125" style="612" customWidth="1"/>
    <col min="12050" max="12288" width="9.33203125" style="612"/>
    <col min="12289" max="12289" width="4.83203125" style="612" customWidth="1"/>
    <col min="12290" max="12290" width="5" style="612" customWidth="1"/>
    <col min="12291" max="12291" width="16.83203125" style="612" customWidth="1"/>
    <col min="12292" max="12292" width="75.83203125" style="612" customWidth="1"/>
    <col min="12293" max="12293" width="7.83203125" style="612" customWidth="1"/>
    <col min="12294" max="12294" width="11.83203125" style="612" customWidth="1"/>
    <col min="12295" max="12295" width="13.6640625" style="612" customWidth="1"/>
    <col min="12296" max="12296" width="18.33203125" style="612" customWidth="1"/>
    <col min="12297" max="12297" width="20.1640625" style="612" customWidth="1"/>
    <col min="12298" max="12298" width="14.6640625" style="612" customWidth="1"/>
    <col min="12299" max="12304" width="9.33203125" style="612"/>
    <col min="12305" max="12305" width="13.33203125" style="612" customWidth="1"/>
    <col min="12306" max="12544" width="9.33203125" style="612"/>
    <col min="12545" max="12545" width="4.83203125" style="612" customWidth="1"/>
    <col min="12546" max="12546" width="5" style="612" customWidth="1"/>
    <col min="12547" max="12547" width="16.83203125" style="612" customWidth="1"/>
    <col min="12548" max="12548" width="75.83203125" style="612" customWidth="1"/>
    <col min="12549" max="12549" width="7.83203125" style="612" customWidth="1"/>
    <col min="12550" max="12550" width="11.83203125" style="612" customWidth="1"/>
    <col min="12551" max="12551" width="13.6640625" style="612" customWidth="1"/>
    <col min="12552" max="12552" width="18.33203125" style="612" customWidth="1"/>
    <col min="12553" max="12553" width="20.1640625" style="612" customWidth="1"/>
    <col min="12554" max="12554" width="14.6640625" style="612" customWidth="1"/>
    <col min="12555" max="12560" width="9.33203125" style="612"/>
    <col min="12561" max="12561" width="13.33203125" style="612" customWidth="1"/>
    <col min="12562" max="12800" width="9.33203125" style="612"/>
    <col min="12801" max="12801" width="4.83203125" style="612" customWidth="1"/>
    <col min="12802" max="12802" width="5" style="612" customWidth="1"/>
    <col min="12803" max="12803" width="16.83203125" style="612" customWidth="1"/>
    <col min="12804" max="12804" width="75.83203125" style="612" customWidth="1"/>
    <col min="12805" max="12805" width="7.83203125" style="612" customWidth="1"/>
    <col min="12806" max="12806" width="11.83203125" style="612" customWidth="1"/>
    <col min="12807" max="12807" width="13.6640625" style="612" customWidth="1"/>
    <col min="12808" max="12808" width="18.33203125" style="612" customWidth="1"/>
    <col min="12809" max="12809" width="20.1640625" style="612" customWidth="1"/>
    <col min="12810" max="12810" width="14.6640625" style="612" customWidth="1"/>
    <col min="12811" max="12816" width="9.33203125" style="612"/>
    <col min="12817" max="12817" width="13.33203125" style="612" customWidth="1"/>
    <col min="12818" max="13056" width="9.33203125" style="612"/>
    <col min="13057" max="13057" width="4.83203125" style="612" customWidth="1"/>
    <col min="13058" max="13058" width="5" style="612" customWidth="1"/>
    <col min="13059" max="13059" width="16.83203125" style="612" customWidth="1"/>
    <col min="13060" max="13060" width="75.83203125" style="612" customWidth="1"/>
    <col min="13061" max="13061" width="7.83203125" style="612" customWidth="1"/>
    <col min="13062" max="13062" width="11.83203125" style="612" customWidth="1"/>
    <col min="13063" max="13063" width="13.6640625" style="612" customWidth="1"/>
    <col min="13064" max="13064" width="18.33203125" style="612" customWidth="1"/>
    <col min="13065" max="13065" width="20.1640625" style="612" customWidth="1"/>
    <col min="13066" max="13066" width="14.6640625" style="612" customWidth="1"/>
    <col min="13067" max="13072" width="9.33203125" style="612"/>
    <col min="13073" max="13073" width="13.33203125" style="612" customWidth="1"/>
    <col min="13074" max="13312" width="9.33203125" style="612"/>
    <col min="13313" max="13313" width="4.83203125" style="612" customWidth="1"/>
    <col min="13314" max="13314" width="5" style="612" customWidth="1"/>
    <col min="13315" max="13315" width="16.83203125" style="612" customWidth="1"/>
    <col min="13316" max="13316" width="75.83203125" style="612" customWidth="1"/>
    <col min="13317" max="13317" width="7.83203125" style="612" customWidth="1"/>
    <col min="13318" max="13318" width="11.83203125" style="612" customWidth="1"/>
    <col min="13319" max="13319" width="13.6640625" style="612" customWidth="1"/>
    <col min="13320" max="13320" width="18.33203125" style="612" customWidth="1"/>
    <col min="13321" max="13321" width="20.1640625" style="612" customWidth="1"/>
    <col min="13322" max="13322" width="14.6640625" style="612" customWidth="1"/>
    <col min="13323" max="13328" width="9.33203125" style="612"/>
    <col min="13329" max="13329" width="13.33203125" style="612" customWidth="1"/>
    <col min="13330" max="13568" width="9.33203125" style="612"/>
    <col min="13569" max="13569" width="4.83203125" style="612" customWidth="1"/>
    <col min="13570" max="13570" width="5" style="612" customWidth="1"/>
    <col min="13571" max="13571" width="16.83203125" style="612" customWidth="1"/>
    <col min="13572" max="13572" width="75.83203125" style="612" customWidth="1"/>
    <col min="13573" max="13573" width="7.83203125" style="612" customWidth="1"/>
    <col min="13574" max="13574" width="11.83203125" style="612" customWidth="1"/>
    <col min="13575" max="13575" width="13.6640625" style="612" customWidth="1"/>
    <col min="13576" max="13576" width="18.33203125" style="612" customWidth="1"/>
    <col min="13577" max="13577" width="20.1640625" style="612" customWidth="1"/>
    <col min="13578" max="13578" width="14.6640625" style="612" customWidth="1"/>
    <col min="13579" max="13584" width="9.33203125" style="612"/>
    <col min="13585" max="13585" width="13.33203125" style="612" customWidth="1"/>
    <col min="13586" max="13824" width="9.33203125" style="612"/>
    <col min="13825" max="13825" width="4.83203125" style="612" customWidth="1"/>
    <col min="13826" max="13826" width="5" style="612" customWidth="1"/>
    <col min="13827" max="13827" width="16.83203125" style="612" customWidth="1"/>
    <col min="13828" max="13828" width="75.83203125" style="612" customWidth="1"/>
    <col min="13829" max="13829" width="7.83203125" style="612" customWidth="1"/>
    <col min="13830" max="13830" width="11.83203125" style="612" customWidth="1"/>
    <col min="13831" max="13831" width="13.6640625" style="612" customWidth="1"/>
    <col min="13832" max="13832" width="18.33203125" style="612" customWidth="1"/>
    <col min="13833" max="13833" width="20.1640625" style="612" customWidth="1"/>
    <col min="13834" max="13834" width="14.6640625" style="612" customWidth="1"/>
    <col min="13835" max="13840" width="9.33203125" style="612"/>
    <col min="13841" max="13841" width="13.33203125" style="612" customWidth="1"/>
    <col min="13842" max="14080" width="9.33203125" style="612"/>
    <col min="14081" max="14081" width="4.83203125" style="612" customWidth="1"/>
    <col min="14082" max="14082" width="5" style="612" customWidth="1"/>
    <col min="14083" max="14083" width="16.83203125" style="612" customWidth="1"/>
    <col min="14084" max="14084" width="75.83203125" style="612" customWidth="1"/>
    <col min="14085" max="14085" width="7.83203125" style="612" customWidth="1"/>
    <col min="14086" max="14086" width="11.83203125" style="612" customWidth="1"/>
    <col min="14087" max="14087" width="13.6640625" style="612" customWidth="1"/>
    <col min="14088" max="14088" width="18.33203125" style="612" customWidth="1"/>
    <col min="14089" max="14089" width="20.1640625" style="612" customWidth="1"/>
    <col min="14090" max="14090" width="14.6640625" style="612" customWidth="1"/>
    <col min="14091" max="14096" width="9.33203125" style="612"/>
    <col min="14097" max="14097" width="13.33203125" style="612" customWidth="1"/>
    <col min="14098" max="14336" width="9.33203125" style="612"/>
    <col min="14337" max="14337" width="4.83203125" style="612" customWidth="1"/>
    <col min="14338" max="14338" width="5" style="612" customWidth="1"/>
    <col min="14339" max="14339" width="16.83203125" style="612" customWidth="1"/>
    <col min="14340" max="14340" width="75.83203125" style="612" customWidth="1"/>
    <col min="14341" max="14341" width="7.83203125" style="612" customWidth="1"/>
    <col min="14342" max="14342" width="11.83203125" style="612" customWidth="1"/>
    <col min="14343" max="14343" width="13.6640625" style="612" customWidth="1"/>
    <col min="14344" max="14344" width="18.33203125" style="612" customWidth="1"/>
    <col min="14345" max="14345" width="20.1640625" style="612" customWidth="1"/>
    <col min="14346" max="14346" width="14.6640625" style="612" customWidth="1"/>
    <col min="14347" max="14352" width="9.33203125" style="612"/>
    <col min="14353" max="14353" width="13.33203125" style="612" customWidth="1"/>
    <col min="14354" max="14592" width="9.33203125" style="612"/>
    <col min="14593" max="14593" width="4.83203125" style="612" customWidth="1"/>
    <col min="14594" max="14594" width="5" style="612" customWidth="1"/>
    <col min="14595" max="14595" width="16.83203125" style="612" customWidth="1"/>
    <col min="14596" max="14596" width="75.83203125" style="612" customWidth="1"/>
    <col min="14597" max="14597" width="7.83203125" style="612" customWidth="1"/>
    <col min="14598" max="14598" width="11.83203125" style="612" customWidth="1"/>
    <col min="14599" max="14599" width="13.6640625" style="612" customWidth="1"/>
    <col min="14600" max="14600" width="18.33203125" style="612" customWidth="1"/>
    <col min="14601" max="14601" width="20.1640625" style="612" customWidth="1"/>
    <col min="14602" max="14602" width="14.6640625" style="612" customWidth="1"/>
    <col min="14603" max="14608" width="9.33203125" style="612"/>
    <col min="14609" max="14609" width="13.33203125" style="612" customWidth="1"/>
    <col min="14610" max="14848" width="9.33203125" style="612"/>
    <col min="14849" max="14849" width="4.83203125" style="612" customWidth="1"/>
    <col min="14850" max="14850" width="5" style="612" customWidth="1"/>
    <col min="14851" max="14851" width="16.83203125" style="612" customWidth="1"/>
    <col min="14852" max="14852" width="75.83203125" style="612" customWidth="1"/>
    <col min="14853" max="14853" width="7.83203125" style="612" customWidth="1"/>
    <col min="14854" max="14854" width="11.83203125" style="612" customWidth="1"/>
    <col min="14855" max="14855" width="13.6640625" style="612" customWidth="1"/>
    <col min="14856" max="14856" width="18.33203125" style="612" customWidth="1"/>
    <col min="14857" max="14857" width="20.1640625" style="612" customWidth="1"/>
    <col min="14858" max="14858" width="14.6640625" style="612" customWidth="1"/>
    <col min="14859" max="14864" width="9.33203125" style="612"/>
    <col min="14865" max="14865" width="13.33203125" style="612" customWidth="1"/>
    <col min="14866" max="15104" width="9.33203125" style="612"/>
    <col min="15105" max="15105" width="4.83203125" style="612" customWidth="1"/>
    <col min="15106" max="15106" width="5" style="612" customWidth="1"/>
    <col min="15107" max="15107" width="16.83203125" style="612" customWidth="1"/>
    <col min="15108" max="15108" width="75.83203125" style="612" customWidth="1"/>
    <col min="15109" max="15109" width="7.83203125" style="612" customWidth="1"/>
    <col min="15110" max="15110" width="11.83203125" style="612" customWidth="1"/>
    <col min="15111" max="15111" width="13.6640625" style="612" customWidth="1"/>
    <col min="15112" max="15112" width="18.33203125" style="612" customWidth="1"/>
    <col min="15113" max="15113" width="20.1640625" style="612" customWidth="1"/>
    <col min="15114" max="15114" width="14.6640625" style="612" customWidth="1"/>
    <col min="15115" max="15120" width="9.33203125" style="612"/>
    <col min="15121" max="15121" width="13.33203125" style="612" customWidth="1"/>
    <col min="15122" max="15360" width="9.33203125" style="612"/>
    <col min="15361" max="15361" width="4.83203125" style="612" customWidth="1"/>
    <col min="15362" max="15362" width="5" style="612" customWidth="1"/>
    <col min="15363" max="15363" width="16.83203125" style="612" customWidth="1"/>
    <col min="15364" max="15364" width="75.83203125" style="612" customWidth="1"/>
    <col min="15365" max="15365" width="7.83203125" style="612" customWidth="1"/>
    <col min="15366" max="15366" width="11.83203125" style="612" customWidth="1"/>
    <col min="15367" max="15367" width="13.6640625" style="612" customWidth="1"/>
    <col min="15368" max="15368" width="18.33203125" style="612" customWidth="1"/>
    <col min="15369" max="15369" width="20.1640625" style="612" customWidth="1"/>
    <col min="15370" max="15370" width="14.6640625" style="612" customWidth="1"/>
    <col min="15371" max="15376" width="9.33203125" style="612"/>
    <col min="15377" max="15377" width="13.33203125" style="612" customWidth="1"/>
    <col min="15378" max="15616" width="9.33203125" style="612"/>
    <col min="15617" max="15617" width="4.83203125" style="612" customWidth="1"/>
    <col min="15618" max="15618" width="5" style="612" customWidth="1"/>
    <col min="15619" max="15619" width="16.83203125" style="612" customWidth="1"/>
    <col min="15620" max="15620" width="75.83203125" style="612" customWidth="1"/>
    <col min="15621" max="15621" width="7.83203125" style="612" customWidth="1"/>
    <col min="15622" max="15622" width="11.83203125" style="612" customWidth="1"/>
    <col min="15623" max="15623" width="13.6640625" style="612" customWidth="1"/>
    <col min="15624" max="15624" width="18.33203125" style="612" customWidth="1"/>
    <col min="15625" max="15625" width="20.1640625" style="612" customWidth="1"/>
    <col min="15626" max="15626" width="14.6640625" style="612" customWidth="1"/>
    <col min="15627" max="15632" width="9.33203125" style="612"/>
    <col min="15633" max="15633" width="13.33203125" style="612" customWidth="1"/>
    <col min="15634" max="15872" width="9.33203125" style="612"/>
    <col min="15873" max="15873" width="4.83203125" style="612" customWidth="1"/>
    <col min="15874" max="15874" width="5" style="612" customWidth="1"/>
    <col min="15875" max="15875" width="16.83203125" style="612" customWidth="1"/>
    <col min="15876" max="15876" width="75.83203125" style="612" customWidth="1"/>
    <col min="15877" max="15877" width="7.83203125" style="612" customWidth="1"/>
    <col min="15878" max="15878" width="11.83203125" style="612" customWidth="1"/>
    <col min="15879" max="15879" width="13.6640625" style="612" customWidth="1"/>
    <col min="15880" max="15880" width="18.33203125" style="612" customWidth="1"/>
    <col min="15881" max="15881" width="20.1640625" style="612" customWidth="1"/>
    <col min="15882" max="15882" width="14.6640625" style="612" customWidth="1"/>
    <col min="15883" max="15888" width="9.33203125" style="612"/>
    <col min="15889" max="15889" width="13.33203125" style="612" customWidth="1"/>
    <col min="15890" max="16128" width="9.33203125" style="612"/>
    <col min="16129" max="16129" width="4.83203125" style="612" customWidth="1"/>
    <col min="16130" max="16130" width="5" style="612" customWidth="1"/>
    <col min="16131" max="16131" width="16.83203125" style="612" customWidth="1"/>
    <col min="16132" max="16132" width="75.83203125" style="612" customWidth="1"/>
    <col min="16133" max="16133" width="7.83203125" style="612" customWidth="1"/>
    <col min="16134" max="16134" width="11.83203125" style="612" customWidth="1"/>
    <col min="16135" max="16135" width="13.6640625" style="612" customWidth="1"/>
    <col min="16136" max="16136" width="18.33203125" style="612" customWidth="1"/>
    <col min="16137" max="16137" width="20.1640625" style="612" customWidth="1"/>
    <col min="16138" max="16138" width="14.6640625" style="612" customWidth="1"/>
    <col min="16139" max="16144" width="9.33203125" style="612"/>
    <col min="16145" max="16145" width="13.33203125" style="612" customWidth="1"/>
    <col min="16146" max="16384" width="9.33203125" style="612"/>
  </cols>
  <sheetData>
    <row r="1" spans="1:255" s="111" customFormat="1" ht="20.25" customHeight="1">
      <c r="A1" s="1" t="s">
        <v>2760</v>
      </c>
      <c r="B1" s="27"/>
      <c r="C1" s="28"/>
      <c r="D1" s="28"/>
      <c r="E1" s="285"/>
      <c r="F1" s="28"/>
      <c r="G1" s="28"/>
      <c r="H1" s="28"/>
    </row>
    <row r="2" spans="1:255" s="889" customFormat="1" ht="15" customHeight="1">
      <c r="A2" s="5199" t="s">
        <v>115</v>
      </c>
      <c r="B2" s="5200"/>
      <c r="C2" s="5200"/>
      <c r="D2" s="5200"/>
      <c r="E2" s="5200"/>
      <c r="F2" s="5200"/>
      <c r="G2" s="5200"/>
      <c r="H2" s="5200"/>
      <c r="I2" s="5200"/>
      <c r="J2" s="111"/>
    </row>
    <row r="3" spans="1:255" s="888" customFormat="1" ht="13.5" customHeight="1">
      <c r="A3" s="5228" t="s">
        <v>4244</v>
      </c>
      <c r="B3" s="5229"/>
      <c r="C3" s="5229"/>
      <c r="D3" s="5229"/>
      <c r="E3" s="886"/>
      <c r="F3" s="887"/>
      <c r="G3" s="887"/>
      <c r="I3" s="2635"/>
      <c r="J3" s="2636"/>
      <c r="K3" s="889"/>
      <c r="M3" s="2637"/>
    </row>
    <row r="4" spans="1:255" s="888" customFormat="1" ht="13.5" customHeight="1">
      <c r="A4" s="5193" t="s">
        <v>5212</v>
      </c>
      <c r="B4" s="5229"/>
      <c r="C4" s="5229"/>
      <c r="D4" s="5229"/>
      <c r="E4" s="5193"/>
      <c r="F4" s="5200"/>
      <c r="G4" s="5200"/>
      <c r="H4" s="5200"/>
      <c r="I4" s="2635"/>
      <c r="J4" s="2636"/>
      <c r="M4" s="2637"/>
    </row>
    <row r="5" spans="1:255" s="889" customFormat="1" ht="13.5" customHeight="1">
      <c r="A5" s="886" t="s">
        <v>5213</v>
      </c>
      <c r="B5" s="886"/>
      <c r="C5" s="886"/>
      <c r="D5" s="886"/>
      <c r="E5" s="886"/>
      <c r="F5" s="887"/>
      <c r="G5" s="887"/>
      <c r="H5" s="888"/>
      <c r="I5" s="888"/>
    </row>
    <row r="6" spans="1:255" ht="18">
      <c r="A6" s="2638"/>
      <c r="B6" s="2638"/>
      <c r="C6" s="2638"/>
      <c r="D6" s="2639"/>
      <c r="E6" s="2640"/>
      <c r="F6" s="2638"/>
      <c r="G6" s="2638"/>
      <c r="H6" s="2638"/>
      <c r="I6" s="2641"/>
    </row>
    <row r="7" spans="1:255" ht="22.5">
      <c r="A7" s="2642" t="s">
        <v>118</v>
      </c>
      <c r="B7" s="2642" t="s">
        <v>119</v>
      </c>
      <c r="C7" s="2642" t="s">
        <v>120</v>
      </c>
      <c r="D7" s="2642" t="s">
        <v>121</v>
      </c>
      <c r="E7" s="2642" t="s">
        <v>122</v>
      </c>
      <c r="F7" s="2642" t="s">
        <v>123</v>
      </c>
      <c r="G7" s="2642" t="s">
        <v>124</v>
      </c>
      <c r="H7" s="2643" t="s">
        <v>2</v>
      </c>
      <c r="I7" s="2644" t="s">
        <v>46</v>
      </c>
      <c r="J7" s="2645"/>
    </row>
    <row r="8" spans="1:255">
      <c r="A8" s="2642" t="s">
        <v>125</v>
      </c>
      <c r="B8" s="2642" t="s">
        <v>126</v>
      </c>
      <c r="C8" s="2642">
        <v>3</v>
      </c>
      <c r="D8" s="2642">
        <v>4</v>
      </c>
      <c r="E8" s="2642">
        <v>5</v>
      </c>
      <c r="F8" s="2642">
        <v>6</v>
      </c>
      <c r="G8" s="2642">
        <v>7</v>
      </c>
      <c r="H8" s="2643">
        <v>8</v>
      </c>
      <c r="I8" s="2644">
        <v>9</v>
      </c>
    </row>
    <row r="9" spans="1:255" ht="21" customHeight="1">
      <c r="A9" s="2646"/>
      <c r="B9" s="904"/>
      <c r="C9" s="904" t="s">
        <v>132</v>
      </c>
      <c r="D9" s="904" t="s">
        <v>133</v>
      </c>
      <c r="E9" s="904"/>
      <c r="F9" s="2647"/>
      <c r="G9" s="2648"/>
      <c r="H9" s="2649">
        <f>H10+H105+H109+H123+H117</f>
        <v>0</v>
      </c>
      <c r="I9" s="647"/>
      <c r="K9" s="621"/>
    </row>
    <row r="10" spans="1:255" ht="13.5" customHeight="1">
      <c r="A10" s="2650"/>
      <c r="B10" s="2650"/>
      <c r="C10" s="616" t="s">
        <v>125</v>
      </c>
      <c r="D10" s="616" t="s">
        <v>134</v>
      </c>
      <c r="E10" s="2651"/>
      <c r="F10" s="2652"/>
      <c r="G10" s="2653"/>
      <c r="H10" s="2653">
        <f>SUM(H11:H71,H77:H83,H88:H96,H103:H104)</f>
        <v>0</v>
      </c>
      <c r="I10" s="2654"/>
    </row>
    <row r="11" spans="1:255" s="888" customFormat="1" ht="13.5" customHeight="1">
      <c r="A11" s="2655" t="s">
        <v>125</v>
      </c>
      <c r="B11" s="799" t="s">
        <v>135</v>
      </c>
      <c r="C11" s="352">
        <v>115101201</v>
      </c>
      <c r="D11" s="352" t="s">
        <v>136</v>
      </c>
      <c r="E11" s="352" t="s">
        <v>69</v>
      </c>
      <c r="F11" s="1258">
        <v>24</v>
      </c>
      <c r="G11" s="2784"/>
      <c r="H11" s="568">
        <f t="shared" ref="H11:H17" si="0">ROUND(F11*G11,2)</f>
        <v>0</v>
      </c>
      <c r="I11" s="744" t="s">
        <v>137</v>
      </c>
      <c r="J11" s="2656"/>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3</v>
      </c>
      <c r="G12" s="2784"/>
      <c r="H12" s="568">
        <f t="shared" si="0"/>
        <v>0</v>
      </c>
      <c r="I12" s="744" t="s">
        <v>137</v>
      </c>
      <c r="J12" s="2656"/>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1</v>
      </c>
      <c r="G13" s="286"/>
      <c r="H13" s="568">
        <f t="shared" si="0"/>
        <v>0</v>
      </c>
      <c r="I13" s="744" t="s">
        <v>137</v>
      </c>
      <c r="J13" s="2656"/>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1</v>
      </c>
      <c r="G14" s="286"/>
      <c r="H14" s="568">
        <f t="shared" si="0"/>
        <v>0</v>
      </c>
      <c r="I14" s="744" t="s">
        <v>137</v>
      </c>
      <c r="J14" s="2656"/>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1</v>
      </c>
      <c r="G15" s="286"/>
      <c r="H15" s="568">
        <f t="shared" si="0"/>
        <v>0</v>
      </c>
      <c r="I15" s="744" t="s">
        <v>137</v>
      </c>
      <c r="J15" s="2656"/>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v>
      </c>
      <c r="G16" s="286"/>
      <c r="H16" s="568">
        <f t="shared" si="0"/>
        <v>0</v>
      </c>
      <c r="I16" s="744" t="s">
        <v>137</v>
      </c>
      <c r="J16" s="2656"/>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604" customFormat="1" ht="13.5" customHeight="1">
      <c r="A17" s="608">
        <v>7</v>
      </c>
      <c r="B17" s="557" t="s">
        <v>135</v>
      </c>
      <c r="C17" s="557">
        <v>131213702</v>
      </c>
      <c r="D17" s="557" t="s">
        <v>145</v>
      </c>
      <c r="E17" s="557" t="s">
        <v>146</v>
      </c>
      <c r="F17" s="2659">
        <f>ROUND(SUM(F19:F21),3)</f>
        <v>11.837</v>
      </c>
      <c r="G17" s="288"/>
      <c r="H17" s="568">
        <f t="shared" si="0"/>
        <v>0</v>
      </c>
      <c r="I17" s="744" t="s">
        <v>137</v>
      </c>
      <c r="J17" s="610"/>
      <c r="U17" s="605"/>
      <c r="W17" s="605"/>
    </row>
    <row r="18" spans="1:23" s="604" customFormat="1" ht="13.5" customHeight="1">
      <c r="A18" s="595"/>
      <c r="B18" s="596"/>
      <c r="C18" s="597"/>
      <c r="D18" s="719" t="s">
        <v>5214</v>
      </c>
      <c r="E18" s="599"/>
      <c r="F18" s="600"/>
      <c r="G18" s="289"/>
      <c r="H18" s="601"/>
      <c r="I18" s="602"/>
      <c r="J18" s="2660"/>
      <c r="K18" s="2661"/>
      <c r="U18" s="605"/>
      <c r="W18" s="605"/>
    </row>
    <row r="19" spans="1:23" s="604" customFormat="1" ht="13.5" customHeight="1">
      <c r="A19" s="595"/>
      <c r="B19" s="596"/>
      <c r="C19" s="597"/>
      <c r="D19" s="599" t="s">
        <v>5215</v>
      </c>
      <c r="E19" s="599"/>
      <c r="F19" s="600">
        <f>((4.7*3.4)*0.2)*0.1</f>
        <v>0.31960000000000005</v>
      </c>
      <c r="G19" s="289"/>
      <c r="H19" s="601"/>
      <c r="I19" s="602"/>
      <c r="J19" s="2660"/>
      <c r="K19" s="2661"/>
      <c r="U19" s="605"/>
      <c r="W19" s="605"/>
    </row>
    <row r="20" spans="1:23" s="604" customFormat="1" ht="13.5" customHeight="1">
      <c r="A20" s="595"/>
      <c r="B20" s="596"/>
      <c r="C20" s="597"/>
      <c r="D20" s="599" t="s">
        <v>5216</v>
      </c>
      <c r="E20" s="599"/>
      <c r="F20" s="600">
        <f>((3.5*2.2)*3.8)*0.1</f>
        <v>2.9260000000000002</v>
      </c>
      <c r="G20" s="289"/>
      <c r="H20" s="601"/>
      <c r="I20" s="602"/>
      <c r="J20" s="2662"/>
      <c r="U20" s="605"/>
      <c r="W20" s="605"/>
    </row>
    <row r="21" spans="1:23" s="604" customFormat="1" ht="13.5" customHeight="1">
      <c r="A21" s="595"/>
      <c r="B21" s="596"/>
      <c r="C21" s="597"/>
      <c r="D21" s="599" t="s">
        <v>5217</v>
      </c>
      <c r="E21" s="599"/>
      <c r="F21" s="600">
        <f>((8.5+8.5+3.4+3.4)*3.61)*0.1</f>
        <v>8.5917999999999992</v>
      </c>
      <c r="G21" s="289"/>
      <c r="H21" s="601"/>
      <c r="I21" s="602"/>
      <c r="J21" s="610"/>
      <c r="U21" s="605"/>
      <c r="W21" s="605"/>
    </row>
    <row r="22" spans="1:23" s="604" customFormat="1" ht="27" customHeight="1">
      <c r="A22" s="595"/>
      <c r="B22" s="596"/>
      <c r="C22" s="597"/>
      <c r="D22" s="597" t="s">
        <v>4323</v>
      </c>
      <c r="E22" s="597"/>
      <c r="F22" s="607"/>
      <c r="G22" s="289"/>
      <c r="H22" s="601"/>
      <c r="I22" s="602"/>
      <c r="J22" s="606"/>
      <c r="U22" s="605"/>
      <c r="W22" s="605"/>
    </row>
    <row r="23" spans="1:23" s="604" customFormat="1" ht="13.5" customHeight="1">
      <c r="A23" s="608">
        <v>8</v>
      </c>
      <c r="B23" s="557" t="s">
        <v>135</v>
      </c>
      <c r="C23" s="557">
        <v>131251102</v>
      </c>
      <c r="D23" s="557" t="s">
        <v>5218</v>
      </c>
      <c r="E23" s="557" t="s">
        <v>146</v>
      </c>
      <c r="F23" s="2659">
        <f>ROUND(SUM(F25:F27),3)</f>
        <v>47.35</v>
      </c>
      <c r="G23" s="288"/>
      <c r="H23" s="568">
        <f t="shared" ref="H23" si="1">ROUND(F23*G23,2)</f>
        <v>0</v>
      </c>
      <c r="I23" s="744" t="s">
        <v>137</v>
      </c>
      <c r="J23" s="610"/>
      <c r="U23" s="605"/>
      <c r="W23" s="605"/>
    </row>
    <row r="24" spans="1:23" s="604" customFormat="1" ht="13.5" customHeight="1">
      <c r="A24" s="595"/>
      <c r="B24" s="596"/>
      <c r="C24" s="597"/>
      <c r="D24" s="719" t="s">
        <v>5219</v>
      </c>
      <c r="E24" s="599"/>
      <c r="F24" s="600"/>
      <c r="G24" s="289"/>
      <c r="H24" s="601"/>
      <c r="I24" s="602"/>
      <c r="J24" s="610"/>
      <c r="U24" s="605"/>
      <c r="W24" s="605"/>
    </row>
    <row r="25" spans="1:23" s="604" customFormat="1" ht="13.5" customHeight="1">
      <c r="A25" s="595"/>
      <c r="B25" s="596"/>
      <c r="C25" s="597"/>
      <c r="D25" s="599" t="s">
        <v>5220</v>
      </c>
      <c r="E25" s="599"/>
      <c r="F25" s="600">
        <f>((4.7*3.4)*0.2)*0.4</f>
        <v>1.2784000000000002</v>
      </c>
      <c r="G25" s="289"/>
      <c r="H25" s="601"/>
      <c r="I25" s="602"/>
      <c r="J25" s="610"/>
      <c r="U25" s="605"/>
      <c r="W25" s="605"/>
    </row>
    <row r="26" spans="1:23" s="604" customFormat="1" ht="13.5" customHeight="1">
      <c r="A26" s="595"/>
      <c r="B26" s="596"/>
      <c r="C26" s="597"/>
      <c r="D26" s="599" t="s">
        <v>5221</v>
      </c>
      <c r="E26" s="599"/>
      <c r="F26" s="600">
        <f>((3.5*2.2)*3.8)*0.4</f>
        <v>11.704000000000001</v>
      </c>
      <c r="G26" s="289"/>
      <c r="H26" s="601"/>
      <c r="I26" s="602"/>
      <c r="J26" s="2662"/>
      <c r="U26" s="605"/>
      <c r="W26" s="605"/>
    </row>
    <row r="27" spans="1:23" s="604" customFormat="1" ht="13.5" customHeight="1">
      <c r="A27" s="595"/>
      <c r="B27" s="596"/>
      <c r="C27" s="597"/>
      <c r="D27" s="599" t="s">
        <v>5222</v>
      </c>
      <c r="E27" s="599"/>
      <c r="F27" s="600">
        <f>((8.5+8.5+3.4+3.4)*3.61)*0.4</f>
        <v>34.367199999999997</v>
      </c>
      <c r="G27" s="289"/>
      <c r="H27" s="601"/>
      <c r="I27" s="602"/>
      <c r="J27" s="610"/>
      <c r="U27" s="605"/>
      <c r="W27" s="605"/>
    </row>
    <row r="28" spans="1:23" s="604" customFormat="1" ht="27" customHeight="1">
      <c r="A28" s="595"/>
      <c r="B28" s="596"/>
      <c r="C28" s="597"/>
      <c r="D28" s="597" t="s">
        <v>4323</v>
      </c>
      <c r="E28" s="597"/>
      <c r="F28" s="607"/>
      <c r="G28" s="289"/>
      <c r="H28" s="601"/>
      <c r="I28" s="602"/>
      <c r="J28" s="606"/>
      <c r="U28" s="605"/>
      <c r="W28" s="605"/>
    </row>
    <row r="29" spans="1:23" s="604" customFormat="1" ht="13.5" customHeight="1">
      <c r="A29" s="608">
        <v>9</v>
      </c>
      <c r="B29" s="557" t="s">
        <v>135</v>
      </c>
      <c r="C29" s="557">
        <v>131313702</v>
      </c>
      <c r="D29" s="557" t="s">
        <v>2765</v>
      </c>
      <c r="E29" s="557" t="s">
        <v>146</v>
      </c>
      <c r="F29" s="2659">
        <f>ROUND(SUM(F31:F33),3)</f>
        <v>11.837</v>
      </c>
      <c r="G29" s="288"/>
      <c r="H29" s="568">
        <f t="shared" ref="H29" si="2">ROUND(F29*G29,2)</f>
        <v>0</v>
      </c>
      <c r="I29" s="744" t="s">
        <v>137</v>
      </c>
      <c r="J29" s="610"/>
      <c r="U29" s="605"/>
      <c r="W29" s="605"/>
    </row>
    <row r="30" spans="1:23" s="604" customFormat="1" ht="13.5" customHeight="1">
      <c r="A30" s="595"/>
      <c r="B30" s="596"/>
      <c r="C30" s="597"/>
      <c r="D30" s="719" t="s">
        <v>5214</v>
      </c>
      <c r="E30" s="599"/>
      <c r="F30" s="600"/>
      <c r="G30" s="289"/>
      <c r="H30" s="601"/>
      <c r="I30" s="602"/>
      <c r="J30" s="610"/>
      <c r="U30" s="605"/>
      <c r="W30" s="605"/>
    </row>
    <row r="31" spans="1:23" s="604" customFormat="1" ht="13.5" customHeight="1">
      <c r="A31" s="595"/>
      <c r="B31" s="596"/>
      <c r="C31" s="597"/>
      <c r="D31" s="599" t="s">
        <v>5215</v>
      </c>
      <c r="E31" s="599"/>
      <c r="F31" s="600">
        <f>((4.7*3.4)*0.2)*0.1</f>
        <v>0.31960000000000005</v>
      </c>
      <c r="G31" s="289"/>
      <c r="H31" s="601"/>
      <c r="I31" s="602"/>
      <c r="J31" s="610"/>
      <c r="U31" s="605"/>
      <c r="W31" s="605"/>
    </row>
    <row r="32" spans="1:23" s="604" customFormat="1" ht="13.5" customHeight="1">
      <c r="A32" s="595"/>
      <c r="B32" s="596"/>
      <c r="C32" s="597"/>
      <c r="D32" s="599" t="s">
        <v>5216</v>
      </c>
      <c r="E32" s="599"/>
      <c r="F32" s="600">
        <f>((3.5*2.2)*3.8)*0.1</f>
        <v>2.9260000000000002</v>
      </c>
      <c r="G32" s="289"/>
      <c r="H32" s="601"/>
      <c r="I32" s="602"/>
      <c r="J32" s="2662"/>
      <c r="U32" s="605"/>
      <c r="W32" s="605"/>
    </row>
    <row r="33" spans="1:23" s="604" customFormat="1" ht="13.5" customHeight="1">
      <c r="A33" s="595"/>
      <c r="B33" s="596"/>
      <c r="C33" s="597"/>
      <c r="D33" s="599" t="s">
        <v>5217</v>
      </c>
      <c r="E33" s="599"/>
      <c r="F33" s="600">
        <f>((8.5+8.5+3.4+3.4)*3.61)*0.1</f>
        <v>8.5917999999999992</v>
      </c>
      <c r="G33" s="289"/>
      <c r="H33" s="601"/>
      <c r="I33" s="602"/>
      <c r="J33" s="610"/>
      <c r="U33" s="605"/>
      <c r="W33" s="605"/>
    </row>
    <row r="34" spans="1:23" s="604" customFormat="1" ht="27" customHeight="1">
      <c r="A34" s="595"/>
      <c r="B34" s="596"/>
      <c r="C34" s="597"/>
      <c r="D34" s="597" t="s">
        <v>4323</v>
      </c>
      <c r="E34" s="597"/>
      <c r="F34" s="607"/>
      <c r="G34" s="289"/>
      <c r="H34" s="601"/>
      <c r="I34" s="602"/>
      <c r="J34" s="606"/>
      <c r="U34" s="605"/>
      <c r="W34" s="605"/>
    </row>
    <row r="35" spans="1:23" s="604" customFormat="1" ht="13.5" customHeight="1">
      <c r="A35" s="608">
        <v>10</v>
      </c>
      <c r="B35" s="557" t="s">
        <v>135</v>
      </c>
      <c r="C35" s="557">
        <v>131351100</v>
      </c>
      <c r="D35" s="557" t="s">
        <v>5223</v>
      </c>
      <c r="E35" s="557" t="s">
        <v>146</v>
      </c>
      <c r="F35" s="2659">
        <f>ROUND(SUM(F37:F39),3)</f>
        <v>35.512</v>
      </c>
      <c r="G35" s="288"/>
      <c r="H35" s="568">
        <f t="shared" ref="H35" si="3">ROUND(F35*G35,2)</f>
        <v>0</v>
      </c>
      <c r="I35" s="744" t="s">
        <v>137</v>
      </c>
      <c r="J35" s="610"/>
      <c r="K35" s="2663"/>
      <c r="U35" s="605"/>
      <c r="W35" s="605"/>
    </row>
    <row r="36" spans="1:23" s="604" customFormat="1" ht="13.5" customHeight="1">
      <c r="A36" s="595"/>
      <c r="B36" s="596"/>
      <c r="C36" s="597"/>
      <c r="D36" s="719" t="s">
        <v>5224</v>
      </c>
      <c r="E36" s="599"/>
      <c r="F36" s="600"/>
      <c r="G36" s="289"/>
      <c r="H36" s="601"/>
      <c r="I36" s="602"/>
      <c r="J36" s="610"/>
      <c r="U36" s="605"/>
      <c r="W36" s="605"/>
    </row>
    <row r="37" spans="1:23" s="604" customFormat="1" ht="13.5" customHeight="1">
      <c r="A37" s="595"/>
      <c r="B37" s="596"/>
      <c r="C37" s="597"/>
      <c r="D37" s="599" t="s">
        <v>5225</v>
      </c>
      <c r="E37" s="599"/>
      <c r="F37" s="600">
        <f>((4.7*3.4)*0.2)*0.3</f>
        <v>0.95879999999999999</v>
      </c>
      <c r="G37" s="289"/>
      <c r="H37" s="601"/>
      <c r="I37" s="602"/>
      <c r="J37" s="610"/>
      <c r="U37" s="605"/>
      <c r="W37" s="605"/>
    </row>
    <row r="38" spans="1:23" s="604" customFormat="1" ht="13.5" customHeight="1">
      <c r="A38" s="595"/>
      <c r="B38" s="596"/>
      <c r="C38" s="597"/>
      <c r="D38" s="599" t="s">
        <v>5226</v>
      </c>
      <c r="E38" s="599"/>
      <c r="F38" s="600">
        <f>((3.5*2.2)*3.8)*0.3</f>
        <v>8.7780000000000005</v>
      </c>
      <c r="G38" s="289"/>
      <c r="H38" s="601"/>
      <c r="I38" s="602"/>
      <c r="J38" s="610"/>
      <c r="U38" s="605"/>
      <c r="W38" s="605"/>
    </row>
    <row r="39" spans="1:23" s="604" customFormat="1" ht="13.5" customHeight="1">
      <c r="A39" s="595"/>
      <c r="B39" s="596"/>
      <c r="C39" s="597"/>
      <c r="D39" s="599" t="s">
        <v>5227</v>
      </c>
      <c r="E39" s="599"/>
      <c r="F39" s="600">
        <f>((8.5+8.5+3.4+3.4)*3.61)*0.3</f>
        <v>25.775399999999998</v>
      </c>
      <c r="G39" s="289"/>
      <c r="H39" s="601"/>
      <c r="I39" s="602"/>
      <c r="J39" s="610"/>
      <c r="U39" s="605"/>
      <c r="W39" s="605"/>
    </row>
    <row r="40" spans="1:23" s="604" customFormat="1" ht="27" customHeight="1">
      <c r="A40" s="595"/>
      <c r="B40" s="596"/>
      <c r="C40" s="597"/>
      <c r="D40" s="597" t="s">
        <v>4323</v>
      </c>
      <c r="E40" s="597"/>
      <c r="F40" s="607"/>
      <c r="G40" s="289"/>
      <c r="H40" s="601"/>
      <c r="I40" s="602"/>
      <c r="J40" s="606"/>
      <c r="U40" s="605"/>
      <c r="W40" s="605"/>
    </row>
    <row r="41" spans="1:23" s="604" customFormat="1" ht="13.5" customHeight="1">
      <c r="A41" s="608">
        <v>11</v>
      </c>
      <c r="B41" s="557" t="s">
        <v>135</v>
      </c>
      <c r="C41" s="557">
        <v>131451100</v>
      </c>
      <c r="D41" s="557" t="s">
        <v>5228</v>
      </c>
      <c r="E41" s="557" t="s">
        <v>146</v>
      </c>
      <c r="F41" s="2659">
        <f>ROUND(SUM(F43:F45),3)</f>
        <v>11.837</v>
      </c>
      <c r="G41" s="288"/>
      <c r="H41" s="568">
        <f t="shared" ref="H41" si="4">ROUND(F41*G41,2)</f>
        <v>0</v>
      </c>
      <c r="I41" s="744" t="s">
        <v>137</v>
      </c>
      <c r="J41" s="610"/>
      <c r="K41" s="2663"/>
      <c r="U41" s="605"/>
      <c r="W41" s="605"/>
    </row>
    <row r="42" spans="1:23" s="604" customFormat="1" ht="13.5" customHeight="1">
      <c r="A42" s="595"/>
      <c r="B42" s="596"/>
      <c r="C42" s="597"/>
      <c r="D42" s="719" t="s">
        <v>5214</v>
      </c>
      <c r="E42" s="599"/>
      <c r="F42" s="600"/>
      <c r="G42" s="289"/>
      <c r="H42" s="601"/>
      <c r="I42" s="602"/>
      <c r="J42" s="610"/>
      <c r="U42" s="605"/>
      <c r="W42" s="605"/>
    </row>
    <row r="43" spans="1:23" s="604" customFormat="1" ht="13.5" customHeight="1">
      <c r="A43" s="595"/>
      <c r="B43" s="596"/>
      <c r="C43" s="597"/>
      <c r="D43" s="599" t="s">
        <v>5215</v>
      </c>
      <c r="E43" s="599"/>
      <c r="F43" s="600">
        <f>((4.7*3.4)*0.2)*0.1</f>
        <v>0.31960000000000005</v>
      </c>
      <c r="G43" s="289"/>
      <c r="H43" s="601"/>
      <c r="I43" s="602"/>
      <c r="J43" s="610"/>
      <c r="U43" s="605"/>
      <c r="W43" s="605"/>
    </row>
    <row r="44" spans="1:23" s="604" customFormat="1" ht="13.5" customHeight="1">
      <c r="A44" s="595"/>
      <c r="B44" s="596"/>
      <c r="C44" s="597"/>
      <c r="D44" s="599" t="s">
        <v>5216</v>
      </c>
      <c r="E44" s="599"/>
      <c r="F44" s="600">
        <f>((3.5*2.2)*3.8)*0.1</f>
        <v>2.9260000000000002</v>
      </c>
      <c r="G44" s="289"/>
      <c r="H44" s="601"/>
      <c r="I44" s="602"/>
      <c r="J44" s="610"/>
      <c r="U44" s="605"/>
      <c r="W44" s="605"/>
    </row>
    <row r="45" spans="1:23" s="604" customFormat="1" ht="13.5" customHeight="1">
      <c r="A45" s="595"/>
      <c r="B45" s="596"/>
      <c r="C45" s="597"/>
      <c r="D45" s="599" t="s">
        <v>5217</v>
      </c>
      <c r="E45" s="599"/>
      <c r="F45" s="600">
        <f>((8.5+8.5+3.4+3.4)*3.61)*0.1</f>
        <v>8.5917999999999992</v>
      </c>
      <c r="G45" s="289"/>
      <c r="H45" s="601"/>
      <c r="I45" s="602"/>
      <c r="J45" s="610"/>
      <c r="U45" s="605"/>
      <c r="W45" s="605"/>
    </row>
    <row r="46" spans="1:23" s="604" customFormat="1" ht="27" customHeight="1">
      <c r="A46" s="595"/>
      <c r="B46" s="596"/>
      <c r="C46" s="597"/>
      <c r="D46" s="597" t="s">
        <v>5229</v>
      </c>
      <c r="E46" s="597"/>
      <c r="F46" s="607"/>
      <c r="G46" s="289"/>
      <c r="H46" s="601"/>
      <c r="I46" s="602"/>
      <c r="J46" s="606"/>
      <c r="U46" s="605"/>
      <c r="W46" s="605"/>
    </row>
    <row r="47" spans="1:23" ht="13.5" customHeight="1">
      <c r="A47" s="608">
        <v>12</v>
      </c>
      <c r="B47" s="557" t="s">
        <v>135</v>
      </c>
      <c r="C47" s="557">
        <v>139001101</v>
      </c>
      <c r="D47" s="557" t="s">
        <v>160</v>
      </c>
      <c r="E47" s="557" t="s">
        <v>146</v>
      </c>
      <c r="F47" s="2659">
        <f>ROUND(SUM(F48),3)</f>
        <v>5.8360000000000003</v>
      </c>
      <c r="G47" s="288"/>
      <c r="H47" s="568">
        <f t="shared" ref="H47" si="5">ROUND(F47*G47,2)</f>
        <v>0</v>
      </c>
      <c r="I47" s="744" t="s">
        <v>137</v>
      </c>
    </row>
    <row r="48" spans="1:23" ht="13.5" customHeight="1">
      <c r="A48" s="608"/>
      <c r="B48" s="557"/>
      <c r="C48" s="599"/>
      <c r="D48" s="599" t="s">
        <v>5230</v>
      </c>
      <c r="E48" s="599"/>
      <c r="F48" s="600">
        <f>((11.672+46.687)+(11.672+35.015)+(11.672))*0.05</f>
        <v>5.8358999999999996</v>
      </c>
      <c r="G48" s="290"/>
      <c r="H48" s="614"/>
      <c r="I48" s="613"/>
    </row>
    <row r="49" spans="1:23" s="888" customFormat="1" ht="13.5" customHeight="1">
      <c r="A49" s="2664" t="s">
        <v>5231</v>
      </c>
      <c r="B49" s="2665" t="s">
        <v>135</v>
      </c>
      <c r="C49" s="2666">
        <v>171152501</v>
      </c>
      <c r="D49" s="2666" t="s">
        <v>162</v>
      </c>
      <c r="E49" s="2666" t="s">
        <v>163</v>
      </c>
      <c r="F49" s="2659">
        <f>ROUND(SUM(F50),3)</f>
        <v>15.98</v>
      </c>
      <c r="G49" s="287"/>
      <c r="H49" s="568">
        <f t="shared" ref="H49" si="6">ROUND(F49*G49,2)</f>
        <v>0</v>
      </c>
      <c r="I49" s="744" t="s">
        <v>137</v>
      </c>
      <c r="J49" s="2668"/>
    </row>
    <row r="50" spans="1:23" s="888" customFormat="1" ht="13.5" customHeight="1">
      <c r="A50" s="2664"/>
      <c r="B50" s="2665"/>
      <c r="C50" s="2666"/>
      <c r="D50" s="2669" t="s">
        <v>5232</v>
      </c>
      <c r="E50" s="2666"/>
      <c r="F50" s="779">
        <f>(4.7*3.4)</f>
        <v>15.98</v>
      </c>
      <c r="G50" s="287"/>
      <c r="H50" s="2667"/>
      <c r="I50" s="2670"/>
      <c r="J50" s="2671"/>
    </row>
    <row r="51" spans="1:23" s="604" customFormat="1" ht="13.5" customHeight="1">
      <c r="A51" s="2664" t="s">
        <v>5233</v>
      </c>
      <c r="B51" s="557" t="s">
        <v>135</v>
      </c>
      <c r="C51" s="557">
        <v>174151101</v>
      </c>
      <c r="D51" s="557" t="s">
        <v>4579</v>
      </c>
      <c r="E51" s="557" t="s">
        <v>146</v>
      </c>
      <c r="F51" s="2659">
        <f>ROUND(SUM(F53:F56),3)</f>
        <v>101.873</v>
      </c>
      <c r="G51" s="288"/>
      <c r="H51" s="568">
        <f t="shared" ref="H51" si="7">ROUND(F51*G51,2)</f>
        <v>0</v>
      </c>
      <c r="I51" s="613" t="s">
        <v>137</v>
      </c>
      <c r="J51" s="610"/>
      <c r="K51" s="2663"/>
      <c r="U51" s="605"/>
      <c r="W51" s="605"/>
    </row>
    <row r="52" spans="1:23" s="604" customFormat="1" ht="13.5" customHeight="1">
      <c r="A52" s="595"/>
      <c r="B52" s="596"/>
      <c r="C52" s="597"/>
      <c r="D52" s="719" t="s">
        <v>5234</v>
      </c>
      <c r="E52" s="599"/>
      <c r="F52" s="600"/>
      <c r="G52" s="289"/>
      <c r="H52" s="601"/>
      <c r="I52" s="602"/>
      <c r="J52" s="610"/>
      <c r="U52" s="605"/>
      <c r="W52" s="605"/>
    </row>
    <row r="53" spans="1:23" s="604" customFormat="1" ht="13.5" customHeight="1">
      <c r="A53" s="595"/>
      <c r="B53" s="596"/>
      <c r="C53" s="597"/>
      <c r="D53" s="599" t="s">
        <v>5235</v>
      </c>
      <c r="E53" s="599"/>
      <c r="F53" s="600">
        <f>(3.5*2.2*3.8)</f>
        <v>29.26</v>
      </c>
      <c r="G53" s="289"/>
      <c r="H53" s="601"/>
      <c r="I53" s="602"/>
      <c r="J53" s="610"/>
      <c r="U53" s="605"/>
      <c r="W53" s="605"/>
    </row>
    <row r="54" spans="1:23" s="604" customFormat="1" ht="13.5" customHeight="1">
      <c r="A54" s="595"/>
      <c r="B54" s="596"/>
      <c r="C54" s="597"/>
      <c r="D54" s="599" t="s">
        <v>5236</v>
      </c>
      <c r="E54" s="599"/>
      <c r="F54" s="600">
        <f>-((2.2/2)*(2.2/2)*3.141592654*3.5)</f>
        <v>-13.304644889690003</v>
      </c>
      <c r="G54" s="289"/>
      <c r="H54" s="601"/>
      <c r="I54" s="602"/>
      <c r="J54" s="610"/>
      <c r="U54" s="605"/>
      <c r="W54" s="605"/>
    </row>
    <row r="55" spans="1:23" s="604" customFormat="1" ht="13.5" customHeight="1">
      <c r="A55" s="595"/>
      <c r="B55" s="596"/>
      <c r="C55" s="597"/>
      <c r="D55" s="599" t="s">
        <v>5237</v>
      </c>
      <c r="E55" s="599"/>
      <c r="F55" s="600"/>
      <c r="G55" s="289"/>
      <c r="H55" s="601"/>
      <c r="I55" s="602"/>
      <c r="J55" s="610"/>
      <c r="U55" s="605"/>
      <c r="W55" s="605"/>
    </row>
    <row r="56" spans="1:23" s="604" customFormat="1" ht="13.5" customHeight="1">
      <c r="A56" s="595"/>
      <c r="B56" s="596"/>
      <c r="C56" s="597"/>
      <c r="D56" s="599" t="s">
        <v>5238</v>
      </c>
      <c r="E56" s="599"/>
      <c r="F56" s="600">
        <f>(8.5+8.5+3.4+3.4)*3.61</f>
        <v>85.917999999999992</v>
      </c>
      <c r="G56" s="289"/>
      <c r="H56" s="601"/>
      <c r="I56" s="602"/>
      <c r="J56" s="610"/>
      <c r="U56" s="605"/>
      <c r="W56" s="605"/>
    </row>
    <row r="57" spans="1:23" ht="13.5" customHeight="1">
      <c r="A57" s="2672" t="s">
        <v>5239</v>
      </c>
      <c r="B57" s="730">
        <v>583</v>
      </c>
      <c r="C57" s="730">
        <v>58337302</v>
      </c>
      <c r="D57" s="730" t="s">
        <v>4684</v>
      </c>
      <c r="E57" s="730" t="s">
        <v>175</v>
      </c>
      <c r="F57" s="2673">
        <f>ROUND(SUM(F59),3)</f>
        <v>31.91</v>
      </c>
      <c r="G57" s="292"/>
      <c r="H57" s="733">
        <f t="shared" ref="H57" si="8">ROUND(F57*G57,2)</f>
        <v>0</v>
      </c>
      <c r="I57" s="734" t="s">
        <v>137</v>
      </c>
    </row>
    <row r="58" spans="1:23" s="604" customFormat="1" ht="13.5" customHeight="1">
      <c r="A58" s="2674"/>
      <c r="B58" s="2675"/>
      <c r="C58" s="2676"/>
      <c r="D58" s="738" t="s">
        <v>5240</v>
      </c>
      <c r="E58" s="739"/>
      <c r="F58" s="740"/>
      <c r="G58" s="293"/>
      <c r="H58" s="2677"/>
      <c r="I58" s="2678"/>
      <c r="J58" s="2679"/>
      <c r="K58" s="1581"/>
      <c r="L58" s="1581"/>
      <c r="M58" s="1581"/>
      <c r="N58" s="1581"/>
      <c r="O58" s="1581"/>
      <c r="U58" s="605"/>
      <c r="W58" s="605"/>
    </row>
    <row r="59" spans="1:23" s="604" customFormat="1" ht="13.5" customHeight="1">
      <c r="A59" s="2674"/>
      <c r="B59" s="2675"/>
      <c r="C59" s="2676"/>
      <c r="D59" s="739" t="s">
        <v>5241</v>
      </c>
      <c r="E59" s="739"/>
      <c r="F59" s="740">
        <f>(29.26-13.305)*2</f>
        <v>31.910000000000004</v>
      </c>
      <c r="G59" s="293"/>
      <c r="H59" s="2677"/>
      <c r="I59" s="2678"/>
      <c r="J59" s="2680"/>
      <c r="K59" s="2681"/>
      <c r="U59" s="605"/>
      <c r="W59" s="605"/>
    </row>
    <row r="60" spans="1:23" s="2686" customFormat="1" ht="13.5" customHeight="1">
      <c r="A60" s="2664" t="s">
        <v>1199</v>
      </c>
      <c r="B60" s="2682" t="s">
        <v>135</v>
      </c>
      <c r="C60" s="2683">
        <v>182151111</v>
      </c>
      <c r="D60" s="2683" t="s">
        <v>5242</v>
      </c>
      <c r="E60" s="2683" t="s">
        <v>163</v>
      </c>
      <c r="F60" s="2659">
        <f>ROUND(SUM(F62),3)</f>
        <v>66.724999999999994</v>
      </c>
      <c r="G60" s="312"/>
      <c r="H60" s="568">
        <f t="shared" ref="H60" si="9">ROUND(F60*G60,2)</f>
        <v>0</v>
      </c>
      <c r="I60" s="613" t="s">
        <v>137</v>
      </c>
      <c r="J60" s="2685"/>
    </row>
    <row r="61" spans="1:23" s="2686" customFormat="1" ht="27" customHeight="1">
      <c r="A61" s="2687"/>
      <c r="B61" s="2682"/>
      <c r="C61" s="2683"/>
      <c r="D61" s="2688" t="s">
        <v>5243</v>
      </c>
      <c r="E61" s="2683"/>
      <c r="F61" s="2689"/>
      <c r="G61" s="312"/>
      <c r="H61" s="2684"/>
      <c r="I61" s="2690"/>
      <c r="J61" s="2691"/>
      <c r="K61" s="2691"/>
    </row>
    <row r="62" spans="1:23" s="2686" customFormat="1" ht="13.5" customHeight="1">
      <c r="A62" s="2687"/>
      <c r="B62" s="2682"/>
      <c r="C62" s="2683"/>
      <c r="D62" s="2688" t="s">
        <v>5244</v>
      </c>
      <c r="E62" s="2683"/>
      <c r="F62" s="2689">
        <f>(4.25*(7.2+8.5+7.2+8.5))*0.5</f>
        <v>66.724999999999994</v>
      </c>
      <c r="G62" s="312"/>
      <c r="H62" s="2684"/>
      <c r="I62" s="2690"/>
      <c r="J62" s="2691"/>
      <c r="K62" s="2691"/>
    </row>
    <row r="63" spans="1:23" s="2686" customFormat="1" ht="13.5" customHeight="1">
      <c r="A63" s="2664" t="s">
        <v>883</v>
      </c>
      <c r="B63" s="2682" t="s">
        <v>135</v>
      </c>
      <c r="C63" s="2683">
        <v>182151112</v>
      </c>
      <c r="D63" s="2683" t="s">
        <v>5245</v>
      </c>
      <c r="E63" s="2683" t="s">
        <v>163</v>
      </c>
      <c r="F63" s="2659">
        <f>ROUND(SUM(F65),3)</f>
        <v>66.724999999999994</v>
      </c>
      <c r="G63" s="312"/>
      <c r="H63" s="568">
        <f t="shared" ref="H63" si="10">ROUND(F63*G63,2)</f>
        <v>0</v>
      </c>
      <c r="I63" s="613" t="s">
        <v>137</v>
      </c>
      <c r="J63" s="2692"/>
    </row>
    <row r="64" spans="1:23" s="2686" customFormat="1" ht="27" customHeight="1">
      <c r="A64" s="2687"/>
      <c r="B64" s="2682"/>
      <c r="C64" s="2683"/>
      <c r="D64" s="2688" t="s">
        <v>5243</v>
      </c>
      <c r="E64" s="2683"/>
      <c r="F64" s="2689"/>
      <c r="G64" s="312"/>
      <c r="H64" s="2684"/>
      <c r="I64" s="2690"/>
      <c r="J64" s="2691"/>
      <c r="K64" s="2691"/>
    </row>
    <row r="65" spans="1:256" s="2686" customFormat="1" ht="13.5" customHeight="1">
      <c r="A65" s="2687"/>
      <c r="B65" s="2682"/>
      <c r="C65" s="2683"/>
      <c r="D65" s="2688" t="s">
        <v>5244</v>
      </c>
      <c r="E65" s="2683"/>
      <c r="F65" s="2689">
        <f>(4.25*(7.2+8.5+7.2+8.5))*0.5</f>
        <v>66.724999999999994</v>
      </c>
      <c r="G65" s="312"/>
      <c r="H65" s="2684"/>
      <c r="I65" s="2690"/>
      <c r="J65" s="2691"/>
      <c r="K65" s="2691"/>
    </row>
    <row r="66" spans="1:256" s="1272" customFormat="1" ht="13.5" customHeight="1">
      <c r="A66" s="2693" t="s">
        <v>196</v>
      </c>
      <c r="B66" s="2694" t="s">
        <v>135</v>
      </c>
      <c r="C66" s="2695" t="s">
        <v>4782</v>
      </c>
      <c r="D66" s="2695" t="s">
        <v>4783</v>
      </c>
      <c r="E66" s="2695" t="s">
        <v>146</v>
      </c>
      <c r="F66" s="1258">
        <f>ROUND(SUM(F68,F70),3)</f>
        <v>85.918000000000006</v>
      </c>
      <c r="G66" s="1641">
        <f>ROUND(SUM(H72:H76)/F66,2)</f>
        <v>0</v>
      </c>
      <c r="H66" s="568">
        <f t="shared" ref="H66" si="11">ROUND(F66*G66,2)</f>
        <v>0</v>
      </c>
      <c r="I66" s="2696" t="s">
        <v>111</v>
      </c>
      <c r="J66" s="2697"/>
      <c r="K66" s="2698"/>
      <c r="L66" s="2698"/>
      <c r="M66" s="2697"/>
      <c r="N66" s="1644"/>
    </row>
    <row r="67" spans="1:256" s="1272" customFormat="1" ht="13.5" customHeight="1">
      <c r="A67" s="2693"/>
      <c r="B67" s="2694"/>
      <c r="C67" s="2695"/>
      <c r="D67" s="2699" t="s">
        <v>4784</v>
      </c>
      <c r="E67" s="2695"/>
      <c r="F67" s="2700"/>
      <c r="G67" s="346"/>
      <c r="H67" s="2701"/>
      <c r="I67" s="2696"/>
      <c r="J67" s="2697"/>
      <c r="K67" s="2698"/>
      <c r="L67" s="2698"/>
      <c r="M67" s="2697"/>
      <c r="N67" s="1644"/>
    </row>
    <row r="68" spans="1:256" s="593" customFormat="1" ht="13.5" customHeight="1">
      <c r="A68" s="2702"/>
      <c r="B68" s="790"/>
      <c r="C68" s="2695"/>
      <c r="D68" s="756" t="s">
        <v>182</v>
      </c>
      <c r="E68" s="1260"/>
      <c r="F68" s="758">
        <f>ROUND(SUM(F69:F69),3)</f>
        <v>42.959000000000003</v>
      </c>
      <c r="G68" s="879"/>
      <c r="H68" s="587"/>
      <c r="I68" s="1014"/>
      <c r="J68" s="2697"/>
      <c r="K68" s="2698"/>
      <c r="L68" s="2698"/>
      <c r="M68" s="2697"/>
      <c r="N68" s="1644"/>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3"/>
      <c r="FH68" s="213"/>
      <c r="FI68" s="213"/>
      <c r="FJ68" s="213"/>
      <c r="FK68" s="213"/>
      <c r="FL68" s="213"/>
      <c r="FM68" s="213"/>
      <c r="FN68" s="213"/>
      <c r="FO68" s="213"/>
      <c r="FP68" s="213"/>
      <c r="FQ68" s="213"/>
      <c r="FR68" s="213"/>
      <c r="FS68" s="213"/>
      <c r="FT68" s="213"/>
      <c r="FU68" s="213"/>
      <c r="FV68" s="213"/>
      <c r="FW68" s="213"/>
      <c r="FX68" s="213"/>
      <c r="FY68" s="213"/>
      <c r="FZ68" s="213"/>
      <c r="GA68" s="213"/>
      <c r="GB68" s="213"/>
      <c r="GC68" s="213"/>
      <c r="GD68" s="213"/>
      <c r="GE68" s="213"/>
      <c r="GF68" s="213"/>
      <c r="GG68" s="213"/>
      <c r="GH68" s="213"/>
      <c r="GI68" s="213"/>
      <c r="GJ68" s="213"/>
      <c r="GK68" s="213"/>
      <c r="GL68" s="213"/>
      <c r="GM68" s="213"/>
      <c r="GN68" s="213"/>
      <c r="GO68" s="213"/>
      <c r="GP68" s="213"/>
      <c r="GQ68" s="213"/>
      <c r="GR68" s="213"/>
      <c r="GS68" s="213"/>
      <c r="GT68" s="213"/>
      <c r="GU68" s="213"/>
      <c r="GV68" s="213"/>
      <c r="GW68" s="213"/>
      <c r="GX68" s="213"/>
      <c r="GY68" s="213"/>
      <c r="GZ68" s="213"/>
      <c r="HA68" s="213"/>
      <c r="HB68" s="213"/>
      <c r="HC68" s="213"/>
      <c r="HD68" s="213"/>
      <c r="HE68" s="213"/>
      <c r="HF68" s="213"/>
      <c r="HG68" s="213"/>
      <c r="HH68" s="213"/>
      <c r="HI68" s="213"/>
      <c r="HJ68" s="213"/>
      <c r="HK68" s="213"/>
      <c r="HL68" s="213"/>
      <c r="HM68" s="213"/>
      <c r="HN68" s="213"/>
      <c r="HO68" s="213"/>
      <c r="HP68" s="213"/>
      <c r="HQ68" s="213"/>
      <c r="HR68" s="213"/>
      <c r="HS68" s="213"/>
      <c r="HT68" s="213"/>
      <c r="HU68" s="213"/>
      <c r="HV68" s="213"/>
      <c r="HW68" s="213"/>
      <c r="HX68" s="213"/>
      <c r="HY68" s="213"/>
      <c r="HZ68" s="213"/>
      <c r="IA68" s="213"/>
      <c r="IB68" s="213"/>
      <c r="IC68" s="213"/>
      <c r="ID68" s="213"/>
      <c r="IE68" s="213"/>
      <c r="IF68" s="213"/>
      <c r="IG68" s="213"/>
      <c r="IH68" s="213"/>
      <c r="II68" s="213"/>
      <c r="IJ68" s="213"/>
      <c r="IK68" s="213"/>
      <c r="IL68" s="213"/>
      <c r="IM68" s="213"/>
      <c r="IN68" s="213"/>
      <c r="IO68" s="213"/>
      <c r="IP68" s="213"/>
      <c r="IQ68" s="213"/>
      <c r="IR68" s="213"/>
      <c r="IS68" s="213"/>
      <c r="IT68" s="213"/>
      <c r="IU68" s="213"/>
      <c r="IV68" s="213"/>
    </row>
    <row r="69" spans="1:256" s="1272" customFormat="1" ht="13.5" customHeight="1">
      <c r="A69" s="2703"/>
      <c r="B69" s="2704"/>
      <c r="C69" s="2705"/>
      <c r="D69" s="2699" t="s">
        <v>5246</v>
      </c>
      <c r="E69" s="2699"/>
      <c r="F69" s="2706">
        <f>(85.918)*(0.1+0.4)</f>
        <v>42.959000000000003</v>
      </c>
      <c r="G69" s="346"/>
      <c r="H69" s="2701"/>
      <c r="I69" s="2707"/>
      <c r="J69" s="2697"/>
      <c r="K69" s="2698"/>
      <c r="L69" s="2698"/>
      <c r="M69" s="2697"/>
      <c r="N69" s="1644"/>
    </row>
    <row r="70" spans="1:256" s="593" customFormat="1" ht="13.5" customHeight="1">
      <c r="A70" s="2702"/>
      <c r="B70" s="790"/>
      <c r="C70" s="2695"/>
      <c r="D70" s="756" t="s">
        <v>185</v>
      </c>
      <c r="E70" s="1260"/>
      <c r="F70" s="758">
        <f>ROUND(SUM(F71:F71),3)</f>
        <v>42.959000000000003</v>
      </c>
      <c r="G70" s="879"/>
      <c r="H70" s="587"/>
      <c r="I70" s="1014"/>
      <c r="J70" s="1262"/>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FO70" s="213"/>
      <c r="FP70" s="213"/>
      <c r="FQ70" s="213"/>
      <c r="FR70" s="213"/>
      <c r="FS70" s="213"/>
      <c r="FT70" s="213"/>
      <c r="FU70" s="213"/>
      <c r="FV70" s="213"/>
      <c r="FW70" s="213"/>
      <c r="FX70" s="213"/>
      <c r="FY70" s="213"/>
      <c r="FZ70" s="213"/>
      <c r="GA70" s="213"/>
      <c r="GB70" s="213"/>
      <c r="GC70" s="213"/>
      <c r="GD70" s="213"/>
      <c r="GE70" s="213"/>
      <c r="GF70" s="213"/>
      <c r="GG70" s="213"/>
      <c r="GH70" s="213"/>
      <c r="GI70" s="213"/>
      <c r="GJ70" s="213"/>
      <c r="GK70" s="213"/>
      <c r="GL70" s="213"/>
      <c r="GM70" s="213"/>
      <c r="GN70" s="213"/>
      <c r="GO70" s="213"/>
      <c r="GP70" s="213"/>
      <c r="GQ70" s="213"/>
      <c r="GR70" s="213"/>
      <c r="GS70" s="213"/>
      <c r="GT70" s="213"/>
      <c r="GU70" s="213"/>
      <c r="GV70" s="213"/>
      <c r="GW70" s="213"/>
      <c r="GX70" s="213"/>
      <c r="GY70" s="213"/>
      <c r="GZ70" s="213"/>
      <c r="HA70" s="213"/>
      <c r="HB70" s="213"/>
      <c r="HC70" s="213"/>
      <c r="HD70" s="213"/>
      <c r="HE70" s="213"/>
      <c r="HF70" s="213"/>
      <c r="HG70" s="213"/>
      <c r="HH70" s="213"/>
      <c r="HI70" s="213"/>
      <c r="HJ70" s="213"/>
      <c r="HK70" s="213"/>
      <c r="HL70" s="213"/>
      <c r="HM70" s="213"/>
      <c r="HN70" s="213"/>
      <c r="HO70" s="213"/>
      <c r="HP70" s="213"/>
      <c r="HQ70" s="213"/>
      <c r="HR70" s="213"/>
      <c r="HS70" s="213"/>
      <c r="HT70" s="213"/>
      <c r="HU70" s="213"/>
      <c r="HV70" s="213"/>
      <c r="HW70" s="213"/>
      <c r="HX70" s="213"/>
      <c r="HY70" s="213"/>
      <c r="HZ70" s="213"/>
      <c r="IA70" s="213"/>
      <c r="IB70" s="213"/>
      <c r="IC70" s="213"/>
      <c r="ID70" s="213"/>
      <c r="IE70" s="213"/>
      <c r="IF70" s="213"/>
      <c r="IG70" s="213"/>
      <c r="IH70" s="213"/>
      <c r="II70" s="213"/>
      <c r="IJ70" s="213"/>
      <c r="IK70" s="213"/>
      <c r="IL70" s="213"/>
      <c r="IM70" s="213"/>
      <c r="IN70" s="213"/>
      <c r="IO70" s="213"/>
      <c r="IP70" s="213"/>
      <c r="IQ70" s="213"/>
      <c r="IR70" s="213"/>
      <c r="IS70" s="213"/>
      <c r="IT70" s="213"/>
      <c r="IU70" s="213"/>
      <c r="IV70" s="213"/>
    </row>
    <row r="71" spans="1:256" s="1272" customFormat="1" ht="13.5" customHeight="1">
      <c r="A71" s="2703"/>
      <c r="B71" s="2704"/>
      <c r="C71" s="2705"/>
      <c r="D71" s="2699" t="s">
        <v>5247</v>
      </c>
      <c r="E71" s="2699"/>
      <c r="F71" s="2706">
        <f>(85.918)*((0.1+0.3)+(0.1))</f>
        <v>42.959000000000003</v>
      </c>
      <c r="G71" s="346"/>
      <c r="H71" s="2701"/>
      <c r="I71" s="2707"/>
      <c r="J71" s="2708"/>
      <c r="K71" s="2698"/>
      <c r="L71" s="2698"/>
      <c r="M71" s="2697"/>
      <c r="N71" s="1644"/>
    </row>
    <row r="72" spans="1:256" s="1272" customFormat="1" ht="13.5" customHeight="1">
      <c r="A72" s="2709" t="s">
        <v>5248</v>
      </c>
      <c r="B72" s="2695"/>
      <c r="C72" s="777">
        <v>167151101</v>
      </c>
      <c r="D72" s="2699" t="s">
        <v>2401</v>
      </c>
      <c r="E72" s="1026" t="s">
        <v>146</v>
      </c>
      <c r="F72" s="2706">
        <f>F68</f>
        <v>42.959000000000003</v>
      </c>
      <c r="G72" s="354"/>
      <c r="H72" s="2710">
        <f t="shared" ref="H72:H76" si="12">ROUND(F72*G72,2)</f>
        <v>0</v>
      </c>
      <c r="I72" s="781" t="s">
        <v>137</v>
      </c>
      <c r="J72" s="2697"/>
      <c r="K72" s="2698"/>
      <c r="L72" s="2698"/>
      <c r="M72" s="2697"/>
      <c r="N72" s="1644"/>
      <c r="O72" s="612"/>
      <c r="P72" s="612"/>
      <c r="Q72" s="612"/>
      <c r="R72" s="612"/>
      <c r="S72" s="788"/>
      <c r="V72" s="612"/>
    </row>
    <row r="73" spans="1:256" s="1272" customFormat="1" ht="13.5" customHeight="1">
      <c r="A73" s="2711" t="s">
        <v>5249</v>
      </c>
      <c r="B73" s="2695"/>
      <c r="C73" s="777">
        <v>167151102</v>
      </c>
      <c r="D73" s="2699" t="s">
        <v>4789</v>
      </c>
      <c r="E73" s="2699" t="s">
        <v>146</v>
      </c>
      <c r="F73" s="2706">
        <f>F70</f>
        <v>42.959000000000003</v>
      </c>
      <c r="G73" s="354"/>
      <c r="H73" s="2710">
        <f t="shared" si="12"/>
        <v>0</v>
      </c>
      <c r="I73" s="781" t="s">
        <v>137</v>
      </c>
      <c r="J73" s="783"/>
      <c r="K73" s="783"/>
      <c r="L73" s="2712"/>
      <c r="M73" s="2712"/>
      <c r="N73" s="2712"/>
      <c r="Q73" s="2712"/>
      <c r="V73" s="2713"/>
    </row>
    <row r="74" spans="1:256" s="1272" customFormat="1" ht="27" customHeight="1">
      <c r="A74" s="2709" t="s">
        <v>5250</v>
      </c>
      <c r="B74" s="2695"/>
      <c r="C74" s="777">
        <v>162351103</v>
      </c>
      <c r="D74" s="2699" t="s">
        <v>4791</v>
      </c>
      <c r="E74" s="1026" t="s">
        <v>146</v>
      </c>
      <c r="F74" s="2706">
        <f>F68</f>
        <v>42.959000000000003</v>
      </c>
      <c r="G74" s="354"/>
      <c r="H74" s="2710">
        <f t="shared" si="12"/>
        <v>0</v>
      </c>
      <c r="I74" s="781" t="s">
        <v>137</v>
      </c>
      <c r="J74" s="2697"/>
      <c r="K74" s="2698"/>
      <c r="L74" s="2698"/>
      <c r="M74" s="2697"/>
      <c r="N74" s="1644"/>
      <c r="O74" s="1231"/>
    </row>
    <row r="75" spans="1:256" s="1272" customFormat="1" ht="27" customHeight="1">
      <c r="A75" s="2711" t="s">
        <v>5251</v>
      </c>
      <c r="B75" s="2695"/>
      <c r="C75" s="777">
        <v>162351123</v>
      </c>
      <c r="D75" s="2699" t="s">
        <v>4793</v>
      </c>
      <c r="E75" s="2699" t="s">
        <v>146</v>
      </c>
      <c r="F75" s="2706">
        <f>F70</f>
        <v>42.959000000000003</v>
      </c>
      <c r="G75" s="354"/>
      <c r="H75" s="2710">
        <f t="shared" si="12"/>
        <v>0</v>
      </c>
      <c r="I75" s="781" t="s">
        <v>137</v>
      </c>
      <c r="J75" s="783"/>
      <c r="K75" s="783"/>
      <c r="L75" s="2712"/>
      <c r="M75" s="2712"/>
      <c r="N75" s="2712"/>
      <c r="Q75" s="2712"/>
      <c r="V75" s="2714"/>
    </row>
    <row r="76" spans="1:256" s="1272" customFormat="1" ht="13.5" customHeight="1">
      <c r="A76" s="2709" t="s">
        <v>5252</v>
      </c>
      <c r="B76" s="2695"/>
      <c r="C76" s="777">
        <v>171251201</v>
      </c>
      <c r="D76" s="2699" t="s">
        <v>4795</v>
      </c>
      <c r="E76" s="1026" t="s">
        <v>146</v>
      </c>
      <c r="F76" s="2706">
        <f>F66</f>
        <v>85.918000000000006</v>
      </c>
      <c r="G76" s="354"/>
      <c r="H76" s="2710">
        <f t="shared" si="12"/>
        <v>0</v>
      </c>
      <c r="I76" s="781" t="s">
        <v>137</v>
      </c>
      <c r="J76" s="2697"/>
      <c r="K76" s="2698"/>
      <c r="L76" s="2698"/>
      <c r="M76" s="2697"/>
      <c r="N76" s="1644"/>
      <c r="O76" s="612"/>
      <c r="P76" s="612"/>
      <c r="Q76" s="612"/>
      <c r="R76" s="612"/>
      <c r="S76" s="788"/>
      <c r="V76" s="612"/>
    </row>
    <row r="77" spans="1:256" s="1272" customFormat="1" ht="13.5" customHeight="1">
      <c r="A77" s="2693"/>
      <c r="B77" s="2695"/>
      <c r="C77" s="2695"/>
      <c r="D77" s="2699" t="s">
        <v>4796</v>
      </c>
      <c r="E77" s="2695"/>
      <c r="F77" s="2715"/>
      <c r="G77" s="355"/>
      <c r="H77" s="2701"/>
      <c r="I77" s="2696"/>
      <c r="J77" s="2697"/>
      <c r="K77" s="2698"/>
      <c r="L77" s="2698"/>
      <c r="M77" s="2697"/>
      <c r="N77" s="1644"/>
    </row>
    <row r="78" spans="1:256" s="1272" customFormat="1" ht="13.5" customHeight="1">
      <c r="A78" s="2693" t="s">
        <v>202</v>
      </c>
      <c r="B78" s="2694" t="s">
        <v>135</v>
      </c>
      <c r="C78" s="2695" t="s">
        <v>4797</v>
      </c>
      <c r="D78" s="2695" t="s">
        <v>4798</v>
      </c>
      <c r="E78" s="2695" t="s">
        <v>146</v>
      </c>
      <c r="F78" s="1258">
        <f>ROUND(SUM(F80,F82),3)</f>
        <v>85.918000000000006</v>
      </c>
      <c r="G78" s="1641">
        <f>ROUND(SUM(H84:H87)/F78,2)</f>
        <v>0</v>
      </c>
      <c r="H78" s="1242">
        <f t="shared" ref="H78" si="13">ROUND(F78*G78,2)</f>
        <v>0</v>
      </c>
      <c r="I78" s="2696" t="s">
        <v>111</v>
      </c>
      <c r="J78" s="2697"/>
      <c r="K78" s="2698"/>
      <c r="L78" s="2698"/>
      <c r="M78" s="2697"/>
      <c r="N78" s="1644"/>
    </row>
    <row r="79" spans="1:256" s="1272" customFormat="1" ht="13.5" customHeight="1">
      <c r="A79" s="2703"/>
      <c r="B79" s="2704"/>
      <c r="C79" s="2705"/>
      <c r="D79" s="2699" t="s">
        <v>4799</v>
      </c>
      <c r="E79" s="2699"/>
      <c r="F79" s="2706"/>
      <c r="G79" s="346"/>
      <c r="H79" s="2701"/>
      <c r="I79" s="2707"/>
      <c r="J79" s="2697"/>
      <c r="K79" s="2698"/>
      <c r="L79" s="2698"/>
      <c r="M79" s="2697"/>
      <c r="N79" s="1644"/>
      <c r="U79" s="2714"/>
    </row>
    <row r="80" spans="1:256" s="593" customFormat="1" ht="13.5" customHeight="1">
      <c r="A80" s="2702"/>
      <c r="B80" s="790"/>
      <c r="C80" s="2695"/>
      <c r="D80" s="756" t="s">
        <v>4800</v>
      </c>
      <c r="E80" s="1260"/>
      <c r="F80" s="758">
        <f>ROUND(SUM(F81:F81),3)</f>
        <v>42.959000000000003</v>
      </c>
      <c r="G80" s="879"/>
      <c r="H80" s="587"/>
      <c r="I80" s="1014"/>
      <c r="J80" s="2697"/>
      <c r="K80" s="2698"/>
      <c r="L80" s="2698"/>
      <c r="M80" s="2697"/>
      <c r="N80" s="1644"/>
      <c r="O80" s="213"/>
      <c r="P80" s="213"/>
      <c r="Q80" s="213"/>
      <c r="S80" s="213"/>
      <c r="U80" s="2714"/>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13"/>
      <c r="HL80" s="213"/>
      <c r="HM80" s="213"/>
      <c r="HN80" s="213"/>
      <c r="HO80" s="213"/>
      <c r="HP80" s="213"/>
      <c r="HQ80" s="213"/>
      <c r="HR80" s="213"/>
      <c r="HS80" s="213"/>
      <c r="HT80" s="213"/>
      <c r="HU80" s="213"/>
      <c r="HV80" s="213"/>
      <c r="HW80" s="213"/>
      <c r="HX80" s="213"/>
      <c r="HY80" s="213"/>
      <c r="HZ80" s="213"/>
      <c r="IA80" s="213"/>
      <c r="IB80" s="213"/>
      <c r="IC80" s="213"/>
      <c r="ID80" s="213"/>
      <c r="IE80" s="213"/>
      <c r="IF80" s="213"/>
      <c r="IG80" s="213"/>
      <c r="IH80" s="213"/>
      <c r="II80" s="213"/>
      <c r="IJ80" s="213"/>
      <c r="IK80" s="213"/>
      <c r="IL80" s="213"/>
      <c r="IM80" s="213"/>
      <c r="IN80" s="213"/>
      <c r="IO80" s="213"/>
      <c r="IP80" s="213"/>
      <c r="IQ80" s="213"/>
      <c r="IR80" s="213"/>
      <c r="IS80" s="213"/>
      <c r="IT80" s="213"/>
      <c r="IU80" s="213"/>
      <c r="IV80" s="213"/>
    </row>
    <row r="81" spans="1:256" s="1272" customFormat="1" ht="13.5" customHeight="1">
      <c r="A81" s="2703"/>
      <c r="B81" s="2704"/>
      <c r="C81" s="2705"/>
      <c r="D81" s="2699" t="s">
        <v>5253</v>
      </c>
      <c r="E81" s="2699"/>
      <c r="F81" s="2706">
        <f>(85.918)*(0.1+0.4)</f>
        <v>42.959000000000003</v>
      </c>
      <c r="G81" s="346"/>
      <c r="H81" s="2701"/>
      <c r="I81" s="2707"/>
      <c r="J81" s="2697"/>
      <c r="K81" s="2698"/>
      <c r="L81" s="2698"/>
      <c r="M81" s="2697"/>
      <c r="N81" s="1644"/>
      <c r="U81" s="2714"/>
    </row>
    <row r="82" spans="1:256" s="593" customFormat="1" ht="13.5" customHeight="1">
      <c r="A82" s="2702"/>
      <c r="B82" s="790"/>
      <c r="C82" s="2695"/>
      <c r="D82" s="756" t="s">
        <v>4802</v>
      </c>
      <c r="E82" s="1260"/>
      <c r="F82" s="758">
        <f>ROUND(SUM(F83:F83),3)</f>
        <v>42.959000000000003</v>
      </c>
      <c r="G82" s="879"/>
      <c r="H82" s="587"/>
      <c r="I82" s="1014"/>
      <c r="J82" s="2716"/>
      <c r="L82" s="213"/>
      <c r="M82" s="213"/>
      <c r="N82" s="213"/>
      <c r="O82" s="213"/>
      <c r="P82" s="213"/>
      <c r="Q82" s="213"/>
      <c r="S82" s="213"/>
      <c r="U82" s="2714"/>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c r="FX82" s="213"/>
      <c r="FY82" s="213"/>
      <c r="FZ82" s="213"/>
      <c r="GA82" s="213"/>
      <c r="GB82" s="213"/>
      <c r="GC82" s="213"/>
      <c r="GD82" s="213"/>
      <c r="GE82" s="213"/>
      <c r="GF82" s="213"/>
      <c r="GG82" s="213"/>
      <c r="GH82" s="213"/>
      <c r="GI82" s="213"/>
      <c r="GJ82" s="213"/>
      <c r="GK82" s="213"/>
      <c r="GL82" s="213"/>
      <c r="GM82" s="213"/>
      <c r="GN82" s="213"/>
      <c r="GO82" s="213"/>
      <c r="GP82" s="213"/>
      <c r="GQ82" s="213"/>
      <c r="GR82" s="213"/>
      <c r="GS82" s="213"/>
      <c r="GT82" s="213"/>
      <c r="GU82" s="213"/>
      <c r="GV82" s="213"/>
      <c r="GW82" s="213"/>
      <c r="GX82" s="213"/>
      <c r="GY82" s="213"/>
      <c r="GZ82" s="213"/>
      <c r="HA82" s="213"/>
      <c r="HB82" s="213"/>
      <c r="HC82" s="213"/>
      <c r="HD82" s="213"/>
      <c r="HE82" s="213"/>
      <c r="HF82" s="213"/>
      <c r="HG82" s="213"/>
      <c r="HH82" s="213"/>
      <c r="HI82" s="213"/>
      <c r="HJ82" s="213"/>
      <c r="HK82" s="213"/>
      <c r="HL82" s="213"/>
      <c r="HM82" s="213"/>
      <c r="HN82" s="213"/>
      <c r="HO82" s="213"/>
      <c r="HP82" s="213"/>
      <c r="HQ82" s="213"/>
      <c r="HR82" s="213"/>
      <c r="HS82" s="213"/>
      <c r="HT82" s="213"/>
      <c r="HU82" s="213"/>
      <c r="HV82" s="213"/>
      <c r="HW82" s="213"/>
      <c r="HX82" s="213"/>
      <c r="HY82" s="213"/>
      <c r="HZ82" s="213"/>
      <c r="IA82" s="213"/>
      <c r="IB82" s="213"/>
      <c r="IC82" s="213"/>
      <c r="ID82" s="213"/>
      <c r="IE82" s="213"/>
      <c r="IF82" s="213"/>
      <c r="IG82" s="213"/>
      <c r="IH82" s="213"/>
      <c r="II82" s="213"/>
      <c r="IJ82" s="213"/>
      <c r="IK82" s="213"/>
      <c r="IL82" s="213"/>
      <c r="IM82" s="213"/>
      <c r="IN82" s="213"/>
      <c r="IO82" s="213"/>
      <c r="IP82" s="213"/>
      <c r="IQ82" s="213"/>
      <c r="IR82" s="213"/>
      <c r="IS82" s="213"/>
      <c r="IT82" s="213"/>
      <c r="IU82" s="213"/>
      <c r="IV82" s="213"/>
    </row>
    <row r="83" spans="1:256" s="1272" customFormat="1" ht="13.5" customHeight="1">
      <c r="A83" s="2703"/>
      <c r="B83" s="2704"/>
      <c r="C83" s="2705"/>
      <c r="D83" s="2699" t="s">
        <v>5254</v>
      </c>
      <c r="E83" s="2699"/>
      <c r="F83" s="2706">
        <f>(85.918)*((0.1+0.3)+(0.1))</f>
        <v>42.959000000000003</v>
      </c>
      <c r="G83" s="346"/>
      <c r="H83" s="2701"/>
      <c r="I83" s="2707"/>
      <c r="U83" s="2714"/>
    </row>
    <row r="84" spans="1:256" s="1272" customFormat="1" ht="13.5" customHeight="1">
      <c r="A84" s="2709" t="s">
        <v>5255</v>
      </c>
      <c r="B84" s="2695"/>
      <c r="C84" s="777">
        <v>167151101</v>
      </c>
      <c r="D84" s="2699" t="s">
        <v>2401</v>
      </c>
      <c r="E84" s="1026" t="s">
        <v>146</v>
      </c>
      <c r="F84" s="2706">
        <f>F80</f>
        <v>42.959000000000003</v>
      </c>
      <c r="G84" s="354"/>
      <c r="H84" s="2710">
        <f t="shared" ref="H84:H87" si="14">ROUND(F84*G84,2)</f>
        <v>0</v>
      </c>
      <c r="I84" s="781" t="s">
        <v>137</v>
      </c>
      <c r="J84" s="2697"/>
      <c r="K84" s="2698"/>
      <c r="L84" s="2698"/>
      <c r="M84" s="2697"/>
      <c r="N84" s="1644"/>
      <c r="O84" s="612"/>
      <c r="P84" s="612"/>
      <c r="Q84" s="612"/>
      <c r="R84" s="612"/>
      <c r="S84" s="788"/>
      <c r="V84" s="612"/>
    </row>
    <row r="85" spans="1:256" s="1272" customFormat="1" ht="13.5" customHeight="1">
      <c r="A85" s="2711" t="s">
        <v>5256</v>
      </c>
      <c r="B85" s="2695"/>
      <c r="C85" s="777">
        <v>167151102</v>
      </c>
      <c r="D85" s="2699" t="s">
        <v>4789</v>
      </c>
      <c r="E85" s="2699" t="s">
        <v>146</v>
      </c>
      <c r="F85" s="2706">
        <f>F82</f>
        <v>42.959000000000003</v>
      </c>
      <c r="G85" s="354"/>
      <c r="H85" s="2710">
        <f t="shared" si="14"/>
        <v>0</v>
      </c>
      <c r="I85" s="781" t="s">
        <v>137</v>
      </c>
      <c r="J85" s="783"/>
      <c r="K85" s="783"/>
      <c r="L85" s="2712"/>
      <c r="M85" s="2712"/>
      <c r="N85" s="2712"/>
      <c r="Q85" s="2712"/>
      <c r="V85" s="2713"/>
    </row>
    <row r="86" spans="1:256" s="1272" customFormat="1" ht="27" customHeight="1">
      <c r="A86" s="2709" t="s">
        <v>5257</v>
      </c>
      <c r="B86" s="2695"/>
      <c r="C86" s="777">
        <v>162351103</v>
      </c>
      <c r="D86" s="2699" t="s">
        <v>4791</v>
      </c>
      <c r="E86" s="1026" t="s">
        <v>146</v>
      </c>
      <c r="F86" s="2706">
        <f>F80</f>
        <v>42.959000000000003</v>
      </c>
      <c r="G86" s="354"/>
      <c r="H86" s="2710">
        <f t="shared" si="14"/>
        <v>0</v>
      </c>
      <c r="I86" s="781" t="s">
        <v>137</v>
      </c>
      <c r="J86" s="2697"/>
      <c r="K86" s="2698"/>
      <c r="L86" s="2698"/>
      <c r="M86" s="2697"/>
      <c r="N86" s="1644"/>
      <c r="O86" s="1231"/>
    </row>
    <row r="87" spans="1:256" s="1272" customFormat="1" ht="27" customHeight="1">
      <c r="A87" s="2711" t="s">
        <v>5258</v>
      </c>
      <c r="B87" s="2695"/>
      <c r="C87" s="777">
        <v>162351123</v>
      </c>
      <c r="D87" s="2699" t="s">
        <v>4793</v>
      </c>
      <c r="E87" s="2699" t="s">
        <v>146</v>
      </c>
      <c r="F87" s="2706">
        <f>F82</f>
        <v>42.959000000000003</v>
      </c>
      <c r="G87" s="354"/>
      <c r="H87" s="2710">
        <f t="shared" si="14"/>
        <v>0</v>
      </c>
      <c r="I87" s="781" t="s">
        <v>137</v>
      </c>
      <c r="J87" s="783"/>
      <c r="K87" s="783"/>
      <c r="L87" s="2712"/>
      <c r="M87" s="2712"/>
      <c r="N87" s="2712"/>
      <c r="Q87" s="2712"/>
      <c r="V87" s="2714"/>
    </row>
    <row r="88" spans="1:256" s="1272" customFormat="1" ht="27" customHeight="1">
      <c r="A88" s="2709"/>
      <c r="B88" s="2695"/>
      <c r="C88" s="2695"/>
      <c r="D88" s="2717" t="s">
        <v>4808</v>
      </c>
      <c r="E88" s="1026"/>
      <c r="F88" s="2706"/>
      <c r="G88" s="356"/>
      <c r="H88" s="2715"/>
      <c r="I88" s="781"/>
      <c r="J88" s="2697"/>
      <c r="K88" s="2698"/>
      <c r="L88" s="2698"/>
      <c r="M88" s="2697"/>
      <c r="N88" s="1644"/>
    </row>
    <row r="89" spans="1:256" s="796" customFormat="1" ht="27" customHeight="1">
      <c r="A89" s="1015">
        <v>20</v>
      </c>
      <c r="B89" s="1016" t="s">
        <v>135</v>
      </c>
      <c r="C89" s="1648" t="s">
        <v>180</v>
      </c>
      <c r="D89" s="1648" t="s">
        <v>6330</v>
      </c>
      <c r="E89" s="1648" t="s">
        <v>146</v>
      </c>
      <c r="F89" s="2659">
        <f>ROUND(SUM(F91,F94),3)</f>
        <v>30.8</v>
      </c>
      <c r="G89" s="2718">
        <f>ROUND(SUM(H97:H102)/F89,2)</f>
        <v>0</v>
      </c>
      <c r="H89" s="568">
        <f>ROUND(F89*G89,2)</f>
        <v>0</v>
      </c>
      <c r="I89" s="2719" t="s">
        <v>111</v>
      </c>
      <c r="J89" s="2720"/>
      <c r="L89" s="797"/>
      <c r="M89" s="797"/>
      <c r="N89" s="797"/>
      <c r="O89" s="797"/>
      <c r="P89" s="797"/>
      <c r="Q89" s="797"/>
      <c r="R89" s="797"/>
      <c r="S89" s="797"/>
      <c r="V89" s="797"/>
      <c r="W89" s="797"/>
      <c r="X89" s="797"/>
      <c r="Y89" s="797"/>
      <c r="Z89" s="797"/>
      <c r="AA89" s="797"/>
      <c r="AB89" s="797"/>
      <c r="AC89" s="797"/>
      <c r="AD89" s="797"/>
      <c r="AE89" s="797"/>
      <c r="AF89" s="797"/>
      <c r="AG89" s="797"/>
      <c r="AH89" s="797"/>
      <c r="AI89" s="797"/>
      <c r="AJ89" s="797"/>
      <c r="AK89" s="797"/>
      <c r="AL89" s="797"/>
      <c r="AM89" s="797"/>
      <c r="AN89" s="797"/>
      <c r="AO89" s="797"/>
      <c r="AP89" s="797"/>
      <c r="AQ89" s="797"/>
      <c r="AR89" s="797"/>
      <c r="AS89" s="797"/>
      <c r="AT89" s="797"/>
      <c r="AU89" s="797"/>
      <c r="AV89" s="797"/>
      <c r="AW89" s="797"/>
      <c r="AX89" s="797"/>
      <c r="AY89" s="797"/>
      <c r="AZ89" s="797"/>
      <c r="BA89" s="797"/>
      <c r="BB89" s="797"/>
      <c r="BC89" s="797"/>
      <c r="BD89" s="797"/>
      <c r="BE89" s="797"/>
      <c r="BF89" s="797"/>
      <c r="BG89" s="797"/>
      <c r="BH89" s="797"/>
      <c r="BI89" s="797"/>
      <c r="BJ89" s="797"/>
      <c r="BK89" s="797"/>
      <c r="BL89" s="797"/>
      <c r="BM89" s="797"/>
      <c r="BN89" s="797"/>
      <c r="BO89" s="797"/>
      <c r="BP89" s="797"/>
      <c r="BQ89" s="797"/>
      <c r="BR89" s="797"/>
      <c r="BS89" s="797"/>
      <c r="BT89" s="797"/>
      <c r="BU89" s="797"/>
      <c r="BV89" s="797"/>
      <c r="BW89" s="797"/>
      <c r="BX89" s="797"/>
      <c r="BY89" s="797"/>
      <c r="BZ89" s="797"/>
      <c r="CA89" s="797"/>
      <c r="CB89" s="797"/>
      <c r="CC89" s="797"/>
      <c r="CD89" s="797"/>
      <c r="CE89" s="797"/>
      <c r="CF89" s="797"/>
      <c r="CG89" s="797"/>
      <c r="CH89" s="797"/>
      <c r="CI89" s="797"/>
      <c r="CJ89" s="797"/>
      <c r="CK89" s="797"/>
      <c r="CL89" s="797"/>
      <c r="CM89" s="797"/>
      <c r="CN89" s="797"/>
      <c r="CO89" s="797"/>
      <c r="CP89" s="797"/>
      <c r="CQ89" s="797"/>
      <c r="CR89" s="797"/>
      <c r="CS89" s="797"/>
      <c r="CT89" s="797"/>
      <c r="CU89" s="797"/>
      <c r="CV89" s="797"/>
      <c r="CW89" s="797"/>
      <c r="CX89" s="797"/>
      <c r="CY89" s="797"/>
      <c r="CZ89" s="797"/>
      <c r="DA89" s="797"/>
      <c r="DB89" s="797"/>
      <c r="DC89" s="797"/>
      <c r="DD89" s="797"/>
      <c r="DE89" s="797"/>
      <c r="DF89" s="797"/>
      <c r="DG89" s="797"/>
      <c r="DH89" s="797"/>
      <c r="DI89" s="797"/>
      <c r="DJ89" s="797"/>
      <c r="DK89" s="797"/>
      <c r="DL89" s="797"/>
      <c r="DM89" s="797"/>
      <c r="DN89" s="797"/>
      <c r="DO89" s="797"/>
      <c r="DP89" s="797"/>
      <c r="DQ89" s="797"/>
      <c r="DR89" s="797"/>
      <c r="DS89" s="797"/>
      <c r="DT89" s="797"/>
      <c r="DU89" s="797"/>
      <c r="DV89" s="797"/>
      <c r="DW89" s="797"/>
      <c r="DX89" s="797"/>
      <c r="DY89" s="797"/>
      <c r="DZ89" s="797"/>
      <c r="EA89" s="797"/>
      <c r="EB89" s="797"/>
      <c r="EC89" s="797"/>
      <c r="ED89" s="797"/>
      <c r="EE89" s="797"/>
      <c r="EF89" s="797"/>
      <c r="EG89" s="797"/>
      <c r="EH89" s="797"/>
      <c r="EI89" s="797"/>
      <c r="EJ89" s="797"/>
      <c r="EK89" s="797"/>
      <c r="EL89" s="797"/>
      <c r="EM89" s="797"/>
      <c r="EN89" s="797"/>
      <c r="EO89" s="797"/>
      <c r="EP89" s="797"/>
      <c r="EQ89" s="797"/>
      <c r="ER89" s="797"/>
      <c r="ES89" s="797"/>
      <c r="ET89" s="797"/>
      <c r="EU89" s="797"/>
      <c r="EV89" s="797"/>
      <c r="EW89" s="797"/>
      <c r="EX89" s="797"/>
      <c r="EY89" s="797"/>
      <c r="EZ89" s="797"/>
      <c r="FA89" s="797"/>
      <c r="FB89" s="797"/>
      <c r="FC89" s="797"/>
      <c r="FD89" s="797"/>
      <c r="FE89" s="797"/>
      <c r="FF89" s="797"/>
      <c r="FG89" s="797"/>
      <c r="FH89" s="797"/>
      <c r="FI89" s="797"/>
      <c r="FJ89" s="797"/>
      <c r="FK89" s="797"/>
      <c r="FL89" s="797"/>
      <c r="FM89" s="797"/>
      <c r="FN89" s="797"/>
      <c r="FO89" s="797"/>
      <c r="FP89" s="797"/>
      <c r="FQ89" s="797"/>
      <c r="FR89" s="797"/>
      <c r="FS89" s="797"/>
      <c r="FT89" s="797"/>
      <c r="FU89" s="797"/>
      <c r="FV89" s="797"/>
      <c r="FW89" s="797"/>
      <c r="FX89" s="797"/>
      <c r="FY89" s="797"/>
      <c r="FZ89" s="797"/>
      <c r="GA89" s="797"/>
      <c r="GB89" s="797"/>
      <c r="GC89" s="797"/>
      <c r="GD89" s="797"/>
      <c r="GE89" s="797"/>
      <c r="GF89" s="797"/>
      <c r="GG89" s="797"/>
      <c r="GH89" s="797"/>
      <c r="GI89" s="797"/>
      <c r="GJ89" s="797"/>
      <c r="GK89" s="797"/>
      <c r="GL89" s="797"/>
      <c r="GM89" s="797"/>
      <c r="GN89" s="797"/>
      <c r="GO89" s="797"/>
      <c r="GP89" s="797"/>
      <c r="GQ89" s="797"/>
      <c r="GR89" s="797"/>
      <c r="GS89" s="797"/>
      <c r="GT89" s="797"/>
      <c r="GU89" s="797"/>
      <c r="GV89" s="797"/>
      <c r="GW89" s="797"/>
      <c r="GX89" s="797"/>
      <c r="GY89" s="797"/>
      <c r="GZ89" s="797"/>
      <c r="HA89" s="797"/>
      <c r="HB89" s="797"/>
      <c r="HC89" s="797"/>
      <c r="HD89" s="797"/>
      <c r="HE89" s="797"/>
      <c r="HF89" s="797"/>
      <c r="HG89" s="797"/>
      <c r="HH89" s="797"/>
      <c r="HI89" s="797"/>
      <c r="HJ89" s="797"/>
      <c r="HK89" s="797"/>
      <c r="HL89" s="797"/>
      <c r="HM89" s="797"/>
      <c r="HN89" s="797"/>
      <c r="HO89" s="797"/>
      <c r="HP89" s="797"/>
      <c r="HQ89" s="797"/>
      <c r="HR89" s="797"/>
      <c r="HS89" s="797"/>
      <c r="HT89" s="797"/>
      <c r="HU89" s="797"/>
      <c r="HV89" s="797"/>
      <c r="HW89" s="797"/>
      <c r="HX89" s="797"/>
      <c r="HY89" s="797"/>
      <c r="HZ89" s="797"/>
      <c r="IA89" s="797"/>
      <c r="IB89" s="797"/>
      <c r="IC89" s="797"/>
      <c r="ID89" s="797"/>
      <c r="IE89" s="797"/>
      <c r="IF89" s="797"/>
      <c r="IG89" s="797"/>
      <c r="IH89" s="797"/>
      <c r="II89" s="797"/>
      <c r="IJ89" s="797"/>
      <c r="IK89" s="797"/>
      <c r="IL89" s="797"/>
      <c r="IM89" s="797"/>
      <c r="IN89" s="797"/>
      <c r="IO89" s="797"/>
      <c r="IP89" s="797"/>
      <c r="IQ89" s="797"/>
      <c r="IR89" s="797"/>
      <c r="IS89" s="797"/>
      <c r="IT89" s="797"/>
      <c r="IU89" s="797"/>
      <c r="IV89" s="797"/>
    </row>
    <row r="90" spans="1:256" s="796" customFormat="1" ht="13.5" customHeight="1">
      <c r="A90" s="1015"/>
      <c r="B90" s="1016"/>
      <c r="C90" s="1648"/>
      <c r="D90" s="1036" t="s">
        <v>4809</v>
      </c>
      <c r="E90" s="1648"/>
      <c r="F90" s="1649"/>
      <c r="G90" s="298"/>
      <c r="H90" s="1038"/>
      <c r="I90" s="1019"/>
      <c r="J90" s="1650"/>
      <c r="L90" s="797"/>
      <c r="M90" s="797"/>
      <c r="N90" s="797"/>
      <c r="O90" s="797"/>
      <c r="P90" s="797"/>
      <c r="Q90" s="797"/>
      <c r="R90" s="797"/>
      <c r="S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row>
    <row r="91" spans="1:256" s="1587" customFormat="1" ht="13.5" customHeight="1">
      <c r="A91" s="2721"/>
      <c r="B91" s="2722"/>
      <c r="C91" s="799"/>
      <c r="D91" s="756" t="s">
        <v>182</v>
      </c>
      <c r="E91" s="2723"/>
      <c r="F91" s="758">
        <f>ROUND(SUM(F92:F93),3)</f>
        <v>15.4</v>
      </c>
      <c r="G91" s="299"/>
      <c r="H91" s="2724"/>
      <c r="I91" s="2725"/>
      <c r="J91" s="2726"/>
      <c r="L91" s="1588"/>
      <c r="M91" s="1588"/>
      <c r="N91" s="1588"/>
      <c r="O91" s="1588"/>
      <c r="P91" s="1588"/>
      <c r="Q91" s="1588"/>
      <c r="R91" s="1588"/>
      <c r="S91" s="1588"/>
      <c r="V91" s="1588"/>
      <c r="W91" s="1588"/>
      <c r="X91" s="1588"/>
      <c r="Y91" s="1588"/>
      <c r="Z91" s="1588"/>
      <c r="AA91" s="1588"/>
      <c r="AB91" s="1588"/>
      <c r="AC91" s="1588"/>
      <c r="AD91" s="1588"/>
      <c r="AE91" s="1588"/>
      <c r="AF91" s="1588"/>
      <c r="AG91" s="1588"/>
      <c r="AH91" s="1588"/>
      <c r="AI91" s="1588"/>
      <c r="AJ91" s="1588"/>
      <c r="AK91" s="1588"/>
      <c r="AL91" s="1588"/>
      <c r="AM91" s="1588"/>
      <c r="AN91" s="1588"/>
      <c r="AO91" s="1588"/>
      <c r="AP91" s="1588"/>
      <c r="AQ91" s="1588"/>
      <c r="AR91" s="1588"/>
      <c r="AS91" s="1588"/>
      <c r="AT91" s="1588"/>
      <c r="AU91" s="1588"/>
      <c r="AV91" s="1588"/>
      <c r="AW91" s="1588"/>
      <c r="AX91" s="1588"/>
      <c r="AY91" s="1588"/>
      <c r="AZ91" s="1588"/>
      <c r="BA91" s="1588"/>
      <c r="BB91" s="1588"/>
      <c r="BC91" s="1588"/>
      <c r="BD91" s="1588"/>
      <c r="BE91" s="1588"/>
      <c r="BF91" s="1588"/>
      <c r="BG91" s="1588"/>
      <c r="BH91" s="1588"/>
      <c r="BI91" s="1588"/>
      <c r="BJ91" s="1588"/>
      <c r="BK91" s="1588"/>
      <c r="BL91" s="1588"/>
      <c r="BM91" s="1588"/>
      <c r="BN91" s="1588"/>
      <c r="BO91" s="1588"/>
      <c r="BP91" s="1588"/>
      <c r="BQ91" s="1588"/>
      <c r="BR91" s="1588"/>
      <c r="BS91" s="1588"/>
      <c r="BT91" s="1588"/>
      <c r="BU91" s="1588"/>
      <c r="BV91" s="1588"/>
      <c r="BW91" s="1588"/>
      <c r="BX91" s="1588"/>
      <c r="BY91" s="1588"/>
      <c r="BZ91" s="1588"/>
      <c r="CA91" s="1588"/>
      <c r="CB91" s="1588"/>
      <c r="CC91" s="1588"/>
      <c r="CD91" s="1588"/>
      <c r="CE91" s="1588"/>
      <c r="CF91" s="1588"/>
      <c r="CG91" s="1588"/>
      <c r="CH91" s="1588"/>
      <c r="CI91" s="1588"/>
      <c r="CJ91" s="1588"/>
      <c r="CK91" s="1588"/>
      <c r="CL91" s="1588"/>
      <c r="CM91" s="1588"/>
      <c r="CN91" s="1588"/>
      <c r="CO91" s="1588"/>
      <c r="CP91" s="1588"/>
      <c r="CQ91" s="1588"/>
      <c r="CR91" s="1588"/>
      <c r="CS91" s="1588"/>
      <c r="CT91" s="1588"/>
      <c r="CU91" s="1588"/>
      <c r="CV91" s="1588"/>
      <c r="CW91" s="1588"/>
      <c r="CX91" s="1588"/>
      <c r="CY91" s="1588"/>
      <c r="CZ91" s="1588"/>
      <c r="DA91" s="1588"/>
      <c r="DB91" s="1588"/>
      <c r="DC91" s="1588"/>
      <c r="DD91" s="1588"/>
      <c r="DE91" s="1588"/>
      <c r="DF91" s="1588"/>
      <c r="DG91" s="1588"/>
      <c r="DH91" s="1588"/>
      <c r="DI91" s="1588"/>
      <c r="DJ91" s="1588"/>
      <c r="DK91" s="1588"/>
      <c r="DL91" s="1588"/>
      <c r="DM91" s="1588"/>
      <c r="DN91" s="1588"/>
      <c r="DO91" s="1588"/>
      <c r="DP91" s="1588"/>
      <c r="DQ91" s="1588"/>
      <c r="DR91" s="1588"/>
      <c r="DS91" s="1588"/>
      <c r="DT91" s="1588"/>
      <c r="DU91" s="1588"/>
      <c r="DV91" s="1588"/>
      <c r="DW91" s="1588"/>
      <c r="DX91" s="1588"/>
      <c r="DY91" s="1588"/>
      <c r="DZ91" s="1588"/>
      <c r="EA91" s="1588"/>
      <c r="EB91" s="1588"/>
      <c r="EC91" s="1588"/>
      <c r="ED91" s="1588"/>
      <c r="EE91" s="1588"/>
      <c r="EF91" s="1588"/>
      <c r="EG91" s="1588"/>
      <c r="EH91" s="1588"/>
      <c r="EI91" s="1588"/>
      <c r="EJ91" s="1588"/>
      <c r="EK91" s="1588"/>
      <c r="EL91" s="1588"/>
      <c r="EM91" s="1588"/>
      <c r="EN91" s="1588"/>
      <c r="EO91" s="1588"/>
      <c r="EP91" s="1588"/>
      <c r="EQ91" s="1588"/>
      <c r="ER91" s="1588"/>
      <c r="ES91" s="1588"/>
      <c r="ET91" s="1588"/>
      <c r="EU91" s="1588"/>
      <c r="EV91" s="1588"/>
      <c r="EW91" s="1588"/>
      <c r="EX91" s="1588"/>
      <c r="EY91" s="1588"/>
      <c r="EZ91" s="1588"/>
      <c r="FA91" s="1588"/>
      <c r="FB91" s="1588"/>
      <c r="FC91" s="1588"/>
      <c r="FD91" s="1588"/>
      <c r="FE91" s="1588"/>
      <c r="FF91" s="1588"/>
      <c r="FG91" s="1588"/>
      <c r="FH91" s="1588"/>
      <c r="FI91" s="1588"/>
      <c r="FJ91" s="1588"/>
      <c r="FK91" s="1588"/>
      <c r="FL91" s="1588"/>
      <c r="FM91" s="1588"/>
      <c r="FN91" s="1588"/>
      <c r="FO91" s="1588"/>
      <c r="FP91" s="1588"/>
      <c r="FQ91" s="1588"/>
      <c r="FR91" s="1588"/>
      <c r="FS91" s="1588"/>
      <c r="FT91" s="1588"/>
      <c r="FU91" s="1588"/>
      <c r="FV91" s="1588"/>
      <c r="FW91" s="1588"/>
      <c r="FX91" s="1588"/>
      <c r="FY91" s="1588"/>
      <c r="FZ91" s="1588"/>
      <c r="GA91" s="1588"/>
      <c r="GB91" s="1588"/>
      <c r="GC91" s="1588"/>
      <c r="GD91" s="1588"/>
      <c r="GE91" s="1588"/>
      <c r="GF91" s="1588"/>
      <c r="GG91" s="1588"/>
      <c r="GH91" s="1588"/>
      <c r="GI91" s="1588"/>
      <c r="GJ91" s="1588"/>
      <c r="GK91" s="1588"/>
      <c r="GL91" s="1588"/>
      <c r="GM91" s="1588"/>
      <c r="GN91" s="1588"/>
      <c r="GO91" s="1588"/>
      <c r="GP91" s="1588"/>
      <c r="GQ91" s="1588"/>
      <c r="GR91" s="1588"/>
      <c r="GS91" s="1588"/>
      <c r="GT91" s="1588"/>
      <c r="GU91" s="1588"/>
      <c r="GV91" s="1588"/>
      <c r="GW91" s="1588"/>
      <c r="GX91" s="1588"/>
      <c r="GY91" s="1588"/>
      <c r="GZ91" s="1588"/>
      <c r="HA91" s="1588"/>
      <c r="HB91" s="1588"/>
      <c r="HC91" s="1588"/>
      <c r="HD91" s="1588"/>
      <c r="HE91" s="1588"/>
      <c r="HF91" s="1588"/>
      <c r="HG91" s="1588"/>
      <c r="HH91" s="1588"/>
      <c r="HI91" s="1588"/>
      <c r="HJ91" s="1588"/>
      <c r="HK91" s="1588"/>
      <c r="HL91" s="1588"/>
      <c r="HM91" s="1588"/>
      <c r="HN91" s="1588"/>
      <c r="HO91" s="1588"/>
      <c r="HP91" s="1588"/>
      <c r="HQ91" s="1588"/>
      <c r="HR91" s="1588"/>
      <c r="HS91" s="1588"/>
      <c r="HT91" s="1588"/>
      <c r="HU91" s="1588"/>
      <c r="HV91" s="1588"/>
      <c r="HW91" s="1588"/>
      <c r="HX91" s="1588"/>
      <c r="HY91" s="1588"/>
      <c r="HZ91" s="1588"/>
      <c r="IA91" s="1588"/>
      <c r="IB91" s="1588"/>
      <c r="IC91" s="1588"/>
      <c r="ID91" s="1588"/>
      <c r="IE91" s="1588"/>
      <c r="IF91" s="1588"/>
      <c r="IG91" s="1588"/>
      <c r="IH91" s="1588"/>
      <c r="II91" s="1588"/>
      <c r="IJ91" s="1588"/>
      <c r="IK91" s="1588"/>
      <c r="IL91" s="1588"/>
      <c r="IM91" s="1588"/>
      <c r="IN91" s="1588"/>
      <c r="IO91" s="1588"/>
      <c r="IP91" s="1588"/>
      <c r="IQ91" s="1588"/>
      <c r="IR91" s="1588"/>
      <c r="IS91" s="1588"/>
      <c r="IT91" s="1588"/>
      <c r="IU91" s="1588"/>
      <c r="IV91" s="1588"/>
    </row>
    <row r="92" spans="1:256" s="796" customFormat="1" ht="13.5" customHeight="1">
      <c r="A92" s="1033"/>
      <c r="B92" s="1034"/>
      <c r="C92" s="1035"/>
      <c r="D92" s="1036" t="s">
        <v>5259</v>
      </c>
      <c r="E92" s="1036"/>
      <c r="F92" s="2727">
        <f>(11.672+46.687)</f>
        <v>58.358999999999995</v>
      </c>
      <c r="G92" s="298"/>
      <c r="H92" s="1038"/>
      <c r="I92" s="2728"/>
      <c r="J92" s="2729"/>
      <c r="K92" s="2730"/>
      <c r="L92" s="2731"/>
      <c r="M92" s="2731"/>
      <c r="N92" s="2731"/>
      <c r="O92" s="2731"/>
      <c r="P92" s="797"/>
      <c r="Q92" s="797"/>
      <c r="R92" s="797"/>
      <c r="S92" s="797"/>
      <c r="V92" s="797"/>
      <c r="W92" s="797"/>
      <c r="X92" s="797"/>
      <c r="Y92" s="797"/>
      <c r="Z92" s="797"/>
      <c r="AA92" s="797"/>
      <c r="AB92" s="797"/>
      <c r="AC92" s="797"/>
      <c r="AD92" s="797"/>
      <c r="AE92" s="797"/>
      <c r="AF92" s="797"/>
      <c r="AG92" s="797"/>
      <c r="AH92" s="797"/>
      <c r="AI92" s="797"/>
      <c r="AJ92" s="797"/>
      <c r="AK92" s="797"/>
      <c r="AL92" s="797"/>
      <c r="AM92" s="797"/>
      <c r="AN92" s="797"/>
      <c r="AO92" s="797"/>
      <c r="AP92" s="797"/>
      <c r="AQ92" s="797"/>
      <c r="AR92" s="797"/>
      <c r="AS92" s="797"/>
      <c r="AT92" s="797"/>
      <c r="AU92" s="797"/>
      <c r="AV92" s="797"/>
      <c r="AW92" s="797"/>
      <c r="AX92" s="797"/>
      <c r="AY92" s="797"/>
      <c r="AZ92" s="797"/>
      <c r="BA92" s="797"/>
      <c r="BB92" s="797"/>
      <c r="BC92" s="797"/>
      <c r="BD92" s="797"/>
      <c r="BE92" s="797"/>
      <c r="BF92" s="797"/>
      <c r="BG92" s="797"/>
      <c r="BH92" s="797"/>
      <c r="BI92" s="797"/>
      <c r="BJ92" s="797"/>
      <c r="BK92" s="797"/>
      <c r="BL92" s="797"/>
      <c r="BM92" s="797"/>
      <c r="BN92" s="797"/>
      <c r="BO92" s="797"/>
      <c r="BP92" s="797"/>
      <c r="BQ92" s="797"/>
      <c r="BR92" s="797"/>
      <c r="BS92" s="797"/>
      <c r="BT92" s="797"/>
      <c r="BU92" s="797"/>
      <c r="BV92" s="797"/>
      <c r="BW92" s="797"/>
      <c r="BX92" s="797"/>
      <c r="BY92" s="797"/>
      <c r="BZ92" s="797"/>
      <c r="CA92" s="797"/>
      <c r="CB92" s="797"/>
      <c r="CC92" s="797"/>
      <c r="CD92" s="797"/>
      <c r="CE92" s="797"/>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7"/>
      <c r="DG92" s="797"/>
      <c r="DH92" s="797"/>
      <c r="DI92" s="797"/>
      <c r="DJ92" s="797"/>
      <c r="DK92" s="797"/>
      <c r="DL92" s="797"/>
      <c r="DM92" s="797"/>
      <c r="DN92" s="797"/>
      <c r="DO92" s="797"/>
      <c r="DP92" s="797"/>
      <c r="DQ92" s="797"/>
      <c r="DR92" s="797"/>
      <c r="DS92" s="797"/>
      <c r="DT92" s="797"/>
      <c r="DU92" s="797"/>
      <c r="DV92" s="797"/>
      <c r="DW92" s="797"/>
      <c r="DX92" s="797"/>
      <c r="DY92" s="797"/>
      <c r="DZ92" s="797"/>
      <c r="EA92" s="797"/>
      <c r="EB92" s="797"/>
      <c r="EC92" s="797"/>
      <c r="ED92" s="797"/>
      <c r="EE92" s="797"/>
      <c r="EF92" s="797"/>
      <c r="EG92" s="797"/>
      <c r="EH92" s="797"/>
      <c r="EI92" s="797"/>
      <c r="EJ92" s="797"/>
      <c r="EK92" s="797"/>
      <c r="EL92" s="797"/>
      <c r="EM92" s="797"/>
      <c r="EN92" s="797"/>
      <c r="EO92" s="797"/>
      <c r="EP92" s="797"/>
      <c r="EQ92" s="797"/>
      <c r="ER92" s="797"/>
      <c r="ES92" s="797"/>
      <c r="ET92" s="797"/>
      <c r="EU92" s="797"/>
      <c r="EV92" s="797"/>
      <c r="EW92" s="797"/>
      <c r="EX92" s="797"/>
      <c r="EY92" s="797"/>
      <c r="EZ92" s="797"/>
      <c r="FA92" s="797"/>
      <c r="FB92" s="797"/>
      <c r="FC92" s="797"/>
      <c r="FD92" s="797"/>
      <c r="FE92" s="797"/>
      <c r="FF92" s="797"/>
      <c r="FG92" s="797"/>
      <c r="FH92" s="797"/>
      <c r="FI92" s="797"/>
      <c r="FJ92" s="797"/>
      <c r="FK92" s="797"/>
      <c r="FL92" s="797"/>
      <c r="FM92" s="797"/>
      <c r="FN92" s="797"/>
      <c r="FO92" s="797"/>
      <c r="FP92" s="797"/>
      <c r="FQ92" s="797"/>
      <c r="FR92" s="797"/>
      <c r="FS92" s="797"/>
      <c r="FT92" s="797"/>
      <c r="FU92" s="797"/>
      <c r="FV92" s="797"/>
      <c r="FW92" s="797"/>
      <c r="FX92" s="797"/>
      <c r="FY92" s="797"/>
      <c r="FZ92" s="797"/>
      <c r="GA92" s="797"/>
      <c r="GB92" s="797"/>
      <c r="GC92" s="797"/>
      <c r="GD92" s="797"/>
      <c r="GE92" s="797"/>
      <c r="GF92" s="797"/>
      <c r="GG92" s="797"/>
      <c r="GH92" s="797"/>
      <c r="GI92" s="797"/>
      <c r="GJ92" s="797"/>
      <c r="GK92" s="797"/>
      <c r="GL92" s="797"/>
      <c r="GM92" s="797"/>
      <c r="GN92" s="797"/>
      <c r="GO92" s="797"/>
      <c r="GP92" s="797"/>
      <c r="GQ92" s="797"/>
      <c r="GR92" s="797"/>
      <c r="GS92" s="797"/>
      <c r="GT92" s="797"/>
      <c r="GU92" s="797"/>
      <c r="GV92" s="797"/>
      <c r="GW92" s="797"/>
      <c r="GX92" s="797"/>
      <c r="GY92" s="797"/>
      <c r="GZ92" s="797"/>
      <c r="HA92" s="797"/>
      <c r="HB92" s="797"/>
      <c r="HC92" s="797"/>
      <c r="HD92" s="797"/>
      <c r="HE92" s="797"/>
      <c r="HF92" s="797"/>
      <c r="HG92" s="797"/>
      <c r="HH92" s="797"/>
      <c r="HI92" s="797"/>
      <c r="HJ92" s="797"/>
      <c r="HK92" s="797"/>
      <c r="HL92" s="797"/>
      <c r="HM92" s="797"/>
      <c r="HN92" s="797"/>
      <c r="HO92" s="797"/>
      <c r="HP92" s="797"/>
      <c r="HQ92" s="797"/>
      <c r="HR92" s="797"/>
      <c r="HS92" s="797"/>
      <c r="HT92" s="797"/>
      <c r="HU92" s="797"/>
      <c r="HV92" s="797"/>
      <c r="HW92" s="797"/>
      <c r="HX92" s="797"/>
      <c r="HY92" s="797"/>
      <c r="HZ92" s="797"/>
      <c r="IA92" s="797"/>
      <c r="IB92" s="797"/>
      <c r="IC92" s="797"/>
      <c r="ID92" s="797"/>
      <c r="IE92" s="797"/>
      <c r="IF92" s="797"/>
      <c r="IG92" s="797"/>
      <c r="IH92" s="797"/>
      <c r="II92" s="797"/>
      <c r="IJ92" s="797"/>
      <c r="IK92" s="797"/>
      <c r="IL92" s="797"/>
      <c r="IM92" s="797"/>
      <c r="IN92" s="797"/>
      <c r="IO92" s="797"/>
      <c r="IP92" s="797"/>
      <c r="IQ92" s="797"/>
      <c r="IR92" s="797"/>
      <c r="IS92" s="797"/>
      <c r="IT92" s="797"/>
      <c r="IU92" s="797"/>
      <c r="IV92" s="797"/>
    </row>
    <row r="93" spans="1:256" s="796" customFormat="1" ht="13.5" customHeight="1">
      <c r="A93" s="1033"/>
      <c r="B93" s="1034"/>
      <c r="C93" s="1035"/>
      <c r="D93" s="1036" t="s">
        <v>5260</v>
      </c>
      <c r="E93" s="1036"/>
      <c r="F93" s="2727">
        <f>-(42.959)</f>
        <v>-42.959000000000003</v>
      </c>
      <c r="G93" s="298"/>
      <c r="H93" s="1038"/>
      <c r="I93" s="2728"/>
      <c r="J93" s="2729"/>
      <c r="K93" s="2730"/>
      <c r="L93" s="2731"/>
      <c r="M93" s="2731"/>
      <c r="N93" s="2731"/>
      <c r="O93" s="2731"/>
      <c r="P93" s="797"/>
      <c r="Q93" s="797"/>
      <c r="R93" s="797"/>
      <c r="S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row>
    <row r="94" spans="1:256" s="1587" customFormat="1" ht="13.5" customHeight="1">
      <c r="A94" s="2721"/>
      <c r="B94" s="2722"/>
      <c r="C94" s="799"/>
      <c r="D94" s="756" t="s">
        <v>185</v>
      </c>
      <c r="E94" s="2723"/>
      <c r="F94" s="758">
        <f>ROUND(SUM(F95:F96),3)</f>
        <v>15.4</v>
      </c>
      <c r="G94" s="299"/>
      <c r="H94" s="2724"/>
      <c r="I94" s="2725"/>
      <c r="J94" s="2726"/>
      <c r="K94" s="2732"/>
      <c r="L94" s="1588"/>
      <c r="M94" s="1588"/>
      <c r="N94" s="1588"/>
      <c r="O94" s="1588"/>
      <c r="P94" s="1588"/>
      <c r="Q94" s="1588"/>
      <c r="R94" s="1588"/>
      <c r="S94" s="1588"/>
      <c r="V94" s="1588"/>
      <c r="W94" s="1588"/>
      <c r="X94" s="1588"/>
      <c r="Y94" s="1588"/>
      <c r="Z94" s="1588"/>
      <c r="AA94" s="1588"/>
      <c r="AB94" s="1588"/>
      <c r="AC94" s="1588"/>
      <c r="AD94" s="1588"/>
      <c r="AE94" s="1588"/>
      <c r="AF94" s="1588"/>
      <c r="AG94" s="1588"/>
      <c r="AH94" s="1588"/>
      <c r="AI94" s="1588"/>
      <c r="AJ94" s="1588"/>
      <c r="AK94" s="1588"/>
      <c r="AL94" s="1588"/>
      <c r="AM94" s="1588"/>
      <c r="AN94" s="1588"/>
      <c r="AO94" s="1588"/>
      <c r="AP94" s="1588"/>
      <c r="AQ94" s="1588"/>
      <c r="AR94" s="1588"/>
      <c r="AS94" s="1588"/>
      <c r="AT94" s="1588"/>
      <c r="AU94" s="1588"/>
      <c r="AV94" s="1588"/>
      <c r="AW94" s="1588"/>
      <c r="AX94" s="1588"/>
      <c r="AY94" s="1588"/>
      <c r="AZ94" s="1588"/>
      <c r="BA94" s="1588"/>
      <c r="BB94" s="1588"/>
      <c r="BC94" s="1588"/>
      <c r="BD94" s="1588"/>
      <c r="BE94" s="1588"/>
      <c r="BF94" s="1588"/>
      <c r="BG94" s="1588"/>
      <c r="BH94" s="1588"/>
      <c r="BI94" s="1588"/>
      <c r="BJ94" s="1588"/>
      <c r="BK94" s="1588"/>
      <c r="BL94" s="1588"/>
      <c r="BM94" s="1588"/>
      <c r="BN94" s="1588"/>
      <c r="BO94" s="1588"/>
      <c r="BP94" s="1588"/>
      <c r="BQ94" s="1588"/>
      <c r="BR94" s="1588"/>
      <c r="BS94" s="1588"/>
      <c r="BT94" s="1588"/>
      <c r="BU94" s="1588"/>
      <c r="BV94" s="1588"/>
      <c r="BW94" s="1588"/>
      <c r="BX94" s="1588"/>
      <c r="BY94" s="1588"/>
      <c r="BZ94" s="1588"/>
      <c r="CA94" s="1588"/>
      <c r="CB94" s="1588"/>
      <c r="CC94" s="1588"/>
      <c r="CD94" s="1588"/>
      <c r="CE94" s="1588"/>
      <c r="CF94" s="1588"/>
      <c r="CG94" s="1588"/>
      <c r="CH94" s="1588"/>
      <c r="CI94" s="1588"/>
      <c r="CJ94" s="1588"/>
      <c r="CK94" s="1588"/>
      <c r="CL94" s="1588"/>
      <c r="CM94" s="1588"/>
      <c r="CN94" s="1588"/>
      <c r="CO94" s="1588"/>
      <c r="CP94" s="1588"/>
      <c r="CQ94" s="1588"/>
      <c r="CR94" s="1588"/>
      <c r="CS94" s="1588"/>
      <c r="CT94" s="1588"/>
      <c r="CU94" s="1588"/>
      <c r="CV94" s="1588"/>
      <c r="CW94" s="1588"/>
      <c r="CX94" s="1588"/>
      <c r="CY94" s="1588"/>
      <c r="CZ94" s="1588"/>
      <c r="DA94" s="1588"/>
      <c r="DB94" s="1588"/>
      <c r="DC94" s="1588"/>
      <c r="DD94" s="1588"/>
      <c r="DE94" s="1588"/>
      <c r="DF94" s="1588"/>
      <c r="DG94" s="1588"/>
      <c r="DH94" s="1588"/>
      <c r="DI94" s="1588"/>
      <c r="DJ94" s="1588"/>
      <c r="DK94" s="1588"/>
      <c r="DL94" s="1588"/>
      <c r="DM94" s="1588"/>
      <c r="DN94" s="1588"/>
      <c r="DO94" s="1588"/>
      <c r="DP94" s="1588"/>
      <c r="DQ94" s="1588"/>
      <c r="DR94" s="1588"/>
      <c r="DS94" s="1588"/>
      <c r="DT94" s="1588"/>
      <c r="DU94" s="1588"/>
      <c r="DV94" s="1588"/>
      <c r="DW94" s="1588"/>
      <c r="DX94" s="1588"/>
      <c r="DY94" s="1588"/>
      <c r="DZ94" s="1588"/>
      <c r="EA94" s="1588"/>
      <c r="EB94" s="1588"/>
      <c r="EC94" s="1588"/>
      <c r="ED94" s="1588"/>
      <c r="EE94" s="1588"/>
      <c r="EF94" s="1588"/>
      <c r="EG94" s="1588"/>
      <c r="EH94" s="1588"/>
      <c r="EI94" s="1588"/>
      <c r="EJ94" s="1588"/>
      <c r="EK94" s="1588"/>
      <c r="EL94" s="1588"/>
      <c r="EM94" s="1588"/>
      <c r="EN94" s="1588"/>
      <c r="EO94" s="1588"/>
      <c r="EP94" s="1588"/>
      <c r="EQ94" s="1588"/>
      <c r="ER94" s="1588"/>
      <c r="ES94" s="1588"/>
      <c r="ET94" s="1588"/>
      <c r="EU94" s="1588"/>
      <c r="EV94" s="1588"/>
      <c r="EW94" s="1588"/>
      <c r="EX94" s="1588"/>
      <c r="EY94" s="1588"/>
      <c r="EZ94" s="1588"/>
      <c r="FA94" s="1588"/>
      <c r="FB94" s="1588"/>
      <c r="FC94" s="1588"/>
      <c r="FD94" s="1588"/>
      <c r="FE94" s="1588"/>
      <c r="FF94" s="1588"/>
      <c r="FG94" s="1588"/>
      <c r="FH94" s="1588"/>
      <c r="FI94" s="1588"/>
      <c r="FJ94" s="1588"/>
      <c r="FK94" s="1588"/>
      <c r="FL94" s="1588"/>
      <c r="FM94" s="1588"/>
      <c r="FN94" s="1588"/>
      <c r="FO94" s="1588"/>
      <c r="FP94" s="1588"/>
      <c r="FQ94" s="1588"/>
      <c r="FR94" s="1588"/>
      <c r="FS94" s="1588"/>
      <c r="FT94" s="1588"/>
      <c r="FU94" s="1588"/>
      <c r="FV94" s="1588"/>
      <c r="FW94" s="1588"/>
      <c r="FX94" s="1588"/>
      <c r="FY94" s="1588"/>
      <c r="FZ94" s="1588"/>
      <c r="GA94" s="1588"/>
      <c r="GB94" s="1588"/>
      <c r="GC94" s="1588"/>
      <c r="GD94" s="1588"/>
      <c r="GE94" s="1588"/>
      <c r="GF94" s="1588"/>
      <c r="GG94" s="1588"/>
      <c r="GH94" s="1588"/>
      <c r="GI94" s="1588"/>
      <c r="GJ94" s="1588"/>
      <c r="GK94" s="1588"/>
      <c r="GL94" s="1588"/>
      <c r="GM94" s="1588"/>
      <c r="GN94" s="1588"/>
      <c r="GO94" s="1588"/>
      <c r="GP94" s="1588"/>
      <c r="GQ94" s="1588"/>
      <c r="GR94" s="1588"/>
      <c r="GS94" s="1588"/>
      <c r="GT94" s="1588"/>
      <c r="GU94" s="1588"/>
      <c r="GV94" s="1588"/>
      <c r="GW94" s="1588"/>
      <c r="GX94" s="1588"/>
      <c r="GY94" s="1588"/>
      <c r="GZ94" s="1588"/>
      <c r="HA94" s="1588"/>
      <c r="HB94" s="1588"/>
      <c r="HC94" s="1588"/>
      <c r="HD94" s="1588"/>
      <c r="HE94" s="1588"/>
      <c r="HF94" s="1588"/>
      <c r="HG94" s="1588"/>
      <c r="HH94" s="1588"/>
      <c r="HI94" s="1588"/>
      <c r="HJ94" s="1588"/>
      <c r="HK94" s="1588"/>
      <c r="HL94" s="1588"/>
      <c r="HM94" s="1588"/>
      <c r="HN94" s="1588"/>
      <c r="HO94" s="1588"/>
      <c r="HP94" s="1588"/>
      <c r="HQ94" s="1588"/>
      <c r="HR94" s="1588"/>
      <c r="HS94" s="1588"/>
      <c r="HT94" s="1588"/>
      <c r="HU94" s="1588"/>
      <c r="HV94" s="1588"/>
      <c r="HW94" s="1588"/>
      <c r="HX94" s="1588"/>
      <c r="HY94" s="1588"/>
      <c r="HZ94" s="1588"/>
      <c r="IA94" s="1588"/>
      <c r="IB94" s="1588"/>
      <c r="IC94" s="1588"/>
      <c r="ID94" s="1588"/>
      <c r="IE94" s="1588"/>
      <c r="IF94" s="1588"/>
      <c r="IG94" s="1588"/>
      <c r="IH94" s="1588"/>
      <c r="II94" s="1588"/>
      <c r="IJ94" s="1588"/>
      <c r="IK94" s="1588"/>
      <c r="IL94" s="1588"/>
      <c r="IM94" s="1588"/>
      <c r="IN94" s="1588"/>
      <c r="IO94" s="1588"/>
      <c r="IP94" s="1588"/>
      <c r="IQ94" s="1588"/>
      <c r="IR94" s="1588"/>
      <c r="IS94" s="1588"/>
      <c r="IT94" s="1588"/>
      <c r="IU94" s="1588"/>
      <c r="IV94" s="1588"/>
    </row>
    <row r="95" spans="1:256" s="796" customFormat="1" ht="13.5" customHeight="1">
      <c r="A95" s="1033"/>
      <c r="B95" s="1034"/>
      <c r="C95" s="1035"/>
      <c r="D95" s="1036" t="s">
        <v>5261</v>
      </c>
      <c r="E95" s="1036"/>
      <c r="F95" s="2727">
        <f>(11.672+35.015)+(11.672)</f>
        <v>58.358999999999995</v>
      </c>
      <c r="G95" s="298"/>
      <c r="H95" s="1038"/>
      <c r="I95" s="2728"/>
      <c r="J95" s="2729"/>
      <c r="K95" s="2730"/>
      <c r="L95" s="2731"/>
      <c r="M95" s="2731"/>
      <c r="N95" s="2731"/>
      <c r="O95" s="2731"/>
      <c r="P95" s="797"/>
      <c r="Q95" s="797"/>
      <c r="R95" s="797"/>
      <c r="S95" s="797"/>
      <c r="V95" s="797"/>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row>
    <row r="96" spans="1:256" s="796" customFormat="1" ht="13.5" customHeight="1">
      <c r="A96" s="1033"/>
      <c r="B96" s="1034"/>
      <c r="C96" s="1035"/>
      <c r="D96" s="1036" t="s">
        <v>5260</v>
      </c>
      <c r="E96" s="1036"/>
      <c r="F96" s="2727">
        <f>-(42.959)</f>
        <v>-42.959000000000003</v>
      </c>
      <c r="G96" s="298"/>
      <c r="H96" s="1038"/>
      <c r="I96" s="2728"/>
      <c r="J96" s="2729"/>
      <c r="K96" s="2730"/>
      <c r="L96" s="2731"/>
      <c r="M96" s="2731"/>
      <c r="N96" s="2731"/>
      <c r="O96" s="2731"/>
      <c r="P96" s="797"/>
      <c r="Q96" s="797"/>
      <c r="R96" s="797"/>
      <c r="S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6" s="804" customFormat="1" ht="13.5" customHeight="1">
      <c r="A97" s="798" t="s">
        <v>5262</v>
      </c>
      <c r="B97" s="799"/>
      <c r="C97" s="777">
        <v>167151101</v>
      </c>
      <c r="D97" s="2699" t="s">
        <v>2401</v>
      </c>
      <c r="E97" s="801" t="s">
        <v>146</v>
      </c>
      <c r="F97" s="802">
        <f>F91</f>
        <v>15.4</v>
      </c>
      <c r="G97" s="354"/>
      <c r="H97" s="803">
        <f t="shared" ref="H97:H98" si="15">ROUND(F97*G97,2)</f>
        <v>0</v>
      </c>
      <c r="I97" s="781" t="s">
        <v>137</v>
      </c>
      <c r="J97" s="647"/>
      <c r="K97" s="647"/>
      <c r="L97" s="612"/>
      <c r="M97" s="612"/>
      <c r="N97" s="612"/>
      <c r="O97" s="612"/>
      <c r="P97" s="612"/>
      <c r="Q97" s="612"/>
      <c r="R97" s="612"/>
      <c r="S97" s="788"/>
      <c r="V97" s="612"/>
    </row>
    <row r="98" spans="1:256" s="804" customFormat="1" ht="13.5" customHeight="1">
      <c r="A98" s="798" t="s">
        <v>5263</v>
      </c>
      <c r="B98" s="799"/>
      <c r="C98" s="777">
        <v>167151102</v>
      </c>
      <c r="D98" s="2717" t="s">
        <v>2402</v>
      </c>
      <c r="E98" s="801" t="s">
        <v>146</v>
      </c>
      <c r="F98" s="802">
        <f>F94</f>
        <v>15.4</v>
      </c>
      <c r="G98" s="354"/>
      <c r="H98" s="803">
        <f t="shared" si="15"/>
        <v>0</v>
      </c>
      <c r="I98" s="781" t="s">
        <v>137</v>
      </c>
      <c r="J98" s="647"/>
      <c r="K98" s="647"/>
      <c r="L98" s="612"/>
      <c r="M98" s="612"/>
      <c r="N98" s="612"/>
      <c r="O98" s="612"/>
      <c r="P98" s="612"/>
      <c r="Q98" s="612"/>
      <c r="R98" s="612"/>
      <c r="S98" s="788"/>
      <c r="V98" s="612"/>
    </row>
    <row r="99" spans="1:256" s="796" customFormat="1" ht="27" customHeight="1">
      <c r="A99" s="792" t="s">
        <v>5264</v>
      </c>
      <c r="B99" s="793"/>
      <c r="C99" s="793" t="s">
        <v>6324</v>
      </c>
      <c r="D99" s="793" t="s">
        <v>6317</v>
      </c>
      <c r="E99" s="793" t="s">
        <v>146</v>
      </c>
      <c r="F99" s="794">
        <f>F91</f>
        <v>15.4</v>
      </c>
      <c r="G99" s="470"/>
      <c r="H99" s="795">
        <f t="shared" ref="H99:H100" si="16">F99*G99</f>
        <v>0</v>
      </c>
      <c r="I99" s="781" t="s">
        <v>112</v>
      </c>
      <c r="J99" s="783"/>
      <c r="K99" s="783"/>
      <c r="L99" s="621"/>
      <c r="M99" s="621"/>
      <c r="N99" s="621"/>
      <c r="O99" s="621"/>
      <c r="P99" s="621"/>
      <c r="Q99" s="621"/>
      <c r="R99" s="621"/>
      <c r="S99" s="784"/>
      <c r="V99" s="783"/>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7"/>
      <c r="CB99" s="797"/>
      <c r="CC99" s="797"/>
      <c r="CD99" s="797"/>
      <c r="CE99" s="797"/>
      <c r="CF99" s="797"/>
      <c r="CG99" s="797"/>
      <c r="CH99" s="797"/>
      <c r="CI99" s="797"/>
      <c r="CJ99" s="797"/>
      <c r="CK99" s="797"/>
      <c r="CL99" s="797"/>
      <c r="CM99" s="797"/>
      <c r="CN99" s="797"/>
      <c r="CO99" s="797"/>
      <c r="CP99" s="797"/>
      <c r="CQ99" s="797"/>
      <c r="CR99" s="797"/>
      <c r="CS99" s="797"/>
      <c r="CT99" s="797"/>
      <c r="CU99" s="797"/>
      <c r="CV99" s="797"/>
      <c r="CW99" s="797"/>
      <c r="CX99" s="797"/>
      <c r="CY99" s="797"/>
      <c r="CZ99" s="797"/>
      <c r="DA99" s="797"/>
      <c r="DB99" s="797"/>
      <c r="DC99" s="797"/>
      <c r="DD99" s="797"/>
      <c r="DE99" s="797"/>
      <c r="DF99" s="797"/>
      <c r="DG99" s="797"/>
      <c r="DH99" s="797"/>
      <c r="DI99" s="797"/>
      <c r="DJ99" s="797"/>
      <c r="DK99" s="797"/>
      <c r="DL99" s="797"/>
      <c r="DM99" s="797"/>
      <c r="DN99" s="797"/>
      <c r="DO99" s="797"/>
      <c r="DP99" s="797"/>
      <c r="DQ99" s="797"/>
      <c r="DR99" s="797"/>
      <c r="DS99" s="797"/>
      <c r="DT99" s="797"/>
      <c r="DU99" s="797"/>
      <c r="DV99" s="797"/>
      <c r="DW99" s="797"/>
      <c r="DX99" s="797"/>
      <c r="DY99" s="797"/>
      <c r="DZ99" s="797"/>
      <c r="EA99" s="797"/>
      <c r="EB99" s="797"/>
      <c r="EC99" s="797"/>
      <c r="ED99" s="797"/>
      <c r="EE99" s="797"/>
      <c r="EF99" s="797"/>
      <c r="EG99" s="797"/>
      <c r="EH99" s="797"/>
      <c r="EI99" s="797"/>
      <c r="EJ99" s="797"/>
      <c r="EK99" s="797"/>
      <c r="EL99" s="797"/>
      <c r="EM99" s="797"/>
      <c r="EN99" s="797"/>
      <c r="EO99" s="797"/>
      <c r="EP99" s="797"/>
      <c r="EQ99" s="797"/>
      <c r="ER99" s="797"/>
      <c r="ES99" s="797"/>
      <c r="ET99" s="797"/>
      <c r="EU99" s="797"/>
      <c r="EV99" s="797"/>
      <c r="EW99" s="797"/>
      <c r="EX99" s="797"/>
      <c r="EY99" s="797"/>
      <c r="EZ99" s="797"/>
      <c r="FA99" s="797"/>
      <c r="FB99" s="797"/>
      <c r="FC99" s="797"/>
      <c r="FD99" s="797"/>
      <c r="FE99" s="797"/>
      <c r="FF99" s="797"/>
      <c r="FG99" s="797"/>
      <c r="FH99" s="797"/>
      <c r="FI99" s="797"/>
      <c r="FJ99" s="797"/>
      <c r="FK99" s="797"/>
      <c r="FL99" s="797"/>
      <c r="FM99" s="797"/>
      <c r="FN99" s="797"/>
      <c r="FO99" s="797"/>
      <c r="FP99" s="797"/>
      <c r="FQ99" s="797"/>
      <c r="FR99" s="797"/>
      <c r="FS99" s="797"/>
      <c r="FT99" s="797"/>
      <c r="FU99" s="797"/>
      <c r="FV99" s="797"/>
      <c r="FW99" s="797"/>
      <c r="FX99" s="797"/>
      <c r="FY99" s="797"/>
      <c r="FZ99" s="797"/>
      <c r="GA99" s="797"/>
      <c r="GB99" s="797"/>
      <c r="GC99" s="797"/>
      <c r="GD99" s="797"/>
      <c r="GE99" s="797"/>
      <c r="GF99" s="797"/>
      <c r="GG99" s="797"/>
      <c r="GH99" s="797"/>
      <c r="GI99" s="797"/>
      <c r="GJ99" s="797"/>
      <c r="GK99" s="797"/>
      <c r="GL99" s="797"/>
      <c r="GM99" s="797"/>
      <c r="GN99" s="797"/>
      <c r="GO99" s="797"/>
      <c r="GP99" s="797"/>
      <c r="GQ99" s="797"/>
      <c r="GR99" s="797"/>
      <c r="GS99" s="797"/>
      <c r="GT99" s="797"/>
      <c r="GU99" s="797"/>
      <c r="GV99" s="797"/>
      <c r="GW99" s="797"/>
      <c r="GX99" s="797"/>
      <c r="GY99" s="797"/>
      <c r="GZ99" s="797"/>
      <c r="HA99" s="797"/>
      <c r="HB99" s="797"/>
      <c r="HC99" s="797"/>
      <c r="HD99" s="797"/>
      <c r="HE99" s="797"/>
      <c r="HF99" s="797"/>
      <c r="HG99" s="797"/>
      <c r="HH99" s="797"/>
      <c r="HI99" s="797"/>
      <c r="HJ99" s="797"/>
      <c r="HK99" s="797"/>
      <c r="HL99" s="797"/>
      <c r="HM99" s="797"/>
      <c r="HN99" s="797"/>
      <c r="HO99" s="797"/>
      <c r="HP99" s="797"/>
      <c r="HQ99" s="797"/>
      <c r="HR99" s="797"/>
      <c r="HS99" s="797"/>
      <c r="HT99" s="797"/>
      <c r="HU99" s="797"/>
      <c r="HV99" s="797"/>
      <c r="HW99" s="797"/>
      <c r="HX99" s="797"/>
      <c r="HY99" s="797"/>
      <c r="HZ99" s="797"/>
      <c r="IA99" s="797"/>
      <c r="IB99" s="797"/>
      <c r="IC99" s="797"/>
      <c r="ID99" s="797"/>
      <c r="IE99" s="797"/>
      <c r="IF99" s="797"/>
      <c r="IG99" s="797"/>
      <c r="IH99" s="797"/>
      <c r="II99" s="797"/>
      <c r="IJ99" s="797"/>
      <c r="IK99" s="797"/>
      <c r="IL99" s="797"/>
      <c r="IM99" s="797"/>
      <c r="IN99" s="797"/>
      <c r="IO99" s="797"/>
      <c r="IP99" s="797"/>
      <c r="IQ99" s="797"/>
      <c r="IR99" s="797"/>
      <c r="IS99" s="797"/>
      <c r="IT99" s="797"/>
      <c r="IU99" s="797"/>
      <c r="IV99" s="797"/>
    </row>
    <row r="100" spans="1:256" s="796" customFormat="1" ht="27" customHeight="1">
      <c r="A100" s="792" t="s">
        <v>5265</v>
      </c>
      <c r="B100" s="793"/>
      <c r="C100" s="793" t="s">
        <v>6325</v>
      </c>
      <c r="D100" s="793" t="s">
        <v>6318</v>
      </c>
      <c r="E100" s="793" t="s">
        <v>146</v>
      </c>
      <c r="F100" s="794">
        <f>F94</f>
        <v>15.4</v>
      </c>
      <c r="G100" s="470"/>
      <c r="H100" s="795">
        <f t="shared" si="16"/>
        <v>0</v>
      </c>
      <c r="I100" s="781" t="s">
        <v>112</v>
      </c>
      <c r="J100" s="783"/>
      <c r="K100" s="783"/>
      <c r="L100" s="621"/>
      <c r="M100" s="621"/>
      <c r="N100" s="621"/>
      <c r="O100" s="621"/>
      <c r="P100" s="621"/>
      <c r="Q100" s="621"/>
      <c r="R100" s="621"/>
      <c r="S100" s="784"/>
      <c r="V100" s="783"/>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row>
    <row r="101" spans="1:256" s="804" customFormat="1" ht="27" customHeight="1">
      <c r="A101" s="798" t="s">
        <v>5266</v>
      </c>
      <c r="B101" s="799"/>
      <c r="C101" s="777">
        <v>171251101</v>
      </c>
      <c r="D101" s="800" t="s">
        <v>192</v>
      </c>
      <c r="E101" s="801" t="s">
        <v>146</v>
      </c>
      <c r="F101" s="802">
        <f>F89</f>
        <v>30.8</v>
      </c>
      <c r="G101" s="295"/>
      <c r="H101" s="803">
        <f t="shared" ref="H101:H102" si="17">ROUND(F101*G101,2)</f>
        <v>0</v>
      </c>
      <c r="I101" s="781" t="s">
        <v>137</v>
      </c>
      <c r="J101" s="647"/>
      <c r="K101" s="647"/>
      <c r="L101" s="612"/>
      <c r="M101" s="612"/>
      <c r="N101" s="612"/>
      <c r="O101" s="612"/>
      <c r="P101" s="612"/>
      <c r="Q101" s="612"/>
      <c r="R101" s="612"/>
      <c r="S101" s="788"/>
      <c r="V101" s="612"/>
    </row>
    <row r="102" spans="1:256" s="804" customFormat="1" ht="13.5" customHeight="1">
      <c r="A102" s="798" t="s">
        <v>5267</v>
      </c>
      <c r="B102" s="799"/>
      <c r="C102" s="805" t="s">
        <v>6311</v>
      </c>
      <c r="D102" s="806" t="s">
        <v>6323</v>
      </c>
      <c r="E102" s="801" t="s">
        <v>175</v>
      </c>
      <c r="F102" s="802">
        <f>F89*2</f>
        <v>61.6</v>
      </c>
      <c r="G102" s="295"/>
      <c r="H102" s="803">
        <f t="shared" si="17"/>
        <v>0</v>
      </c>
      <c r="I102" s="781" t="s">
        <v>112</v>
      </c>
      <c r="J102" s="647"/>
      <c r="K102" s="647"/>
      <c r="L102" s="612"/>
      <c r="M102" s="612"/>
      <c r="N102" s="612"/>
      <c r="O102" s="612"/>
      <c r="P102" s="612"/>
      <c r="Q102" s="612"/>
      <c r="R102" s="612"/>
      <c r="S102" s="788"/>
      <c r="V102" s="612"/>
    </row>
    <row r="103" spans="1:256" s="647" customFormat="1" ht="13.5" customHeight="1">
      <c r="A103" s="807"/>
      <c r="B103" s="808"/>
      <c r="C103" s="809"/>
      <c r="D103" s="810" t="s">
        <v>193</v>
      </c>
      <c r="E103" s="811"/>
      <c r="F103" s="812"/>
      <c r="G103" s="881"/>
      <c r="H103" s="813"/>
      <c r="I103" s="814"/>
      <c r="J103" s="815"/>
      <c r="L103" s="612"/>
      <c r="M103" s="612"/>
      <c r="N103" s="612"/>
      <c r="O103" s="612"/>
      <c r="P103" s="612"/>
      <c r="Q103" s="612"/>
      <c r="R103" s="612"/>
      <c r="S103" s="788"/>
      <c r="T103" s="816"/>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6"/>
      <c r="AY103" s="816"/>
      <c r="AZ103" s="816"/>
      <c r="BA103" s="816"/>
      <c r="BB103" s="816"/>
      <c r="BC103" s="816"/>
      <c r="BD103" s="816"/>
      <c r="BE103" s="816"/>
      <c r="BF103" s="816"/>
      <c r="BG103" s="816"/>
      <c r="BH103" s="816"/>
      <c r="BI103" s="816"/>
      <c r="BJ103" s="816"/>
      <c r="BK103" s="816"/>
      <c r="BL103" s="816"/>
      <c r="BM103" s="816"/>
      <c r="BN103" s="816"/>
      <c r="BO103" s="816"/>
      <c r="BP103" s="816"/>
      <c r="BQ103" s="816"/>
      <c r="BR103" s="816"/>
      <c r="BS103" s="816"/>
      <c r="BT103" s="816"/>
      <c r="BU103" s="816"/>
      <c r="BV103" s="816"/>
      <c r="BW103" s="816"/>
      <c r="BX103" s="816"/>
      <c r="BY103" s="816"/>
      <c r="BZ103" s="816"/>
      <c r="CA103" s="816"/>
      <c r="CB103" s="816"/>
      <c r="CC103" s="816"/>
      <c r="CD103" s="816"/>
      <c r="CE103" s="816"/>
      <c r="CF103" s="816"/>
      <c r="CG103" s="816"/>
      <c r="CH103" s="816"/>
      <c r="CI103" s="816"/>
      <c r="CJ103" s="816"/>
      <c r="CK103" s="816"/>
      <c r="CL103" s="816"/>
      <c r="CM103" s="816"/>
      <c r="CN103" s="816"/>
      <c r="CO103" s="816"/>
      <c r="CP103" s="816"/>
      <c r="CQ103" s="816"/>
      <c r="CR103" s="816"/>
      <c r="CS103" s="816"/>
      <c r="CT103" s="816"/>
      <c r="CU103" s="816"/>
      <c r="CV103" s="816"/>
      <c r="CW103" s="816"/>
      <c r="CX103" s="816"/>
      <c r="CY103" s="816"/>
      <c r="CZ103" s="816"/>
      <c r="DA103" s="816"/>
      <c r="DB103" s="816"/>
      <c r="DC103" s="816"/>
      <c r="DD103" s="816"/>
      <c r="DE103" s="816"/>
      <c r="DF103" s="816"/>
      <c r="DG103" s="816"/>
      <c r="DH103" s="816"/>
      <c r="DI103" s="816"/>
      <c r="DJ103" s="816"/>
      <c r="DK103" s="816"/>
      <c r="DL103" s="816"/>
      <c r="DM103" s="816"/>
      <c r="DN103" s="816"/>
      <c r="DO103" s="816"/>
      <c r="DP103" s="816"/>
      <c r="DQ103" s="816"/>
      <c r="DR103" s="816"/>
      <c r="DS103" s="816"/>
      <c r="DT103" s="816"/>
      <c r="DU103" s="816"/>
      <c r="DV103" s="816"/>
      <c r="DW103" s="816"/>
      <c r="DX103" s="816"/>
      <c r="DY103" s="816"/>
      <c r="DZ103" s="816"/>
      <c r="EA103" s="816"/>
      <c r="EB103" s="816"/>
      <c r="EC103" s="816"/>
      <c r="ED103" s="816"/>
      <c r="EE103" s="816"/>
      <c r="EF103" s="816"/>
      <c r="EG103" s="816"/>
      <c r="EH103" s="816"/>
      <c r="EI103" s="816"/>
      <c r="EJ103" s="816"/>
      <c r="EK103" s="816"/>
      <c r="EL103" s="816"/>
      <c r="EM103" s="816"/>
      <c r="EN103" s="816"/>
      <c r="EO103" s="816"/>
      <c r="EP103" s="816"/>
      <c r="EQ103" s="816"/>
      <c r="ER103" s="816"/>
      <c r="ES103" s="816"/>
      <c r="ET103" s="816"/>
      <c r="EU103" s="816"/>
      <c r="EV103" s="816"/>
      <c r="EW103" s="816"/>
      <c r="EX103" s="816"/>
      <c r="EY103" s="816"/>
      <c r="EZ103" s="816"/>
      <c r="FA103" s="816"/>
      <c r="FB103" s="816"/>
      <c r="FC103" s="816"/>
      <c r="FD103" s="816"/>
      <c r="FE103" s="816"/>
      <c r="FF103" s="816"/>
      <c r="FG103" s="816"/>
      <c r="FH103" s="816"/>
      <c r="FI103" s="816"/>
      <c r="FJ103" s="816"/>
      <c r="FK103" s="816"/>
      <c r="FL103" s="816"/>
      <c r="FM103" s="816"/>
      <c r="FN103" s="816"/>
      <c r="FO103" s="816"/>
      <c r="FP103" s="816"/>
      <c r="FQ103" s="816"/>
      <c r="FR103" s="816"/>
      <c r="FS103" s="816"/>
      <c r="FT103" s="816"/>
      <c r="FU103" s="816"/>
      <c r="FV103" s="816"/>
      <c r="FW103" s="816"/>
      <c r="FX103" s="816"/>
      <c r="FY103" s="816"/>
      <c r="FZ103" s="816"/>
      <c r="GA103" s="816"/>
      <c r="GB103" s="816"/>
      <c r="GC103" s="816"/>
      <c r="GD103" s="816"/>
      <c r="GE103" s="816"/>
      <c r="GF103" s="816"/>
      <c r="GG103" s="816"/>
      <c r="GH103" s="816"/>
      <c r="GI103" s="816"/>
      <c r="GJ103" s="816"/>
      <c r="GK103" s="816"/>
      <c r="GL103" s="816"/>
      <c r="GM103" s="816"/>
      <c r="GN103" s="816"/>
      <c r="GO103" s="816"/>
      <c r="GP103" s="816"/>
      <c r="GQ103" s="816"/>
      <c r="GR103" s="816"/>
      <c r="GS103" s="816"/>
      <c r="GT103" s="816"/>
      <c r="GU103" s="816"/>
      <c r="GV103" s="816"/>
      <c r="GW103" s="816"/>
      <c r="GX103" s="816"/>
      <c r="GY103" s="816"/>
      <c r="GZ103" s="816"/>
      <c r="HA103" s="816"/>
      <c r="HB103" s="816"/>
      <c r="HC103" s="816"/>
      <c r="HD103" s="816"/>
      <c r="HE103" s="816"/>
      <c r="HF103" s="816"/>
      <c r="HG103" s="816"/>
      <c r="HH103" s="816"/>
      <c r="HI103" s="816"/>
      <c r="HJ103" s="816"/>
      <c r="HK103" s="816"/>
      <c r="HL103" s="816"/>
      <c r="HM103" s="816"/>
      <c r="HN103" s="816"/>
      <c r="HO103" s="816"/>
      <c r="HP103" s="816"/>
      <c r="HQ103" s="816"/>
      <c r="HR103" s="816"/>
      <c r="HS103" s="816"/>
      <c r="HT103" s="816"/>
      <c r="HU103" s="816"/>
      <c r="HV103" s="816"/>
      <c r="HW103" s="816"/>
      <c r="HX103" s="816"/>
      <c r="HY103" s="816"/>
      <c r="HZ103" s="816"/>
      <c r="IA103" s="816"/>
      <c r="IB103" s="816"/>
      <c r="IC103" s="816"/>
      <c r="ID103" s="816"/>
      <c r="IE103" s="816"/>
      <c r="IF103" s="816"/>
      <c r="IG103" s="816"/>
      <c r="IH103" s="816"/>
      <c r="II103" s="816"/>
      <c r="IJ103" s="816"/>
      <c r="IK103" s="816"/>
      <c r="IL103" s="816"/>
      <c r="IM103" s="816"/>
      <c r="IN103" s="816"/>
      <c r="IO103" s="816"/>
      <c r="IP103" s="816"/>
      <c r="IQ103" s="816"/>
      <c r="IR103" s="816"/>
      <c r="IS103" s="816"/>
      <c r="IT103" s="816"/>
      <c r="IU103" s="816"/>
      <c r="IV103" s="816"/>
    </row>
    <row r="104" spans="1:256" s="1587" customFormat="1" ht="81" customHeight="1">
      <c r="A104" s="1602"/>
      <c r="B104" s="1603"/>
      <c r="C104" s="1604"/>
      <c r="D104" s="584" t="s">
        <v>2404</v>
      </c>
      <c r="E104" s="1605"/>
      <c r="F104" s="1606"/>
      <c r="G104" s="299"/>
      <c r="H104" s="1607"/>
      <c r="I104" s="1608"/>
      <c r="L104" s="1588"/>
      <c r="M104" s="1588"/>
      <c r="N104" s="1588"/>
      <c r="O104" s="1588"/>
      <c r="P104" s="1588"/>
      <c r="Q104" s="1588"/>
      <c r="R104" s="1588"/>
      <c r="S104" s="1588"/>
      <c r="T104" s="1588"/>
      <c r="U104" s="1588"/>
      <c r="V104" s="1588"/>
      <c r="W104" s="1588"/>
      <c r="X104" s="1588"/>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c r="AR104" s="1588"/>
      <c r="AS104" s="1588"/>
      <c r="AT104" s="1588"/>
      <c r="AU104" s="1588"/>
      <c r="AV104" s="1588"/>
      <c r="AW104" s="1588"/>
      <c r="AX104" s="1588"/>
      <c r="AY104" s="1588"/>
      <c r="AZ104" s="1588"/>
      <c r="BA104" s="1588"/>
      <c r="BB104" s="1588"/>
      <c r="BC104" s="1588"/>
      <c r="BD104" s="1588"/>
      <c r="BE104" s="1588"/>
      <c r="BF104" s="1588"/>
      <c r="BG104" s="1588"/>
      <c r="BH104" s="1588"/>
      <c r="BI104" s="1588"/>
      <c r="BJ104" s="1588"/>
      <c r="BK104" s="1588"/>
      <c r="BL104" s="1588"/>
      <c r="BM104" s="1588"/>
      <c r="BN104" s="1588"/>
      <c r="BO104" s="1588"/>
      <c r="BP104" s="1588"/>
      <c r="BQ104" s="1588"/>
      <c r="BR104" s="1588"/>
      <c r="BS104" s="1588"/>
      <c r="BT104" s="1588"/>
      <c r="BU104" s="1588"/>
      <c r="BV104" s="1588"/>
      <c r="BW104" s="1588"/>
      <c r="BX104" s="1588"/>
      <c r="BY104" s="1588"/>
      <c r="BZ104" s="1588"/>
      <c r="CA104" s="1588"/>
      <c r="CB104" s="1588"/>
      <c r="CC104" s="1588"/>
      <c r="CD104" s="1588"/>
      <c r="CE104" s="1588"/>
      <c r="CF104" s="1588"/>
      <c r="CG104" s="1588"/>
      <c r="CH104" s="1588"/>
      <c r="CI104" s="1588"/>
      <c r="CJ104" s="1588"/>
      <c r="CK104" s="1588"/>
      <c r="CL104" s="1588"/>
      <c r="CM104" s="1588"/>
      <c r="CN104" s="1588"/>
      <c r="CO104" s="1588"/>
      <c r="CP104" s="1588"/>
      <c r="CQ104" s="1588"/>
      <c r="CR104" s="1588"/>
      <c r="CS104" s="1588"/>
      <c r="CT104" s="1588"/>
      <c r="CU104" s="1588"/>
      <c r="CV104" s="1588"/>
      <c r="CW104" s="1588"/>
      <c r="CX104" s="1588"/>
      <c r="CY104" s="1588"/>
      <c r="CZ104" s="1588"/>
      <c r="DA104" s="1588"/>
      <c r="DB104" s="1588"/>
      <c r="DC104" s="1588"/>
      <c r="DD104" s="1588"/>
      <c r="DE104" s="1588"/>
      <c r="DF104" s="1588"/>
      <c r="DG104" s="1588"/>
      <c r="DH104" s="1588"/>
      <c r="DI104" s="1588"/>
      <c r="DJ104" s="1588"/>
      <c r="DK104" s="1588"/>
      <c r="DL104" s="1588"/>
      <c r="DM104" s="1588"/>
      <c r="DN104" s="1588"/>
      <c r="DO104" s="1588"/>
      <c r="DP104" s="1588"/>
      <c r="DQ104" s="1588"/>
      <c r="DR104" s="1588"/>
      <c r="DS104" s="1588"/>
      <c r="DT104" s="1588"/>
      <c r="DU104" s="1588"/>
      <c r="DV104" s="1588"/>
      <c r="DW104" s="1588"/>
      <c r="DX104" s="1588"/>
      <c r="DY104" s="1588"/>
      <c r="DZ104" s="1588"/>
      <c r="EA104" s="1588"/>
      <c r="EB104" s="1588"/>
      <c r="EC104" s="1588"/>
      <c r="ED104" s="1588"/>
      <c r="EE104" s="1588"/>
      <c r="EF104" s="1588"/>
      <c r="EG104" s="1588"/>
      <c r="EH104" s="1588"/>
      <c r="EI104" s="1588"/>
      <c r="EJ104" s="1588"/>
      <c r="EK104" s="1588"/>
      <c r="EL104" s="1588"/>
      <c r="EM104" s="1588"/>
      <c r="EN104" s="1588"/>
      <c r="EO104" s="1588"/>
      <c r="EP104" s="1588"/>
      <c r="EQ104" s="1588"/>
      <c r="ER104" s="1588"/>
      <c r="ES104" s="1588"/>
      <c r="ET104" s="1588"/>
      <c r="EU104" s="1588"/>
      <c r="EV104" s="1588"/>
      <c r="EW104" s="1588"/>
      <c r="EX104" s="1588"/>
      <c r="EY104" s="1588"/>
      <c r="EZ104" s="1588"/>
      <c r="FA104" s="1588"/>
      <c r="FB104" s="1588"/>
      <c r="FC104" s="1588"/>
      <c r="FD104" s="1588"/>
      <c r="FE104" s="1588"/>
      <c r="FF104" s="1588"/>
      <c r="FG104" s="1588"/>
      <c r="FH104" s="1588"/>
      <c r="FI104" s="1588"/>
      <c r="FJ104" s="1588"/>
      <c r="FK104" s="1588"/>
      <c r="FL104" s="1588"/>
      <c r="FM104" s="1588"/>
      <c r="FN104" s="1588"/>
      <c r="FO104" s="1588"/>
      <c r="FP104" s="1588"/>
      <c r="FQ104" s="1588"/>
      <c r="FR104" s="1588"/>
      <c r="FS104" s="1588"/>
      <c r="FT104" s="1588"/>
      <c r="FU104" s="1588"/>
      <c r="FV104" s="1588"/>
      <c r="FW104" s="1588"/>
      <c r="FX104" s="1588"/>
      <c r="FY104" s="1588"/>
      <c r="FZ104" s="1588"/>
      <c r="GA104" s="1588"/>
      <c r="GB104" s="1588"/>
      <c r="GC104" s="1588"/>
      <c r="GD104" s="1588"/>
      <c r="GE104" s="1588"/>
      <c r="GF104" s="1588"/>
      <c r="GG104" s="1588"/>
      <c r="GH104" s="1588"/>
      <c r="GI104" s="1588"/>
      <c r="GJ104" s="1588"/>
      <c r="GK104" s="1588"/>
      <c r="GL104" s="1588"/>
      <c r="GM104" s="1588"/>
      <c r="GN104" s="1588"/>
      <c r="GO104" s="1588"/>
      <c r="GP104" s="1588"/>
      <c r="GQ104" s="1588"/>
      <c r="GR104" s="1588"/>
      <c r="GS104" s="1588"/>
      <c r="GT104" s="1588"/>
      <c r="GU104" s="1588"/>
      <c r="GV104" s="1588"/>
      <c r="GW104" s="1588"/>
      <c r="GX104" s="1588"/>
      <c r="GY104" s="1588"/>
      <c r="GZ104" s="1588"/>
      <c r="HA104" s="1588"/>
      <c r="HB104" s="1588"/>
      <c r="HC104" s="1588"/>
      <c r="HD104" s="1588"/>
      <c r="HE104" s="1588"/>
      <c r="HF104" s="1588"/>
      <c r="HG104" s="1588"/>
      <c r="HH104" s="1588"/>
      <c r="HI104" s="1588"/>
      <c r="HJ104" s="1588"/>
      <c r="HK104" s="1588"/>
      <c r="HL104" s="1588"/>
      <c r="HM104" s="1588"/>
      <c r="HN104" s="1588"/>
      <c r="HO104" s="1588"/>
      <c r="HP104" s="1588"/>
      <c r="HQ104" s="1588"/>
      <c r="HR104" s="1588"/>
      <c r="HS104" s="1588"/>
      <c r="HT104" s="1588"/>
      <c r="HU104" s="1588"/>
      <c r="HV104" s="1588"/>
      <c r="HW104" s="1588"/>
      <c r="HX104" s="1588"/>
      <c r="HY104" s="1588"/>
      <c r="HZ104" s="1588"/>
      <c r="IA104" s="1588"/>
      <c r="IB104" s="1588"/>
      <c r="IC104" s="1588"/>
      <c r="ID104" s="1588"/>
      <c r="IE104" s="1588"/>
      <c r="IF104" s="1588"/>
      <c r="IG104" s="1588"/>
      <c r="IH104" s="1588"/>
      <c r="II104" s="1588"/>
      <c r="IJ104" s="1588"/>
      <c r="IK104" s="1588"/>
      <c r="IL104" s="1588"/>
      <c r="IM104" s="1588"/>
      <c r="IN104" s="1588"/>
      <c r="IO104" s="1588"/>
      <c r="IP104" s="1588"/>
      <c r="IQ104" s="1588"/>
      <c r="IR104" s="1588"/>
      <c r="IS104" s="1588"/>
      <c r="IT104" s="1588"/>
      <c r="IU104" s="1588"/>
      <c r="IV104" s="1588"/>
    </row>
    <row r="105" spans="1:256" ht="13.5" customHeight="1">
      <c r="A105" s="608"/>
      <c r="B105" s="557"/>
      <c r="C105" s="616">
        <v>4</v>
      </c>
      <c r="D105" s="616" t="s">
        <v>279</v>
      </c>
      <c r="E105" s="616"/>
      <c r="F105" s="617"/>
      <c r="G105" s="303"/>
      <c r="H105" s="828">
        <f>SUM(H106:H108)</f>
        <v>0</v>
      </c>
      <c r="I105" s="613"/>
    </row>
    <row r="106" spans="1:256" ht="13.5" customHeight="1">
      <c r="A106" s="608">
        <v>21</v>
      </c>
      <c r="B106" s="557">
        <v>271</v>
      </c>
      <c r="C106" s="557">
        <v>451541111</v>
      </c>
      <c r="D106" s="557" t="s">
        <v>4820</v>
      </c>
      <c r="E106" s="557" t="s">
        <v>146</v>
      </c>
      <c r="F106" s="2659">
        <f>ROUND(SUM(F108),3)</f>
        <v>3.1960000000000002</v>
      </c>
      <c r="G106" s="288"/>
      <c r="H106" s="568">
        <f t="shared" ref="H106" si="18">ROUND(F106*G106,2)</f>
        <v>0</v>
      </c>
      <c r="I106" s="613" t="s">
        <v>137</v>
      </c>
    </row>
    <row r="107" spans="1:256" s="604" customFormat="1" ht="13.5" customHeight="1">
      <c r="A107" s="595"/>
      <c r="B107" s="596"/>
      <c r="C107" s="597"/>
      <c r="D107" s="719" t="s">
        <v>5268</v>
      </c>
      <c r="E107" s="599"/>
      <c r="F107" s="600"/>
      <c r="G107" s="289"/>
      <c r="H107" s="601"/>
      <c r="I107" s="602"/>
      <c r="J107" s="606"/>
      <c r="U107" s="605"/>
      <c r="W107" s="605"/>
    </row>
    <row r="108" spans="1:256" s="604" customFormat="1" ht="13.5" customHeight="1">
      <c r="A108" s="595"/>
      <c r="B108" s="596"/>
      <c r="C108" s="597"/>
      <c r="D108" s="599" t="s">
        <v>5269</v>
      </c>
      <c r="E108" s="599"/>
      <c r="F108" s="600">
        <f>(4.7*3.4)*0.2</f>
        <v>3.1960000000000002</v>
      </c>
      <c r="G108" s="289"/>
      <c r="H108" s="2733"/>
      <c r="I108" s="602"/>
      <c r="J108" s="606"/>
      <c r="L108" s="2584"/>
      <c r="M108" s="2584"/>
      <c r="Q108" s="2585"/>
      <c r="R108" s="2585"/>
      <c r="U108" s="605"/>
      <c r="W108" s="605"/>
    </row>
    <row r="109" spans="1:256" ht="13.5" customHeight="1">
      <c r="A109" s="608"/>
      <c r="B109" s="557"/>
      <c r="C109" s="616" t="s">
        <v>1171</v>
      </c>
      <c r="D109" s="616" t="s">
        <v>1646</v>
      </c>
      <c r="E109" s="616"/>
      <c r="F109" s="617"/>
      <c r="G109" s="303"/>
      <c r="H109" s="828">
        <f>SUM(H110:H116)</f>
        <v>0</v>
      </c>
      <c r="I109" s="613"/>
      <c r="J109" s="2738"/>
    </row>
    <row r="110" spans="1:256" s="2739" customFormat="1" ht="13.5" customHeight="1">
      <c r="A110" s="2746">
        <v>22</v>
      </c>
      <c r="B110" s="2736">
        <v>271</v>
      </c>
      <c r="C110" s="2737" t="s">
        <v>4910</v>
      </c>
      <c r="D110" s="2737" t="s">
        <v>5270</v>
      </c>
      <c r="E110" s="2737" t="s">
        <v>205</v>
      </c>
      <c r="F110" s="2659">
        <f>ROUND(SUM(F111),3)</f>
        <v>1</v>
      </c>
      <c r="G110" s="5226" t="s">
        <v>5271</v>
      </c>
      <c r="H110" s="5227"/>
      <c r="I110" s="363" t="s">
        <v>111</v>
      </c>
      <c r="J110" s="2747"/>
      <c r="K110" s="888"/>
      <c r="L110" s="888"/>
      <c r="M110" s="888"/>
      <c r="N110" s="888"/>
      <c r="O110" s="888"/>
      <c r="P110" s="888"/>
      <c r="R110" s="2748"/>
    </row>
    <row r="111" spans="1:256" s="888" customFormat="1" ht="13.5" customHeight="1">
      <c r="A111" s="2664"/>
      <c r="B111" s="2665"/>
      <c r="C111" s="2666"/>
      <c r="D111" s="2669" t="s">
        <v>5272</v>
      </c>
      <c r="E111" s="2666"/>
      <c r="F111" s="779">
        <v>1</v>
      </c>
      <c r="G111" s="2667"/>
      <c r="H111" s="2667"/>
      <c r="I111" s="2749"/>
      <c r="J111" s="2747"/>
      <c r="R111" s="2748"/>
    </row>
    <row r="112" spans="1:256" s="1587" customFormat="1" ht="54" customHeight="1">
      <c r="A112" s="1602"/>
      <c r="B112" s="1603"/>
      <c r="C112" s="1604"/>
      <c r="D112" s="584" t="s">
        <v>5273</v>
      </c>
      <c r="E112" s="1605"/>
      <c r="F112" s="1606"/>
      <c r="G112" s="1607"/>
      <c r="H112" s="1607"/>
      <c r="I112" s="1608"/>
      <c r="L112" s="1588"/>
      <c r="M112" s="1588"/>
      <c r="N112" s="1588"/>
      <c r="O112" s="1588"/>
      <c r="P112" s="1588"/>
      <c r="Q112" s="1588"/>
      <c r="R112" s="1588"/>
      <c r="S112" s="1588"/>
      <c r="T112" s="1588"/>
      <c r="U112" s="1588"/>
      <c r="V112" s="1588"/>
      <c r="W112" s="1588"/>
      <c r="X112" s="1588"/>
      <c r="Y112" s="1588"/>
      <c r="Z112" s="1588"/>
      <c r="AA112" s="1588"/>
      <c r="AB112" s="1588"/>
      <c r="AC112" s="1588"/>
      <c r="AD112" s="1588"/>
      <c r="AE112" s="1588"/>
      <c r="AF112" s="1588"/>
      <c r="AG112" s="1588"/>
      <c r="AH112" s="1588"/>
      <c r="AI112" s="1588"/>
      <c r="AJ112" s="1588"/>
      <c r="AK112" s="1588"/>
      <c r="AL112" s="1588"/>
      <c r="AM112" s="1588"/>
      <c r="AN112" s="1588"/>
      <c r="AO112" s="1588"/>
      <c r="AP112" s="1588"/>
      <c r="AQ112" s="1588"/>
      <c r="AR112" s="1588"/>
      <c r="AS112" s="1588"/>
      <c r="AT112" s="1588"/>
      <c r="AU112" s="1588"/>
      <c r="AV112" s="1588"/>
      <c r="AW112" s="1588"/>
      <c r="AX112" s="1588"/>
      <c r="AY112" s="1588"/>
      <c r="AZ112" s="1588"/>
      <c r="BA112" s="1588"/>
      <c r="BB112" s="1588"/>
      <c r="BC112" s="1588"/>
      <c r="BD112" s="1588"/>
      <c r="BE112" s="1588"/>
      <c r="BF112" s="1588"/>
      <c r="BG112" s="1588"/>
      <c r="BH112" s="1588"/>
      <c r="BI112" s="1588"/>
      <c r="BJ112" s="1588"/>
      <c r="BK112" s="1588"/>
      <c r="BL112" s="1588"/>
      <c r="BM112" s="1588"/>
      <c r="BN112" s="1588"/>
      <c r="BO112" s="1588"/>
      <c r="BP112" s="1588"/>
      <c r="BQ112" s="1588"/>
      <c r="BR112" s="1588"/>
      <c r="BS112" s="1588"/>
      <c r="BT112" s="1588"/>
      <c r="BU112" s="1588"/>
      <c r="BV112" s="1588"/>
      <c r="BW112" s="1588"/>
      <c r="BX112" s="1588"/>
      <c r="BY112" s="1588"/>
      <c r="BZ112" s="1588"/>
      <c r="CA112" s="1588"/>
      <c r="CB112" s="1588"/>
      <c r="CC112" s="1588"/>
      <c r="CD112" s="1588"/>
      <c r="CE112" s="1588"/>
      <c r="CF112" s="1588"/>
      <c r="CG112" s="1588"/>
      <c r="CH112" s="1588"/>
      <c r="CI112" s="1588"/>
      <c r="CJ112" s="1588"/>
      <c r="CK112" s="1588"/>
      <c r="CL112" s="1588"/>
      <c r="CM112" s="1588"/>
      <c r="CN112" s="1588"/>
      <c r="CO112" s="1588"/>
      <c r="CP112" s="1588"/>
      <c r="CQ112" s="1588"/>
      <c r="CR112" s="1588"/>
      <c r="CS112" s="1588"/>
      <c r="CT112" s="1588"/>
      <c r="CU112" s="1588"/>
      <c r="CV112" s="1588"/>
      <c r="CW112" s="1588"/>
      <c r="CX112" s="1588"/>
      <c r="CY112" s="1588"/>
      <c r="CZ112" s="1588"/>
      <c r="DA112" s="1588"/>
      <c r="DB112" s="1588"/>
      <c r="DC112" s="1588"/>
      <c r="DD112" s="1588"/>
      <c r="DE112" s="1588"/>
      <c r="DF112" s="1588"/>
      <c r="DG112" s="1588"/>
      <c r="DH112" s="1588"/>
      <c r="DI112" s="1588"/>
      <c r="DJ112" s="1588"/>
      <c r="DK112" s="1588"/>
      <c r="DL112" s="1588"/>
      <c r="DM112" s="1588"/>
      <c r="DN112" s="1588"/>
      <c r="DO112" s="1588"/>
      <c r="DP112" s="1588"/>
      <c r="DQ112" s="1588"/>
      <c r="DR112" s="1588"/>
      <c r="DS112" s="1588"/>
      <c r="DT112" s="1588"/>
      <c r="DU112" s="1588"/>
      <c r="DV112" s="1588"/>
      <c r="DW112" s="1588"/>
      <c r="DX112" s="1588"/>
      <c r="DY112" s="1588"/>
      <c r="DZ112" s="1588"/>
      <c r="EA112" s="1588"/>
      <c r="EB112" s="1588"/>
      <c r="EC112" s="1588"/>
      <c r="ED112" s="1588"/>
      <c r="EE112" s="1588"/>
      <c r="EF112" s="1588"/>
      <c r="EG112" s="1588"/>
      <c r="EH112" s="1588"/>
      <c r="EI112" s="1588"/>
      <c r="EJ112" s="1588"/>
      <c r="EK112" s="1588"/>
      <c r="EL112" s="1588"/>
      <c r="EM112" s="1588"/>
      <c r="EN112" s="1588"/>
      <c r="EO112" s="1588"/>
      <c r="EP112" s="1588"/>
      <c r="EQ112" s="1588"/>
      <c r="ER112" s="1588"/>
      <c r="ES112" s="1588"/>
      <c r="ET112" s="1588"/>
      <c r="EU112" s="1588"/>
      <c r="EV112" s="1588"/>
      <c r="EW112" s="1588"/>
      <c r="EX112" s="1588"/>
      <c r="EY112" s="1588"/>
      <c r="EZ112" s="1588"/>
      <c r="FA112" s="1588"/>
      <c r="FB112" s="1588"/>
      <c r="FC112" s="1588"/>
      <c r="FD112" s="1588"/>
      <c r="FE112" s="1588"/>
      <c r="FF112" s="1588"/>
      <c r="FG112" s="1588"/>
      <c r="FH112" s="1588"/>
      <c r="FI112" s="1588"/>
      <c r="FJ112" s="1588"/>
      <c r="FK112" s="1588"/>
      <c r="FL112" s="1588"/>
      <c r="FM112" s="1588"/>
      <c r="FN112" s="1588"/>
      <c r="FO112" s="1588"/>
      <c r="FP112" s="1588"/>
      <c r="FQ112" s="1588"/>
      <c r="FR112" s="1588"/>
      <c r="FS112" s="1588"/>
      <c r="FT112" s="1588"/>
      <c r="FU112" s="1588"/>
      <c r="FV112" s="1588"/>
      <c r="FW112" s="1588"/>
      <c r="FX112" s="1588"/>
      <c r="FY112" s="1588"/>
      <c r="FZ112" s="1588"/>
      <c r="GA112" s="1588"/>
      <c r="GB112" s="1588"/>
      <c r="GC112" s="1588"/>
      <c r="GD112" s="1588"/>
      <c r="GE112" s="1588"/>
      <c r="GF112" s="1588"/>
      <c r="GG112" s="1588"/>
      <c r="GH112" s="1588"/>
      <c r="GI112" s="1588"/>
      <c r="GJ112" s="1588"/>
      <c r="GK112" s="1588"/>
      <c r="GL112" s="1588"/>
      <c r="GM112" s="1588"/>
      <c r="GN112" s="1588"/>
      <c r="GO112" s="1588"/>
      <c r="GP112" s="1588"/>
      <c r="GQ112" s="1588"/>
      <c r="GR112" s="1588"/>
      <c r="GS112" s="1588"/>
      <c r="GT112" s="1588"/>
      <c r="GU112" s="1588"/>
      <c r="GV112" s="1588"/>
      <c r="GW112" s="1588"/>
      <c r="GX112" s="1588"/>
      <c r="GY112" s="1588"/>
      <c r="GZ112" s="1588"/>
      <c r="HA112" s="1588"/>
      <c r="HB112" s="1588"/>
      <c r="HC112" s="1588"/>
      <c r="HD112" s="1588"/>
      <c r="HE112" s="1588"/>
      <c r="HF112" s="1588"/>
      <c r="HG112" s="1588"/>
      <c r="HH112" s="1588"/>
      <c r="HI112" s="1588"/>
      <c r="HJ112" s="1588"/>
      <c r="HK112" s="1588"/>
      <c r="HL112" s="1588"/>
      <c r="HM112" s="1588"/>
      <c r="HN112" s="1588"/>
      <c r="HO112" s="1588"/>
      <c r="HP112" s="1588"/>
      <c r="HQ112" s="1588"/>
      <c r="HR112" s="1588"/>
      <c r="HS112" s="1588"/>
      <c r="HT112" s="1588"/>
      <c r="HU112" s="1588"/>
      <c r="HV112" s="1588"/>
      <c r="HW112" s="1588"/>
      <c r="HX112" s="1588"/>
      <c r="HY112" s="1588"/>
      <c r="HZ112" s="1588"/>
      <c r="IA112" s="1588"/>
      <c r="IB112" s="1588"/>
      <c r="IC112" s="1588"/>
      <c r="ID112" s="1588"/>
      <c r="IE112" s="1588"/>
      <c r="IF112" s="1588"/>
      <c r="IG112" s="1588"/>
      <c r="IH112" s="1588"/>
      <c r="II112" s="1588"/>
      <c r="IJ112" s="1588"/>
      <c r="IK112" s="1588"/>
      <c r="IL112" s="1588"/>
      <c r="IM112" s="1588"/>
      <c r="IN112" s="1588"/>
      <c r="IO112" s="1588"/>
      <c r="IP112" s="1588"/>
      <c r="IQ112" s="1588"/>
      <c r="IR112" s="1588"/>
      <c r="IS112" s="1588"/>
      <c r="IT112" s="1588"/>
      <c r="IU112" s="1588"/>
      <c r="IV112" s="1588"/>
    </row>
    <row r="113" spans="1:256" s="455" customFormat="1" ht="27" customHeight="1">
      <c r="A113" s="351">
        <v>23</v>
      </c>
      <c r="B113" s="352">
        <v>271</v>
      </c>
      <c r="C113" s="352" t="s">
        <v>5274</v>
      </c>
      <c r="D113" s="352" t="s">
        <v>5275</v>
      </c>
      <c r="E113" s="352" t="s">
        <v>205</v>
      </c>
      <c r="F113" s="2659">
        <f>ROUND(SUM(F115:F115),3)</f>
        <v>2</v>
      </c>
      <c r="G113" s="5226" t="s">
        <v>5276</v>
      </c>
      <c r="H113" s="5227"/>
      <c r="I113" s="363" t="s">
        <v>111</v>
      </c>
      <c r="J113" s="2753"/>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2"/>
      <c r="AY113" s="2752"/>
      <c r="AZ113" s="2752"/>
      <c r="BA113" s="2752"/>
      <c r="BB113" s="2752"/>
      <c r="BC113" s="2752"/>
      <c r="BD113" s="2752"/>
      <c r="BE113" s="2752"/>
      <c r="BF113" s="2752"/>
      <c r="BG113" s="2752"/>
      <c r="BH113" s="2752"/>
      <c r="BI113" s="2752"/>
      <c r="BJ113" s="2752"/>
      <c r="BK113" s="2752"/>
      <c r="BL113" s="2752"/>
      <c r="BM113" s="2752"/>
      <c r="BN113" s="2752"/>
      <c r="BO113" s="2752"/>
      <c r="BP113" s="2752"/>
      <c r="BQ113" s="2752"/>
      <c r="BR113" s="2752"/>
      <c r="BS113" s="2752"/>
      <c r="BT113" s="2752"/>
      <c r="BU113" s="2752"/>
      <c r="BV113" s="2752"/>
      <c r="BW113" s="2752"/>
      <c r="BX113" s="2752"/>
      <c r="BY113" s="2752"/>
      <c r="BZ113" s="2752"/>
      <c r="CA113" s="2752"/>
      <c r="CB113" s="2752"/>
      <c r="CC113" s="2752"/>
      <c r="CD113" s="2752"/>
      <c r="CE113" s="2752"/>
      <c r="CF113" s="2752"/>
      <c r="CG113" s="2752"/>
      <c r="CH113" s="2752"/>
      <c r="CI113" s="2752"/>
      <c r="CJ113" s="2752"/>
      <c r="CK113" s="2752"/>
      <c r="CL113" s="2752"/>
      <c r="CM113" s="2752"/>
      <c r="CN113" s="2752"/>
      <c r="CO113" s="2752"/>
      <c r="CP113" s="2752"/>
      <c r="CQ113" s="2752"/>
      <c r="CR113" s="2752"/>
      <c r="CS113" s="2752"/>
      <c r="CT113" s="2752"/>
      <c r="CU113" s="2752"/>
      <c r="CV113" s="2752"/>
      <c r="CW113" s="2752"/>
      <c r="CX113" s="2752"/>
      <c r="CY113" s="2752"/>
      <c r="CZ113" s="2752"/>
      <c r="DA113" s="2752"/>
      <c r="DB113" s="2752"/>
      <c r="DC113" s="2752"/>
      <c r="DD113" s="2752"/>
      <c r="DE113" s="2752"/>
      <c r="DF113" s="2752"/>
      <c r="DG113" s="2752"/>
      <c r="DH113" s="2752"/>
      <c r="DI113" s="2752"/>
      <c r="DJ113" s="2752"/>
      <c r="DK113" s="2752"/>
      <c r="DL113" s="2752"/>
      <c r="DM113" s="2752"/>
      <c r="DN113" s="2752"/>
      <c r="DO113" s="2752"/>
      <c r="DP113" s="2752"/>
      <c r="DQ113" s="2752"/>
      <c r="DR113" s="2752"/>
      <c r="DS113" s="2752"/>
      <c r="DT113" s="2752"/>
      <c r="DU113" s="2752"/>
      <c r="DV113" s="2752"/>
      <c r="DW113" s="2752"/>
      <c r="DX113" s="2752"/>
      <c r="DY113" s="2752"/>
      <c r="DZ113" s="2752"/>
      <c r="EA113" s="2752"/>
      <c r="EB113" s="2752"/>
      <c r="EC113" s="2752"/>
      <c r="ED113" s="2752"/>
      <c r="EE113" s="2752"/>
      <c r="EF113" s="2752"/>
      <c r="EG113" s="2752"/>
      <c r="EH113" s="2752"/>
      <c r="EI113" s="2752"/>
      <c r="EJ113" s="2752"/>
      <c r="EK113" s="2752"/>
      <c r="EL113" s="2752"/>
      <c r="EM113" s="2752"/>
      <c r="EN113" s="2752"/>
      <c r="EO113" s="2752"/>
      <c r="EP113" s="2752"/>
      <c r="EQ113" s="2752"/>
      <c r="ER113" s="2752"/>
      <c r="ES113" s="2752"/>
      <c r="ET113" s="2752"/>
      <c r="EU113" s="2752"/>
      <c r="EV113" s="2752"/>
      <c r="EW113" s="2752"/>
      <c r="EX113" s="2752"/>
      <c r="EY113" s="2752"/>
      <c r="EZ113" s="2752"/>
      <c r="FA113" s="2752"/>
      <c r="FB113" s="2752"/>
      <c r="FC113" s="2752"/>
      <c r="FD113" s="2752"/>
      <c r="FE113" s="2752"/>
      <c r="FF113" s="2752"/>
      <c r="FG113" s="2752"/>
      <c r="FH113" s="2752"/>
      <c r="FI113" s="2752"/>
      <c r="FJ113" s="2752"/>
      <c r="FK113" s="2752"/>
      <c r="FL113" s="2752"/>
      <c r="FM113" s="2752"/>
      <c r="FN113" s="2752"/>
      <c r="FO113" s="2752"/>
      <c r="FP113" s="2752"/>
      <c r="FQ113" s="2752"/>
      <c r="FR113" s="2752"/>
      <c r="FS113" s="2752"/>
      <c r="FT113" s="2752"/>
      <c r="FU113" s="2752"/>
      <c r="FV113" s="2752"/>
      <c r="FW113" s="2752"/>
      <c r="FX113" s="2752"/>
      <c r="FY113" s="2752"/>
      <c r="FZ113" s="2752"/>
      <c r="GA113" s="2752"/>
      <c r="GB113" s="2752"/>
      <c r="GC113" s="2752"/>
      <c r="GD113" s="2752"/>
      <c r="GE113" s="2752"/>
      <c r="GF113" s="2752"/>
      <c r="GG113" s="2752"/>
      <c r="GH113" s="2752"/>
      <c r="GI113" s="2752"/>
      <c r="GJ113" s="2752"/>
      <c r="GK113" s="2752"/>
      <c r="GL113" s="2752"/>
      <c r="GM113" s="2752"/>
      <c r="GN113" s="2752"/>
      <c r="GO113" s="2752"/>
      <c r="GP113" s="2752"/>
      <c r="GQ113" s="2752"/>
      <c r="GR113" s="2752"/>
      <c r="GS113" s="2752"/>
      <c r="GT113" s="2752"/>
      <c r="GU113" s="2752"/>
      <c r="GV113" s="2752"/>
      <c r="GW113" s="2752"/>
      <c r="GX113" s="2752"/>
      <c r="GY113" s="2752"/>
      <c r="GZ113" s="2752"/>
      <c r="HA113" s="2752"/>
      <c r="HB113" s="2752"/>
      <c r="HC113" s="2752"/>
      <c r="HD113" s="2752"/>
      <c r="HE113" s="2752"/>
      <c r="HF113" s="2752"/>
      <c r="HG113" s="2752"/>
      <c r="HH113" s="2752"/>
      <c r="HI113" s="2752"/>
      <c r="HJ113" s="2752"/>
      <c r="HK113" s="2752"/>
      <c r="HL113" s="2752"/>
      <c r="HM113" s="2752"/>
      <c r="HN113" s="2752"/>
      <c r="HO113" s="2752"/>
      <c r="HP113" s="2752"/>
      <c r="HQ113" s="2752"/>
      <c r="HR113" s="2752"/>
      <c r="HS113" s="2752"/>
      <c r="HT113" s="2752"/>
      <c r="HU113" s="2752"/>
      <c r="HV113" s="2752"/>
      <c r="HW113" s="2752"/>
      <c r="HX113" s="2752"/>
      <c r="HY113" s="2752"/>
      <c r="HZ113" s="2752"/>
      <c r="IA113" s="2752"/>
      <c r="IB113" s="2752"/>
      <c r="IC113" s="2752"/>
      <c r="ID113" s="2752"/>
      <c r="IE113" s="2752"/>
      <c r="IF113" s="2752"/>
      <c r="IG113" s="2752"/>
      <c r="IH113" s="2752"/>
      <c r="II113" s="2752"/>
      <c r="IJ113" s="2752"/>
      <c r="IK113" s="2752"/>
      <c r="IL113" s="2752"/>
      <c r="IM113" s="2752"/>
      <c r="IN113" s="2752"/>
      <c r="IO113" s="2752"/>
      <c r="IP113" s="2752"/>
      <c r="IQ113" s="2752"/>
      <c r="IR113" s="2752"/>
      <c r="IS113" s="2752"/>
      <c r="IT113" s="2752"/>
      <c r="IU113" s="2752"/>
      <c r="IV113" s="2752"/>
    </row>
    <row r="114" spans="1:256" s="455" customFormat="1" ht="13.5" customHeight="1">
      <c r="A114" s="351"/>
      <c r="B114" s="352"/>
      <c r="C114" s="352"/>
      <c r="D114" s="719" t="s">
        <v>5277</v>
      </c>
      <c r="E114" s="352"/>
      <c r="F114" s="2754"/>
      <c r="G114" s="357"/>
      <c r="H114" s="362"/>
      <c r="I114" s="363"/>
      <c r="J114" s="2753"/>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2"/>
      <c r="AY114" s="2752"/>
      <c r="AZ114" s="2752"/>
      <c r="BA114" s="2752"/>
      <c r="BB114" s="2752"/>
      <c r="BC114" s="2752"/>
      <c r="BD114" s="2752"/>
      <c r="BE114" s="2752"/>
      <c r="BF114" s="2752"/>
      <c r="BG114" s="2752"/>
      <c r="BH114" s="2752"/>
      <c r="BI114" s="2752"/>
      <c r="BJ114" s="2752"/>
      <c r="BK114" s="2752"/>
      <c r="BL114" s="2752"/>
      <c r="BM114" s="2752"/>
      <c r="BN114" s="2752"/>
      <c r="BO114" s="2752"/>
      <c r="BP114" s="2752"/>
      <c r="BQ114" s="2752"/>
      <c r="BR114" s="2752"/>
      <c r="BS114" s="2752"/>
      <c r="BT114" s="2752"/>
      <c r="BU114" s="2752"/>
      <c r="BV114" s="2752"/>
      <c r="BW114" s="2752"/>
      <c r="BX114" s="2752"/>
      <c r="BY114" s="2752"/>
      <c r="BZ114" s="2752"/>
      <c r="CA114" s="2752"/>
      <c r="CB114" s="2752"/>
      <c r="CC114" s="2752"/>
      <c r="CD114" s="2752"/>
      <c r="CE114" s="2752"/>
      <c r="CF114" s="2752"/>
      <c r="CG114" s="2752"/>
      <c r="CH114" s="2752"/>
      <c r="CI114" s="2752"/>
      <c r="CJ114" s="2752"/>
      <c r="CK114" s="2752"/>
      <c r="CL114" s="2752"/>
      <c r="CM114" s="2752"/>
      <c r="CN114" s="2752"/>
      <c r="CO114" s="2752"/>
      <c r="CP114" s="2752"/>
      <c r="CQ114" s="2752"/>
      <c r="CR114" s="2752"/>
      <c r="CS114" s="2752"/>
      <c r="CT114" s="2752"/>
      <c r="CU114" s="2752"/>
      <c r="CV114" s="2752"/>
      <c r="CW114" s="2752"/>
      <c r="CX114" s="2752"/>
      <c r="CY114" s="2752"/>
      <c r="CZ114" s="2752"/>
      <c r="DA114" s="2752"/>
      <c r="DB114" s="2752"/>
      <c r="DC114" s="2752"/>
      <c r="DD114" s="2752"/>
      <c r="DE114" s="2752"/>
      <c r="DF114" s="2752"/>
      <c r="DG114" s="2752"/>
      <c r="DH114" s="2752"/>
      <c r="DI114" s="2752"/>
      <c r="DJ114" s="2752"/>
      <c r="DK114" s="2752"/>
      <c r="DL114" s="2752"/>
      <c r="DM114" s="2752"/>
      <c r="DN114" s="2752"/>
      <c r="DO114" s="2752"/>
      <c r="DP114" s="2752"/>
      <c r="DQ114" s="2752"/>
      <c r="DR114" s="2752"/>
      <c r="DS114" s="2752"/>
      <c r="DT114" s="2752"/>
      <c r="DU114" s="2752"/>
      <c r="DV114" s="2752"/>
      <c r="DW114" s="2752"/>
      <c r="DX114" s="2752"/>
      <c r="DY114" s="2752"/>
      <c r="DZ114" s="2752"/>
      <c r="EA114" s="2752"/>
      <c r="EB114" s="2752"/>
      <c r="EC114" s="2752"/>
      <c r="ED114" s="2752"/>
      <c r="EE114" s="2752"/>
      <c r="EF114" s="2752"/>
      <c r="EG114" s="2752"/>
      <c r="EH114" s="2752"/>
      <c r="EI114" s="2752"/>
      <c r="EJ114" s="2752"/>
      <c r="EK114" s="2752"/>
      <c r="EL114" s="2752"/>
      <c r="EM114" s="2752"/>
      <c r="EN114" s="2752"/>
      <c r="EO114" s="2752"/>
      <c r="EP114" s="2752"/>
      <c r="EQ114" s="2752"/>
      <c r="ER114" s="2752"/>
      <c r="ES114" s="2752"/>
      <c r="ET114" s="2752"/>
      <c r="EU114" s="2752"/>
      <c r="EV114" s="2752"/>
      <c r="EW114" s="2752"/>
      <c r="EX114" s="2752"/>
      <c r="EY114" s="2752"/>
      <c r="EZ114" s="2752"/>
      <c r="FA114" s="2752"/>
      <c r="FB114" s="2752"/>
      <c r="FC114" s="2752"/>
      <c r="FD114" s="2752"/>
      <c r="FE114" s="2752"/>
      <c r="FF114" s="2752"/>
      <c r="FG114" s="2752"/>
      <c r="FH114" s="2752"/>
      <c r="FI114" s="2752"/>
      <c r="FJ114" s="2752"/>
      <c r="FK114" s="2752"/>
      <c r="FL114" s="2752"/>
      <c r="FM114" s="2752"/>
      <c r="FN114" s="2752"/>
      <c r="FO114" s="2752"/>
      <c r="FP114" s="2752"/>
      <c r="FQ114" s="2752"/>
      <c r="FR114" s="2752"/>
      <c r="FS114" s="2752"/>
      <c r="FT114" s="2752"/>
      <c r="FU114" s="2752"/>
      <c r="FV114" s="2752"/>
      <c r="FW114" s="2752"/>
      <c r="FX114" s="2752"/>
      <c r="FY114" s="2752"/>
      <c r="FZ114" s="2752"/>
      <c r="GA114" s="2752"/>
      <c r="GB114" s="2752"/>
      <c r="GC114" s="2752"/>
      <c r="GD114" s="2752"/>
      <c r="GE114" s="2752"/>
      <c r="GF114" s="2752"/>
      <c r="GG114" s="2752"/>
      <c r="GH114" s="2752"/>
      <c r="GI114" s="2752"/>
      <c r="GJ114" s="2752"/>
      <c r="GK114" s="2752"/>
      <c r="GL114" s="2752"/>
      <c r="GM114" s="2752"/>
      <c r="GN114" s="2752"/>
      <c r="GO114" s="2752"/>
      <c r="GP114" s="2752"/>
      <c r="GQ114" s="2752"/>
      <c r="GR114" s="2752"/>
      <c r="GS114" s="2752"/>
      <c r="GT114" s="2752"/>
      <c r="GU114" s="2752"/>
      <c r="GV114" s="2752"/>
      <c r="GW114" s="2752"/>
      <c r="GX114" s="2752"/>
      <c r="GY114" s="2752"/>
      <c r="GZ114" s="2752"/>
      <c r="HA114" s="2752"/>
      <c r="HB114" s="2752"/>
      <c r="HC114" s="2752"/>
      <c r="HD114" s="2752"/>
      <c r="HE114" s="2752"/>
      <c r="HF114" s="2752"/>
      <c r="HG114" s="2752"/>
      <c r="HH114" s="2752"/>
      <c r="HI114" s="2752"/>
      <c r="HJ114" s="2752"/>
      <c r="HK114" s="2752"/>
      <c r="HL114" s="2752"/>
      <c r="HM114" s="2752"/>
      <c r="HN114" s="2752"/>
      <c r="HO114" s="2752"/>
      <c r="HP114" s="2752"/>
      <c r="HQ114" s="2752"/>
      <c r="HR114" s="2752"/>
      <c r="HS114" s="2752"/>
      <c r="HT114" s="2752"/>
      <c r="HU114" s="2752"/>
      <c r="HV114" s="2752"/>
      <c r="HW114" s="2752"/>
      <c r="HX114" s="2752"/>
      <c r="HY114" s="2752"/>
      <c r="HZ114" s="2752"/>
      <c r="IA114" s="2752"/>
      <c r="IB114" s="2752"/>
      <c r="IC114" s="2752"/>
      <c r="ID114" s="2752"/>
      <c r="IE114" s="2752"/>
      <c r="IF114" s="2752"/>
      <c r="IG114" s="2752"/>
      <c r="IH114" s="2752"/>
      <c r="II114" s="2752"/>
      <c r="IJ114" s="2752"/>
      <c r="IK114" s="2752"/>
      <c r="IL114" s="2752"/>
      <c r="IM114" s="2752"/>
      <c r="IN114" s="2752"/>
      <c r="IO114" s="2752"/>
      <c r="IP114" s="2752"/>
      <c r="IQ114" s="2752"/>
      <c r="IR114" s="2752"/>
      <c r="IS114" s="2752"/>
      <c r="IT114" s="2752"/>
      <c r="IU114" s="2752"/>
      <c r="IV114" s="2752"/>
    </row>
    <row r="115" spans="1:256" s="455" customFormat="1" ht="13.5" customHeight="1">
      <c r="A115" s="351"/>
      <c r="B115" s="352"/>
      <c r="C115" s="352"/>
      <c r="D115" s="719" t="s">
        <v>5278</v>
      </c>
      <c r="E115" s="352"/>
      <c r="F115" s="2754">
        <v>2</v>
      </c>
      <c r="G115" s="357"/>
      <c r="H115" s="362"/>
      <c r="I115" s="363"/>
      <c r="J115" s="2753"/>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2"/>
      <c r="AY115" s="2752"/>
      <c r="AZ115" s="2752"/>
      <c r="BA115" s="2752"/>
      <c r="BB115" s="2752"/>
      <c r="BC115" s="2752"/>
      <c r="BD115" s="2752"/>
      <c r="BE115" s="2752"/>
      <c r="BF115" s="2752"/>
      <c r="BG115" s="2752"/>
      <c r="BH115" s="2752"/>
      <c r="BI115" s="2752"/>
      <c r="BJ115" s="2752"/>
      <c r="BK115" s="2752"/>
      <c r="BL115" s="2752"/>
      <c r="BM115" s="2752"/>
      <c r="BN115" s="2752"/>
      <c r="BO115" s="2752"/>
      <c r="BP115" s="2752"/>
      <c r="BQ115" s="2752"/>
      <c r="BR115" s="2752"/>
      <c r="BS115" s="2752"/>
      <c r="BT115" s="2752"/>
      <c r="BU115" s="2752"/>
      <c r="BV115" s="2752"/>
      <c r="BW115" s="2752"/>
      <c r="BX115" s="2752"/>
      <c r="BY115" s="2752"/>
      <c r="BZ115" s="2752"/>
      <c r="CA115" s="2752"/>
      <c r="CB115" s="2752"/>
      <c r="CC115" s="2752"/>
      <c r="CD115" s="2752"/>
      <c r="CE115" s="2752"/>
      <c r="CF115" s="2752"/>
      <c r="CG115" s="2752"/>
      <c r="CH115" s="2752"/>
      <c r="CI115" s="2752"/>
      <c r="CJ115" s="2752"/>
      <c r="CK115" s="2752"/>
      <c r="CL115" s="2752"/>
      <c r="CM115" s="2752"/>
      <c r="CN115" s="2752"/>
      <c r="CO115" s="2752"/>
      <c r="CP115" s="2752"/>
      <c r="CQ115" s="2752"/>
      <c r="CR115" s="2752"/>
      <c r="CS115" s="2752"/>
      <c r="CT115" s="2752"/>
      <c r="CU115" s="2752"/>
      <c r="CV115" s="2752"/>
      <c r="CW115" s="2752"/>
      <c r="CX115" s="2752"/>
      <c r="CY115" s="2752"/>
      <c r="CZ115" s="2752"/>
      <c r="DA115" s="2752"/>
      <c r="DB115" s="2752"/>
      <c r="DC115" s="2752"/>
      <c r="DD115" s="2752"/>
      <c r="DE115" s="2752"/>
      <c r="DF115" s="2752"/>
      <c r="DG115" s="2752"/>
      <c r="DH115" s="2752"/>
      <c r="DI115" s="2752"/>
      <c r="DJ115" s="2752"/>
      <c r="DK115" s="2752"/>
      <c r="DL115" s="2752"/>
      <c r="DM115" s="2752"/>
      <c r="DN115" s="2752"/>
      <c r="DO115" s="2752"/>
      <c r="DP115" s="2752"/>
      <c r="DQ115" s="2752"/>
      <c r="DR115" s="2752"/>
      <c r="DS115" s="2752"/>
      <c r="DT115" s="2752"/>
      <c r="DU115" s="2752"/>
      <c r="DV115" s="2752"/>
      <c r="DW115" s="2752"/>
      <c r="DX115" s="2752"/>
      <c r="DY115" s="2752"/>
      <c r="DZ115" s="2752"/>
      <c r="EA115" s="2752"/>
      <c r="EB115" s="2752"/>
      <c r="EC115" s="2752"/>
      <c r="ED115" s="2752"/>
      <c r="EE115" s="2752"/>
      <c r="EF115" s="2752"/>
      <c r="EG115" s="2752"/>
      <c r="EH115" s="2752"/>
      <c r="EI115" s="2752"/>
      <c r="EJ115" s="2752"/>
      <c r="EK115" s="2752"/>
      <c r="EL115" s="2752"/>
      <c r="EM115" s="2752"/>
      <c r="EN115" s="2752"/>
      <c r="EO115" s="2752"/>
      <c r="EP115" s="2752"/>
      <c r="EQ115" s="2752"/>
      <c r="ER115" s="2752"/>
      <c r="ES115" s="2752"/>
      <c r="ET115" s="2752"/>
      <c r="EU115" s="2752"/>
      <c r="EV115" s="2752"/>
      <c r="EW115" s="2752"/>
      <c r="EX115" s="2752"/>
      <c r="EY115" s="2752"/>
      <c r="EZ115" s="2752"/>
      <c r="FA115" s="2752"/>
      <c r="FB115" s="2752"/>
      <c r="FC115" s="2752"/>
      <c r="FD115" s="2752"/>
      <c r="FE115" s="2752"/>
      <c r="FF115" s="2752"/>
      <c r="FG115" s="2752"/>
      <c r="FH115" s="2752"/>
      <c r="FI115" s="2752"/>
      <c r="FJ115" s="2752"/>
      <c r="FK115" s="2752"/>
      <c r="FL115" s="2752"/>
      <c r="FM115" s="2752"/>
      <c r="FN115" s="2752"/>
      <c r="FO115" s="2752"/>
      <c r="FP115" s="2752"/>
      <c r="FQ115" s="2752"/>
      <c r="FR115" s="2752"/>
      <c r="FS115" s="2752"/>
      <c r="FT115" s="2752"/>
      <c r="FU115" s="2752"/>
      <c r="FV115" s="2752"/>
      <c r="FW115" s="2752"/>
      <c r="FX115" s="2752"/>
      <c r="FY115" s="2752"/>
      <c r="FZ115" s="2752"/>
      <c r="GA115" s="2752"/>
      <c r="GB115" s="2752"/>
      <c r="GC115" s="2752"/>
      <c r="GD115" s="2752"/>
      <c r="GE115" s="2752"/>
      <c r="GF115" s="2752"/>
      <c r="GG115" s="2752"/>
      <c r="GH115" s="2752"/>
      <c r="GI115" s="2752"/>
      <c r="GJ115" s="2752"/>
      <c r="GK115" s="2752"/>
      <c r="GL115" s="2752"/>
      <c r="GM115" s="2752"/>
      <c r="GN115" s="2752"/>
      <c r="GO115" s="2752"/>
      <c r="GP115" s="2752"/>
      <c r="GQ115" s="2752"/>
      <c r="GR115" s="2752"/>
      <c r="GS115" s="2752"/>
      <c r="GT115" s="2752"/>
      <c r="GU115" s="2752"/>
      <c r="GV115" s="2752"/>
      <c r="GW115" s="2752"/>
      <c r="GX115" s="2752"/>
      <c r="GY115" s="2752"/>
      <c r="GZ115" s="2752"/>
      <c r="HA115" s="2752"/>
      <c r="HB115" s="2752"/>
      <c r="HC115" s="2752"/>
      <c r="HD115" s="2752"/>
      <c r="HE115" s="2752"/>
      <c r="HF115" s="2752"/>
      <c r="HG115" s="2752"/>
      <c r="HH115" s="2752"/>
      <c r="HI115" s="2752"/>
      <c r="HJ115" s="2752"/>
      <c r="HK115" s="2752"/>
      <c r="HL115" s="2752"/>
      <c r="HM115" s="2752"/>
      <c r="HN115" s="2752"/>
      <c r="HO115" s="2752"/>
      <c r="HP115" s="2752"/>
      <c r="HQ115" s="2752"/>
      <c r="HR115" s="2752"/>
      <c r="HS115" s="2752"/>
      <c r="HT115" s="2752"/>
      <c r="HU115" s="2752"/>
      <c r="HV115" s="2752"/>
      <c r="HW115" s="2752"/>
      <c r="HX115" s="2752"/>
      <c r="HY115" s="2752"/>
      <c r="HZ115" s="2752"/>
      <c r="IA115" s="2752"/>
      <c r="IB115" s="2752"/>
      <c r="IC115" s="2752"/>
      <c r="ID115" s="2752"/>
      <c r="IE115" s="2752"/>
      <c r="IF115" s="2752"/>
      <c r="IG115" s="2752"/>
      <c r="IH115" s="2752"/>
      <c r="II115" s="2752"/>
      <c r="IJ115" s="2752"/>
      <c r="IK115" s="2752"/>
      <c r="IL115" s="2752"/>
      <c r="IM115" s="2752"/>
      <c r="IN115" s="2752"/>
      <c r="IO115" s="2752"/>
      <c r="IP115" s="2752"/>
      <c r="IQ115" s="2752"/>
      <c r="IR115" s="2752"/>
      <c r="IS115" s="2752"/>
      <c r="IT115" s="2752"/>
      <c r="IU115" s="2752"/>
      <c r="IV115" s="2752"/>
    </row>
    <row r="116" spans="1:256" s="455" customFormat="1" ht="27" customHeight="1">
      <c r="A116" s="2755"/>
      <c r="B116" s="2737"/>
      <c r="C116" s="2756"/>
      <c r="D116" s="2669" t="s">
        <v>5279</v>
      </c>
      <c r="E116" s="2756"/>
      <c r="F116" s="2757"/>
      <c r="G116" s="358"/>
      <c r="H116" s="2758"/>
      <c r="I116" s="2759"/>
      <c r="J116" s="2760"/>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1"/>
      <c r="AY116" s="2761"/>
      <c r="AZ116" s="2761"/>
      <c r="BA116" s="2761"/>
      <c r="BB116" s="2761"/>
      <c r="BC116" s="2761"/>
      <c r="BD116" s="2761"/>
      <c r="BE116" s="2761"/>
      <c r="BF116" s="2761"/>
      <c r="BG116" s="2761"/>
      <c r="BH116" s="2761"/>
      <c r="BI116" s="2761"/>
      <c r="BJ116" s="2761"/>
      <c r="BK116" s="2761"/>
      <c r="BL116" s="2761"/>
      <c r="BM116" s="2761"/>
      <c r="BN116" s="2761"/>
      <c r="BO116" s="2761"/>
      <c r="BP116" s="2761"/>
      <c r="BQ116" s="2761"/>
      <c r="BR116" s="2761"/>
      <c r="BS116" s="2761"/>
      <c r="BT116" s="2761"/>
      <c r="BU116" s="2761"/>
      <c r="BV116" s="2761"/>
      <c r="BW116" s="2761"/>
      <c r="BX116" s="2761"/>
      <c r="BY116" s="2761"/>
      <c r="BZ116" s="2761"/>
      <c r="CA116" s="2761"/>
      <c r="CB116" s="2761"/>
      <c r="CC116" s="2761"/>
      <c r="CD116" s="2761"/>
      <c r="CE116" s="2761"/>
      <c r="CF116" s="2761"/>
      <c r="CG116" s="2761"/>
      <c r="CH116" s="2761"/>
      <c r="CI116" s="2761"/>
      <c r="CJ116" s="2761"/>
      <c r="CK116" s="2761"/>
      <c r="CL116" s="2761"/>
      <c r="CM116" s="2761"/>
      <c r="CN116" s="2761"/>
      <c r="CO116" s="2761"/>
      <c r="CP116" s="2761"/>
      <c r="CQ116" s="2761"/>
      <c r="CR116" s="2761"/>
      <c r="CS116" s="2761"/>
      <c r="CT116" s="2761"/>
      <c r="CU116" s="2761"/>
      <c r="CV116" s="2761"/>
      <c r="CW116" s="2761"/>
      <c r="CX116" s="2761"/>
      <c r="CY116" s="2761"/>
      <c r="CZ116" s="2761"/>
      <c r="DA116" s="2761"/>
      <c r="DB116" s="2761"/>
      <c r="DC116" s="2761"/>
      <c r="DD116" s="2761"/>
      <c r="DE116" s="2761"/>
      <c r="DF116" s="2761"/>
      <c r="DG116" s="2761"/>
      <c r="DH116" s="2761"/>
      <c r="DI116" s="2761"/>
      <c r="DJ116" s="2761"/>
      <c r="DK116" s="2761"/>
      <c r="DL116" s="2761"/>
      <c r="DM116" s="2761"/>
      <c r="DN116" s="2761"/>
      <c r="DO116" s="2761"/>
      <c r="DP116" s="2761"/>
      <c r="DQ116" s="2761"/>
      <c r="DR116" s="2761"/>
      <c r="DS116" s="2761"/>
      <c r="DT116" s="2761"/>
      <c r="DU116" s="2761"/>
      <c r="DV116" s="2761"/>
      <c r="DW116" s="2761"/>
      <c r="DX116" s="2761"/>
      <c r="DY116" s="2761"/>
      <c r="DZ116" s="2761"/>
      <c r="EA116" s="2761"/>
      <c r="EB116" s="2761"/>
      <c r="EC116" s="2761"/>
      <c r="ED116" s="2761"/>
      <c r="EE116" s="2761"/>
      <c r="EF116" s="2761"/>
      <c r="EG116" s="2761"/>
      <c r="EH116" s="2761"/>
      <c r="EI116" s="2761"/>
      <c r="EJ116" s="2761"/>
      <c r="EK116" s="2761"/>
      <c r="EL116" s="2761"/>
      <c r="EM116" s="2761"/>
      <c r="EN116" s="2761"/>
      <c r="EO116" s="2761"/>
      <c r="EP116" s="2761"/>
      <c r="EQ116" s="2761"/>
      <c r="ER116" s="2761"/>
      <c r="ES116" s="2761"/>
      <c r="ET116" s="2761"/>
      <c r="EU116" s="2761"/>
      <c r="EV116" s="2761"/>
      <c r="EW116" s="2761"/>
      <c r="EX116" s="2761"/>
      <c r="EY116" s="2761"/>
      <c r="EZ116" s="2761"/>
      <c r="FA116" s="2761"/>
      <c r="FB116" s="2761"/>
      <c r="FC116" s="2761"/>
      <c r="FD116" s="2761"/>
      <c r="FE116" s="2761"/>
      <c r="FF116" s="2761"/>
      <c r="FG116" s="2761"/>
      <c r="FH116" s="2761"/>
      <c r="FI116" s="2761"/>
      <c r="FJ116" s="2761"/>
      <c r="FK116" s="2761"/>
      <c r="FL116" s="2761"/>
      <c r="FM116" s="2761"/>
      <c r="FN116" s="2761"/>
      <c r="FO116" s="2761"/>
      <c r="FP116" s="2761"/>
      <c r="FQ116" s="2761"/>
      <c r="FR116" s="2761"/>
      <c r="FS116" s="2761"/>
      <c r="FT116" s="2761"/>
      <c r="FU116" s="2761"/>
      <c r="FV116" s="2761"/>
      <c r="FW116" s="2761"/>
      <c r="FX116" s="2761"/>
      <c r="FY116" s="2761"/>
      <c r="FZ116" s="2761"/>
      <c r="GA116" s="2761"/>
      <c r="GB116" s="2761"/>
      <c r="GC116" s="2761"/>
      <c r="GD116" s="2761"/>
      <c r="GE116" s="2761"/>
      <c r="GF116" s="2761"/>
      <c r="GG116" s="2761"/>
      <c r="GH116" s="2761"/>
      <c r="GI116" s="2761"/>
      <c r="GJ116" s="2761"/>
      <c r="GK116" s="2761"/>
      <c r="GL116" s="2761"/>
      <c r="GM116" s="2761"/>
      <c r="GN116" s="2761"/>
      <c r="GO116" s="2761"/>
      <c r="GP116" s="2761"/>
      <c r="GQ116" s="2761"/>
      <c r="GR116" s="2761"/>
      <c r="GS116" s="2761"/>
      <c r="GT116" s="2761"/>
      <c r="GU116" s="2761"/>
      <c r="GV116" s="2761"/>
      <c r="GW116" s="2761"/>
      <c r="GX116" s="2761"/>
      <c r="GY116" s="2761"/>
      <c r="GZ116" s="2761"/>
      <c r="HA116" s="2761"/>
      <c r="HB116" s="2761"/>
      <c r="HC116" s="2761"/>
      <c r="HD116" s="2761"/>
      <c r="HE116" s="2761"/>
      <c r="HF116" s="2761"/>
      <c r="HG116" s="2761"/>
      <c r="HH116" s="2761"/>
      <c r="HI116" s="2761"/>
      <c r="HJ116" s="2761"/>
      <c r="HK116" s="2761"/>
      <c r="HL116" s="2761"/>
      <c r="HM116" s="2761"/>
      <c r="HN116" s="2761"/>
      <c r="HO116" s="2761"/>
      <c r="HP116" s="2761"/>
      <c r="HQ116" s="2761"/>
      <c r="HR116" s="2761"/>
      <c r="HS116" s="2761"/>
      <c r="HT116" s="2761"/>
      <c r="HU116" s="2761"/>
      <c r="HV116" s="2761"/>
      <c r="HW116" s="2761"/>
      <c r="HX116" s="2761"/>
      <c r="HY116" s="2761"/>
      <c r="HZ116" s="2761"/>
      <c r="IA116" s="2761"/>
      <c r="IB116" s="2761"/>
      <c r="IC116" s="2761"/>
      <c r="ID116" s="2761"/>
      <c r="IE116" s="2761"/>
      <c r="IF116" s="2761"/>
      <c r="IG116" s="2761"/>
      <c r="IH116" s="2761"/>
      <c r="II116" s="2761"/>
      <c r="IJ116" s="2761"/>
      <c r="IK116" s="2761"/>
      <c r="IL116" s="2761"/>
      <c r="IM116" s="2761"/>
      <c r="IN116" s="2761"/>
      <c r="IO116" s="2761"/>
      <c r="IP116" s="2761"/>
      <c r="IQ116" s="2761"/>
      <c r="IR116" s="2761"/>
      <c r="IS116" s="2761"/>
      <c r="IT116" s="2761"/>
      <c r="IU116" s="2761"/>
      <c r="IV116" s="2761"/>
    </row>
    <row r="117" spans="1:256" ht="13.5" customHeight="1">
      <c r="A117" s="608"/>
      <c r="B117" s="557"/>
      <c r="C117" s="616">
        <v>9</v>
      </c>
      <c r="D117" s="2785" t="s">
        <v>312</v>
      </c>
      <c r="E117" s="616"/>
      <c r="F117" s="617"/>
      <c r="G117" s="303"/>
      <c r="H117" s="828">
        <f>SUM(H118:H122)</f>
        <v>0</v>
      </c>
      <c r="I117" s="613"/>
      <c r="J117" s="2738"/>
    </row>
    <row r="118" spans="1:256" ht="13.5" customHeight="1">
      <c r="A118" s="608">
        <v>24</v>
      </c>
      <c r="B118" s="557">
        <v>221</v>
      </c>
      <c r="C118" s="2786">
        <v>919726121</v>
      </c>
      <c r="D118" s="2786" t="s">
        <v>5280</v>
      </c>
      <c r="E118" s="557" t="s">
        <v>163</v>
      </c>
      <c r="F118" s="2659">
        <f>ROUND(SUM(F120:F121),3)</f>
        <v>38.152000000000001</v>
      </c>
      <c r="G118" s="288"/>
      <c r="H118" s="568">
        <f t="shared" ref="H118" si="19">ROUND(F118*G118,2)</f>
        <v>0</v>
      </c>
      <c r="I118" s="613" t="s">
        <v>137</v>
      </c>
      <c r="J118" s="829"/>
    </row>
    <row r="119" spans="1:256" s="2793" customFormat="1" ht="13.5" customHeight="1">
      <c r="A119" s="2787"/>
      <c r="B119" s="2788"/>
      <c r="C119" s="2786"/>
      <c r="D119" s="2789" t="s">
        <v>5281</v>
      </c>
      <c r="E119" s="2786"/>
      <c r="F119" s="779"/>
      <c r="G119" s="359"/>
      <c r="H119" s="2790"/>
      <c r="I119" s="2791"/>
      <c r="J119" s="2792"/>
    </row>
    <row r="120" spans="1:256" s="2793" customFormat="1" ht="13.5" customHeight="1">
      <c r="A120" s="2794"/>
      <c r="B120" s="2786"/>
      <c r="C120" s="2786"/>
      <c r="D120" s="2789" t="s">
        <v>5282</v>
      </c>
      <c r="E120" s="2786"/>
      <c r="F120" s="600">
        <f>((2*3.141592654*1.1)*3.5)*1.2</f>
        <v>29.02831612296</v>
      </c>
      <c r="G120" s="288"/>
      <c r="H120" s="609"/>
      <c r="I120" s="613"/>
      <c r="J120" s="2795"/>
      <c r="BU120" s="2796"/>
      <c r="BV120" s="2796"/>
      <c r="BW120" s="2796"/>
      <c r="BX120" s="2796"/>
      <c r="BY120" s="2796"/>
      <c r="BZ120" s="2796"/>
      <c r="CA120" s="2796"/>
      <c r="CB120" s="2796"/>
      <c r="CC120" s="2796"/>
      <c r="CD120" s="2796"/>
      <c r="CE120" s="2796"/>
      <c r="CF120" s="2796"/>
      <c r="CG120" s="2796"/>
      <c r="CH120" s="2796"/>
      <c r="CI120" s="2796"/>
      <c r="CJ120" s="2796"/>
      <c r="CK120" s="2796"/>
      <c r="CL120" s="2796"/>
      <c r="CM120" s="2796"/>
      <c r="CN120" s="2796"/>
      <c r="CO120" s="2796"/>
      <c r="CP120" s="2796"/>
      <c r="CQ120" s="2796"/>
      <c r="CR120" s="2796"/>
      <c r="CS120" s="2796"/>
      <c r="CT120" s="2796"/>
      <c r="CU120" s="2796"/>
      <c r="CV120" s="2796"/>
      <c r="CW120" s="2796"/>
      <c r="CX120" s="2796"/>
      <c r="CY120" s="2796"/>
      <c r="CZ120" s="2796"/>
      <c r="DA120" s="2796"/>
      <c r="DB120" s="2796"/>
      <c r="DC120" s="2796"/>
      <c r="DD120" s="2796"/>
      <c r="DE120" s="2796"/>
      <c r="DF120" s="2796"/>
      <c r="DG120" s="2796"/>
      <c r="DH120" s="2796"/>
      <c r="DI120" s="2796"/>
      <c r="DJ120" s="2796"/>
      <c r="DK120" s="2796"/>
      <c r="DL120" s="2796"/>
      <c r="DM120" s="2796"/>
      <c r="DN120" s="2796"/>
      <c r="DO120" s="2796"/>
      <c r="DP120" s="2796"/>
      <c r="DQ120" s="2796"/>
      <c r="DR120" s="2796"/>
      <c r="DS120" s="2796"/>
      <c r="DT120" s="2796"/>
      <c r="DU120" s="2796"/>
      <c r="DV120" s="2796"/>
      <c r="DW120" s="2796"/>
      <c r="DX120" s="2796"/>
      <c r="DY120" s="2796"/>
      <c r="DZ120" s="2796"/>
      <c r="EA120" s="2796"/>
      <c r="EB120" s="2796"/>
      <c r="EC120" s="2796"/>
      <c r="ED120" s="2796"/>
      <c r="EE120" s="2796"/>
      <c r="EF120" s="2796"/>
      <c r="EG120" s="2796"/>
      <c r="EH120" s="2796"/>
      <c r="EI120" s="2796"/>
      <c r="EJ120" s="2796"/>
      <c r="EK120" s="2796"/>
      <c r="EL120" s="2796"/>
      <c r="EM120" s="2796"/>
      <c r="EN120" s="2796"/>
      <c r="EO120" s="2796"/>
      <c r="EP120" s="2796"/>
      <c r="EQ120" s="2796"/>
      <c r="ER120" s="2796"/>
      <c r="ES120" s="2796"/>
      <c r="ET120" s="2796"/>
      <c r="EU120" s="2796"/>
      <c r="EV120" s="2796"/>
      <c r="EW120" s="2796"/>
      <c r="EX120" s="2796"/>
      <c r="EY120" s="2796"/>
      <c r="EZ120" s="2796"/>
      <c r="FA120" s="2796"/>
      <c r="FB120" s="2796"/>
      <c r="FC120" s="2796"/>
      <c r="FD120" s="2796"/>
      <c r="FE120" s="2796"/>
      <c r="FF120" s="2796"/>
      <c r="FG120" s="2796"/>
      <c r="FH120" s="2796"/>
      <c r="FI120" s="2796"/>
      <c r="FJ120" s="2796"/>
      <c r="FK120" s="2796"/>
      <c r="FL120" s="2796"/>
      <c r="FM120" s="2796"/>
      <c r="FN120" s="2796"/>
      <c r="FO120" s="2796"/>
      <c r="FP120" s="2796"/>
      <c r="FQ120" s="2796"/>
      <c r="FR120" s="2796"/>
      <c r="FS120" s="2796"/>
      <c r="FT120" s="2796"/>
      <c r="FU120" s="2796"/>
      <c r="FV120" s="2796"/>
      <c r="FW120" s="2796"/>
      <c r="FX120" s="2796"/>
      <c r="FY120" s="2796"/>
      <c r="FZ120" s="2796"/>
      <c r="GA120" s="2796"/>
      <c r="GB120" s="2796"/>
      <c r="GC120" s="2796"/>
      <c r="GD120" s="2796"/>
      <c r="GE120" s="2796"/>
      <c r="GF120" s="2796"/>
      <c r="GG120" s="2796"/>
      <c r="GH120" s="2796"/>
      <c r="GI120" s="2796"/>
      <c r="GJ120" s="2796"/>
      <c r="GK120" s="2796"/>
      <c r="GL120" s="2796"/>
      <c r="GM120" s="2796"/>
      <c r="GN120" s="2796"/>
      <c r="GO120" s="2796"/>
      <c r="GP120" s="2796"/>
      <c r="GQ120" s="2796"/>
      <c r="GR120" s="2796"/>
      <c r="GS120" s="2796"/>
      <c r="GT120" s="2796"/>
      <c r="GU120" s="2796"/>
      <c r="GV120" s="2796"/>
      <c r="GW120" s="2796"/>
      <c r="GX120" s="2796"/>
      <c r="GY120" s="2796"/>
      <c r="GZ120" s="2796"/>
      <c r="HA120" s="2796"/>
      <c r="HB120" s="2796"/>
      <c r="HC120" s="2796"/>
      <c r="HD120" s="2796"/>
      <c r="HE120" s="2796"/>
      <c r="HF120" s="2796"/>
      <c r="HG120" s="2796"/>
      <c r="HH120" s="2796"/>
      <c r="HI120" s="2796"/>
      <c r="HJ120" s="2796"/>
      <c r="HK120" s="2796"/>
      <c r="HL120" s="2796"/>
      <c r="HM120" s="2796"/>
      <c r="HN120" s="2796"/>
      <c r="HO120" s="2796"/>
      <c r="HP120" s="2796"/>
      <c r="HQ120" s="2796"/>
      <c r="HR120" s="2796"/>
      <c r="HS120" s="2796"/>
      <c r="HT120" s="2796"/>
      <c r="HU120" s="2796"/>
      <c r="HV120" s="2796"/>
      <c r="HW120" s="2796"/>
      <c r="HX120" s="2796"/>
      <c r="HY120" s="2796"/>
      <c r="HZ120" s="2796"/>
      <c r="IA120" s="2796"/>
      <c r="IB120" s="2796"/>
      <c r="IC120" s="2796"/>
      <c r="ID120" s="2796"/>
      <c r="IE120" s="2796"/>
      <c r="IF120" s="2796"/>
      <c r="IG120" s="2796"/>
      <c r="IH120" s="2796"/>
      <c r="II120" s="2796"/>
      <c r="IJ120" s="2796"/>
      <c r="IK120" s="2796"/>
      <c r="IL120" s="2796"/>
      <c r="IM120" s="2796"/>
      <c r="IN120" s="2796"/>
      <c r="IO120" s="2796"/>
      <c r="IP120" s="2796"/>
      <c r="IQ120" s="2796"/>
      <c r="IR120" s="2796"/>
      <c r="IS120" s="2796"/>
      <c r="IT120" s="2796"/>
      <c r="IU120" s="2796"/>
    </row>
    <row r="121" spans="1:256" s="2793" customFormat="1" ht="13.5" customHeight="1">
      <c r="A121" s="2794"/>
      <c r="B121" s="2786"/>
      <c r="C121" s="2786"/>
      <c r="D121" s="2789" t="s">
        <v>5283</v>
      </c>
      <c r="E121" s="2786"/>
      <c r="F121" s="600">
        <f>((3.141592654*1.1*1.1)*2)*1.2</f>
        <v>9.1231850672160011</v>
      </c>
      <c r="G121" s="288"/>
      <c r="H121" s="609"/>
      <c r="I121" s="613"/>
      <c r="J121" s="2795"/>
      <c r="BU121" s="2796"/>
      <c r="BV121" s="2796"/>
      <c r="BW121" s="2796"/>
      <c r="BX121" s="2796"/>
      <c r="BY121" s="2796"/>
      <c r="BZ121" s="2796"/>
      <c r="CA121" s="2796"/>
      <c r="CB121" s="2796"/>
      <c r="CC121" s="2796"/>
      <c r="CD121" s="2796"/>
      <c r="CE121" s="2796"/>
      <c r="CF121" s="2796"/>
      <c r="CG121" s="2796"/>
      <c r="CH121" s="2796"/>
      <c r="CI121" s="2796"/>
      <c r="CJ121" s="2796"/>
      <c r="CK121" s="2796"/>
      <c r="CL121" s="2796"/>
      <c r="CM121" s="2796"/>
      <c r="CN121" s="2796"/>
      <c r="CO121" s="2796"/>
      <c r="CP121" s="2796"/>
      <c r="CQ121" s="2796"/>
      <c r="CR121" s="2796"/>
      <c r="CS121" s="2796"/>
      <c r="CT121" s="2796"/>
      <c r="CU121" s="2796"/>
      <c r="CV121" s="2796"/>
      <c r="CW121" s="2796"/>
      <c r="CX121" s="2796"/>
      <c r="CY121" s="2796"/>
      <c r="CZ121" s="2796"/>
      <c r="DA121" s="2796"/>
      <c r="DB121" s="2796"/>
      <c r="DC121" s="2796"/>
      <c r="DD121" s="2796"/>
      <c r="DE121" s="2796"/>
      <c r="DF121" s="2796"/>
      <c r="DG121" s="2796"/>
      <c r="DH121" s="2796"/>
      <c r="DI121" s="2796"/>
      <c r="DJ121" s="2796"/>
      <c r="DK121" s="2796"/>
      <c r="DL121" s="2796"/>
      <c r="DM121" s="2796"/>
      <c r="DN121" s="2796"/>
      <c r="DO121" s="2796"/>
      <c r="DP121" s="2796"/>
      <c r="DQ121" s="2796"/>
      <c r="DR121" s="2796"/>
      <c r="DS121" s="2796"/>
      <c r="DT121" s="2796"/>
      <c r="DU121" s="2796"/>
      <c r="DV121" s="2796"/>
      <c r="DW121" s="2796"/>
      <c r="DX121" s="2796"/>
      <c r="DY121" s="2796"/>
      <c r="DZ121" s="2796"/>
      <c r="EA121" s="2796"/>
      <c r="EB121" s="2796"/>
      <c r="EC121" s="2796"/>
      <c r="ED121" s="2796"/>
      <c r="EE121" s="2796"/>
      <c r="EF121" s="2796"/>
      <c r="EG121" s="2796"/>
      <c r="EH121" s="2796"/>
      <c r="EI121" s="2796"/>
      <c r="EJ121" s="2796"/>
      <c r="EK121" s="2796"/>
      <c r="EL121" s="2796"/>
      <c r="EM121" s="2796"/>
      <c r="EN121" s="2796"/>
      <c r="EO121" s="2796"/>
      <c r="EP121" s="2796"/>
      <c r="EQ121" s="2796"/>
      <c r="ER121" s="2796"/>
      <c r="ES121" s="2796"/>
      <c r="ET121" s="2796"/>
      <c r="EU121" s="2796"/>
      <c r="EV121" s="2796"/>
      <c r="EW121" s="2796"/>
      <c r="EX121" s="2796"/>
      <c r="EY121" s="2796"/>
      <c r="EZ121" s="2796"/>
      <c r="FA121" s="2796"/>
      <c r="FB121" s="2796"/>
      <c r="FC121" s="2796"/>
      <c r="FD121" s="2796"/>
      <c r="FE121" s="2796"/>
      <c r="FF121" s="2796"/>
      <c r="FG121" s="2796"/>
      <c r="FH121" s="2796"/>
      <c r="FI121" s="2796"/>
      <c r="FJ121" s="2796"/>
      <c r="FK121" s="2796"/>
      <c r="FL121" s="2796"/>
      <c r="FM121" s="2796"/>
      <c r="FN121" s="2796"/>
      <c r="FO121" s="2796"/>
      <c r="FP121" s="2796"/>
      <c r="FQ121" s="2796"/>
      <c r="FR121" s="2796"/>
      <c r="FS121" s="2796"/>
      <c r="FT121" s="2796"/>
      <c r="FU121" s="2796"/>
      <c r="FV121" s="2796"/>
      <c r="FW121" s="2796"/>
      <c r="FX121" s="2796"/>
      <c r="FY121" s="2796"/>
      <c r="FZ121" s="2796"/>
      <c r="GA121" s="2796"/>
      <c r="GB121" s="2796"/>
      <c r="GC121" s="2796"/>
      <c r="GD121" s="2796"/>
      <c r="GE121" s="2796"/>
      <c r="GF121" s="2796"/>
      <c r="GG121" s="2796"/>
      <c r="GH121" s="2796"/>
      <c r="GI121" s="2796"/>
      <c r="GJ121" s="2796"/>
      <c r="GK121" s="2796"/>
      <c r="GL121" s="2796"/>
      <c r="GM121" s="2796"/>
      <c r="GN121" s="2796"/>
      <c r="GO121" s="2796"/>
      <c r="GP121" s="2796"/>
      <c r="GQ121" s="2796"/>
      <c r="GR121" s="2796"/>
      <c r="GS121" s="2796"/>
      <c r="GT121" s="2796"/>
      <c r="GU121" s="2796"/>
      <c r="GV121" s="2796"/>
      <c r="GW121" s="2796"/>
      <c r="GX121" s="2796"/>
      <c r="GY121" s="2796"/>
      <c r="GZ121" s="2796"/>
      <c r="HA121" s="2796"/>
      <c r="HB121" s="2796"/>
      <c r="HC121" s="2796"/>
      <c r="HD121" s="2796"/>
      <c r="HE121" s="2796"/>
      <c r="HF121" s="2796"/>
      <c r="HG121" s="2796"/>
      <c r="HH121" s="2796"/>
      <c r="HI121" s="2796"/>
      <c r="HJ121" s="2796"/>
      <c r="HK121" s="2796"/>
      <c r="HL121" s="2796"/>
      <c r="HM121" s="2796"/>
      <c r="HN121" s="2796"/>
      <c r="HO121" s="2796"/>
      <c r="HP121" s="2796"/>
      <c r="HQ121" s="2796"/>
      <c r="HR121" s="2796"/>
      <c r="HS121" s="2796"/>
      <c r="HT121" s="2796"/>
      <c r="HU121" s="2796"/>
      <c r="HV121" s="2796"/>
      <c r="HW121" s="2796"/>
      <c r="HX121" s="2796"/>
      <c r="HY121" s="2796"/>
      <c r="HZ121" s="2796"/>
      <c r="IA121" s="2796"/>
      <c r="IB121" s="2796"/>
      <c r="IC121" s="2796"/>
      <c r="ID121" s="2796"/>
      <c r="IE121" s="2796"/>
      <c r="IF121" s="2796"/>
      <c r="IG121" s="2796"/>
      <c r="IH121" s="2796"/>
      <c r="II121" s="2796"/>
      <c r="IJ121" s="2796"/>
      <c r="IK121" s="2796"/>
      <c r="IL121" s="2796"/>
      <c r="IM121" s="2796"/>
      <c r="IN121" s="2796"/>
      <c r="IO121" s="2796"/>
      <c r="IP121" s="2796"/>
      <c r="IQ121" s="2796"/>
      <c r="IR121" s="2796"/>
      <c r="IS121" s="2796"/>
      <c r="IT121" s="2796"/>
      <c r="IU121" s="2796"/>
    </row>
    <row r="122" spans="1:256" s="2793" customFormat="1" ht="13.5" customHeight="1">
      <c r="A122" s="2794"/>
      <c r="B122" s="2786"/>
      <c r="C122" s="2786"/>
      <c r="D122" s="2789" t="s">
        <v>5284</v>
      </c>
      <c r="E122" s="2786"/>
      <c r="F122" s="1444"/>
      <c r="G122" s="288"/>
      <c r="H122" s="609"/>
      <c r="I122" s="613"/>
      <c r="J122" s="2795"/>
      <c r="BU122" s="2796"/>
      <c r="BV122" s="2796"/>
      <c r="BW122" s="2796"/>
      <c r="BX122" s="2796"/>
      <c r="BY122" s="2796"/>
      <c r="BZ122" s="2796"/>
      <c r="CA122" s="2796"/>
      <c r="CB122" s="2796"/>
      <c r="CC122" s="2796"/>
      <c r="CD122" s="2796"/>
      <c r="CE122" s="2796"/>
      <c r="CF122" s="2796"/>
      <c r="CG122" s="2796"/>
      <c r="CH122" s="2796"/>
      <c r="CI122" s="2796"/>
      <c r="CJ122" s="2796"/>
      <c r="CK122" s="2796"/>
      <c r="CL122" s="2796"/>
      <c r="CM122" s="2796"/>
      <c r="CN122" s="2796"/>
      <c r="CO122" s="2796"/>
      <c r="CP122" s="2796"/>
      <c r="CQ122" s="2796"/>
      <c r="CR122" s="2796"/>
      <c r="CS122" s="2796"/>
      <c r="CT122" s="2796"/>
      <c r="CU122" s="2796"/>
      <c r="CV122" s="2796"/>
      <c r="CW122" s="2796"/>
      <c r="CX122" s="2796"/>
      <c r="CY122" s="2796"/>
      <c r="CZ122" s="2796"/>
      <c r="DA122" s="2796"/>
      <c r="DB122" s="2796"/>
      <c r="DC122" s="2796"/>
      <c r="DD122" s="2796"/>
      <c r="DE122" s="2796"/>
      <c r="DF122" s="2796"/>
      <c r="DG122" s="2796"/>
      <c r="DH122" s="2796"/>
      <c r="DI122" s="2796"/>
      <c r="DJ122" s="2796"/>
      <c r="DK122" s="2796"/>
      <c r="DL122" s="2796"/>
      <c r="DM122" s="2796"/>
      <c r="DN122" s="2796"/>
      <c r="DO122" s="2796"/>
      <c r="DP122" s="2796"/>
      <c r="DQ122" s="2796"/>
      <c r="DR122" s="2796"/>
      <c r="DS122" s="2796"/>
      <c r="DT122" s="2796"/>
      <c r="DU122" s="2796"/>
      <c r="DV122" s="2796"/>
      <c r="DW122" s="2796"/>
      <c r="DX122" s="2796"/>
      <c r="DY122" s="2796"/>
      <c r="DZ122" s="2796"/>
      <c r="EA122" s="2796"/>
      <c r="EB122" s="2796"/>
      <c r="EC122" s="2796"/>
      <c r="ED122" s="2796"/>
      <c r="EE122" s="2796"/>
      <c r="EF122" s="2796"/>
      <c r="EG122" s="2796"/>
      <c r="EH122" s="2796"/>
      <c r="EI122" s="2796"/>
      <c r="EJ122" s="2796"/>
      <c r="EK122" s="2796"/>
      <c r="EL122" s="2796"/>
      <c r="EM122" s="2796"/>
      <c r="EN122" s="2796"/>
      <c r="EO122" s="2796"/>
      <c r="EP122" s="2796"/>
      <c r="EQ122" s="2796"/>
      <c r="ER122" s="2796"/>
      <c r="ES122" s="2796"/>
      <c r="ET122" s="2796"/>
      <c r="EU122" s="2796"/>
      <c r="EV122" s="2796"/>
      <c r="EW122" s="2796"/>
      <c r="EX122" s="2796"/>
      <c r="EY122" s="2796"/>
      <c r="EZ122" s="2796"/>
      <c r="FA122" s="2796"/>
      <c r="FB122" s="2796"/>
      <c r="FC122" s="2796"/>
      <c r="FD122" s="2796"/>
      <c r="FE122" s="2796"/>
      <c r="FF122" s="2796"/>
      <c r="FG122" s="2796"/>
      <c r="FH122" s="2796"/>
      <c r="FI122" s="2796"/>
      <c r="FJ122" s="2796"/>
      <c r="FK122" s="2796"/>
      <c r="FL122" s="2796"/>
      <c r="FM122" s="2796"/>
      <c r="FN122" s="2796"/>
      <c r="FO122" s="2796"/>
      <c r="FP122" s="2796"/>
      <c r="FQ122" s="2796"/>
      <c r="FR122" s="2796"/>
      <c r="FS122" s="2796"/>
      <c r="FT122" s="2796"/>
      <c r="FU122" s="2796"/>
      <c r="FV122" s="2796"/>
      <c r="FW122" s="2796"/>
      <c r="FX122" s="2796"/>
      <c r="FY122" s="2796"/>
      <c r="FZ122" s="2796"/>
      <c r="GA122" s="2796"/>
      <c r="GB122" s="2796"/>
      <c r="GC122" s="2796"/>
      <c r="GD122" s="2796"/>
      <c r="GE122" s="2796"/>
      <c r="GF122" s="2796"/>
      <c r="GG122" s="2796"/>
      <c r="GH122" s="2796"/>
      <c r="GI122" s="2796"/>
      <c r="GJ122" s="2796"/>
      <c r="GK122" s="2796"/>
      <c r="GL122" s="2796"/>
      <c r="GM122" s="2796"/>
      <c r="GN122" s="2796"/>
      <c r="GO122" s="2796"/>
      <c r="GP122" s="2796"/>
      <c r="GQ122" s="2796"/>
      <c r="GR122" s="2796"/>
      <c r="GS122" s="2796"/>
      <c r="GT122" s="2796"/>
      <c r="GU122" s="2796"/>
      <c r="GV122" s="2796"/>
      <c r="GW122" s="2796"/>
      <c r="GX122" s="2796"/>
      <c r="GY122" s="2796"/>
      <c r="GZ122" s="2796"/>
      <c r="HA122" s="2796"/>
      <c r="HB122" s="2796"/>
      <c r="HC122" s="2796"/>
      <c r="HD122" s="2796"/>
      <c r="HE122" s="2796"/>
      <c r="HF122" s="2796"/>
      <c r="HG122" s="2796"/>
      <c r="HH122" s="2796"/>
      <c r="HI122" s="2796"/>
      <c r="HJ122" s="2796"/>
      <c r="HK122" s="2796"/>
      <c r="HL122" s="2796"/>
      <c r="HM122" s="2796"/>
      <c r="HN122" s="2796"/>
      <c r="HO122" s="2796"/>
      <c r="HP122" s="2796"/>
      <c r="HQ122" s="2796"/>
      <c r="HR122" s="2796"/>
      <c r="HS122" s="2796"/>
      <c r="HT122" s="2796"/>
      <c r="HU122" s="2796"/>
      <c r="HV122" s="2796"/>
      <c r="HW122" s="2796"/>
      <c r="HX122" s="2796"/>
      <c r="HY122" s="2796"/>
      <c r="HZ122" s="2796"/>
      <c r="IA122" s="2796"/>
      <c r="IB122" s="2796"/>
      <c r="IC122" s="2796"/>
      <c r="ID122" s="2796"/>
      <c r="IE122" s="2796"/>
      <c r="IF122" s="2796"/>
      <c r="IG122" s="2796"/>
      <c r="IH122" s="2796"/>
      <c r="II122" s="2796"/>
      <c r="IJ122" s="2796"/>
      <c r="IK122" s="2796"/>
      <c r="IL122" s="2796"/>
      <c r="IM122" s="2796"/>
      <c r="IN122" s="2796"/>
      <c r="IO122" s="2796"/>
      <c r="IP122" s="2796"/>
      <c r="IQ122" s="2796"/>
      <c r="IR122" s="2796"/>
      <c r="IS122" s="2796"/>
      <c r="IT122" s="2796"/>
      <c r="IU122" s="2796"/>
    </row>
    <row r="123" spans="1:256" ht="13.5" customHeight="1">
      <c r="A123" s="608"/>
      <c r="B123" s="557"/>
      <c r="C123" s="616" t="s">
        <v>356</v>
      </c>
      <c r="D123" s="616" t="s">
        <v>357</v>
      </c>
      <c r="E123" s="616"/>
      <c r="F123" s="617"/>
      <c r="G123" s="303"/>
      <c r="H123" s="828">
        <f>SUM(H124:H127)</f>
        <v>0</v>
      </c>
      <c r="I123" s="613"/>
    </row>
    <row r="124" spans="1:256" s="604" customFormat="1" ht="13.5" customHeight="1">
      <c r="A124" s="608">
        <v>25</v>
      </c>
      <c r="B124" s="557" t="s">
        <v>5285</v>
      </c>
      <c r="C124" s="557">
        <v>998142251</v>
      </c>
      <c r="D124" s="557" t="s">
        <v>5286</v>
      </c>
      <c r="E124" s="557" t="s">
        <v>175</v>
      </c>
      <c r="F124" s="2659">
        <f>ROUND(SUM(F125),3)</f>
        <v>38.183</v>
      </c>
      <c r="G124" s="288"/>
      <c r="H124" s="568">
        <f t="shared" ref="H124" si="20">ROUND(F124*G124,2)</f>
        <v>0</v>
      </c>
      <c r="I124" s="613" t="s">
        <v>137</v>
      </c>
      <c r="J124" s="610"/>
      <c r="K124" s="2663"/>
      <c r="U124" s="605"/>
      <c r="W124" s="605"/>
    </row>
    <row r="125" spans="1:256" s="455" customFormat="1" ht="13.5" customHeight="1">
      <c r="A125" s="351"/>
      <c r="B125" s="352"/>
      <c r="C125" s="352"/>
      <c r="D125" s="719" t="s">
        <v>5287</v>
      </c>
      <c r="E125" s="352"/>
      <c r="F125" s="2754">
        <f>38.183</f>
        <v>38.183</v>
      </c>
      <c r="G125" s="357"/>
      <c r="H125" s="362"/>
      <c r="I125" s="363"/>
      <c r="J125" s="2762"/>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2"/>
      <c r="AH125" s="2752"/>
      <c r="AI125" s="2752"/>
      <c r="AJ125" s="2752"/>
      <c r="AK125" s="2752"/>
      <c r="AL125" s="2752"/>
      <c r="AM125" s="2752"/>
      <c r="AN125" s="2752"/>
      <c r="AO125" s="2752"/>
      <c r="AP125" s="2752"/>
      <c r="AQ125" s="2752"/>
      <c r="AR125" s="2752"/>
      <c r="AS125" s="2752"/>
      <c r="AT125" s="2752"/>
      <c r="AU125" s="2752"/>
      <c r="AV125" s="2752"/>
      <c r="AW125" s="2752"/>
      <c r="AX125" s="2752"/>
      <c r="AY125" s="2752"/>
      <c r="AZ125" s="2752"/>
      <c r="BA125" s="2752"/>
      <c r="BB125" s="2752"/>
      <c r="BC125" s="2752"/>
      <c r="BD125" s="2752"/>
      <c r="BE125" s="2752"/>
      <c r="BF125" s="2752"/>
      <c r="BG125" s="2752"/>
      <c r="BH125" s="2752"/>
      <c r="BI125" s="2752"/>
      <c r="BJ125" s="2752"/>
      <c r="BK125" s="2752"/>
      <c r="BL125" s="2752"/>
      <c r="BM125" s="2752"/>
      <c r="BN125" s="2752"/>
      <c r="BO125" s="2752"/>
      <c r="BP125" s="2752"/>
      <c r="BQ125" s="2752"/>
      <c r="BR125" s="2752"/>
      <c r="BS125" s="2752"/>
      <c r="BT125" s="2752"/>
      <c r="BU125" s="2752"/>
      <c r="BV125" s="2752"/>
      <c r="BW125" s="2752"/>
      <c r="BX125" s="2752"/>
      <c r="BY125" s="2752"/>
      <c r="BZ125" s="2752"/>
      <c r="CA125" s="2752"/>
      <c r="CB125" s="2752"/>
      <c r="CC125" s="2752"/>
      <c r="CD125" s="2752"/>
      <c r="CE125" s="2752"/>
      <c r="CF125" s="2752"/>
      <c r="CG125" s="2752"/>
      <c r="CH125" s="2752"/>
      <c r="CI125" s="2752"/>
      <c r="CJ125" s="2752"/>
      <c r="CK125" s="2752"/>
      <c r="CL125" s="2752"/>
      <c r="CM125" s="2752"/>
      <c r="CN125" s="2752"/>
      <c r="CO125" s="2752"/>
      <c r="CP125" s="2752"/>
      <c r="CQ125" s="2752"/>
      <c r="CR125" s="2752"/>
      <c r="CS125" s="2752"/>
      <c r="CT125" s="2752"/>
      <c r="CU125" s="2752"/>
      <c r="CV125" s="2752"/>
      <c r="CW125" s="2752"/>
      <c r="CX125" s="2752"/>
      <c r="CY125" s="2752"/>
      <c r="CZ125" s="2752"/>
      <c r="DA125" s="2752"/>
      <c r="DB125" s="2752"/>
      <c r="DC125" s="2752"/>
      <c r="DD125" s="2752"/>
      <c r="DE125" s="2752"/>
      <c r="DF125" s="2752"/>
      <c r="DG125" s="2752"/>
      <c r="DH125" s="2752"/>
      <c r="DI125" s="2752"/>
      <c r="DJ125" s="2752"/>
      <c r="DK125" s="2752"/>
      <c r="DL125" s="2752"/>
      <c r="DM125" s="2752"/>
      <c r="DN125" s="2752"/>
      <c r="DO125" s="2752"/>
      <c r="DP125" s="2752"/>
      <c r="DQ125" s="2752"/>
      <c r="DR125" s="2752"/>
      <c r="DS125" s="2752"/>
      <c r="DT125" s="2752"/>
      <c r="DU125" s="2752"/>
      <c r="DV125" s="2752"/>
      <c r="DW125" s="2752"/>
      <c r="DX125" s="2752"/>
      <c r="DY125" s="2752"/>
      <c r="DZ125" s="2752"/>
      <c r="EA125" s="2752"/>
      <c r="EB125" s="2752"/>
      <c r="EC125" s="2752"/>
      <c r="ED125" s="2752"/>
      <c r="EE125" s="2752"/>
      <c r="EF125" s="2752"/>
      <c r="EG125" s="2752"/>
      <c r="EH125" s="2752"/>
      <c r="EI125" s="2752"/>
      <c r="EJ125" s="2752"/>
      <c r="EK125" s="2752"/>
      <c r="EL125" s="2752"/>
      <c r="EM125" s="2752"/>
      <c r="EN125" s="2752"/>
      <c r="EO125" s="2752"/>
      <c r="EP125" s="2752"/>
      <c r="EQ125" s="2752"/>
      <c r="ER125" s="2752"/>
      <c r="ES125" s="2752"/>
      <c r="ET125" s="2752"/>
      <c r="EU125" s="2752"/>
      <c r="EV125" s="2752"/>
      <c r="EW125" s="2752"/>
      <c r="EX125" s="2752"/>
      <c r="EY125" s="2752"/>
      <c r="EZ125" s="2752"/>
      <c r="FA125" s="2752"/>
      <c r="FB125" s="2752"/>
      <c r="FC125" s="2752"/>
      <c r="FD125" s="2752"/>
      <c r="FE125" s="2752"/>
      <c r="FF125" s="2752"/>
      <c r="FG125" s="2752"/>
      <c r="FH125" s="2752"/>
      <c r="FI125" s="2752"/>
      <c r="FJ125" s="2752"/>
      <c r="FK125" s="2752"/>
      <c r="FL125" s="2752"/>
      <c r="FM125" s="2752"/>
      <c r="FN125" s="2752"/>
      <c r="FO125" s="2752"/>
      <c r="FP125" s="2752"/>
      <c r="FQ125" s="2752"/>
      <c r="FR125" s="2752"/>
      <c r="FS125" s="2752"/>
      <c r="FT125" s="2752"/>
      <c r="FU125" s="2752"/>
      <c r="FV125" s="2752"/>
      <c r="FW125" s="2752"/>
      <c r="FX125" s="2752"/>
      <c r="FY125" s="2752"/>
      <c r="FZ125" s="2752"/>
      <c r="GA125" s="2752"/>
      <c r="GB125" s="2752"/>
      <c r="GC125" s="2752"/>
      <c r="GD125" s="2752"/>
      <c r="GE125" s="2752"/>
      <c r="GF125" s="2752"/>
      <c r="GG125" s="2752"/>
      <c r="GH125" s="2752"/>
      <c r="GI125" s="2752"/>
      <c r="GJ125" s="2752"/>
      <c r="GK125" s="2752"/>
      <c r="GL125" s="2752"/>
      <c r="GM125" s="2752"/>
      <c r="GN125" s="2752"/>
      <c r="GO125" s="2752"/>
      <c r="GP125" s="2752"/>
      <c r="GQ125" s="2752"/>
      <c r="GR125" s="2752"/>
      <c r="GS125" s="2752"/>
      <c r="GT125" s="2752"/>
      <c r="GU125" s="2752"/>
      <c r="GV125" s="2752"/>
      <c r="GW125" s="2752"/>
      <c r="GX125" s="2752"/>
      <c r="GY125" s="2752"/>
      <c r="GZ125" s="2752"/>
      <c r="HA125" s="2752"/>
      <c r="HB125" s="2752"/>
      <c r="HC125" s="2752"/>
      <c r="HD125" s="2752"/>
      <c r="HE125" s="2752"/>
      <c r="HF125" s="2752"/>
      <c r="HG125" s="2752"/>
      <c r="HH125" s="2752"/>
      <c r="HI125" s="2752"/>
      <c r="HJ125" s="2752"/>
      <c r="HK125" s="2752"/>
      <c r="HL125" s="2752"/>
      <c r="HM125" s="2752"/>
      <c r="HN125" s="2752"/>
      <c r="HO125" s="2752"/>
      <c r="HP125" s="2752"/>
      <c r="HQ125" s="2752"/>
      <c r="HR125" s="2752"/>
      <c r="HS125" s="2752"/>
      <c r="HT125" s="2752"/>
      <c r="HU125" s="2752"/>
      <c r="HV125" s="2752"/>
      <c r="HW125" s="2752"/>
      <c r="HX125" s="2752"/>
      <c r="HY125" s="2752"/>
      <c r="HZ125" s="2752"/>
      <c r="IA125" s="2752"/>
      <c r="IB125" s="2752"/>
      <c r="IC125" s="2752"/>
      <c r="ID125" s="2752"/>
      <c r="IE125" s="2752"/>
      <c r="IF125" s="2752"/>
      <c r="IG125" s="2752"/>
      <c r="IH125" s="2752"/>
      <c r="II125" s="2752"/>
      <c r="IJ125" s="2752"/>
      <c r="IK125" s="2752"/>
      <c r="IL125" s="2752"/>
      <c r="IM125" s="2752"/>
      <c r="IN125" s="2752"/>
      <c r="IO125" s="2752"/>
      <c r="IP125" s="2752"/>
      <c r="IQ125" s="2752"/>
      <c r="IR125" s="2752"/>
      <c r="IS125" s="2752"/>
      <c r="IT125" s="2752"/>
      <c r="IU125" s="2752"/>
      <c r="IV125" s="2752"/>
    </row>
    <row r="126" spans="1:256" s="604" customFormat="1" ht="13.5" customHeight="1">
      <c r="A126" s="608">
        <v>26</v>
      </c>
      <c r="B126" s="557" t="s">
        <v>362</v>
      </c>
      <c r="C126" s="557" t="s">
        <v>2424</v>
      </c>
      <c r="D126" s="557" t="s">
        <v>2425</v>
      </c>
      <c r="E126" s="557" t="s">
        <v>69</v>
      </c>
      <c r="F126" s="2659">
        <f>ROUND(SUM(F127),3)</f>
        <v>5</v>
      </c>
      <c r="G126" s="288"/>
      <c r="H126" s="568">
        <f t="shared" ref="H126" si="21">ROUND(F126*G126,2)</f>
        <v>0</v>
      </c>
      <c r="I126" s="613" t="s">
        <v>137</v>
      </c>
      <c r="J126" s="610"/>
      <c r="K126" s="2663"/>
      <c r="U126" s="605"/>
      <c r="W126" s="605"/>
    </row>
    <row r="127" spans="1:256" s="2761" customFormat="1" ht="27" customHeight="1">
      <c r="A127" s="2755"/>
      <c r="B127" s="2737"/>
      <c r="C127" s="2756"/>
      <c r="D127" s="2669" t="s">
        <v>365</v>
      </c>
      <c r="E127" s="2756"/>
      <c r="F127" s="2754">
        <v>5</v>
      </c>
      <c r="G127" s="358"/>
      <c r="H127" s="2758"/>
      <c r="I127" s="2759"/>
    </row>
    <row r="128" spans="1:256" ht="21" customHeight="1">
      <c r="A128" s="2763"/>
      <c r="B128" s="2764"/>
      <c r="C128" s="2764"/>
      <c r="D128" s="2764" t="s">
        <v>0</v>
      </c>
      <c r="E128" s="2764"/>
      <c r="F128" s="2765"/>
      <c r="G128" s="2766"/>
      <c r="H128" s="2766">
        <f>H9</f>
        <v>0</v>
      </c>
      <c r="I128" s="647"/>
    </row>
    <row r="129" spans="1:9">
      <c r="A129" s="2767"/>
      <c r="B129" s="2767"/>
      <c r="C129" s="2768"/>
      <c r="D129" s="2768"/>
      <c r="E129" s="2769"/>
      <c r="F129" s="2770"/>
      <c r="G129" s="2771"/>
      <c r="H129" s="2771"/>
      <c r="I129" s="2772"/>
    </row>
    <row r="130" spans="1:9" ht="13.5" customHeight="1">
      <c r="A130" s="5223" t="s">
        <v>862</v>
      </c>
      <c r="B130" s="5224"/>
      <c r="C130" s="5225"/>
      <c r="D130" s="1188" t="s">
        <v>5288</v>
      </c>
      <c r="E130" s="2773"/>
      <c r="F130" s="2774"/>
      <c r="G130" s="2775"/>
      <c r="H130" s="2776">
        <f>H128</f>
        <v>0</v>
      </c>
      <c r="I130" s="2777"/>
    </row>
    <row r="131" spans="1:9" ht="13.5" customHeight="1">
      <c r="A131" s="2778"/>
      <c r="B131" s="2779"/>
      <c r="C131" s="2779"/>
      <c r="D131" s="2780"/>
      <c r="E131" s="2781"/>
      <c r="F131" s="2782"/>
      <c r="G131" s="2783"/>
      <c r="H131" s="645"/>
      <c r="I131" s="647"/>
    </row>
    <row r="132" spans="1:9" ht="13.5" customHeight="1">
      <c r="A132" s="689" t="s">
        <v>1</v>
      </c>
      <c r="B132" s="689"/>
      <c r="C132" s="689"/>
      <c r="D132" s="689"/>
      <c r="E132" s="689"/>
      <c r="F132" s="689"/>
      <c r="G132" s="689"/>
      <c r="H132" s="689"/>
      <c r="I132" s="689"/>
    </row>
    <row r="133" spans="1:9" ht="27" customHeight="1">
      <c r="A133" s="5159" t="s">
        <v>864</v>
      </c>
      <c r="B133" s="5159"/>
      <c r="C133" s="5159"/>
      <c r="D133" s="5159"/>
      <c r="E133" s="5159"/>
      <c r="F133" s="5159"/>
      <c r="G133" s="5159"/>
      <c r="H133" s="689"/>
      <c r="I133" s="647"/>
    </row>
    <row r="134" spans="1:9" ht="93.75" customHeight="1">
      <c r="A134" s="5159" t="s">
        <v>104</v>
      </c>
      <c r="B134" s="5159"/>
      <c r="C134" s="5159"/>
      <c r="D134" s="5159"/>
      <c r="E134" s="5159"/>
      <c r="F134" s="5159"/>
      <c r="G134" s="5159"/>
      <c r="H134" s="689"/>
      <c r="I134" s="689"/>
    </row>
    <row r="135" spans="1:9" ht="13.5" customHeight="1">
      <c r="A135" s="5159" t="s">
        <v>105</v>
      </c>
      <c r="B135" s="5159"/>
      <c r="C135" s="5159"/>
      <c r="D135" s="5159"/>
      <c r="E135" s="5159"/>
      <c r="F135" s="5159"/>
      <c r="G135" s="5159"/>
      <c r="H135" s="691"/>
      <c r="I135" s="691"/>
    </row>
    <row r="136" spans="1:9" ht="13.5" customHeight="1">
      <c r="A136" s="5159" t="s">
        <v>106</v>
      </c>
      <c r="B136" s="5159"/>
      <c r="C136" s="5159"/>
      <c r="D136" s="5159"/>
      <c r="E136" s="5159"/>
      <c r="F136" s="5159"/>
      <c r="G136" s="5159"/>
      <c r="H136" s="691"/>
      <c r="I136" s="691"/>
    </row>
    <row r="137" spans="1:9" s="692" customFormat="1" ht="40.5" customHeight="1">
      <c r="A137" s="5156" t="s">
        <v>865</v>
      </c>
      <c r="B137" s="5156"/>
      <c r="C137" s="5156"/>
      <c r="D137" s="5156"/>
      <c r="E137" s="5156"/>
      <c r="F137" s="5156"/>
      <c r="G137" s="5156"/>
      <c r="I137" s="562"/>
    </row>
    <row r="138" spans="1:9" s="695" customFormat="1" ht="94.5" customHeight="1">
      <c r="A138" s="5156" t="s">
        <v>1013</v>
      </c>
      <c r="B138" s="5156"/>
      <c r="C138" s="5156"/>
      <c r="D138" s="5156"/>
      <c r="E138" s="5156"/>
      <c r="F138" s="5156"/>
      <c r="G138" s="5156"/>
      <c r="H138" s="693"/>
      <c r="I138" s="694"/>
    </row>
  </sheetData>
  <sheetProtection algorithmName="SHA-512" hashValue="YXg0IT3iwor0LU5BWZxgLRRyfY7xNnO4xJ3mz1Ro1gFlJd/v81O2bqnBOTa+q61j8HTZtVL8ITG8u5ZjSeNvzg==" saltValue="50X+xvjEQRFXADP4aYjVTw==" spinCount="100000" sheet="1" objects="1" scenarios="1"/>
  <mergeCells count="13">
    <mergeCell ref="G113:H113"/>
    <mergeCell ref="A2:I2"/>
    <mergeCell ref="A3:D3"/>
    <mergeCell ref="A4:D4"/>
    <mergeCell ref="E4:H4"/>
    <mergeCell ref="G110:H110"/>
    <mergeCell ref="A138:G138"/>
    <mergeCell ref="A130:C130"/>
    <mergeCell ref="A133:G133"/>
    <mergeCell ref="A134:G134"/>
    <mergeCell ref="A135:G135"/>
    <mergeCell ref="A136:G136"/>
    <mergeCell ref="A137:G137"/>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D42-16A5-452D-AB0E-664CF9B186DA}">
  <sheetPr>
    <tabColor rgb="FFFF00FF"/>
    <pageSetUpPr fitToPage="1"/>
  </sheetPr>
  <dimension ref="A1:IV147"/>
  <sheetViews>
    <sheetView zoomScaleNormal="100" workbookViewId="0"/>
  </sheetViews>
  <sheetFormatPr defaultRowHeight="12.75"/>
  <cols>
    <col min="1" max="1" width="4.83203125" style="612" customWidth="1"/>
    <col min="2" max="2" width="5" style="612" customWidth="1"/>
    <col min="3" max="3" width="16.83203125" style="612" customWidth="1"/>
    <col min="4" max="4" width="75.83203125" style="612" customWidth="1"/>
    <col min="5" max="5" width="7.83203125" style="612" customWidth="1"/>
    <col min="6" max="6" width="11.83203125" style="612" customWidth="1"/>
    <col min="7" max="7" width="13.6640625" style="612" customWidth="1"/>
    <col min="8" max="8" width="18.33203125" style="612" customWidth="1"/>
    <col min="9" max="9" width="20.1640625" style="612" customWidth="1"/>
    <col min="10" max="10" width="18.5" style="612" customWidth="1"/>
    <col min="11" max="11" width="9.33203125" style="612"/>
    <col min="12" max="12" width="14" style="612" customWidth="1"/>
    <col min="13" max="13" width="19" style="612" customWidth="1"/>
    <col min="14" max="16" width="9.33203125" style="612"/>
    <col min="17" max="17" width="13.33203125" style="612" customWidth="1"/>
    <col min="18" max="256" width="9.33203125" style="612"/>
    <col min="257" max="257" width="4.83203125" style="612" customWidth="1"/>
    <col min="258" max="258" width="5" style="612" customWidth="1"/>
    <col min="259" max="259" width="16.83203125" style="612" customWidth="1"/>
    <col min="260" max="260" width="75.83203125" style="612" customWidth="1"/>
    <col min="261" max="261" width="7.83203125" style="612" customWidth="1"/>
    <col min="262" max="262" width="11.83203125" style="612" customWidth="1"/>
    <col min="263" max="263" width="13.6640625" style="612" customWidth="1"/>
    <col min="264" max="264" width="18.33203125" style="612" customWidth="1"/>
    <col min="265" max="265" width="20.1640625" style="612" customWidth="1"/>
    <col min="266" max="266" width="14.6640625" style="612" customWidth="1"/>
    <col min="267" max="272" width="9.33203125" style="612"/>
    <col min="273" max="273" width="13.33203125" style="612" customWidth="1"/>
    <col min="274" max="512" width="9.33203125" style="612"/>
    <col min="513" max="513" width="4.83203125" style="612" customWidth="1"/>
    <col min="514" max="514" width="5" style="612" customWidth="1"/>
    <col min="515" max="515" width="16.83203125" style="612" customWidth="1"/>
    <col min="516" max="516" width="75.83203125" style="612" customWidth="1"/>
    <col min="517" max="517" width="7.83203125" style="612" customWidth="1"/>
    <col min="518" max="518" width="11.83203125" style="612" customWidth="1"/>
    <col min="519" max="519" width="13.6640625" style="612" customWidth="1"/>
    <col min="520" max="520" width="18.33203125" style="612" customWidth="1"/>
    <col min="521" max="521" width="20.1640625" style="612" customWidth="1"/>
    <col min="522" max="522" width="14.6640625" style="612" customWidth="1"/>
    <col min="523" max="528" width="9.33203125" style="612"/>
    <col min="529" max="529" width="13.33203125" style="612" customWidth="1"/>
    <col min="530" max="768" width="9.33203125" style="612"/>
    <col min="769" max="769" width="4.83203125" style="612" customWidth="1"/>
    <col min="770" max="770" width="5" style="612" customWidth="1"/>
    <col min="771" max="771" width="16.83203125" style="612" customWidth="1"/>
    <col min="772" max="772" width="75.83203125" style="612" customWidth="1"/>
    <col min="773" max="773" width="7.83203125" style="612" customWidth="1"/>
    <col min="774" max="774" width="11.83203125" style="612" customWidth="1"/>
    <col min="775" max="775" width="13.6640625" style="612" customWidth="1"/>
    <col min="776" max="776" width="18.33203125" style="612" customWidth="1"/>
    <col min="777" max="777" width="20.1640625" style="612" customWidth="1"/>
    <col min="778" max="778" width="14.6640625" style="612" customWidth="1"/>
    <col min="779" max="784" width="9.33203125" style="612"/>
    <col min="785" max="785" width="13.33203125" style="612" customWidth="1"/>
    <col min="786" max="1024" width="9.33203125" style="612"/>
    <col min="1025" max="1025" width="4.83203125" style="612" customWidth="1"/>
    <col min="1026" max="1026" width="5" style="612" customWidth="1"/>
    <col min="1027" max="1027" width="16.83203125" style="612" customWidth="1"/>
    <col min="1028" max="1028" width="75.83203125" style="612" customWidth="1"/>
    <col min="1029" max="1029" width="7.83203125" style="612" customWidth="1"/>
    <col min="1030" max="1030" width="11.83203125" style="612" customWidth="1"/>
    <col min="1031" max="1031" width="13.6640625" style="612" customWidth="1"/>
    <col min="1032" max="1032" width="18.33203125" style="612" customWidth="1"/>
    <col min="1033" max="1033" width="20.1640625" style="612" customWidth="1"/>
    <col min="1034" max="1034" width="14.6640625" style="612" customWidth="1"/>
    <col min="1035" max="1040" width="9.33203125" style="612"/>
    <col min="1041" max="1041" width="13.33203125" style="612" customWidth="1"/>
    <col min="1042" max="1280" width="9.33203125" style="612"/>
    <col min="1281" max="1281" width="4.83203125" style="612" customWidth="1"/>
    <col min="1282" max="1282" width="5" style="612" customWidth="1"/>
    <col min="1283" max="1283" width="16.83203125" style="612" customWidth="1"/>
    <col min="1284" max="1284" width="75.83203125" style="612" customWidth="1"/>
    <col min="1285" max="1285" width="7.83203125" style="612" customWidth="1"/>
    <col min="1286" max="1286" width="11.83203125" style="612" customWidth="1"/>
    <col min="1287" max="1287" width="13.6640625" style="612" customWidth="1"/>
    <col min="1288" max="1288" width="18.33203125" style="612" customWidth="1"/>
    <col min="1289" max="1289" width="20.1640625" style="612" customWidth="1"/>
    <col min="1290" max="1290" width="14.6640625" style="612" customWidth="1"/>
    <col min="1291" max="1296" width="9.33203125" style="612"/>
    <col min="1297" max="1297" width="13.33203125" style="612" customWidth="1"/>
    <col min="1298" max="1536" width="9.33203125" style="612"/>
    <col min="1537" max="1537" width="4.83203125" style="612" customWidth="1"/>
    <col min="1538" max="1538" width="5" style="612" customWidth="1"/>
    <col min="1539" max="1539" width="16.83203125" style="612" customWidth="1"/>
    <col min="1540" max="1540" width="75.83203125" style="612" customWidth="1"/>
    <col min="1541" max="1541" width="7.83203125" style="612" customWidth="1"/>
    <col min="1542" max="1542" width="11.83203125" style="612" customWidth="1"/>
    <col min="1543" max="1543" width="13.6640625" style="612" customWidth="1"/>
    <col min="1544" max="1544" width="18.33203125" style="612" customWidth="1"/>
    <col min="1545" max="1545" width="20.1640625" style="612" customWidth="1"/>
    <col min="1546" max="1546" width="14.6640625" style="612" customWidth="1"/>
    <col min="1547" max="1552" width="9.33203125" style="612"/>
    <col min="1553" max="1553" width="13.33203125" style="612" customWidth="1"/>
    <col min="1554" max="1792" width="9.33203125" style="612"/>
    <col min="1793" max="1793" width="4.83203125" style="612" customWidth="1"/>
    <col min="1794" max="1794" width="5" style="612" customWidth="1"/>
    <col min="1795" max="1795" width="16.83203125" style="612" customWidth="1"/>
    <col min="1796" max="1796" width="75.83203125" style="612" customWidth="1"/>
    <col min="1797" max="1797" width="7.83203125" style="612" customWidth="1"/>
    <col min="1798" max="1798" width="11.83203125" style="612" customWidth="1"/>
    <col min="1799" max="1799" width="13.6640625" style="612" customWidth="1"/>
    <col min="1800" max="1800" width="18.33203125" style="612" customWidth="1"/>
    <col min="1801" max="1801" width="20.1640625" style="612" customWidth="1"/>
    <col min="1802" max="1802" width="14.6640625" style="612" customWidth="1"/>
    <col min="1803" max="1808" width="9.33203125" style="612"/>
    <col min="1809" max="1809" width="13.33203125" style="612" customWidth="1"/>
    <col min="1810" max="2048" width="9.33203125" style="612"/>
    <col min="2049" max="2049" width="4.83203125" style="612" customWidth="1"/>
    <col min="2050" max="2050" width="5" style="612" customWidth="1"/>
    <col min="2051" max="2051" width="16.83203125" style="612" customWidth="1"/>
    <col min="2052" max="2052" width="75.83203125" style="612" customWidth="1"/>
    <col min="2053" max="2053" width="7.83203125" style="612" customWidth="1"/>
    <col min="2054" max="2054" width="11.83203125" style="612" customWidth="1"/>
    <col min="2055" max="2055" width="13.6640625" style="612" customWidth="1"/>
    <col min="2056" max="2056" width="18.33203125" style="612" customWidth="1"/>
    <col min="2057" max="2057" width="20.1640625" style="612" customWidth="1"/>
    <col min="2058" max="2058" width="14.6640625" style="612" customWidth="1"/>
    <col min="2059" max="2064" width="9.33203125" style="612"/>
    <col min="2065" max="2065" width="13.33203125" style="612" customWidth="1"/>
    <col min="2066" max="2304" width="9.33203125" style="612"/>
    <col min="2305" max="2305" width="4.83203125" style="612" customWidth="1"/>
    <col min="2306" max="2306" width="5" style="612" customWidth="1"/>
    <col min="2307" max="2307" width="16.83203125" style="612" customWidth="1"/>
    <col min="2308" max="2308" width="75.83203125" style="612" customWidth="1"/>
    <col min="2309" max="2309" width="7.83203125" style="612" customWidth="1"/>
    <col min="2310" max="2310" width="11.83203125" style="612" customWidth="1"/>
    <col min="2311" max="2311" width="13.6640625" style="612" customWidth="1"/>
    <col min="2312" max="2312" width="18.33203125" style="612" customWidth="1"/>
    <col min="2313" max="2313" width="20.1640625" style="612" customWidth="1"/>
    <col min="2314" max="2314" width="14.6640625" style="612" customWidth="1"/>
    <col min="2315" max="2320" width="9.33203125" style="612"/>
    <col min="2321" max="2321" width="13.33203125" style="612" customWidth="1"/>
    <col min="2322" max="2560" width="9.33203125" style="612"/>
    <col min="2561" max="2561" width="4.83203125" style="612" customWidth="1"/>
    <col min="2562" max="2562" width="5" style="612" customWidth="1"/>
    <col min="2563" max="2563" width="16.83203125" style="612" customWidth="1"/>
    <col min="2564" max="2564" width="75.83203125" style="612" customWidth="1"/>
    <col min="2565" max="2565" width="7.83203125" style="612" customWidth="1"/>
    <col min="2566" max="2566" width="11.83203125" style="612" customWidth="1"/>
    <col min="2567" max="2567" width="13.6640625" style="612" customWidth="1"/>
    <col min="2568" max="2568" width="18.33203125" style="612" customWidth="1"/>
    <col min="2569" max="2569" width="20.1640625" style="612" customWidth="1"/>
    <col min="2570" max="2570" width="14.6640625" style="612" customWidth="1"/>
    <col min="2571" max="2576" width="9.33203125" style="612"/>
    <col min="2577" max="2577" width="13.33203125" style="612" customWidth="1"/>
    <col min="2578" max="2816" width="9.33203125" style="612"/>
    <col min="2817" max="2817" width="4.83203125" style="612" customWidth="1"/>
    <col min="2818" max="2818" width="5" style="612" customWidth="1"/>
    <col min="2819" max="2819" width="16.83203125" style="612" customWidth="1"/>
    <col min="2820" max="2820" width="75.83203125" style="612" customWidth="1"/>
    <col min="2821" max="2821" width="7.83203125" style="612" customWidth="1"/>
    <col min="2822" max="2822" width="11.83203125" style="612" customWidth="1"/>
    <col min="2823" max="2823" width="13.6640625" style="612" customWidth="1"/>
    <col min="2824" max="2824" width="18.33203125" style="612" customWidth="1"/>
    <col min="2825" max="2825" width="20.1640625" style="612" customWidth="1"/>
    <col min="2826" max="2826" width="14.6640625" style="612" customWidth="1"/>
    <col min="2827" max="2832" width="9.33203125" style="612"/>
    <col min="2833" max="2833" width="13.33203125" style="612" customWidth="1"/>
    <col min="2834" max="3072" width="9.33203125" style="612"/>
    <col min="3073" max="3073" width="4.83203125" style="612" customWidth="1"/>
    <col min="3074" max="3074" width="5" style="612" customWidth="1"/>
    <col min="3075" max="3075" width="16.83203125" style="612" customWidth="1"/>
    <col min="3076" max="3076" width="75.83203125" style="612" customWidth="1"/>
    <col min="3077" max="3077" width="7.83203125" style="612" customWidth="1"/>
    <col min="3078" max="3078" width="11.83203125" style="612" customWidth="1"/>
    <col min="3079" max="3079" width="13.6640625" style="612" customWidth="1"/>
    <col min="3080" max="3080" width="18.33203125" style="612" customWidth="1"/>
    <col min="3081" max="3081" width="20.1640625" style="612" customWidth="1"/>
    <col min="3082" max="3082" width="14.6640625" style="612" customWidth="1"/>
    <col min="3083" max="3088" width="9.33203125" style="612"/>
    <col min="3089" max="3089" width="13.33203125" style="612" customWidth="1"/>
    <col min="3090" max="3328" width="9.33203125" style="612"/>
    <col min="3329" max="3329" width="4.83203125" style="612" customWidth="1"/>
    <col min="3330" max="3330" width="5" style="612" customWidth="1"/>
    <col min="3331" max="3331" width="16.83203125" style="612" customWidth="1"/>
    <col min="3332" max="3332" width="75.83203125" style="612" customWidth="1"/>
    <col min="3333" max="3333" width="7.83203125" style="612" customWidth="1"/>
    <col min="3334" max="3334" width="11.83203125" style="612" customWidth="1"/>
    <col min="3335" max="3335" width="13.6640625" style="612" customWidth="1"/>
    <col min="3336" max="3336" width="18.33203125" style="612" customWidth="1"/>
    <col min="3337" max="3337" width="20.1640625" style="612" customWidth="1"/>
    <col min="3338" max="3338" width="14.6640625" style="612" customWidth="1"/>
    <col min="3339" max="3344" width="9.33203125" style="612"/>
    <col min="3345" max="3345" width="13.33203125" style="612" customWidth="1"/>
    <col min="3346" max="3584" width="9.33203125" style="612"/>
    <col min="3585" max="3585" width="4.83203125" style="612" customWidth="1"/>
    <col min="3586" max="3586" width="5" style="612" customWidth="1"/>
    <col min="3587" max="3587" width="16.83203125" style="612" customWidth="1"/>
    <col min="3588" max="3588" width="75.83203125" style="612" customWidth="1"/>
    <col min="3589" max="3589" width="7.83203125" style="612" customWidth="1"/>
    <col min="3590" max="3590" width="11.83203125" style="612" customWidth="1"/>
    <col min="3591" max="3591" width="13.6640625" style="612" customWidth="1"/>
    <col min="3592" max="3592" width="18.33203125" style="612" customWidth="1"/>
    <col min="3593" max="3593" width="20.1640625" style="612" customWidth="1"/>
    <col min="3594" max="3594" width="14.6640625" style="612" customWidth="1"/>
    <col min="3595" max="3600" width="9.33203125" style="612"/>
    <col min="3601" max="3601" width="13.33203125" style="612" customWidth="1"/>
    <col min="3602" max="3840" width="9.33203125" style="612"/>
    <col min="3841" max="3841" width="4.83203125" style="612" customWidth="1"/>
    <col min="3842" max="3842" width="5" style="612" customWidth="1"/>
    <col min="3843" max="3843" width="16.83203125" style="612" customWidth="1"/>
    <col min="3844" max="3844" width="75.83203125" style="612" customWidth="1"/>
    <col min="3845" max="3845" width="7.83203125" style="612" customWidth="1"/>
    <col min="3846" max="3846" width="11.83203125" style="612" customWidth="1"/>
    <col min="3847" max="3847" width="13.6640625" style="612" customWidth="1"/>
    <col min="3848" max="3848" width="18.33203125" style="612" customWidth="1"/>
    <col min="3849" max="3849" width="20.1640625" style="612" customWidth="1"/>
    <col min="3850" max="3850" width="14.6640625" style="612" customWidth="1"/>
    <col min="3851" max="3856" width="9.33203125" style="612"/>
    <col min="3857" max="3857" width="13.33203125" style="612" customWidth="1"/>
    <col min="3858" max="4096" width="9.33203125" style="612"/>
    <col min="4097" max="4097" width="4.83203125" style="612" customWidth="1"/>
    <col min="4098" max="4098" width="5" style="612" customWidth="1"/>
    <col min="4099" max="4099" width="16.83203125" style="612" customWidth="1"/>
    <col min="4100" max="4100" width="75.83203125" style="612" customWidth="1"/>
    <col min="4101" max="4101" width="7.83203125" style="612" customWidth="1"/>
    <col min="4102" max="4102" width="11.83203125" style="612" customWidth="1"/>
    <col min="4103" max="4103" width="13.6640625" style="612" customWidth="1"/>
    <col min="4104" max="4104" width="18.33203125" style="612" customWidth="1"/>
    <col min="4105" max="4105" width="20.1640625" style="612" customWidth="1"/>
    <col min="4106" max="4106" width="14.6640625" style="612" customWidth="1"/>
    <col min="4107" max="4112" width="9.33203125" style="612"/>
    <col min="4113" max="4113" width="13.33203125" style="612" customWidth="1"/>
    <col min="4114" max="4352" width="9.33203125" style="612"/>
    <col min="4353" max="4353" width="4.83203125" style="612" customWidth="1"/>
    <col min="4354" max="4354" width="5" style="612" customWidth="1"/>
    <col min="4355" max="4355" width="16.83203125" style="612" customWidth="1"/>
    <col min="4356" max="4356" width="75.83203125" style="612" customWidth="1"/>
    <col min="4357" max="4357" width="7.83203125" style="612" customWidth="1"/>
    <col min="4358" max="4358" width="11.83203125" style="612" customWidth="1"/>
    <col min="4359" max="4359" width="13.6640625" style="612" customWidth="1"/>
    <col min="4360" max="4360" width="18.33203125" style="612" customWidth="1"/>
    <col min="4361" max="4361" width="20.1640625" style="612" customWidth="1"/>
    <col min="4362" max="4362" width="14.6640625" style="612" customWidth="1"/>
    <col min="4363" max="4368" width="9.33203125" style="612"/>
    <col min="4369" max="4369" width="13.33203125" style="612" customWidth="1"/>
    <col min="4370" max="4608" width="9.33203125" style="612"/>
    <col min="4609" max="4609" width="4.83203125" style="612" customWidth="1"/>
    <col min="4610" max="4610" width="5" style="612" customWidth="1"/>
    <col min="4611" max="4611" width="16.83203125" style="612" customWidth="1"/>
    <col min="4612" max="4612" width="75.83203125" style="612" customWidth="1"/>
    <col min="4613" max="4613" width="7.83203125" style="612" customWidth="1"/>
    <col min="4614" max="4614" width="11.83203125" style="612" customWidth="1"/>
    <col min="4615" max="4615" width="13.6640625" style="612" customWidth="1"/>
    <col min="4616" max="4616" width="18.33203125" style="612" customWidth="1"/>
    <col min="4617" max="4617" width="20.1640625" style="612" customWidth="1"/>
    <col min="4618" max="4618" width="14.6640625" style="612" customWidth="1"/>
    <col min="4619" max="4624" width="9.33203125" style="612"/>
    <col min="4625" max="4625" width="13.33203125" style="612" customWidth="1"/>
    <col min="4626" max="4864" width="9.33203125" style="612"/>
    <col min="4865" max="4865" width="4.83203125" style="612" customWidth="1"/>
    <col min="4866" max="4866" width="5" style="612" customWidth="1"/>
    <col min="4867" max="4867" width="16.83203125" style="612" customWidth="1"/>
    <col min="4868" max="4868" width="75.83203125" style="612" customWidth="1"/>
    <col min="4869" max="4869" width="7.83203125" style="612" customWidth="1"/>
    <col min="4870" max="4870" width="11.83203125" style="612" customWidth="1"/>
    <col min="4871" max="4871" width="13.6640625" style="612" customWidth="1"/>
    <col min="4872" max="4872" width="18.33203125" style="612" customWidth="1"/>
    <col min="4873" max="4873" width="20.1640625" style="612" customWidth="1"/>
    <col min="4874" max="4874" width="14.6640625" style="612" customWidth="1"/>
    <col min="4875" max="4880" width="9.33203125" style="612"/>
    <col min="4881" max="4881" width="13.33203125" style="612" customWidth="1"/>
    <col min="4882" max="5120" width="9.33203125" style="612"/>
    <col min="5121" max="5121" width="4.83203125" style="612" customWidth="1"/>
    <col min="5122" max="5122" width="5" style="612" customWidth="1"/>
    <col min="5123" max="5123" width="16.83203125" style="612" customWidth="1"/>
    <col min="5124" max="5124" width="75.83203125" style="612" customWidth="1"/>
    <col min="5125" max="5125" width="7.83203125" style="612" customWidth="1"/>
    <col min="5126" max="5126" width="11.83203125" style="612" customWidth="1"/>
    <col min="5127" max="5127" width="13.6640625" style="612" customWidth="1"/>
    <col min="5128" max="5128" width="18.33203125" style="612" customWidth="1"/>
    <col min="5129" max="5129" width="20.1640625" style="612" customWidth="1"/>
    <col min="5130" max="5130" width="14.6640625" style="612" customWidth="1"/>
    <col min="5131" max="5136" width="9.33203125" style="612"/>
    <col min="5137" max="5137" width="13.33203125" style="612" customWidth="1"/>
    <col min="5138" max="5376" width="9.33203125" style="612"/>
    <col min="5377" max="5377" width="4.83203125" style="612" customWidth="1"/>
    <col min="5378" max="5378" width="5" style="612" customWidth="1"/>
    <col min="5379" max="5379" width="16.83203125" style="612" customWidth="1"/>
    <col min="5380" max="5380" width="75.83203125" style="612" customWidth="1"/>
    <col min="5381" max="5381" width="7.83203125" style="612" customWidth="1"/>
    <col min="5382" max="5382" width="11.83203125" style="612" customWidth="1"/>
    <col min="5383" max="5383" width="13.6640625" style="612" customWidth="1"/>
    <col min="5384" max="5384" width="18.33203125" style="612" customWidth="1"/>
    <col min="5385" max="5385" width="20.1640625" style="612" customWidth="1"/>
    <col min="5386" max="5386" width="14.6640625" style="612" customWidth="1"/>
    <col min="5387" max="5392" width="9.33203125" style="612"/>
    <col min="5393" max="5393" width="13.33203125" style="612" customWidth="1"/>
    <col min="5394" max="5632" width="9.33203125" style="612"/>
    <col min="5633" max="5633" width="4.83203125" style="612" customWidth="1"/>
    <col min="5634" max="5634" width="5" style="612" customWidth="1"/>
    <col min="5635" max="5635" width="16.83203125" style="612" customWidth="1"/>
    <col min="5636" max="5636" width="75.83203125" style="612" customWidth="1"/>
    <col min="5637" max="5637" width="7.83203125" style="612" customWidth="1"/>
    <col min="5638" max="5638" width="11.83203125" style="612" customWidth="1"/>
    <col min="5639" max="5639" width="13.6640625" style="612" customWidth="1"/>
    <col min="5640" max="5640" width="18.33203125" style="612" customWidth="1"/>
    <col min="5641" max="5641" width="20.1640625" style="612" customWidth="1"/>
    <col min="5642" max="5642" width="14.6640625" style="612" customWidth="1"/>
    <col min="5643" max="5648" width="9.33203125" style="612"/>
    <col min="5649" max="5649" width="13.33203125" style="612" customWidth="1"/>
    <col min="5650" max="5888" width="9.33203125" style="612"/>
    <col min="5889" max="5889" width="4.83203125" style="612" customWidth="1"/>
    <col min="5890" max="5890" width="5" style="612" customWidth="1"/>
    <col min="5891" max="5891" width="16.83203125" style="612" customWidth="1"/>
    <col min="5892" max="5892" width="75.83203125" style="612" customWidth="1"/>
    <col min="5893" max="5893" width="7.83203125" style="612" customWidth="1"/>
    <col min="5894" max="5894" width="11.83203125" style="612" customWidth="1"/>
    <col min="5895" max="5895" width="13.6640625" style="612" customWidth="1"/>
    <col min="5896" max="5896" width="18.33203125" style="612" customWidth="1"/>
    <col min="5897" max="5897" width="20.1640625" style="612" customWidth="1"/>
    <col min="5898" max="5898" width="14.6640625" style="612" customWidth="1"/>
    <col min="5899" max="5904" width="9.33203125" style="612"/>
    <col min="5905" max="5905" width="13.33203125" style="612" customWidth="1"/>
    <col min="5906" max="6144" width="9.33203125" style="612"/>
    <col min="6145" max="6145" width="4.83203125" style="612" customWidth="1"/>
    <col min="6146" max="6146" width="5" style="612" customWidth="1"/>
    <col min="6147" max="6147" width="16.83203125" style="612" customWidth="1"/>
    <col min="6148" max="6148" width="75.83203125" style="612" customWidth="1"/>
    <col min="6149" max="6149" width="7.83203125" style="612" customWidth="1"/>
    <col min="6150" max="6150" width="11.83203125" style="612" customWidth="1"/>
    <col min="6151" max="6151" width="13.6640625" style="612" customWidth="1"/>
    <col min="6152" max="6152" width="18.33203125" style="612" customWidth="1"/>
    <col min="6153" max="6153" width="20.1640625" style="612" customWidth="1"/>
    <col min="6154" max="6154" width="14.6640625" style="612" customWidth="1"/>
    <col min="6155" max="6160" width="9.33203125" style="612"/>
    <col min="6161" max="6161" width="13.33203125" style="612" customWidth="1"/>
    <col min="6162" max="6400" width="9.33203125" style="612"/>
    <col min="6401" max="6401" width="4.83203125" style="612" customWidth="1"/>
    <col min="6402" max="6402" width="5" style="612" customWidth="1"/>
    <col min="6403" max="6403" width="16.83203125" style="612" customWidth="1"/>
    <col min="6404" max="6404" width="75.83203125" style="612" customWidth="1"/>
    <col min="6405" max="6405" width="7.83203125" style="612" customWidth="1"/>
    <col min="6406" max="6406" width="11.83203125" style="612" customWidth="1"/>
    <col min="6407" max="6407" width="13.6640625" style="612" customWidth="1"/>
    <col min="6408" max="6408" width="18.33203125" style="612" customWidth="1"/>
    <col min="6409" max="6409" width="20.1640625" style="612" customWidth="1"/>
    <col min="6410" max="6410" width="14.6640625" style="612" customWidth="1"/>
    <col min="6411" max="6416" width="9.33203125" style="612"/>
    <col min="6417" max="6417" width="13.33203125" style="612" customWidth="1"/>
    <col min="6418" max="6656" width="9.33203125" style="612"/>
    <col min="6657" max="6657" width="4.83203125" style="612" customWidth="1"/>
    <col min="6658" max="6658" width="5" style="612" customWidth="1"/>
    <col min="6659" max="6659" width="16.83203125" style="612" customWidth="1"/>
    <col min="6660" max="6660" width="75.83203125" style="612" customWidth="1"/>
    <col min="6661" max="6661" width="7.83203125" style="612" customWidth="1"/>
    <col min="6662" max="6662" width="11.83203125" style="612" customWidth="1"/>
    <col min="6663" max="6663" width="13.6640625" style="612" customWidth="1"/>
    <col min="6664" max="6664" width="18.33203125" style="612" customWidth="1"/>
    <col min="6665" max="6665" width="20.1640625" style="612" customWidth="1"/>
    <col min="6666" max="6666" width="14.6640625" style="612" customWidth="1"/>
    <col min="6667" max="6672" width="9.33203125" style="612"/>
    <col min="6673" max="6673" width="13.33203125" style="612" customWidth="1"/>
    <col min="6674" max="6912" width="9.33203125" style="612"/>
    <col min="6913" max="6913" width="4.83203125" style="612" customWidth="1"/>
    <col min="6914" max="6914" width="5" style="612" customWidth="1"/>
    <col min="6915" max="6915" width="16.83203125" style="612" customWidth="1"/>
    <col min="6916" max="6916" width="75.83203125" style="612" customWidth="1"/>
    <col min="6917" max="6917" width="7.83203125" style="612" customWidth="1"/>
    <col min="6918" max="6918" width="11.83203125" style="612" customWidth="1"/>
    <col min="6919" max="6919" width="13.6640625" style="612" customWidth="1"/>
    <col min="6920" max="6920" width="18.33203125" style="612" customWidth="1"/>
    <col min="6921" max="6921" width="20.1640625" style="612" customWidth="1"/>
    <col min="6922" max="6922" width="14.6640625" style="612" customWidth="1"/>
    <col min="6923" max="6928" width="9.33203125" style="612"/>
    <col min="6929" max="6929" width="13.33203125" style="612" customWidth="1"/>
    <col min="6930" max="7168" width="9.33203125" style="612"/>
    <col min="7169" max="7169" width="4.83203125" style="612" customWidth="1"/>
    <col min="7170" max="7170" width="5" style="612" customWidth="1"/>
    <col min="7171" max="7171" width="16.83203125" style="612" customWidth="1"/>
    <col min="7172" max="7172" width="75.83203125" style="612" customWidth="1"/>
    <col min="7173" max="7173" width="7.83203125" style="612" customWidth="1"/>
    <col min="7174" max="7174" width="11.83203125" style="612" customWidth="1"/>
    <col min="7175" max="7175" width="13.6640625" style="612" customWidth="1"/>
    <col min="7176" max="7176" width="18.33203125" style="612" customWidth="1"/>
    <col min="7177" max="7177" width="20.1640625" style="612" customWidth="1"/>
    <col min="7178" max="7178" width="14.6640625" style="612" customWidth="1"/>
    <col min="7179" max="7184" width="9.33203125" style="612"/>
    <col min="7185" max="7185" width="13.33203125" style="612" customWidth="1"/>
    <col min="7186" max="7424" width="9.33203125" style="612"/>
    <col min="7425" max="7425" width="4.83203125" style="612" customWidth="1"/>
    <col min="7426" max="7426" width="5" style="612" customWidth="1"/>
    <col min="7427" max="7427" width="16.83203125" style="612" customWidth="1"/>
    <col min="7428" max="7428" width="75.83203125" style="612" customWidth="1"/>
    <col min="7429" max="7429" width="7.83203125" style="612" customWidth="1"/>
    <col min="7430" max="7430" width="11.83203125" style="612" customWidth="1"/>
    <col min="7431" max="7431" width="13.6640625" style="612" customWidth="1"/>
    <col min="7432" max="7432" width="18.33203125" style="612" customWidth="1"/>
    <col min="7433" max="7433" width="20.1640625" style="612" customWidth="1"/>
    <col min="7434" max="7434" width="14.6640625" style="612" customWidth="1"/>
    <col min="7435" max="7440" width="9.33203125" style="612"/>
    <col min="7441" max="7441" width="13.33203125" style="612" customWidth="1"/>
    <col min="7442" max="7680" width="9.33203125" style="612"/>
    <col min="7681" max="7681" width="4.83203125" style="612" customWidth="1"/>
    <col min="7682" max="7682" width="5" style="612" customWidth="1"/>
    <col min="7683" max="7683" width="16.83203125" style="612" customWidth="1"/>
    <col min="7684" max="7684" width="75.83203125" style="612" customWidth="1"/>
    <col min="7685" max="7685" width="7.83203125" style="612" customWidth="1"/>
    <col min="7686" max="7686" width="11.83203125" style="612" customWidth="1"/>
    <col min="7687" max="7687" width="13.6640625" style="612" customWidth="1"/>
    <col min="7688" max="7688" width="18.33203125" style="612" customWidth="1"/>
    <col min="7689" max="7689" width="20.1640625" style="612" customWidth="1"/>
    <col min="7690" max="7690" width="14.6640625" style="612" customWidth="1"/>
    <col min="7691" max="7696" width="9.33203125" style="612"/>
    <col min="7697" max="7697" width="13.33203125" style="612" customWidth="1"/>
    <col min="7698" max="7936" width="9.33203125" style="612"/>
    <col min="7937" max="7937" width="4.83203125" style="612" customWidth="1"/>
    <col min="7938" max="7938" width="5" style="612" customWidth="1"/>
    <col min="7939" max="7939" width="16.83203125" style="612" customWidth="1"/>
    <col min="7940" max="7940" width="75.83203125" style="612" customWidth="1"/>
    <col min="7941" max="7941" width="7.83203125" style="612" customWidth="1"/>
    <col min="7942" max="7942" width="11.83203125" style="612" customWidth="1"/>
    <col min="7943" max="7943" width="13.6640625" style="612" customWidth="1"/>
    <col min="7944" max="7944" width="18.33203125" style="612" customWidth="1"/>
    <col min="7945" max="7945" width="20.1640625" style="612" customWidth="1"/>
    <col min="7946" max="7946" width="14.6640625" style="612" customWidth="1"/>
    <col min="7947" max="7952" width="9.33203125" style="612"/>
    <col min="7953" max="7953" width="13.33203125" style="612" customWidth="1"/>
    <col min="7954" max="8192" width="9.33203125" style="612"/>
    <col min="8193" max="8193" width="4.83203125" style="612" customWidth="1"/>
    <col min="8194" max="8194" width="5" style="612" customWidth="1"/>
    <col min="8195" max="8195" width="16.83203125" style="612" customWidth="1"/>
    <col min="8196" max="8196" width="75.83203125" style="612" customWidth="1"/>
    <col min="8197" max="8197" width="7.83203125" style="612" customWidth="1"/>
    <col min="8198" max="8198" width="11.83203125" style="612" customWidth="1"/>
    <col min="8199" max="8199" width="13.6640625" style="612" customWidth="1"/>
    <col min="8200" max="8200" width="18.33203125" style="612" customWidth="1"/>
    <col min="8201" max="8201" width="20.1640625" style="612" customWidth="1"/>
    <col min="8202" max="8202" width="14.6640625" style="612" customWidth="1"/>
    <col min="8203" max="8208" width="9.33203125" style="612"/>
    <col min="8209" max="8209" width="13.33203125" style="612" customWidth="1"/>
    <col min="8210" max="8448" width="9.33203125" style="612"/>
    <col min="8449" max="8449" width="4.83203125" style="612" customWidth="1"/>
    <col min="8450" max="8450" width="5" style="612" customWidth="1"/>
    <col min="8451" max="8451" width="16.83203125" style="612" customWidth="1"/>
    <col min="8452" max="8452" width="75.83203125" style="612" customWidth="1"/>
    <col min="8453" max="8453" width="7.83203125" style="612" customWidth="1"/>
    <col min="8454" max="8454" width="11.83203125" style="612" customWidth="1"/>
    <col min="8455" max="8455" width="13.6640625" style="612" customWidth="1"/>
    <col min="8456" max="8456" width="18.33203125" style="612" customWidth="1"/>
    <col min="8457" max="8457" width="20.1640625" style="612" customWidth="1"/>
    <col min="8458" max="8458" width="14.6640625" style="612" customWidth="1"/>
    <col min="8459" max="8464" width="9.33203125" style="612"/>
    <col min="8465" max="8465" width="13.33203125" style="612" customWidth="1"/>
    <col min="8466" max="8704" width="9.33203125" style="612"/>
    <col min="8705" max="8705" width="4.83203125" style="612" customWidth="1"/>
    <col min="8706" max="8706" width="5" style="612" customWidth="1"/>
    <col min="8707" max="8707" width="16.83203125" style="612" customWidth="1"/>
    <col min="8708" max="8708" width="75.83203125" style="612" customWidth="1"/>
    <col min="8709" max="8709" width="7.83203125" style="612" customWidth="1"/>
    <col min="8710" max="8710" width="11.83203125" style="612" customWidth="1"/>
    <col min="8711" max="8711" width="13.6640625" style="612" customWidth="1"/>
    <col min="8712" max="8712" width="18.33203125" style="612" customWidth="1"/>
    <col min="8713" max="8713" width="20.1640625" style="612" customWidth="1"/>
    <col min="8714" max="8714" width="14.6640625" style="612" customWidth="1"/>
    <col min="8715" max="8720" width="9.33203125" style="612"/>
    <col min="8721" max="8721" width="13.33203125" style="612" customWidth="1"/>
    <col min="8722" max="8960" width="9.33203125" style="612"/>
    <col min="8961" max="8961" width="4.83203125" style="612" customWidth="1"/>
    <col min="8962" max="8962" width="5" style="612" customWidth="1"/>
    <col min="8963" max="8963" width="16.83203125" style="612" customWidth="1"/>
    <col min="8964" max="8964" width="75.83203125" style="612" customWidth="1"/>
    <col min="8965" max="8965" width="7.83203125" style="612" customWidth="1"/>
    <col min="8966" max="8966" width="11.83203125" style="612" customWidth="1"/>
    <col min="8967" max="8967" width="13.6640625" style="612" customWidth="1"/>
    <col min="8968" max="8968" width="18.33203125" style="612" customWidth="1"/>
    <col min="8969" max="8969" width="20.1640625" style="612" customWidth="1"/>
    <col min="8970" max="8970" width="14.6640625" style="612" customWidth="1"/>
    <col min="8971" max="8976" width="9.33203125" style="612"/>
    <col min="8977" max="8977" width="13.33203125" style="612" customWidth="1"/>
    <col min="8978" max="9216" width="9.33203125" style="612"/>
    <col min="9217" max="9217" width="4.83203125" style="612" customWidth="1"/>
    <col min="9218" max="9218" width="5" style="612" customWidth="1"/>
    <col min="9219" max="9219" width="16.83203125" style="612" customWidth="1"/>
    <col min="9220" max="9220" width="75.83203125" style="612" customWidth="1"/>
    <col min="9221" max="9221" width="7.83203125" style="612" customWidth="1"/>
    <col min="9222" max="9222" width="11.83203125" style="612" customWidth="1"/>
    <col min="9223" max="9223" width="13.6640625" style="612" customWidth="1"/>
    <col min="9224" max="9224" width="18.33203125" style="612" customWidth="1"/>
    <col min="9225" max="9225" width="20.1640625" style="612" customWidth="1"/>
    <col min="9226" max="9226" width="14.6640625" style="612" customWidth="1"/>
    <col min="9227" max="9232" width="9.33203125" style="612"/>
    <col min="9233" max="9233" width="13.33203125" style="612" customWidth="1"/>
    <col min="9234" max="9472" width="9.33203125" style="612"/>
    <col min="9473" max="9473" width="4.83203125" style="612" customWidth="1"/>
    <col min="9474" max="9474" width="5" style="612" customWidth="1"/>
    <col min="9475" max="9475" width="16.83203125" style="612" customWidth="1"/>
    <col min="9476" max="9476" width="75.83203125" style="612" customWidth="1"/>
    <col min="9477" max="9477" width="7.83203125" style="612" customWidth="1"/>
    <col min="9478" max="9478" width="11.83203125" style="612" customWidth="1"/>
    <col min="9479" max="9479" width="13.6640625" style="612" customWidth="1"/>
    <col min="9480" max="9480" width="18.33203125" style="612" customWidth="1"/>
    <col min="9481" max="9481" width="20.1640625" style="612" customWidth="1"/>
    <col min="9482" max="9482" width="14.6640625" style="612" customWidth="1"/>
    <col min="9483" max="9488" width="9.33203125" style="612"/>
    <col min="9489" max="9489" width="13.33203125" style="612" customWidth="1"/>
    <col min="9490" max="9728" width="9.33203125" style="612"/>
    <col min="9729" max="9729" width="4.83203125" style="612" customWidth="1"/>
    <col min="9730" max="9730" width="5" style="612" customWidth="1"/>
    <col min="9731" max="9731" width="16.83203125" style="612" customWidth="1"/>
    <col min="9732" max="9732" width="75.83203125" style="612" customWidth="1"/>
    <col min="9733" max="9733" width="7.83203125" style="612" customWidth="1"/>
    <col min="9734" max="9734" width="11.83203125" style="612" customWidth="1"/>
    <col min="9735" max="9735" width="13.6640625" style="612" customWidth="1"/>
    <col min="9736" max="9736" width="18.33203125" style="612" customWidth="1"/>
    <col min="9737" max="9737" width="20.1640625" style="612" customWidth="1"/>
    <col min="9738" max="9738" width="14.6640625" style="612" customWidth="1"/>
    <col min="9739" max="9744" width="9.33203125" style="612"/>
    <col min="9745" max="9745" width="13.33203125" style="612" customWidth="1"/>
    <col min="9746" max="9984" width="9.33203125" style="612"/>
    <col min="9985" max="9985" width="4.83203125" style="612" customWidth="1"/>
    <col min="9986" max="9986" width="5" style="612" customWidth="1"/>
    <col min="9987" max="9987" width="16.83203125" style="612" customWidth="1"/>
    <col min="9988" max="9988" width="75.83203125" style="612" customWidth="1"/>
    <col min="9989" max="9989" width="7.83203125" style="612" customWidth="1"/>
    <col min="9990" max="9990" width="11.83203125" style="612" customWidth="1"/>
    <col min="9991" max="9991" width="13.6640625" style="612" customWidth="1"/>
    <col min="9992" max="9992" width="18.33203125" style="612" customWidth="1"/>
    <col min="9993" max="9993" width="20.1640625" style="612" customWidth="1"/>
    <col min="9994" max="9994" width="14.6640625" style="612" customWidth="1"/>
    <col min="9995" max="10000" width="9.33203125" style="612"/>
    <col min="10001" max="10001" width="13.33203125" style="612" customWidth="1"/>
    <col min="10002" max="10240" width="9.33203125" style="612"/>
    <col min="10241" max="10241" width="4.83203125" style="612" customWidth="1"/>
    <col min="10242" max="10242" width="5" style="612" customWidth="1"/>
    <col min="10243" max="10243" width="16.83203125" style="612" customWidth="1"/>
    <col min="10244" max="10244" width="75.83203125" style="612" customWidth="1"/>
    <col min="10245" max="10245" width="7.83203125" style="612" customWidth="1"/>
    <col min="10246" max="10246" width="11.83203125" style="612" customWidth="1"/>
    <col min="10247" max="10247" width="13.6640625" style="612" customWidth="1"/>
    <col min="10248" max="10248" width="18.33203125" style="612" customWidth="1"/>
    <col min="10249" max="10249" width="20.1640625" style="612" customWidth="1"/>
    <col min="10250" max="10250" width="14.6640625" style="612" customWidth="1"/>
    <col min="10251" max="10256" width="9.33203125" style="612"/>
    <col min="10257" max="10257" width="13.33203125" style="612" customWidth="1"/>
    <col min="10258" max="10496" width="9.33203125" style="612"/>
    <col min="10497" max="10497" width="4.83203125" style="612" customWidth="1"/>
    <col min="10498" max="10498" width="5" style="612" customWidth="1"/>
    <col min="10499" max="10499" width="16.83203125" style="612" customWidth="1"/>
    <col min="10500" max="10500" width="75.83203125" style="612" customWidth="1"/>
    <col min="10501" max="10501" width="7.83203125" style="612" customWidth="1"/>
    <col min="10502" max="10502" width="11.83203125" style="612" customWidth="1"/>
    <col min="10503" max="10503" width="13.6640625" style="612" customWidth="1"/>
    <col min="10504" max="10504" width="18.33203125" style="612" customWidth="1"/>
    <col min="10505" max="10505" width="20.1640625" style="612" customWidth="1"/>
    <col min="10506" max="10506" width="14.6640625" style="612" customWidth="1"/>
    <col min="10507" max="10512" width="9.33203125" style="612"/>
    <col min="10513" max="10513" width="13.33203125" style="612" customWidth="1"/>
    <col min="10514" max="10752" width="9.33203125" style="612"/>
    <col min="10753" max="10753" width="4.83203125" style="612" customWidth="1"/>
    <col min="10754" max="10754" width="5" style="612" customWidth="1"/>
    <col min="10755" max="10755" width="16.83203125" style="612" customWidth="1"/>
    <col min="10756" max="10756" width="75.83203125" style="612" customWidth="1"/>
    <col min="10757" max="10757" width="7.83203125" style="612" customWidth="1"/>
    <col min="10758" max="10758" width="11.83203125" style="612" customWidth="1"/>
    <col min="10759" max="10759" width="13.6640625" style="612" customWidth="1"/>
    <col min="10760" max="10760" width="18.33203125" style="612" customWidth="1"/>
    <col min="10761" max="10761" width="20.1640625" style="612" customWidth="1"/>
    <col min="10762" max="10762" width="14.6640625" style="612" customWidth="1"/>
    <col min="10763" max="10768" width="9.33203125" style="612"/>
    <col min="10769" max="10769" width="13.33203125" style="612" customWidth="1"/>
    <col min="10770" max="11008" width="9.33203125" style="612"/>
    <col min="11009" max="11009" width="4.83203125" style="612" customWidth="1"/>
    <col min="11010" max="11010" width="5" style="612" customWidth="1"/>
    <col min="11011" max="11011" width="16.83203125" style="612" customWidth="1"/>
    <col min="11012" max="11012" width="75.83203125" style="612" customWidth="1"/>
    <col min="11013" max="11013" width="7.83203125" style="612" customWidth="1"/>
    <col min="11014" max="11014" width="11.83203125" style="612" customWidth="1"/>
    <col min="11015" max="11015" width="13.6640625" style="612" customWidth="1"/>
    <col min="11016" max="11016" width="18.33203125" style="612" customWidth="1"/>
    <col min="11017" max="11017" width="20.1640625" style="612" customWidth="1"/>
    <col min="11018" max="11018" width="14.6640625" style="612" customWidth="1"/>
    <col min="11019" max="11024" width="9.33203125" style="612"/>
    <col min="11025" max="11025" width="13.33203125" style="612" customWidth="1"/>
    <col min="11026" max="11264" width="9.33203125" style="612"/>
    <col min="11265" max="11265" width="4.83203125" style="612" customWidth="1"/>
    <col min="11266" max="11266" width="5" style="612" customWidth="1"/>
    <col min="11267" max="11267" width="16.83203125" style="612" customWidth="1"/>
    <col min="11268" max="11268" width="75.83203125" style="612" customWidth="1"/>
    <col min="11269" max="11269" width="7.83203125" style="612" customWidth="1"/>
    <col min="11270" max="11270" width="11.83203125" style="612" customWidth="1"/>
    <col min="11271" max="11271" width="13.6640625" style="612" customWidth="1"/>
    <col min="11272" max="11272" width="18.33203125" style="612" customWidth="1"/>
    <col min="11273" max="11273" width="20.1640625" style="612" customWidth="1"/>
    <col min="11274" max="11274" width="14.6640625" style="612" customWidth="1"/>
    <col min="11275" max="11280" width="9.33203125" style="612"/>
    <col min="11281" max="11281" width="13.33203125" style="612" customWidth="1"/>
    <col min="11282" max="11520" width="9.33203125" style="612"/>
    <col min="11521" max="11521" width="4.83203125" style="612" customWidth="1"/>
    <col min="11522" max="11522" width="5" style="612" customWidth="1"/>
    <col min="11523" max="11523" width="16.83203125" style="612" customWidth="1"/>
    <col min="11524" max="11524" width="75.83203125" style="612" customWidth="1"/>
    <col min="11525" max="11525" width="7.83203125" style="612" customWidth="1"/>
    <col min="11526" max="11526" width="11.83203125" style="612" customWidth="1"/>
    <col min="11527" max="11527" width="13.6640625" style="612" customWidth="1"/>
    <col min="11528" max="11528" width="18.33203125" style="612" customWidth="1"/>
    <col min="11529" max="11529" width="20.1640625" style="612" customWidth="1"/>
    <col min="11530" max="11530" width="14.6640625" style="612" customWidth="1"/>
    <col min="11531" max="11536" width="9.33203125" style="612"/>
    <col min="11537" max="11537" width="13.33203125" style="612" customWidth="1"/>
    <col min="11538" max="11776" width="9.33203125" style="612"/>
    <col min="11777" max="11777" width="4.83203125" style="612" customWidth="1"/>
    <col min="11778" max="11778" width="5" style="612" customWidth="1"/>
    <col min="11779" max="11779" width="16.83203125" style="612" customWidth="1"/>
    <col min="11780" max="11780" width="75.83203125" style="612" customWidth="1"/>
    <col min="11781" max="11781" width="7.83203125" style="612" customWidth="1"/>
    <col min="11782" max="11782" width="11.83203125" style="612" customWidth="1"/>
    <col min="11783" max="11783" width="13.6640625" style="612" customWidth="1"/>
    <col min="11784" max="11784" width="18.33203125" style="612" customWidth="1"/>
    <col min="11785" max="11785" width="20.1640625" style="612" customWidth="1"/>
    <col min="11786" max="11786" width="14.6640625" style="612" customWidth="1"/>
    <col min="11787" max="11792" width="9.33203125" style="612"/>
    <col min="11793" max="11793" width="13.33203125" style="612" customWidth="1"/>
    <col min="11794" max="12032" width="9.33203125" style="612"/>
    <col min="12033" max="12033" width="4.83203125" style="612" customWidth="1"/>
    <col min="12034" max="12034" width="5" style="612" customWidth="1"/>
    <col min="12035" max="12035" width="16.83203125" style="612" customWidth="1"/>
    <col min="12036" max="12036" width="75.83203125" style="612" customWidth="1"/>
    <col min="12037" max="12037" width="7.83203125" style="612" customWidth="1"/>
    <col min="12038" max="12038" width="11.83203125" style="612" customWidth="1"/>
    <col min="12039" max="12039" width="13.6640625" style="612" customWidth="1"/>
    <col min="12040" max="12040" width="18.33203125" style="612" customWidth="1"/>
    <col min="12041" max="12041" width="20.1640625" style="612" customWidth="1"/>
    <col min="12042" max="12042" width="14.6640625" style="612" customWidth="1"/>
    <col min="12043" max="12048" width="9.33203125" style="612"/>
    <col min="12049" max="12049" width="13.33203125" style="612" customWidth="1"/>
    <col min="12050" max="12288" width="9.33203125" style="612"/>
    <col min="12289" max="12289" width="4.83203125" style="612" customWidth="1"/>
    <col min="12290" max="12290" width="5" style="612" customWidth="1"/>
    <col min="12291" max="12291" width="16.83203125" style="612" customWidth="1"/>
    <col min="12292" max="12292" width="75.83203125" style="612" customWidth="1"/>
    <col min="12293" max="12293" width="7.83203125" style="612" customWidth="1"/>
    <col min="12294" max="12294" width="11.83203125" style="612" customWidth="1"/>
    <col min="12295" max="12295" width="13.6640625" style="612" customWidth="1"/>
    <col min="12296" max="12296" width="18.33203125" style="612" customWidth="1"/>
    <col min="12297" max="12297" width="20.1640625" style="612" customWidth="1"/>
    <col min="12298" max="12298" width="14.6640625" style="612" customWidth="1"/>
    <col min="12299" max="12304" width="9.33203125" style="612"/>
    <col min="12305" max="12305" width="13.33203125" style="612" customWidth="1"/>
    <col min="12306" max="12544" width="9.33203125" style="612"/>
    <col min="12545" max="12545" width="4.83203125" style="612" customWidth="1"/>
    <col min="12546" max="12546" width="5" style="612" customWidth="1"/>
    <col min="12547" max="12547" width="16.83203125" style="612" customWidth="1"/>
    <col min="12548" max="12548" width="75.83203125" style="612" customWidth="1"/>
    <col min="12549" max="12549" width="7.83203125" style="612" customWidth="1"/>
    <col min="12550" max="12550" width="11.83203125" style="612" customWidth="1"/>
    <col min="12551" max="12551" width="13.6640625" style="612" customWidth="1"/>
    <col min="12552" max="12552" width="18.33203125" style="612" customWidth="1"/>
    <col min="12553" max="12553" width="20.1640625" style="612" customWidth="1"/>
    <col min="12554" max="12554" width="14.6640625" style="612" customWidth="1"/>
    <col min="12555" max="12560" width="9.33203125" style="612"/>
    <col min="12561" max="12561" width="13.33203125" style="612" customWidth="1"/>
    <col min="12562" max="12800" width="9.33203125" style="612"/>
    <col min="12801" max="12801" width="4.83203125" style="612" customWidth="1"/>
    <col min="12802" max="12802" width="5" style="612" customWidth="1"/>
    <col min="12803" max="12803" width="16.83203125" style="612" customWidth="1"/>
    <col min="12804" max="12804" width="75.83203125" style="612" customWidth="1"/>
    <col min="12805" max="12805" width="7.83203125" style="612" customWidth="1"/>
    <col min="12806" max="12806" width="11.83203125" style="612" customWidth="1"/>
    <col min="12807" max="12807" width="13.6640625" style="612" customWidth="1"/>
    <col min="12808" max="12808" width="18.33203125" style="612" customWidth="1"/>
    <col min="12809" max="12809" width="20.1640625" style="612" customWidth="1"/>
    <col min="12810" max="12810" width="14.6640625" style="612" customWidth="1"/>
    <col min="12811" max="12816" width="9.33203125" style="612"/>
    <col min="12817" max="12817" width="13.33203125" style="612" customWidth="1"/>
    <col min="12818" max="13056" width="9.33203125" style="612"/>
    <col min="13057" max="13057" width="4.83203125" style="612" customWidth="1"/>
    <col min="13058" max="13058" width="5" style="612" customWidth="1"/>
    <col min="13059" max="13059" width="16.83203125" style="612" customWidth="1"/>
    <col min="13060" max="13060" width="75.83203125" style="612" customWidth="1"/>
    <col min="13061" max="13061" width="7.83203125" style="612" customWidth="1"/>
    <col min="13062" max="13062" width="11.83203125" style="612" customWidth="1"/>
    <col min="13063" max="13063" width="13.6640625" style="612" customWidth="1"/>
    <col min="13064" max="13064" width="18.33203125" style="612" customWidth="1"/>
    <col min="13065" max="13065" width="20.1640625" style="612" customWidth="1"/>
    <col min="13066" max="13066" width="14.6640625" style="612" customWidth="1"/>
    <col min="13067" max="13072" width="9.33203125" style="612"/>
    <col min="13073" max="13073" width="13.33203125" style="612" customWidth="1"/>
    <col min="13074" max="13312" width="9.33203125" style="612"/>
    <col min="13313" max="13313" width="4.83203125" style="612" customWidth="1"/>
    <col min="13314" max="13314" width="5" style="612" customWidth="1"/>
    <col min="13315" max="13315" width="16.83203125" style="612" customWidth="1"/>
    <col min="13316" max="13316" width="75.83203125" style="612" customWidth="1"/>
    <col min="13317" max="13317" width="7.83203125" style="612" customWidth="1"/>
    <col min="13318" max="13318" width="11.83203125" style="612" customWidth="1"/>
    <col min="13319" max="13319" width="13.6640625" style="612" customWidth="1"/>
    <col min="13320" max="13320" width="18.33203125" style="612" customWidth="1"/>
    <col min="13321" max="13321" width="20.1640625" style="612" customWidth="1"/>
    <col min="13322" max="13322" width="14.6640625" style="612" customWidth="1"/>
    <col min="13323" max="13328" width="9.33203125" style="612"/>
    <col min="13329" max="13329" width="13.33203125" style="612" customWidth="1"/>
    <col min="13330" max="13568" width="9.33203125" style="612"/>
    <col min="13569" max="13569" width="4.83203125" style="612" customWidth="1"/>
    <col min="13570" max="13570" width="5" style="612" customWidth="1"/>
    <col min="13571" max="13571" width="16.83203125" style="612" customWidth="1"/>
    <col min="13572" max="13572" width="75.83203125" style="612" customWidth="1"/>
    <col min="13573" max="13573" width="7.83203125" style="612" customWidth="1"/>
    <col min="13574" max="13574" width="11.83203125" style="612" customWidth="1"/>
    <col min="13575" max="13575" width="13.6640625" style="612" customWidth="1"/>
    <col min="13576" max="13576" width="18.33203125" style="612" customWidth="1"/>
    <col min="13577" max="13577" width="20.1640625" style="612" customWidth="1"/>
    <col min="13578" max="13578" width="14.6640625" style="612" customWidth="1"/>
    <col min="13579" max="13584" width="9.33203125" style="612"/>
    <col min="13585" max="13585" width="13.33203125" style="612" customWidth="1"/>
    <col min="13586" max="13824" width="9.33203125" style="612"/>
    <col min="13825" max="13825" width="4.83203125" style="612" customWidth="1"/>
    <col min="13826" max="13826" width="5" style="612" customWidth="1"/>
    <col min="13827" max="13827" width="16.83203125" style="612" customWidth="1"/>
    <col min="13828" max="13828" width="75.83203125" style="612" customWidth="1"/>
    <col min="13829" max="13829" width="7.83203125" style="612" customWidth="1"/>
    <col min="13830" max="13830" width="11.83203125" style="612" customWidth="1"/>
    <col min="13831" max="13831" width="13.6640625" style="612" customWidth="1"/>
    <col min="13832" max="13832" width="18.33203125" style="612" customWidth="1"/>
    <col min="13833" max="13833" width="20.1640625" style="612" customWidth="1"/>
    <col min="13834" max="13834" width="14.6640625" style="612" customWidth="1"/>
    <col min="13835" max="13840" width="9.33203125" style="612"/>
    <col min="13841" max="13841" width="13.33203125" style="612" customWidth="1"/>
    <col min="13842" max="14080" width="9.33203125" style="612"/>
    <col min="14081" max="14081" width="4.83203125" style="612" customWidth="1"/>
    <col min="14082" max="14082" width="5" style="612" customWidth="1"/>
    <col min="14083" max="14083" width="16.83203125" style="612" customWidth="1"/>
    <col min="14084" max="14084" width="75.83203125" style="612" customWidth="1"/>
    <col min="14085" max="14085" width="7.83203125" style="612" customWidth="1"/>
    <col min="14086" max="14086" width="11.83203125" style="612" customWidth="1"/>
    <col min="14087" max="14087" width="13.6640625" style="612" customWidth="1"/>
    <col min="14088" max="14088" width="18.33203125" style="612" customWidth="1"/>
    <col min="14089" max="14089" width="20.1640625" style="612" customWidth="1"/>
    <col min="14090" max="14090" width="14.6640625" style="612" customWidth="1"/>
    <col min="14091" max="14096" width="9.33203125" style="612"/>
    <col min="14097" max="14097" width="13.33203125" style="612" customWidth="1"/>
    <col min="14098" max="14336" width="9.33203125" style="612"/>
    <col min="14337" max="14337" width="4.83203125" style="612" customWidth="1"/>
    <col min="14338" max="14338" width="5" style="612" customWidth="1"/>
    <col min="14339" max="14339" width="16.83203125" style="612" customWidth="1"/>
    <col min="14340" max="14340" width="75.83203125" style="612" customWidth="1"/>
    <col min="14341" max="14341" width="7.83203125" style="612" customWidth="1"/>
    <col min="14342" max="14342" width="11.83203125" style="612" customWidth="1"/>
    <col min="14343" max="14343" width="13.6640625" style="612" customWidth="1"/>
    <col min="14344" max="14344" width="18.33203125" style="612" customWidth="1"/>
    <col min="14345" max="14345" width="20.1640625" style="612" customWidth="1"/>
    <col min="14346" max="14346" width="14.6640625" style="612" customWidth="1"/>
    <col min="14347" max="14352" width="9.33203125" style="612"/>
    <col min="14353" max="14353" width="13.33203125" style="612" customWidth="1"/>
    <col min="14354" max="14592" width="9.33203125" style="612"/>
    <col min="14593" max="14593" width="4.83203125" style="612" customWidth="1"/>
    <col min="14594" max="14594" width="5" style="612" customWidth="1"/>
    <col min="14595" max="14595" width="16.83203125" style="612" customWidth="1"/>
    <col min="14596" max="14596" width="75.83203125" style="612" customWidth="1"/>
    <col min="14597" max="14597" width="7.83203125" style="612" customWidth="1"/>
    <col min="14598" max="14598" width="11.83203125" style="612" customWidth="1"/>
    <col min="14599" max="14599" width="13.6640625" style="612" customWidth="1"/>
    <col min="14600" max="14600" width="18.33203125" style="612" customWidth="1"/>
    <col min="14601" max="14601" width="20.1640625" style="612" customWidth="1"/>
    <col min="14602" max="14602" width="14.6640625" style="612" customWidth="1"/>
    <col min="14603" max="14608" width="9.33203125" style="612"/>
    <col min="14609" max="14609" width="13.33203125" style="612" customWidth="1"/>
    <col min="14610" max="14848" width="9.33203125" style="612"/>
    <col min="14849" max="14849" width="4.83203125" style="612" customWidth="1"/>
    <col min="14850" max="14850" width="5" style="612" customWidth="1"/>
    <col min="14851" max="14851" width="16.83203125" style="612" customWidth="1"/>
    <col min="14852" max="14852" width="75.83203125" style="612" customWidth="1"/>
    <col min="14853" max="14853" width="7.83203125" style="612" customWidth="1"/>
    <col min="14854" max="14854" width="11.83203125" style="612" customWidth="1"/>
    <col min="14855" max="14855" width="13.6640625" style="612" customWidth="1"/>
    <col min="14856" max="14856" width="18.33203125" style="612" customWidth="1"/>
    <col min="14857" max="14857" width="20.1640625" style="612" customWidth="1"/>
    <col min="14858" max="14858" width="14.6640625" style="612" customWidth="1"/>
    <col min="14859" max="14864" width="9.33203125" style="612"/>
    <col min="14865" max="14865" width="13.33203125" style="612" customWidth="1"/>
    <col min="14866" max="15104" width="9.33203125" style="612"/>
    <col min="15105" max="15105" width="4.83203125" style="612" customWidth="1"/>
    <col min="15106" max="15106" width="5" style="612" customWidth="1"/>
    <col min="15107" max="15107" width="16.83203125" style="612" customWidth="1"/>
    <col min="15108" max="15108" width="75.83203125" style="612" customWidth="1"/>
    <col min="15109" max="15109" width="7.83203125" style="612" customWidth="1"/>
    <col min="15110" max="15110" width="11.83203125" style="612" customWidth="1"/>
    <col min="15111" max="15111" width="13.6640625" style="612" customWidth="1"/>
    <col min="15112" max="15112" width="18.33203125" style="612" customWidth="1"/>
    <col min="15113" max="15113" width="20.1640625" style="612" customWidth="1"/>
    <col min="15114" max="15114" width="14.6640625" style="612" customWidth="1"/>
    <col min="15115" max="15120" width="9.33203125" style="612"/>
    <col min="15121" max="15121" width="13.33203125" style="612" customWidth="1"/>
    <col min="15122" max="15360" width="9.33203125" style="612"/>
    <col min="15361" max="15361" width="4.83203125" style="612" customWidth="1"/>
    <col min="15362" max="15362" width="5" style="612" customWidth="1"/>
    <col min="15363" max="15363" width="16.83203125" style="612" customWidth="1"/>
    <col min="15364" max="15364" width="75.83203125" style="612" customWidth="1"/>
    <col min="15365" max="15365" width="7.83203125" style="612" customWidth="1"/>
    <col min="15366" max="15366" width="11.83203125" style="612" customWidth="1"/>
    <col min="15367" max="15367" width="13.6640625" style="612" customWidth="1"/>
    <col min="15368" max="15368" width="18.33203125" style="612" customWidth="1"/>
    <col min="15369" max="15369" width="20.1640625" style="612" customWidth="1"/>
    <col min="15370" max="15370" width="14.6640625" style="612" customWidth="1"/>
    <col min="15371" max="15376" width="9.33203125" style="612"/>
    <col min="15377" max="15377" width="13.33203125" style="612" customWidth="1"/>
    <col min="15378" max="15616" width="9.33203125" style="612"/>
    <col min="15617" max="15617" width="4.83203125" style="612" customWidth="1"/>
    <col min="15618" max="15618" width="5" style="612" customWidth="1"/>
    <col min="15619" max="15619" width="16.83203125" style="612" customWidth="1"/>
    <col min="15620" max="15620" width="75.83203125" style="612" customWidth="1"/>
    <col min="15621" max="15621" width="7.83203125" style="612" customWidth="1"/>
    <col min="15622" max="15622" width="11.83203125" style="612" customWidth="1"/>
    <col min="15623" max="15623" width="13.6640625" style="612" customWidth="1"/>
    <col min="15624" max="15624" width="18.33203125" style="612" customWidth="1"/>
    <col min="15625" max="15625" width="20.1640625" style="612" customWidth="1"/>
    <col min="15626" max="15626" width="14.6640625" style="612" customWidth="1"/>
    <col min="15627" max="15632" width="9.33203125" style="612"/>
    <col min="15633" max="15633" width="13.33203125" style="612" customWidth="1"/>
    <col min="15634" max="15872" width="9.33203125" style="612"/>
    <col min="15873" max="15873" width="4.83203125" style="612" customWidth="1"/>
    <col min="15874" max="15874" width="5" style="612" customWidth="1"/>
    <col min="15875" max="15875" width="16.83203125" style="612" customWidth="1"/>
    <col min="15876" max="15876" width="75.83203125" style="612" customWidth="1"/>
    <col min="15877" max="15877" width="7.83203125" style="612" customWidth="1"/>
    <col min="15878" max="15878" width="11.83203125" style="612" customWidth="1"/>
    <col min="15879" max="15879" width="13.6640625" style="612" customWidth="1"/>
    <col min="15880" max="15880" width="18.33203125" style="612" customWidth="1"/>
    <col min="15881" max="15881" width="20.1640625" style="612" customWidth="1"/>
    <col min="15882" max="15882" width="14.6640625" style="612" customWidth="1"/>
    <col min="15883" max="15888" width="9.33203125" style="612"/>
    <col min="15889" max="15889" width="13.33203125" style="612" customWidth="1"/>
    <col min="15890" max="16128" width="9.33203125" style="612"/>
    <col min="16129" max="16129" width="4.83203125" style="612" customWidth="1"/>
    <col min="16130" max="16130" width="5" style="612" customWidth="1"/>
    <col min="16131" max="16131" width="16.83203125" style="612" customWidth="1"/>
    <col min="16132" max="16132" width="75.83203125" style="612" customWidth="1"/>
    <col min="16133" max="16133" width="7.83203125" style="612" customWidth="1"/>
    <col min="16134" max="16134" width="11.83203125" style="612" customWidth="1"/>
    <col min="16135" max="16135" width="13.6640625" style="612" customWidth="1"/>
    <col min="16136" max="16136" width="18.33203125" style="612" customWidth="1"/>
    <col min="16137" max="16137" width="20.1640625" style="612" customWidth="1"/>
    <col min="16138" max="16138" width="14.6640625" style="612" customWidth="1"/>
    <col min="16139" max="16144" width="9.33203125" style="612"/>
    <col min="16145" max="16145" width="13.33203125" style="612" customWidth="1"/>
    <col min="16146" max="16384" width="9.33203125" style="612"/>
  </cols>
  <sheetData>
    <row r="1" spans="1:255" s="111" customFormat="1" ht="20.25" customHeight="1">
      <c r="A1" s="1" t="s">
        <v>2760</v>
      </c>
      <c r="B1" s="27"/>
      <c r="C1" s="28"/>
      <c r="D1" s="28"/>
      <c r="E1" s="285"/>
      <c r="F1" s="28"/>
      <c r="G1" s="28"/>
      <c r="H1" s="28"/>
    </row>
    <row r="2" spans="1:255" s="889" customFormat="1" ht="15" customHeight="1">
      <c r="A2" s="5199" t="s">
        <v>115</v>
      </c>
      <c r="B2" s="5200"/>
      <c r="C2" s="5200"/>
      <c r="D2" s="5200"/>
      <c r="E2" s="5200"/>
      <c r="F2" s="5200"/>
      <c r="G2" s="5200"/>
      <c r="H2" s="5200"/>
      <c r="I2" s="5200"/>
      <c r="J2" s="111"/>
    </row>
    <row r="3" spans="1:255" s="888" customFormat="1" ht="13.5" customHeight="1">
      <c r="A3" s="5228" t="s">
        <v>4244</v>
      </c>
      <c r="B3" s="5229"/>
      <c r="C3" s="5229"/>
      <c r="D3" s="5229"/>
      <c r="E3" s="886"/>
      <c r="F3" s="887"/>
      <c r="G3" s="887"/>
      <c r="I3" s="2635"/>
      <c r="J3" s="2636"/>
      <c r="K3" s="889"/>
      <c r="M3" s="2637"/>
    </row>
    <row r="4" spans="1:255" s="888" customFormat="1" ht="13.5" customHeight="1">
      <c r="A4" s="5193" t="s">
        <v>5290</v>
      </c>
      <c r="B4" s="5229"/>
      <c r="C4" s="5229"/>
      <c r="D4" s="5229"/>
      <c r="E4" s="5193"/>
      <c r="F4" s="5200"/>
      <c r="G4" s="5200"/>
      <c r="H4" s="5200"/>
      <c r="I4" s="2635"/>
      <c r="J4" s="2636"/>
      <c r="M4" s="2637"/>
    </row>
    <row r="5" spans="1:255" s="889" customFormat="1" ht="13.5" customHeight="1">
      <c r="A5" s="886" t="s">
        <v>5291</v>
      </c>
      <c r="B5" s="886"/>
      <c r="C5" s="886"/>
      <c r="D5" s="886"/>
      <c r="E5" s="886"/>
      <c r="F5" s="887"/>
      <c r="G5" s="887"/>
      <c r="H5" s="888"/>
      <c r="I5" s="888"/>
    </row>
    <row r="6" spans="1:255" ht="18">
      <c r="A6" s="2638"/>
      <c r="B6" s="2638"/>
      <c r="C6" s="2638"/>
      <c r="D6" s="2639"/>
      <c r="E6" s="2640"/>
      <c r="F6" s="2638"/>
      <c r="G6" s="2638"/>
      <c r="H6" s="2638"/>
      <c r="I6" s="2641"/>
    </row>
    <row r="7" spans="1:255" ht="22.5">
      <c r="A7" s="2642" t="s">
        <v>118</v>
      </c>
      <c r="B7" s="2642" t="s">
        <v>119</v>
      </c>
      <c r="C7" s="2642" t="s">
        <v>120</v>
      </c>
      <c r="D7" s="2642" t="s">
        <v>121</v>
      </c>
      <c r="E7" s="2642" t="s">
        <v>122</v>
      </c>
      <c r="F7" s="2642" t="s">
        <v>123</v>
      </c>
      <c r="G7" s="2642" t="s">
        <v>124</v>
      </c>
      <c r="H7" s="2643" t="s">
        <v>2</v>
      </c>
      <c r="I7" s="2644" t="s">
        <v>46</v>
      </c>
      <c r="J7" s="2645"/>
    </row>
    <row r="8" spans="1:255">
      <c r="A8" s="2642" t="s">
        <v>125</v>
      </c>
      <c r="B8" s="2642" t="s">
        <v>126</v>
      </c>
      <c r="C8" s="2642">
        <v>3</v>
      </c>
      <c r="D8" s="2642">
        <v>4</v>
      </c>
      <c r="E8" s="2642">
        <v>5</v>
      </c>
      <c r="F8" s="2642">
        <v>6</v>
      </c>
      <c r="G8" s="2642">
        <v>7</v>
      </c>
      <c r="H8" s="2643">
        <v>8</v>
      </c>
      <c r="I8" s="2644">
        <v>9</v>
      </c>
    </row>
    <row r="9" spans="1:255" ht="21" customHeight="1">
      <c r="A9" s="2646"/>
      <c r="B9" s="904"/>
      <c r="C9" s="904" t="s">
        <v>132</v>
      </c>
      <c r="D9" s="904" t="s">
        <v>133</v>
      </c>
      <c r="E9" s="904"/>
      <c r="F9" s="2647"/>
      <c r="G9" s="2648"/>
      <c r="H9" s="2649">
        <f>H10+H106+H119+H132</f>
        <v>0</v>
      </c>
      <c r="I9" s="647"/>
      <c r="K9" s="621"/>
    </row>
    <row r="10" spans="1:255" ht="13.5" customHeight="1">
      <c r="A10" s="2650"/>
      <c r="B10" s="2650"/>
      <c r="C10" s="616" t="s">
        <v>125</v>
      </c>
      <c r="D10" s="616" t="s">
        <v>134</v>
      </c>
      <c r="E10" s="2651"/>
      <c r="F10" s="2652"/>
      <c r="G10" s="2653"/>
      <c r="H10" s="2653">
        <f>SUM(H11:H72,H78:H84,H89:H97,H104:H105)</f>
        <v>0</v>
      </c>
      <c r="I10" s="2654"/>
    </row>
    <row r="11" spans="1:255" s="888" customFormat="1" ht="13.5" customHeight="1">
      <c r="A11" s="2655" t="s">
        <v>125</v>
      </c>
      <c r="B11" s="799" t="s">
        <v>135</v>
      </c>
      <c r="C11" s="352">
        <v>115101201</v>
      </c>
      <c r="D11" s="352" t="s">
        <v>136</v>
      </c>
      <c r="E11" s="352" t="s">
        <v>69</v>
      </c>
      <c r="F11" s="1258">
        <v>24</v>
      </c>
      <c r="G11" s="2784"/>
      <c r="H11" s="568">
        <f t="shared" ref="H11:H17" si="0">ROUND(F11*G11,2)</f>
        <v>0</v>
      </c>
      <c r="I11" s="744" t="s">
        <v>137</v>
      </c>
      <c r="J11" s="2656"/>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row>
    <row r="12" spans="1:255" s="888" customFormat="1" ht="13.5" customHeight="1">
      <c r="A12" s="2655" t="s">
        <v>126</v>
      </c>
      <c r="B12" s="799" t="s">
        <v>135</v>
      </c>
      <c r="C12" s="352">
        <v>115101301</v>
      </c>
      <c r="D12" s="352" t="s">
        <v>138</v>
      </c>
      <c r="E12" s="352" t="s">
        <v>139</v>
      </c>
      <c r="F12" s="1258">
        <v>3</v>
      </c>
      <c r="G12" s="2784"/>
      <c r="H12" s="568">
        <f t="shared" si="0"/>
        <v>0</v>
      </c>
      <c r="I12" s="744" t="s">
        <v>137</v>
      </c>
      <c r="J12" s="2656"/>
      <c r="CC12" s="2657"/>
      <c r="CD12" s="2657"/>
      <c r="CE12" s="2657"/>
      <c r="CF12" s="2657"/>
      <c r="CG12" s="2657"/>
      <c r="CH12" s="2657"/>
      <c r="CI12" s="2657"/>
      <c r="CJ12" s="2657"/>
      <c r="CK12" s="2657"/>
      <c r="CL12" s="2657"/>
      <c r="CM12" s="2657"/>
      <c r="CN12" s="2657"/>
      <c r="CO12" s="2657"/>
      <c r="CP12" s="2657"/>
      <c r="CQ12" s="2657"/>
      <c r="CR12" s="2657"/>
      <c r="CS12" s="2657"/>
      <c r="CT12" s="2657"/>
      <c r="CU12" s="2657"/>
      <c r="CV12" s="2657"/>
      <c r="CW12" s="2657"/>
      <c r="CX12" s="2657"/>
      <c r="CY12" s="2657"/>
      <c r="CZ12" s="2657"/>
      <c r="DA12" s="2657"/>
      <c r="DB12" s="2657"/>
      <c r="DC12" s="2657"/>
      <c r="DD12" s="2657"/>
      <c r="DE12" s="2657"/>
      <c r="DF12" s="2657"/>
      <c r="DG12" s="2657"/>
      <c r="DH12" s="2657"/>
      <c r="DI12" s="2657"/>
      <c r="DJ12" s="2657"/>
      <c r="DK12" s="2657"/>
      <c r="DL12" s="2657"/>
      <c r="DM12" s="2657"/>
      <c r="DN12" s="2657"/>
      <c r="DO12" s="2657"/>
      <c r="DP12" s="2657"/>
      <c r="DQ12" s="2657"/>
      <c r="DR12" s="2657"/>
      <c r="DS12" s="2657"/>
      <c r="DT12" s="2657"/>
      <c r="DU12" s="2657"/>
      <c r="DV12" s="2657"/>
      <c r="DW12" s="2657"/>
      <c r="DX12" s="2657"/>
      <c r="DY12" s="2657"/>
      <c r="DZ12" s="2657"/>
      <c r="EA12" s="2657"/>
      <c r="EB12" s="2657"/>
      <c r="EC12" s="2657"/>
      <c r="ED12" s="2657"/>
      <c r="EE12" s="2657"/>
      <c r="EF12" s="2657"/>
      <c r="EG12" s="2657"/>
      <c r="EH12" s="2657"/>
      <c r="EI12" s="2657"/>
      <c r="EJ12" s="2657"/>
      <c r="EK12" s="2657"/>
      <c r="EL12" s="2657"/>
      <c r="EM12" s="2657"/>
      <c r="EN12" s="2657"/>
      <c r="EO12" s="2657"/>
      <c r="EP12" s="2657"/>
      <c r="EQ12" s="2657"/>
      <c r="ER12" s="2657"/>
      <c r="ES12" s="2657"/>
      <c r="ET12" s="2657"/>
      <c r="EU12" s="2657"/>
      <c r="EV12" s="2657"/>
      <c r="EW12" s="2657"/>
      <c r="EX12" s="2657"/>
      <c r="EY12" s="2657"/>
      <c r="EZ12" s="2657"/>
      <c r="FA12" s="2657"/>
      <c r="FB12" s="2657"/>
      <c r="FC12" s="2657"/>
      <c r="FD12" s="2657"/>
      <c r="FE12" s="2657"/>
      <c r="FF12" s="2657"/>
      <c r="FG12" s="2657"/>
      <c r="FH12" s="2657"/>
      <c r="FI12" s="2657"/>
      <c r="FJ12" s="2657"/>
      <c r="FK12" s="2657"/>
      <c r="FL12" s="2657"/>
      <c r="FM12" s="2657"/>
      <c r="FN12" s="2657"/>
      <c r="FO12" s="2657"/>
      <c r="FP12" s="2657"/>
      <c r="FQ12" s="2657"/>
      <c r="FR12" s="2657"/>
      <c r="FS12" s="2657"/>
      <c r="FT12" s="2657"/>
      <c r="FU12" s="2657"/>
      <c r="FV12" s="2657"/>
      <c r="FW12" s="2657"/>
      <c r="FX12" s="2657"/>
      <c r="FY12" s="2657"/>
      <c r="FZ12" s="2657"/>
      <c r="GA12" s="2657"/>
      <c r="GB12" s="2657"/>
      <c r="GC12" s="2657"/>
      <c r="GD12" s="2657"/>
      <c r="GE12" s="2657"/>
      <c r="GF12" s="2657"/>
      <c r="GG12" s="2657"/>
      <c r="GH12" s="2657"/>
      <c r="GI12" s="2657"/>
      <c r="GJ12" s="2657"/>
      <c r="GK12" s="2657"/>
      <c r="GL12" s="2657"/>
      <c r="GM12" s="2657"/>
      <c r="GN12" s="2657"/>
      <c r="GO12" s="2657"/>
      <c r="GP12" s="2657"/>
      <c r="GQ12" s="2657"/>
      <c r="GR12" s="2657"/>
      <c r="GS12" s="2657"/>
      <c r="GT12" s="2657"/>
      <c r="GU12" s="2657"/>
      <c r="GV12" s="2657"/>
      <c r="GW12" s="2657"/>
      <c r="GX12" s="2657"/>
      <c r="GY12" s="2657"/>
      <c r="GZ12" s="2657"/>
      <c r="HA12" s="2657"/>
      <c r="HB12" s="2657"/>
      <c r="HC12" s="2657"/>
      <c r="HD12" s="2657"/>
      <c r="HE12" s="2657"/>
      <c r="HF12" s="2657"/>
      <c r="HG12" s="2657"/>
      <c r="HH12" s="2657"/>
      <c r="HI12" s="2657"/>
      <c r="HJ12" s="2657"/>
      <c r="HK12" s="2657"/>
      <c r="HL12" s="2657"/>
      <c r="HM12" s="2657"/>
      <c r="HN12" s="2657"/>
      <c r="HO12" s="2657"/>
      <c r="HP12" s="2657"/>
      <c r="HQ12" s="2657"/>
      <c r="HR12" s="2657"/>
      <c r="HS12" s="2657"/>
      <c r="HT12" s="2657"/>
      <c r="HU12" s="2657"/>
      <c r="HV12" s="2657"/>
      <c r="HW12" s="2657"/>
      <c r="HX12" s="2657"/>
      <c r="HY12" s="2657"/>
      <c r="HZ12" s="2657"/>
      <c r="IA12" s="2657"/>
      <c r="IB12" s="2657"/>
      <c r="IC12" s="2657"/>
      <c r="ID12" s="2657"/>
      <c r="IE12" s="2657"/>
      <c r="IF12" s="2657"/>
      <c r="IG12" s="2657"/>
      <c r="IH12" s="2657"/>
      <c r="II12" s="2657"/>
      <c r="IJ12" s="2657"/>
      <c r="IK12" s="2657"/>
      <c r="IL12" s="2657"/>
      <c r="IM12" s="2657"/>
      <c r="IN12" s="2657"/>
      <c r="IO12" s="2657"/>
      <c r="IP12" s="2657"/>
      <c r="IQ12" s="2657"/>
      <c r="IR12" s="2657"/>
      <c r="IS12" s="2657"/>
      <c r="IT12" s="2657"/>
      <c r="IU12" s="2657"/>
    </row>
    <row r="13" spans="1:255" s="888" customFormat="1" ht="13.5" customHeight="1">
      <c r="A13" s="2658" t="s">
        <v>127</v>
      </c>
      <c r="B13" s="799" t="s">
        <v>135</v>
      </c>
      <c r="C13" s="799">
        <v>119001402</v>
      </c>
      <c r="D13" s="799" t="s">
        <v>140</v>
      </c>
      <c r="E13" s="799" t="s">
        <v>141</v>
      </c>
      <c r="F13" s="1258">
        <v>1</v>
      </c>
      <c r="G13" s="286"/>
      <c r="H13" s="568">
        <f t="shared" si="0"/>
        <v>0</v>
      </c>
      <c r="I13" s="744" t="s">
        <v>137</v>
      </c>
      <c r="J13" s="2656"/>
      <c r="CC13" s="2657"/>
      <c r="CD13" s="2657"/>
      <c r="CE13" s="2657"/>
      <c r="CF13" s="2657"/>
      <c r="CG13" s="2657"/>
      <c r="CH13" s="2657"/>
      <c r="CI13" s="2657"/>
      <c r="CJ13" s="2657"/>
      <c r="CK13" s="2657"/>
      <c r="CL13" s="2657"/>
      <c r="CM13" s="2657"/>
      <c r="CN13" s="2657"/>
      <c r="CO13" s="2657"/>
      <c r="CP13" s="2657"/>
      <c r="CQ13" s="2657"/>
      <c r="CR13" s="2657"/>
      <c r="CS13" s="2657"/>
      <c r="CT13" s="2657"/>
      <c r="CU13" s="2657"/>
      <c r="CV13" s="2657"/>
      <c r="CW13" s="2657"/>
      <c r="CX13" s="2657"/>
      <c r="CY13" s="2657"/>
      <c r="CZ13" s="2657"/>
      <c r="DA13" s="2657"/>
      <c r="DB13" s="2657"/>
      <c r="DC13" s="2657"/>
      <c r="DD13" s="2657"/>
      <c r="DE13" s="2657"/>
      <c r="DF13" s="2657"/>
      <c r="DG13" s="2657"/>
      <c r="DH13" s="2657"/>
      <c r="DI13" s="2657"/>
      <c r="DJ13" s="2657"/>
      <c r="DK13" s="2657"/>
      <c r="DL13" s="2657"/>
      <c r="DM13" s="2657"/>
      <c r="DN13" s="2657"/>
      <c r="DO13" s="2657"/>
      <c r="DP13" s="2657"/>
      <c r="DQ13" s="2657"/>
      <c r="DR13" s="2657"/>
      <c r="DS13" s="2657"/>
      <c r="DT13" s="2657"/>
      <c r="DU13" s="2657"/>
      <c r="DV13" s="2657"/>
      <c r="DW13" s="2657"/>
      <c r="DX13" s="2657"/>
      <c r="DY13" s="2657"/>
      <c r="DZ13" s="2657"/>
      <c r="EA13" s="2657"/>
      <c r="EB13" s="2657"/>
      <c r="EC13" s="2657"/>
      <c r="ED13" s="2657"/>
      <c r="EE13" s="2657"/>
      <c r="EF13" s="2657"/>
      <c r="EG13" s="2657"/>
      <c r="EH13" s="2657"/>
      <c r="EI13" s="2657"/>
      <c r="EJ13" s="2657"/>
      <c r="EK13" s="2657"/>
      <c r="EL13" s="2657"/>
      <c r="EM13" s="2657"/>
      <c r="EN13" s="2657"/>
      <c r="EO13" s="2657"/>
      <c r="EP13" s="2657"/>
      <c r="EQ13" s="2657"/>
      <c r="ER13" s="2657"/>
      <c r="ES13" s="2657"/>
      <c r="ET13" s="2657"/>
      <c r="EU13" s="2657"/>
      <c r="EV13" s="2657"/>
      <c r="EW13" s="2657"/>
      <c r="EX13" s="2657"/>
      <c r="EY13" s="2657"/>
      <c r="EZ13" s="2657"/>
      <c r="FA13" s="2657"/>
      <c r="FB13" s="2657"/>
      <c r="FC13" s="2657"/>
      <c r="FD13" s="2657"/>
      <c r="FE13" s="2657"/>
      <c r="FF13" s="2657"/>
      <c r="FG13" s="2657"/>
      <c r="FH13" s="2657"/>
      <c r="FI13" s="2657"/>
      <c r="FJ13" s="2657"/>
      <c r="FK13" s="2657"/>
      <c r="FL13" s="2657"/>
      <c r="FM13" s="2657"/>
      <c r="FN13" s="2657"/>
      <c r="FO13" s="2657"/>
      <c r="FP13" s="2657"/>
      <c r="FQ13" s="2657"/>
      <c r="FR13" s="2657"/>
      <c r="FS13" s="2657"/>
      <c r="FT13" s="2657"/>
      <c r="FU13" s="2657"/>
      <c r="FV13" s="2657"/>
      <c r="FW13" s="2657"/>
      <c r="FX13" s="2657"/>
      <c r="FY13" s="2657"/>
      <c r="FZ13" s="2657"/>
      <c r="GA13" s="2657"/>
      <c r="GB13" s="2657"/>
      <c r="GC13" s="2657"/>
      <c r="GD13" s="2657"/>
      <c r="GE13" s="2657"/>
      <c r="GF13" s="2657"/>
      <c r="GG13" s="2657"/>
      <c r="GH13" s="2657"/>
      <c r="GI13" s="2657"/>
      <c r="GJ13" s="2657"/>
      <c r="GK13" s="2657"/>
      <c r="GL13" s="2657"/>
      <c r="GM13" s="2657"/>
      <c r="GN13" s="2657"/>
      <c r="GO13" s="2657"/>
      <c r="GP13" s="2657"/>
      <c r="GQ13" s="2657"/>
      <c r="GR13" s="2657"/>
      <c r="GS13" s="2657"/>
      <c r="GT13" s="2657"/>
      <c r="GU13" s="2657"/>
      <c r="GV13" s="2657"/>
      <c r="GW13" s="2657"/>
      <c r="GX13" s="2657"/>
      <c r="GY13" s="2657"/>
      <c r="GZ13" s="2657"/>
      <c r="HA13" s="2657"/>
      <c r="HB13" s="2657"/>
      <c r="HC13" s="2657"/>
      <c r="HD13" s="2657"/>
      <c r="HE13" s="2657"/>
      <c r="HF13" s="2657"/>
      <c r="HG13" s="2657"/>
      <c r="HH13" s="2657"/>
      <c r="HI13" s="2657"/>
      <c r="HJ13" s="2657"/>
      <c r="HK13" s="2657"/>
      <c r="HL13" s="2657"/>
      <c r="HM13" s="2657"/>
      <c r="HN13" s="2657"/>
      <c r="HO13" s="2657"/>
      <c r="HP13" s="2657"/>
      <c r="HQ13" s="2657"/>
      <c r="HR13" s="2657"/>
      <c r="HS13" s="2657"/>
      <c r="HT13" s="2657"/>
      <c r="HU13" s="2657"/>
      <c r="HV13" s="2657"/>
      <c r="HW13" s="2657"/>
      <c r="HX13" s="2657"/>
      <c r="HY13" s="2657"/>
      <c r="HZ13" s="2657"/>
      <c r="IA13" s="2657"/>
      <c r="IB13" s="2657"/>
      <c r="IC13" s="2657"/>
      <c r="ID13" s="2657"/>
      <c r="IE13" s="2657"/>
      <c r="IF13" s="2657"/>
      <c r="IG13" s="2657"/>
      <c r="IH13" s="2657"/>
      <c r="II13" s="2657"/>
      <c r="IJ13" s="2657"/>
      <c r="IK13" s="2657"/>
      <c r="IL13" s="2657"/>
      <c r="IM13" s="2657"/>
      <c r="IN13" s="2657"/>
      <c r="IO13" s="2657"/>
      <c r="IP13" s="2657"/>
      <c r="IQ13" s="2657"/>
      <c r="IR13" s="2657"/>
      <c r="IS13" s="2657"/>
      <c r="IT13" s="2657"/>
      <c r="IU13" s="2657"/>
    </row>
    <row r="14" spans="1:255" s="888" customFormat="1" ht="13.5" customHeight="1">
      <c r="A14" s="2658" t="s">
        <v>128</v>
      </c>
      <c r="B14" s="799" t="s">
        <v>135</v>
      </c>
      <c r="C14" s="799">
        <v>119001406</v>
      </c>
      <c r="D14" s="799" t="s">
        <v>142</v>
      </c>
      <c r="E14" s="799" t="s">
        <v>141</v>
      </c>
      <c r="F14" s="1258">
        <v>1</v>
      </c>
      <c r="G14" s="286"/>
      <c r="H14" s="568">
        <f t="shared" si="0"/>
        <v>0</v>
      </c>
      <c r="I14" s="744" t="s">
        <v>137</v>
      </c>
      <c r="J14" s="2656"/>
      <c r="CC14" s="2657"/>
      <c r="CD14" s="2657"/>
      <c r="CE14" s="2657"/>
      <c r="CF14" s="2657"/>
      <c r="CG14" s="2657"/>
      <c r="CH14" s="2657"/>
      <c r="CI14" s="2657"/>
      <c r="CJ14" s="2657"/>
      <c r="CK14" s="2657"/>
      <c r="CL14" s="2657"/>
      <c r="CM14" s="2657"/>
      <c r="CN14" s="2657"/>
      <c r="CO14" s="2657"/>
      <c r="CP14" s="2657"/>
      <c r="CQ14" s="2657"/>
      <c r="CR14" s="2657"/>
      <c r="CS14" s="2657"/>
      <c r="CT14" s="2657"/>
      <c r="CU14" s="2657"/>
      <c r="CV14" s="2657"/>
      <c r="CW14" s="2657"/>
      <c r="CX14" s="2657"/>
      <c r="CY14" s="2657"/>
      <c r="CZ14" s="2657"/>
      <c r="DA14" s="2657"/>
      <c r="DB14" s="2657"/>
      <c r="DC14" s="2657"/>
      <c r="DD14" s="2657"/>
      <c r="DE14" s="2657"/>
      <c r="DF14" s="2657"/>
      <c r="DG14" s="2657"/>
      <c r="DH14" s="2657"/>
      <c r="DI14" s="2657"/>
      <c r="DJ14" s="2657"/>
      <c r="DK14" s="2657"/>
      <c r="DL14" s="2657"/>
      <c r="DM14" s="2657"/>
      <c r="DN14" s="2657"/>
      <c r="DO14" s="2657"/>
      <c r="DP14" s="2657"/>
      <c r="DQ14" s="2657"/>
      <c r="DR14" s="2657"/>
      <c r="DS14" s="2657"/>
      <c r="DT14" s="2657"/>
      <c r="DU14" s="2657"/>
      <c r="DV14" s="2657"/>
      <c r="DW14" s="2657"/>
      <c r="DX14" s="2657"/>
      <c r="DY14" s="2657"/>
      <c r="DZ14" s="2657"/>
      <c r="EA14" s="2657"/>
      <c r="EB14" s="2657"/>
      <c r="EC14" s="2657"/>
      <c r="ED14" s="2657"/>
      <c r="EE14" s="2657"/>
      <c r="EF14" s="2657"/>
      <c r="EG14" s="2657"/>
      <c r="EH14" s="2657"/>
      <c r="EI14" s="2657"/>
      <c r="EJ14" s="2657"/>
      <c r="EK14" s="2657"/>
      <c r="EL14" s="2657"/>
      <c r="EM14" s="2657"/>
      <c r="EN14" s="2657"/>
      <c r="EO14" s="2657"/>
      <c r="EP14" s="2657"/>
      <c r="EQ14" s="2657"/>
      <c r="ER14" s="2657"/>
      <c r="ES14" s="2657"/>
      <c r="ET14" s="2657"/>
      <c r="EU14" s="2657"/>
      <c r="EV14" s="2657"/>
      <c r="EW14" s="2657"/>
      <c r="EX14" s="2657"/>
      <c r="EY14" s="2657"/>
      <c r="EZ14" s="2657"/>
      <c r="FA14" s="2657"/>
      <c r="FB14" s="2657"/>
      <c r="FC14" s="2657"/>
      <c r="FD14" s="2657"/>
      <c r="FE14" s="2657"/>
      <c r="FF14" s="2657"/>
      <c r="FG14" s="2657"/>
      <c r="FH14" s="2657"/>
      <c r="FI14" s="2657"/>
      <c r="FJ14" s="2657"/>
      <c r="FK14" s="2657"/>
      <c r="FL14" s="2657"/>
      <c r="FM14" s="2657"/>
      <c r="FN14" s="2657"/>
      <c r="FO14" s="2657"/>
      <c r="FP14" s="2657"/>
      <c r="FQ14" s="2657"/>
      <c r="FR14" s="2657"/>
      <c r="FS14" s="2657"/>
      <c r="FT14" s="2657"/>
      <c r="FU14" s="2657"/>
      <c r="FV14" s="2657"/>
      <c r="FW14" s="2657"/>
      <c r="FX14" s="2657"/>
      <c r="FY14" s="2657"/>
      <c r="FZ14" s="2657"/>
      <c r="GA14" s="2657"/>
      <c r="GB14" s="2657"/>
      <c r="GC14" s="2657"/>
      <c r="GD14" s="2657"/>
      <c r="GE14" s="2657"/>
      <c r="GF14" s="2657"/>
      <c r="GG14" s="2657"/>
      <c r="GH14" s="2657"/>
      <c r="GI14" s="2657"/>
      <c r="GJ14" s="2657"/>
      <c r="GK14" s="2657"/>
      <c r="GL14" s="2657"/>
      <c r="GM14" s="2657"/>
      <c r="GN14" s="2657"/>
      <c r="GO14" s="2657"/>
      <c r="GP14" s="2657"/>
      <c r="GQ14" s="2657"/>
      <c r="GR14" s="2657"/>
      <c r="GS14" s="2657"/>
      <c r="GT14" s="2657"/>
      <c r="GU14" s="2657"/>
      <c r="GV14" s="2657"/>
      <c r="GW14" s="2657"/>
      <c r="GX14" s="2657"/>
      <c r="GY14" s="2657"/>
      <c r="GZ14" s="2657"/>
      <c r="HA14" s="2657"/>
      <c r="HB14" s="2657"/>
      <c r="HC14" s="2657"/>
      <c r="HD14" s="2657"/>
      <c r="HE14" s="2657"/>
      <c r="HF14" s="2657"/>
      <c r="HG14" s="2657"/>
      <c r="HH14" s="2657"/>
      <c r="HI14" s="2657"/>
      <c r="HJ14" s="2657"/>
      <c r="HK14" s="2657"/>
      <c r="HL14" s="2657"/>
      <c r="HM14" s="2657"/>
      <c r="HN14" s="2657"/>
      <c r="HO14" s="2657"/>
      <c r="HP14" s="2657"/>
      <c r="HQ14" s="2657"/>
      <c r="HR14" s="2657"/>
      <c r="HS14" s="2657"/>
      <c r="HT14" s="2657"/>
      <c r="HU14" s="2657"/>
      <c r="HV14" s="2657"/>
      <c r="HW14" s="2657"/>
      <c r="HX14" s="2657"/>
      <c r="HY14" s="2657"/>
      <c r="HZ14" s="2657"/>
      <c r="IA14" s="2657"/>
      <c r="IB14" s="2657"/>
      <c r="IC14" s="2657"/>
      <c r="ID14" s="2657"/>
      <c r="IE14" s="2657"/>
      <c r="IF14" s="2657"/>
      <c r="IG14" s="2657"/>
      <c r="IH14" s="2657"/>
      <c r="II14" s="2657"/>
      <c r="IJ14" s="2657"/>
      <c r="IK14" s="2657"/>
      <c r="IL14" s="2657"/>
      <c r="IM14" s="2657"/>
      <c r="IN14" s="2657"/>
      <c r="IO14" s="2657"/>
      <c r="IP14" s="2657"/>
      <c r="IQ14" s="2657"/>
      <c r="IR14" s="2657"/>
      <c r="IS14" s="2657"/>
      <c r="IT14" s="2657"/>
      <c r="IU14" s="2657"/>
    </row>
    <row r="15" spans="1:255" s="888" customFormat="1" ht="13.5" customHeight="1">
      <c r="A15" s="2658" t="s">
        <v>129</v>
      </c>
      <c r="B15" s="799" t="s">
        <v>135</v>
      </c>
      <c r="C15" s="799">
        <v>119001412</v>
      </c>
      <c r="D15" s="799" t="s">
        <v>143</v>
      </c>
      <c r="E15" s="799" t="s">
        <v>141</v>
      </c>
      <c r="F15" s="1258">
        <v>1</v>
      </c>
      <c r="G15" s="286"/>
      <c r="H15" s="568">
        <f t="shared" si="0"/>
        <v>0</v>
      </c>
      <c r="I15" s="744" t="s">
        <v>137</v>
      </c>
      <c r="J15" s="2656"/>
      <c r="CC15" s="2657"/>
      <c r="CD15" s="2657"/>
      <c r="CE15" s="2657"/>
      <c r="CF15" s="2657"/>
      <c r="CG15" s="2657"/>
      <c r="CH15" s="2657"/>
      <c r="CI15" s="2657"/>
      <c r="CJ15" s="2657"/>
      <c r="CK15" s="2657"/>
      <c r="CL15" s="2657"/>
      <c r="CM15" s="2657"/>
      <c r="CN15" s="2657"/>
      <c r="CO15" s="2657"/>
      <c r="CP15" s="2657"/>
      <c r="CQ15" s="2657"/>
      <c r="CR15" s="2657"/>
      <c r="CS15" s="2657"/>
      <c r="CT15" s="2657"/>
      <c r="CU15" s="2657"/>
      <c r="CV15" s="2657"/>
      <c r="CW15" s="2657"/>
      <c r="CX15" s="2657"/>
      <c r="CY15" s="2657"/>
      <c r="CZ15" s="2657"/>
      <c r="DA15" s="2657"/>
      <c r="DB15" s="2657"/>
      <c r="DC15" s="2657"/>
      <c r="DD15" s="2657"/>
      <c r="DE15" s="2657"/>
      <c r="DF15" s="2657"/>
      <c r="DG15" s="2657"/>
      <c r="DH15" s="2657"/>
      <c r="DI15" s="2657"/>
      <c r="DJ15" s="2657"/>
      <c r="DK15" s="2657"/>
      <c r="DL15" s="2657"/>
      <c r="DM15" s="2657"/>
      <c r="DN15" s="2657"/>
      <c r="DO15" s="2657"/>
      <c r="DP15" s="2657"/>
      <c r="DQ15" s="2657"/>
      <c r="DR15" s="2657"/>
      <c r="DS15" s="2657"/>
      <c r="DT15" s="2657"/>
      <c r="DU15" s="2657"/>
      <c r="DV15" s="2657"/>
      <c r="DW15" s="2657"/>
      <c r="DX15" s="2657"/>
      <c r="DY15" s="2657"/>
      <c r="DZ15" s="2657"/>
      <c r="EA15" s="2657"/>
      <c r="EB15" s="2657"/>
      <c r="EC15" s="2657"/>
      <c r="ED15" s="2657"/>
      <c r="EE15" s="2657"/>
      <c r="EF15" s="2657"/>
      <c r="EG15" s="2657"/>
      <c r="EH15" s="2657"/>
      <c r="EI15" s="2657"/>
      <c r="EJ15" s="2657"/>
      <c r="EK15" s="2657"/>
      <c r="EL15" s="2657"/>
      <c r="EM15" s="2657"/>
      <c r="EN15" s="2657"/>
      <c r="EO15" s="2657"/>
      <c r="EP15" s="2657"/>
      <c r="EQ15" s="2657"/>
      <c r="ER15" s="2657"/>
      <c r="ES15" s="2657"/>
      <c r="ET15" s="2657"/>
      <c r="EU15" s="2657"/>
      <c r="EV15" s="2657"/>
      <c r="EW15" s="2657"/>
      <c r="EX15" s="2657"/>
      <c r="EY15" s="2657"/>
      <c r="EZ15" s="2657"/>
      <c r="FA15" s="2657"/>
      <c r="FB15" s="2657"/>
      <c r="FC15" s="2657"/>
      <c r="FD15" s="2657"/>
      <c r="FE15" s="2657"/>
      <c r="FF15" s="2657"/>
      <c r="FG15" s="2657"/>
      <c r="FH15" s="2657"/>
      <c r="FI15" s="2657"/>
      <c r="FJ15" s="2657"/>
      <c r="FK15" s="2657"/>
      <c r="FL15" s="2657"/>
      <c r="FM15" s="2657"/>
      <c r="FN15" s="2657"/>
      <c r="FO15" s="2657"/>
      <c r="FP15" s="2657"/>
      <c r="FQ15" s="2657"/>
      <c r="FR15" s="2657"/>
      <c r="FS15" s="2657"/>
      <c r="FT15" s="2657"/>
      <c r="FU15" s="2657"/>
      <c r="FV15" s="2657"/>
      <c r="FW15" s="2657"/>
      <c r="FX15" s="2657"/>
      <c r="FY15" s="2657"/>
      <c r="FZ15" s="2657"/>
      <c r="GA15" s="2657"/>
      <c r="GB15" s="2657"/>
      <c r="GC15" s="2657"/>
      <c r="GD15" s="2657"/>
      <c r="GE15" s="2657"/>
      <c r="GF15" s="2657"/>
      <c r="GG15" s="2657"/>
      <c r="GH15" s="2657"/>
      <c r="GI15" s="2657"/>
      <c r="GJ15" s="2657"/>
      <c r="GK15" s="2657"/>
      <c r="GL15" s="2657"/>
      <c r="GM15" s="2657"/>
      <c r="GN15" s="2657"/>
      <c r="GO15" s="2657"/>
      <c r="GP15" s="2657"/>
      <c r="GQ15" s="2657"/>
      <c r="GR15" s="2657"/>
      <c r="GS15" s="2657"/>
      <c r="GT15" s="2657"/>
      <c r="GU15" s="2657"/>
      <c r="GV15" s="2657"/>
      <c r="GW15" s="2657"/>
      <c r="GX15" s="2657"/>
      <c r="GY15" s="2657"/>
      <c r="GZ15" s="2657"/>
      <c r="HA15" s="2657"/>
      <c r="HB15" s="2657"/>
      <c r="HC15" s="2657"/>
      <c r="HD15" s="2657"/>
      <c r="HE15" s="2657"/>
      <c r="HF15" s="2657"/>
      <c r="HG15" s="2657"/>
      <c r="HH15" s="2657"/>
      <c r="HI15" s="2657"/>
      <c r="HJ15" s="2657"/>
      <c r="HK15" s="2657"/>
      <c r="HL15" s="2657"/>
      <c r="HM15" s="2657"/>
      <c r="HN15" s="2657"/>
      <c r="HO15" s="2657"/>
      <c r="HP15" s="2657"/>
      <c r="HQ15" s="2657"/>
      <c r="HR15" s="2657"/>
      <c r="HS15" s="2657"/>
      <c r="HT15" s="2657"/>
      <c r="HU15" s="2657"/>
      <c r="HV15" s="2657"/>
      <c r="HW15" s="2657"/>
      <c r="HX15" s="2657"/>
      <c r="HY15" s="2657"/>
      <c r="HZ15" s="2657"/>
      <c r="IA15" s="2657"/>
      <c r="IB15" s="2657"/>
      <c r="IC15" s="2657"/>
      <c r="ID15" s="2657"/>
      <c r="IE15" s="2657"/>
      <c r="IF15" s="2657"/>
      <c r="IG15" s="2657"/>
      <c r="IH15" s="2657"/>
      <c r="II15" s="2657"/>
      <c r="IJ15" s="2657"/>
      <c r="IK15" s="2657"/>
      <c r="IL15" s="2657"/>
      <c r="IM15" s="2657"/>
      <c r="IN15" s="2657"/>
      <c r="IO15" s="2657"/>
      <c r="IP15" s="2657"/>
      <c r="IQ15" s="2657"/>
      <c r="IR15" s="2657"/>
      <c r="IS15" s="2657"/>
      <c r="IT15" s="2657"/>
      <c r="IU15" s="2657"/>
    </row>
    <row r="16" spans="1:255" s="888" customFormat="1" ht="13.5" customHeight="1">
      <c r="A16" s="2658" t="s">
        <v>130</v>
      </c>
      <c r="B16" s="799" t="s">
        <v>135</v>
      </c>
      <c r="C16" s="799">
        <v>119001422</v>
      </c>
      <c r="D16" s="799" t="s">
        <v>144</v>
      </c>
      <c r="E16" s="799" t="s">
        <v>141</v>
      </c>
      <c r="F16" s="1258">
        <v>3</v>
      </c>
      <c r="G16" s="286"/>
      <c r="H16" s="568">
        <f t="shared" si="0"/>
        <v>0</v>
      </c>
      <c r="I16" s="744" t="s">
        <v>137</v>
      </c>
      <c r="J16" s="2656"/>
      <c r="CC16" s="2657"/>
      <c r="CD16" s="2657"/>
      <c r="CE16" s="2657"/>
      <c r="CF16" s="2657"/>
      <c r="CG16" s="2657"/>
      <c r="CH16" s="2657"/>
      <c r="CI16" s="2657"/>
      <c r="CJ16" s="2657"/>
      <c r="CK16" s="2657"/>
      <c r="CL16" s="2657"/>
      <c r="CM16" s="2657"/>
      <c r="CN16" s="2657"/>
      <c r="CO16" s="2657"/>
      <c r="CP16" s="2657"/>
      <c r="CQ16" s="2657"/>
      <c r="CR16" s="2657"/>
      <c r="CS16" s="2657"/>
      <c r="CT16" s="2657"/>
      <c r="CU16" s="2657"/>
      <c r="CV16" s="2657"/>
      <c r="CW16" s="2657"/>
      <c r="CX16" s="2657"/>
      <c r="CY16" s="2657"/>
      <c r="CZ16" s="2657"/>
      <c r="DA16" s="2657"/>
      <c r="DB16" s="2657"/>
      <c r="DC16" s="2657"/>
      <c r="DD16" s="2657"/>
      <c r="DE16" s="2657"/>
      <c r="DF16" s="2657"/>
      <c r="DG16" s="2657"/>
      <c r="DH16" s="2657"/>
      <c r="DI16" s="2657"/>
      <c r="DJ16" s="2657"/>
      <c r="DK16" s="2657"/>
      <c r="DL16" s="2657"/>
      <c r="DM16" s="2657"/>
      <c r="DN16" s="2657"/>
      <c r="DO16" s="2657"/>
      <c r="DP16" s="2657"/>
      <c r="DQ16" s="2657"/>
      <c r="DR16" s="2657"/>
      <c r="DS16" s="2657"/>
      <c r="DT16" s="2657"/>
      <c r="DU16" s="2657"/>
      <c r="DV16" s="2657"/>
      <c r="DW16" s="2657"/>
      <c r="DX16" s="2657"/>
      <c r="DY16" s="2657"/>
      <c r="DZ16" s="2657"/>
      <c r="EA16" s="2657"/>
      <c r="EB16" s="2657"/>
      <c r="EC16" s="2657"/>
      <c r="ED16" s="2657"/>
      <c r="EE16" s="2657"/>
      <c r="EF16" s="2657"/>
      <c r="EG16" s="2657"/>
      <c r="EH16" s="2657"/>
      <c r="EI16" s="2657"/>
      <c r="EJ16" s="2657"/>
      <c r="EK16" s="2657"/>
      <c r="EL16" s="2657"/>
      <c r="EM16" s="2657"/>
      <c r="EN16" s="2657"/>
      <c r="EO16" s="2657"/>
      <c r="EP16" s="2657"/>
      <c r="EQ16" s="2657"/>
      <c r="ER16" s="2657"/>
      <c r="ES16" s="2657"/>
      <c r="ET16" s="2657"/>
      <c r="EU16" s="2657"/>
      <c r="EV16" s="2657"/>
      <c r="EW16" s="2657"/>
      <c r="EX16" s="2657"/>
      <c r="EY16" s="2657"/>
      <c r="EZ16" s="2657"/>
      <c r="FA16" s="2657"/>
      <c r="FB16" s="2657"/>
      <c r="FC16" s="2657"/>
      <c r="FD16" s="2657"/>
      <c r="FE16" s="2657"/>
      <c r="FF16" s="2657"/>
      <c r="FG16" s="2657"/>
      <c r="FH16" s="2657"/>
      <c r="FI16" s="2657"/>
      <c r="FJ16" s="2657"/>
      <c r="FK16" s="2657"/>
      <c r="FL16" s="2657"/>
      <c r="FM16" s="2657"/>
      <c r="FN16" s="2657"/>
      <c r="FO16" s="2657"/>
      <c r="FP16" s="2657"/>
      <c r="FQ16" s="2657"/>
      <c r="FR16" s="2657"/>
      <c r="FS16" s="2657"/>
      <c r="FT16" s="2657"/>
      <c r="FU16" s="2657"/>
      <c r="FV16" s="2657"/>
      <c r="FW16" s="2657"/>
      <c r="FX16" s="2657"/>
      <c r="FY16" s="2657"/>
      <c r="FZ16" s="2657"/>
      <c r="GA16" s="2657"/>
      <c r="GB16" s="2657"/>
      <c r="GC16" s="2657"/>
      <c r="GD16" s="2657"/>
      <c r="GE16" s="2657"/>
      <c r="GF16" s="2657"/>
      <c r="GG16" s="2657"/>
      <c r="GH16" s="2657"/>
      <c r="GI16" s="2657"/>
      <c r="GJ16" s="2657"/>
      <c r="GK16" s="2657"/>
      <c r="GL16" s="2657"/>
      <c r="GM16" s="2657"/>
      <c r="GN16" s="2657"/>
      <c r="GO16" s="2657"/>
      <c r="GP16" s="2657"/>
      <c r="GQ16" s="2657"/>
      <c r="GR16" s="2657"/>
      <c r="GS16" s="2657"/>
      <c r="GT16" s="2657"/>
      <c r="GU16" s="2657"/>
      <c r="GV16" s="2657"/>
      <c r="GW16" s="2657"/>
      <c r="GX16" s="2657"/>
      <c r="GY16" s="2657"/>
      <c r="GZ16" s="2657"/>
      <c r="HA16" s="2657"/>
      <c r="HB16" s="2657"/>
      <c r="HC16" s="2657"/>
      <c r="HD16" s="2657"/>
      <c r="HE16" s="2657"/>
      <c r="HF16" s="2657"/>
      <c r="HG16" s="2657"/>
      <c r="HH16" s="2657"/>
      <c r="HI16" s="2657"/>
      <c r="HJ16" s="2657"/>
      <c r="HK16" s="2657"/>
      <c r="HL16" s="2657"/>
      <c r="HM16" s="2657"/>
      <c r="HN16" s="2657"/>
      <c r="HO16" s="2657"/>
      <c r="HP16" s="2657"/>
      <c r="HQ16" s="2657"/>
      <c r="HR16" s="2657"/>
      <c r="HS16" s="2657"/>
      <c r="HT16" s="2657"/>
      <c r="HU16" s="2657"/>
      <c r="HV16" s="2657"/>
      <c r="HW16" s="2657"/>
      <c r="HX16" s="2657"/>
      <c r="HY16" s="2657"/>
      <c r="HZ16" s="2657"/>
      <c r="IA16" s="2657"/>
      <c r="IB16" s="2657"/>
      <c r="IC16" s="2657"/>
      <c r="ID16" s="2657"/>
      <c r="IE16" s="2657"/>
      <c r="IF16" s="2657"/>
      <c r="IG16" s="2657"/>
      <c r="IH16" s="2657"/>
      <c r="II16" s="2657"/>
      <c r="IJ16" s="2657"/>
      <c r="IK16" s="2657"/>
      <c r="IL16" s="2657"/>
      <c r="IM16" s="2657"/>
      <c r="IN16" s="2657"/>
      <c r="IO16" s="2657"/>
      <c r="IP16" s="2657"/>
      <c r="IQ16" s="2657"/>
      <c r="IR16" s="2657"/>
      <c r="IS16" s="2657"/>
      <c r="IT16" s="2657"/>
      <c r="IU16" s="2657"/>
    </row>
    <row r="17" spans="1:23" s="604" customFormat="1" ht="13.5" customHeight="1">
      <c r="A17" s="608">
        <v>7</v>
      </c>
      <c r="B17" s="557" t="s">
        <v>135</v>
      </c>
      <c r="C17" s="557">
        <v>131213702</v>
      </c>
      <c r="D17" s="557" t="s">
        <v>145</v>
      </c>
      <c r="E17" s="557" t="s">
        <v>146</v>
      </c>
      <c r="F17" s="2659">
        <f>ROUND(SUM(F19:F21),3)</f>
        <v>5.8579999999999997</v>
      </c>
      <c r="G17" s="288"/>
      <c r="H17" s="568">
        <f t="shared" si="0"/>
        <v>0</v>
      </c>
      <c r="I17" s="744" t="s">
        <v>137</v>
      </c>
      <c r="J17" s="610"/>
      <c r="U17" s="605"/>
      <c r="W17" s="605"/>
    </row>
    <row r="18" spans="1:23" s="604" customFormat="1" ht="13.5" customHeight="1">
      <c r="A18" s="595"/>
      <c r="B18" s="596"/>
      <c r="C18" s="597"/>
      <c r="D18" s="719" t="s">
        <v>5292</v>
      </c>
      <c r="E18" s="599"/>
      <c r="F18" s="600"/>
      <c r="G18" s="289"/>
      <c r="H18" s="601"/>
      <c r="I18" s="602"/>
      <c r="J18" s="2660"/>
      <c r="K18" s="2661"/>
      <c r="U18" s="605"/>
      <c r="W18" s="605"/>
    </row>
    <row r="19" spans="1:23" s="604" customFormat="1" ht="13.5" customHeight="1">
      <c r="A19" s="595"/>
      <c r="B19" s="596"/>
      <c r="C19" s="597"/>
      <c r="D19" s="599" t="s">
        <v>5293</v>
      </c>
      <c r="E19" s="599"/>
      <c r="F19" s="600">
        <f>((3*3)*0.3)*0.1</f>
        <v>0.26999999999999996</v>
      </c>
      <c r="G19" s="289"/>
      <c r="H19" s="601"/>
      <c r="I19" s="602"/>
      <c r="J19" s="2660"/>
      <c r="K19" s="2661"/>
      <c r="U19" s="605"/>
      <c r="W19" s="605"/>
    </row>
    <row r="20" spans="1:23" s="604" customFormat="1" ht="13.5" customHeight="1">
      <c r="A20" s="595"/>
      <c r="B20" s="596"/>
      <c r="C20" s="597"/>
      <c r="D20" s="599" t="s">
        <v>5294</v>
      </c>
      <c r="E20" s="599"/>
      <c r="F20" s="600">
        <f>((3*3)*2.69)*0.1</f>
        <v>2.4210000000000003</v>
      </c>
      <c r="G20" s="289"/>
      <c r="H20" s="601"/>
      <c r="I20" s="602"/>
      <c r="J20" s="2662"/>
      <c r="U20" s="605"/>
      <c r="W20" s="605"/>
    </row>
    <row r="21" spans="1:23" s="604" customFormat="1" ht="13.5" customHeight="1">
      <c r="A21" s="595"/>
      <c r="B21" s="596"/>
      <c r="C21" s="597"/>
      <c r="D21" s="599" t="s">
        <v>5295</v>
      </c>
      <c r="E21" s="599"/>
      <c r="F21" s="600">
        <f>((5.7+5.7+3+3)*1.82)*0.1</f>
        <v>3.1668000000000003</v>
      </c>
      <c r="G21" s="289"/>
      <c r="H21" s="601"/>
      <c r="I21" s="602"/>
      <c r="J21" s="610"/>
      <c r="U21" s="605"/>
      <c r="W21" s="605"/>
    </row>
    <row r="22" spans="1:23" s="604" customFormat="1" ht="27" customHeight="1">
      <c r="A22" s="595"/>
      <c r="B22" s="596"/>
      <c r="C22" s="597"/>
      <c r="D22" s="597" t="s">
        <v>4323</v>
      </c>
      <c r="E22" s="597"/>
      <c r="F22" s="607"/>
      <c r="G22" s="289"/>
      <c r="H22" s="601"/>
      <c r="I22" s="602"/>
      <c r="J22" s="606"/>
      <c r="U22" s="605"/>
      <c r="W22" s="605"/>
    </row>
    <row r="23" spans="1:23" s="604" customFormat="1" ht="13.5" customHeight="1">
      <c r="A23" s="608">
        <v>8</v>
      </c>
      <c r="B23" s="557" t="s">
        <v>135</v>
      </c>
      <c r="C23" s="557">
        <v>131251102</v>
      </c>
      <c r="D23" s="557" t="s">
        <v>5218</v>
      </c>
      <c r="E23" s="557" t="s">
        <v>146</v>
      </c>
      <c r="F23" s="2659">
        <f>ROUND(SUM(F25:F27),3)</f>
        <v>23.431000000000001</v>
      </c>
      <c r="G23" s="288"/>
      <c r="H23" s="568">
        <f t="shared" ref="H23" si="1">ROUND(F23*G23,2)</f>
        <v>0</v>
      </c>
      <c r="I23" s="744" t="s">
        <v>137</v>
      </c>
      <c r="J23" s="610"/>
      <c r="U23" s="605"/>
      <c r="W23" s="605"/>
    </row>
    <row r="24" spans="1:23" s="604" customFormat="1" ht="13.5" customHeight="1">
      <c r="A24" s="595"/>
      <c r="B24" s="596"/>
      <c r="C24" s="597"/>
      <c r="D24" s="719" t="s">
        <v>5296</v>
      </c>
      <c r="E24" s="599"/>
      <c r="F24" s="600"/>
      <c r="G24" s="289"/>
      <c r="H24" s="601"/>
      <c r="I24" s="602"/>
      <c r="J24" s="610"/>
      <c r="U24" s="605"/>
      <c r="W24" s="605"/>
    </row>
    <row r="25" spans="1:23" s="604" customFormat="1" ht="13.5" customHeight="1">
      <c r="A25" s="595"/>
      <c r="B25" s="596"/>
      <c r="C25" s="597"/>
      <c r="D25" s="599" t="s">
        <v>5297</v>
      </c>
      <c r="E25" s="599"/>
      <c r="F25" s="600">
        <f>((3*3)*0.3)*0.4</f>
        <v>1.0799999999999998</v>
      </c>
      <c r="G25" s="289"/>
      <c r="H25" s="601"/>
      <c r="I25" s="602"/>
      <c r="J25" s="610"/>
      <c r="U25" s="605"/>
      <c r="W25" s="605"/>
    </row>
    <row r="26" spans="1:23" s="604" customFormat="1" ht="13.5" customHeight="1">
      <c r="A26" s="595"/>
      <c r="B26" s="596"/>
      <c r="C26" s="597"/>
      <c r="D26" s="599" t="s">
        <v>5298</v>
      </c>
      <c r="E26" s="599"/>
      <c r="F26" s="600">
        <f>((3*3)*2.69)*0.4</f>
        <v>9.6840000000000011</v>
      </c>
      <c r="G26" s="289"/>
      <c r="H26" s="601"/>
      <c r="I26" s="602"/>
      <c r="J26" s="2662"/>
      <c r="U26" s="605"/>
      <c r="W26" s="605"/>
    </row>
    <row r="27" spans="1:23" s="604" customFormat="1" ht="13.5" customHeight="1">
      <c r="A27" s="595"/>
      <c r="B27" s="596"/>
      <c r="C27" s="597"/>
      <c r="D27" s="599" t="s">
        <v>5299</v>
      </c>
      <c r="E27" s="599"/>
      <c r="F27" s="600">
        <f>((5.7+5.7+3+3)*1.82)*0.4</f>
        <v>12.667200000000001</v>
      </c>
      <c r="G27" s="289"/>
      <c r="H27" s="601"/>
      <c r="I27" s="602"/>
      <c r="J27" s="610"/>
      <c r="U27" s="605"/>
      <c r="W27" s="605"/>
    </row>
    <row r="28" spans="1:23" s="604" customFormat="1" ht="27" customHeight="1">
      <c r="A28" s="595"/>
      <c r="B28" s="596"/>
      <c r="C28" s="597"/>
      <c r="D28" s="597" t="s">
        <v>4323</v>
      </c>
      <c r="E28" s="597"/>
      <c r="F28" s="607"/>
      <c r="G28" s="289"/>
      <c r="H28" s="601"/>
      <c r="I28" s="602"/>
      <c r="J28" s="606"/>
      <c r="U28" s="605"/>
      <c r="W28" s="605"/>
    </row>
    <row r="29" spans="1:23" s="604" customFormat="1" ht="13.5" customHeight="1">
      <c r="A29" s="608">
        <v>9</v>
      </c>
      <c r="B29" s="557" t="s">
        <v>135</v>
      </c>
      <c r="C29" s="557">
        <v>131313702</v>
      </c>
      <c r="D29" s="557" t="s">
        <v>2765</v>
      </c>
      <c r="E29" s="557" t="s">
        <v>146</v>
      </c>
      <c r="F29" s="2659">
        <f>ROUND(SUM(F31:F33),3)</f>
        <v>5.8579999999999997</v>
      </c>
      <c r="G29" s="288"/>
      <c r="H29" s="568">
        <f t="shared" ref="H29" si="2">ROUND(F29*G29,2)</f>
        <v>0</v>
      </c>
      <c r="I29" s="744" t="s">
        <v>137</v>
      </c>
      <c r="J29" s="610"/>
      <c r="U29" s="605"/>
      <c r="W29" s="605"/>
    </row>
    <row r="30" spans="1:23" s="604" customFormat="1" ht="13.5" customHeight="1">
      <c r="A30" s="595"/>
      <c r="B30" s="596"/>
      <c r="C30" s="597"/>
      <c r="D30" s="719" t="s">
        <v>5292</v>
      </c>
      <c r="E30" s="599"/>
      <c r="F30" s="600"/>
      <c r="G30" s="289"/>
      <c r="H30" s="601"/>
      <c r="I30" s="602"/>
      <c r="J30" s="610"/>
      <c r="U30" s="605"/>
      <c r="W30" s="605"/>
    </row>
    <row r="31" spans="1:23" s="604" customFormat="1" ht="13.5" customHeight="1">
      <c r="A31" s="595"/>
      <c r="B31" s="596"/>
      <c r="C31" s="597"/>
      <c r="D31" s="599" t="s">
        <v>5293</v>
      </c>
      <c r="E31" s="599"/>
      <c r="F31" s="600">
        <f>((3*3)*0.3)*0.1</f>
        <v>0.26999999999999996</v>
      </c>
      <c r="G31" s="289"/>
      <c r="H31" s="601"/>
      <c r="I31" s="602"/>
      <c r="J31" s="610"/>
      <c r="U31" s="605"/>
      <c r="W31" s="605"/>
    </row>
    <row r="32" spans="1:23" s="604" customFormat="1" ht="13.5" customHeight="1">
      <c r="A32" s="595"/>
      <c r="B32" s="596"/>
      <c r="C32" s="597"/>
      <c r="D32" s="599" t="s">
        <v>5294</v>
      </c>
      <c r="E32" s="599"/>
      <c r="F32" s="600">
        <f>((3*3)*2.69)*0.1</f>
        <v>2.4210000000000003</v>
      </c>
      <c r="G32" s="289"/>
      <c r="H32" s="601"/>
      <c r="I32" s="602"/>
      <c r="J32" s="2662"/>
      <c r="U32" s="605"/>
      <c r="W32" s="605"/>
    </row>
    <row r="33" spans="1:23" s="604" customFormat="1" ht="13.5" customHeight="1">
      <c r="A33" s="595"/>
      <c r="B33" s="596"/>
      <c r="C33" s="597"/>
      <c r="D33" s="599" t="s">
        <v>5295</v>
      </c>
      <c r="E33" s="599"/>
      <c r="F33" s="600">
        <f>((5.7+5.7+3+3)*1.82)*0.1</f>
        <v>3.1668000000000003</v>
      </c>
      <c r="G33" s="289"/>
      <c r="H33" s="601"/>
      <c r="I33" s="602"/>
      <c r="J33" s="610"/>
      <c r="U33" s="605"/>
      <c r="W33" s="605"/>
    </row>
    <row r="34" spans="1:23" s="604" customFormat="1" ht="27" customHeight="1">
      <c r="A34" s="595"/>
      <c r="B34" s="596"/>
      <c r="C34" s="597"/>
      <c r="D34" s="597" t="s">
        <v>4323</v>
      </c>
      <c r="E34" s="597"/>
      <c r="F34" s="607"/>
      <c r="G34" s="289"/>
      <c r="H34" s="601"/>
      <c r="I34" s="602"/>
      <c r="J34" s="606"/>
      <c r="U34" s="605"/>
      <c r="W34" s="605"/>
    </row>
    <row r="35" spans="1:23" s="604" customFormat="1" ht="13.5" customHeight="1">
      <c r="A35" s="608">
        <v>10</v>
      </c>
      <c r="B35" s="557" t="s">
        <v>135</v>
      </c>
      <c r="C35" s="557">
        <v>131351100</v>
      </c>
      <c r="D35" s="557" t="s">
        <v>5223</v>
      </c>
      <c r="E35" s="557" t="s">
        <v>146</v>
      </c>
      <c r="F35" s="2659">
        <f>ROUND(SUM(F37:F39),3)</f>
        <v>17.573</v>
      </c>
      <c r="G35" s="288"/>
      <c r="H35" s="568">
        <f t="shared" ref="H35" si="3">ROUND(F35*G35,2)</f>
        <v>0</v>
      </c>
      <c r="I35" s="744" t="s">
        <v>137</v>
      </c>
      <c r="J35" s="610"/>
      <c r="K35" s="2663"/>
      <c r="U35" s="605"/>
      <c r="W35" s="605"/>
    </row>
    <row r="36" spans="1:23" s="604" customFormat="1" ht="13.5" customHeight="1">
      <c r="A36" s="595"/>
      <c r="B36" s="596"/>
      <c r="C36" s="597"/>
      <c r="D36" s="719" t="s">
        <v>5300</v>
      </c>
      <c r="E36" s="599"/>
      <c r="F36" s="600"/>
      <c r="G36" s="289"/>
      <c r="H36" s="601"/>
      <c r="I36" s="602"/>
      <c r="J36" s="610"/>
      <c r="U36" s="605"/>
      <c r="W36" s="605"/>
    </row>
    <row r="37" spans="1:23" s="604" customFormat="1" ht="13.5" customHeight="1">
      <c r="A37" s="595"/>
      <c r="B37" s="596"/>
      <c r="C37" s="597"/>
      <c r="D37" s="599" t="s">
        <v>5301</v>
      </c>
      <c r="E37" s="599"/>
      <c r="F37" s="600">
        <f>((3*3)*0.3)*0.3</f>
        <v>0.80999999999999994</v>
      </c>
      <c r="G37" s="289"/>
      <c r="H37" s="601"/>
      <c r="I37" s="602"/>
      <c r="J37" s="610"/>
      <c r="U37" s="605"/>
      <c r="W37" s="605"/>
    </row>
    <row r="38" spans="1:23" s="604" customFormat="1" ht="13.5" customHeight="1">
      <c r="A38" s="595"/>
      <c r="B38" s="596"/>
      <c r="C38" s="597"/>
      <c r="D38" s="599" t="s">
        <v>5302</v>
      </c>
      <c r="E38" s="599"/>
      <c r="F38" s="600">
        <f>((3*3)*2.69)*0.3</f>
        <v>7.2629999999999999</v>
      </c>
      <c r="G38" s="289"/>
      <c r="H38" s="601"/>
      <c r="I38" s="602"/>
      <c r="J38" s="610"/>
      <c r="U38" s="605"/>
      <c r="W38" s="605"/>
    </row>
    <row r="39" spans="1:23" s="604" customFormat="1" ht="13.5" customHeight="1">
      <c r="A39" s="595"/>
      <c r="B39" s="596"/>
      <c r="C39" s="597"/>
      <c r="D39" s="599" t="s">
        <v>5303</v>
      </c>
      <c r="E39" s="599"/>
      <c r="F39" s="600">
        <f>((5.7+5.7+3+3)*1.82)*0.3</f>
        <v>9.5003999999999991</v>
      </c>
      <c r="G39" s="289"/>
      <c r="H39" s="601"/>
      <c r="I39" s="602"/>
      <c r="J39" s="610"/>
      <c r="U39" s="605"/>
      <c r="W39" s="605"/>
    </row>
    <row r="40" spans="1:23" s="604" customFormat="1" ht="27" customHeight="1">
      <c r="A40" s="595"/>
      <c r="B40" s="596"/>
      <c r="C40" s="597"/>
      <c r="D40" s="597" t="s">
        <v>4323</v>
      </c>
      <c r="E40" s="597"/>
      <c r="F40" s="607"/>
      <c r="G40" s="289"/>
      <c r="H40" s="601"/>
      <c r="I40" s="602"/>
      <c r="J40" s="606"/>
      <c r="U40" s="605"/>
      <c r="W40" s="605"/>
    </row>
    <row r="41" spans="1:23" s="604" customFormat="1" ht="13.5" customHeight="1">
      <c r="A41" s="608">
        <v>11</v>
      </c>
      <c r="B41" s="557" t="s">
        <v>135</v>
      </c>
      <c r="C41" s="557">
        <v>131451100</v>
      </c>
      <c r="D41" s="557" t="s">
        <v>5228</v>
      </c>
      <c r="E41" s="557" t="s">
        <v>146</v>
      </c>
      <c r="F41" s="2659">
        <f>ROUND(SUM(F43:F45),3)</f>
        <v>5.8579999999999997</v>
      </c>
      <c r="G41" s="288"/>
      <c r="H41" s="568">
        <f t="shared" ref="H41" si="4">ROUND(F41*G41,2)</f>
        <v>0</v>
      </c>
      <c r="I41" s="744" t="s">
        <v>137</v>
      </c>
      <c r="J41" s="610"/>
      <c r="K41" s="2663"/>
      <c r="U41" s="605"/>
      <c r="W41" s="605"/>
    </row>
    <row r="42" spans="1:23" s="604" customFormat="1" ht="13.5" customHeight="1">
      <c r="A42" s="595"/>
      <c r="B42" s="596"/>
      <c r="C42" s="597"/>
      <c r="D42" s="719" t="s">
        <v>5292</v>
      </c>
      <c r="E42" s="599"/>
      <c r="F42" s="600"/>
      <c r="G42" s="289"/>
      <c r="H42" s="601"/>
      <c r="I42" s="602"/>
      <c r="J42" s="610"/>
      <c r="U42" s="605"/>
      <c r="W42" s="605"/>
    </row>
    <row r="43" spans="1:23" s="604" customFormat="1" ht="13.5" customHeight="1">
      <c r="A43" s="595"/>
      <c r="B43" s="596"/>
      <c r="C43" s="597"/>
      <c r="D43" s="599" t="s">
        <v>5293</v>
      </c>
      <c r="E43" s="599"/>
      <c r="F43" s="600">
        <f>((3*3)*0.3)*0.1</f>
        <v>0.26999999999999996</v>
      </c>
      <c r="G43" s="289"/>
      <c r="H43" s="601"/>
      <c r="I43" s="602"/>
      <c r="J43" s="610"/>
      <c r="U43" s="605"/>
      <c r="W43" s="605"/>
    </row>
    <row r="44" spans="1:23" s="604" customFormat="1" ht="13.5" customHeight="1">
      <c r="A44" s="595"/>
      <c r="B44" s="596"/>
      <c r="C44" s="597"/>
      <c r="D44" s="599" t="s">
        <v>5294</v>
      </c>
      <c r="E44" s="599"/>
      <c r="F44" s="600">
        <f>((3*3)*2.69)*0.1</f>
        <v>2.4210000000000003</v>
      </c>
      <c r="G44" s="289"/>
      <c r="H44" s="601"/>
      <c r="I44" s="602"/>
      <c r="J44" s="610"/>
      <c r="U44" s="605"/>
      <c r="W44" s="605"/>
    </row>
    <row r="45" spans="1:23" s="604" customFormat="1" ht="13.5" customHeight="1">
      <c r="A45" s="595"/>
      <c r="B45" s="596"/>
      <c r="C45" s="597"/>
      <c r="D45" s="599" t="s">
        <v>5295</v>
      </c>
      <c r="E45" s="599"/>
      <c r="F45" s="600">
        <f>((5.7+5.7+3+3)*1.82)*0.1</f>
        <v>3.1668000000000003</v>
      </c>
      <c r="G45" s="289"/>
      <c r="H45" s="601"/>
      <c r="I45" s="602"/>
      <c r="J45" s="610"/>
      <c r="U45" s="605"/>
      <c r="W45" s="605"/>
    </row>
    <row r="46" spans="1:23" s="604" customFormat="1" ht="27" customHeight="1">
      <c r="A46" s="595"/>
      <c r="B46" s="596"/>
      <c r="C46" s="597"/>
      <c r="D46" s="597" t="s">
        <v>5229</v>
      </c>
      <c r="E46" s="597"/>
      <c r="F46" s="607"/>
      <c r="G46" s="289"/>
      <c r="H46" s="601"/>
      <c r="I46" s="602"/>
      <c r="J46" s="606"/>
      <c r="U46" s="605"/>
      <c r="W46" s="605"/>
    </row>
    <row r="47" spans="1:23" ht="13.5" customHeight="1">
      <c r="A47" s="608">
        <v>12</v>
      </c>
      <c r="B47" s="557" t="s">
        <v>135</v>
      </c>
      <c r="C47" s="557">
        <v>139001101</v>
      </c>
      <c r="D47" s="557" t="s">
        <v>160</v>
      </c>
      <c r="E47" s="557" t="s">
        <v>146</v>
      </c>
      <c r="F47" s="2659">
        <f>ROUND(SUM(F48),3)</f>
        <v>2.8610000000000002</v>
      </c>
      <c r="G47" s="288"/>
      <c r="H47" s="568">
        <f t="shared" ref="H47" si="5">ROUND(F47*G47,2)</f>
        <v>0</v>
      </c>
      <c r="I47" s="744" t="s">
        <v>137</v>
      </c>
    </row>
    <row r="48" spans="1:23" ht="13.5" customHeight="1">
      <c r="A48" s="608"/>
      <c r="B48" s="557"/>
      <c r="C48" s="599"/>
      <c r="D48" s="599" t="s">
        <v>5304</v>
      </c>
      <c r="E48" s="599"/>
      <c r="F48" s="600">
        <f>((5.723+22.891)+(5.723+17.168)+(5.723))*0.05</f>
        <v>2.8613999999999997</v>
      </c>
      <c r="G48" s="290"/>
      <c r="H48" s="614"/>
      <c r="I48" s="613"/>
    </row>
    <row r="49" spans="1:23" s="888" customFormat="1" ht="13.5" customHeight="1">
      <c r="A49" s="2664" t="s">
        <v>5231</v>
      </c>
      <c r="B49" s="2665" t="s">
        <v>135</v>
      </c>
      <c r="C49" s="2666">
        <v>171152501</v>
      </c>
      <c r="D49" s="2666" t="s">
        <v>162</v>
      </c>
      <c r="E49" s="2666" t="s">
        <v>163</v>
      </c>
      <c r="F49" s="2659">
        <f>ROUND(SUM(F50),3)</f>
        <v>9</v>
      </c>
      <c r="G49" s="287"/>
      <c r="H49" s="568">
        <f t="shared" ref="H49" si="6">ROUND(F49*G49,2)</f>
        <v>0</v>
      </c>
      <c r="I49" s="744" t="s">
        <v>137</v>
      </c>
      <c r="J49" s="2668"/>
    </row>
    <row r="50" spans="1:23" s="888" customFormat="1" ht="13.5" customHeight="1">
      <c r="A50" s="2664"/>
      <c r="B50" s="2665"/>
      <c r="C50" s="2666"/>
      <c r="D50" s="2669" t="s">
        <v>5305</v>
      </c>
      <c r="E50" s="2666"/>
      <c r="F50" s="779">
        <f>(3*3)</f>
        <v>9</v>
      </c>
      <c r="G50" s="287"/>
      <c r="H50" s="2667"/>
      <c r="I50" s="2670"/>
      <c r="J50" s="2671"/>
    </row>
    <row r="51" spans="1:23" s="604" customFormat="1" ht="13.5" customHeight="1">
      <c r="A51" s="2664" t="s">
        <v>5233</v>
      </c>
      <c r="B51" s="557" t="s">
        <v>135</v>
      </c>
      <c r="C51" s="557">
        <v>174151101</v>
      </c>
      <c r="D51" s="557" t="s">
        <v>4579</v>
      </c>
      <c r="E51" s="557" t="s">
        <v>146</v>
      </c>
      <c r="F51" s="2659">
        <f>ROUND(SUM(F53:F57),3)</f>
        <v>50.085000000000001</v>
      </c>
      <c r="G51" s="288"/>
      <c r="H51" s="568">
        <f t="shared" ref="H51" si="7">ROUND(F51*G51,2)</f>
        <v>0</v>
      </c>
      <c r="I51" s="613" t="s">
        <v>137</v>
      </c>
      <c r="J51" s="610"/>
      <c r="K51" s="2663"/>
      <c r="U51" s="605"/>
      <c r="W51" s="605"/>
    </row>
    <row r="52" spans="1:23" s="604" customFormat="1" ht="13.5" customHeight="1">
      <c r="A52" s="595"/>
      <c r="B52" s="596"/>
      <c r="C52" s="597"/>
      <c r="D52" s="719" t="s">
        <v>5306</v>
      </c>
      <c r="E52" s="599"/>
      <c r="F52" s="600"/>
      <c r="G52" s="289"/>
      <c r="H52" s="601"/>
      <c r="I52" s="602"/>
      <c r="J52" s="610"/>
      <c r="U52" s="605"/>
      <c r="W52" s="605"/>
    </row>
    <row r="53" spans="1:23" s="604" customFormat="1" ht="13.5" customHeight="1">
      <c r="A53" s="595"/>
      <c r="B53" s="596"/>
      <c r="C53" s="597"/>
      <c r="D53" s="599" t="s">
        <v>5307</v>
      </c>
      <c r="E53" s="599"/>
      <c r="F53" s="600">
        <f>(3*3*2.69)</f>
        <v>24.21</v>
      </c>
      <c r="G53" s="289"/>
      <c r="H53" s="601"/>
      <c r="I53" s="602"/>
      <c r="J53" s="610"/>
      <c r="U53" s="605"/>
      <c r="W53" s="605"/>
    </row>
    <row r="54" spans="1:23" s="604" customFormat="1" ht="13.5" customHeight="1">
      <c r="A54" s="595"/>
      <c r="B54" s="596"/>
      <c r="C54" s="597"/>
      <c r="D54" s="599" t="s">
        <v>5308</v>
      </c>
      <c r="E54" s="599"/>
      <c r="F54" s="600">
        <f>-((1.8/2)*(1.8/2)*3.141592654*2.22)</f>
        <v>-5.6492119104228014</v>
      </c>
      <c r="G54" s="289"/>
      <c r="H54" s="601"/>
      <c r="I54" s="602"/>
      <c r="J54" s="610"/>
      <c r="U54" s="605"/>
      <c r="W54" s="605"/>
    </row>
    <row r="55" spans="1:23" s="604" customFormat="1" ht="13.5" customHeight="1">
      <c r="A55" s="595"/>
      <c r="B55" s="596"/>
      <c r="C55" s="597"/>
      <c r="D55" s="599" t="s">
        <v>5309</v>
      </c>
      <c r="E55" s="599"/>
      <c r="F55" s="600">
        <f>-((0.625/2)*(0.625/2)*3.141592654*0.47)</f>
        <v>-0.14419419408007811</v>
      </c>
      <c r="G55" s="289"/>
      <c r="H55" s="601"/>
      <c r="I55" s="602"/>
      <c r="J55" s="610"/>
      <c r="U55" s="605"/>
      <c r="W55" s="605"/>
    </row>
    <row r="56" spans="1:23" s="604" customFormat="1" ht="13.5" customHeight="1">
      <c r="A56" s="595"/>
      <c r="B56" s="596"/>
      <c r="C56" s="597"/>
      <c r="D56" s="599" t="s">
        <v>5310</v>
      </c>
      <c r="E56" s="599"/>
      <c r="F56" s="600"/>
      <c r="G56" s="289"/>
      <c r="H56" s="601"/>
      <c r="I56" s="602"/>
      <c r="J56" s="610"/>
      <c r="U56" s="605"/>
      <c r="W56" s="605"/>
    </row>
    <row r="57" spans="1:23" s="604" customFormat="1" ht="13.5" customHeight="1">
      <c r="A57" s="595"/>
      <c r="B57" s="596"/>
      <c r="C57" s="597"/>
      <c r="D57" s="599" t="s">
        <v>5311</v>
      </c>
      <c r="E57" s="599"/>
      <c r="F57" s="600">
        <f>(5.7+5.7+3+3)*1.82</f>
        <v>31.667999999999999</v>
      </c>
      <c r="G57" s="289"/>
      <c r="H57" s="601"/>
      <c r="I57" s="602"/>
      <c r="J57" s="610"/>
      <c r="U57" s="605"/>
      <c r="W57" s="605"/>
    </row>
    <row r="58" spans="1:23" ht="13.5" customHeight="1">
      <c r="A58" s="2672" t="s">
        <v>5239</v>
      </c>
      <c r="B58" s="730">
        <v>583</v>
      </c>
      <c r="C58" s="730">
        <v>58337302</v>
      </c>
      <c r="D58" s="730" t="s">
        <v>4684</v>
      </c>
      <c r="E58" s="730" t="s">
        <v>175</v>
      </c>
      <c r="F58" s="2673">
        <f>ROUND(SUM(F60),3)</f>
        <v>36.834000000000003</v>
      </c>
      <c r="G58" s="292"/>
      <c r="H58" s="733">
        <f t="shared" ref="H58" si="8">ROUND(F58*G58,2)</f>
        <v>0</v>
      </c>
      <c r="I58" s="734" t="s">
        <v>137</v>
      </c>
    </row>
    <row r="59" spans="1:23" s="604" customFormat="1" ht="13.5" customHeight="1">
      <c r="A59" s="2674"/>
      <c r="B59" s="2675"/>
      <c r="C59" s="2676"/>
      <c r="D59" s="738" t="s">
        <v>5312</v>
      </c>
      <c r="E59" s="739"/>
      <c r="F59" s="740"/>
      <c r="G59" s="293"/>
      <c r="H59" s="2677"/>
      <c r="I59" s="2678"/>
      <c r="J59" s="2679"/>
      <c r="K59" s="1581"/>
      <c r="L59" s="1581"/>
      <c r="M59" s="1581"/>
      <c r="N59" s="1581"/>
      <c r="O59" s="1581"/>
      <c r="U59" s="605"/>
      <c r="W59" s="605"/>
    </row>
    <row r="60" spans="1:23" s="604" customFormat="1" ht="13.5" customHeight="1">
      <c r="A60" s="2674"/>
      <c r="B60" s="2675"/>
      <c r="C60" s="2676"/>
      <c r="D60" s="739" t="s">
        <v>5313</v>
      </c>
      <c r="E60" s="739"/>
      <c r="F60" s="740">
        <f>(24.21-5.649-0.144)*2</f>
        <v>36.834000000000003</v>
      </c>
      <c r="G60" s="293"/>
      <c r="H60" s="2677"/>
      <c r="I60" s="2678"/>
      <c r="J60" s="2680"/>
      <c r="K60" s="2681"/>
      <c r="U60" s="605"/>
      <c r="W60" s="605"/>
    </row>
    <row r="61" spans="1:23" s="2686" customFormat="1" ht="13.5" customHeight="1">
      <c r="A61" s="2664" t="s">
        <v>1199</v>
      </c>
      <c r="B61" s="2682" t="s">
        <v>135</v>
      </c>
      <c r="C61" s="2683">
        <v>182151111</v>
      </c>
      <c r="D61" s="2683" t="s">
        <v>5242</v>
      </c>
      <c r="E61" s="2683" t="s">
        <v>163</v>
      </c>
      <c r="F61" s="2659">
        <f>ROUND(SUM(F63),3)</f>
        <v>34.200000000000003</v>
      </c>
      <c r="G61" s="312"/>
      <c r="H61" s="568">
        <f t="shared" ref="H61" si="9">ROUND(F61*G61,2)</f>
        <v>0</v>
      </c>
      <c r="I61" s="613" t="s">
        <v>137</v>
      </c>
      <c r="J61" s="2685"/>
    </row>
    <row r="62" spans="1:23" s="2686" customFormat="1" ht="27" customHeight="1">
      <c r="A62" s="2687"/>
      <c r="B62" s="2682"/>
      <c r="C62" s="2683"/>
      <c r="D62" s="2688" t="s">
        <v>5243</v>
      </c>
      <c r="E62" s="2683"/>
      <c r="F62" s="2689"/>
      <c r="G62" s="312"/>
      <c r="H62" s="2684"/>
      <c r="I62" s="2690"/>
      <c r="J62" s="2691"/>
      <c r="K62" s="2691"/>
    </row>
    <row r="63" spans="1:23" s="2686" customFormat="1" ht="13.5" customHeight="1">
      <c r="A63" s="2687"/>
      <c r="B63" s="2682"/>
      <c r="C63" s="2683"/>
      <c r="D63" s="2688" t="s">
        <v>5314</v>
      </c>
      <c r="E63" s="2683"/>
      <c r="F63" s="2689">
        <f>(3*(5.7+5.7+5.7+5.7))*0.5</f>
        <v>34.200000000000003</v>
      </c>
      <c r="G63" s="312"/>
      <c r="H63" s="2684"/>
      <c r="I63" s="2690"/>
      <c r="J63" s="2691"/>
      <c r="K63" s="2691"/>
    </row>
    <row r="64" spans="1:23" s="2686" customFormat="1" ht="13.5" customHeight="1">
      <c r="A64" s="2664" t="s">
        <v>883</v>
      </c>
      <c r="B64" s="2682" t="s">
        <v>135</v>
      </c>
      <c r="C64" s="2683">
        <v>182151112</v>
      </c>
      <c r="D64" s="2683" t="s">
        <v>5245</v>
      </c>
      <c r="E64" s="2683" t="s">
        <v>163</v>
      </c>
      <c r="F64" s="2659">
        <f>ROUND(SUM(F66),3)</f>
        <v>34.200000000000003</v>
      </c>
      <c r="G64" s="312"/>
      <c r="H64" s="568">
        <f t="shared" ref="H64" si="10">ROUND(F64*G64,2)</f>
        <v>0</v>
      </c>
      <c r="I64" s="613" t="s">
        <v>137</v>
      </c>
      <c r="J64" s="2692"/>
    </row>
    <row r="65" spans="1:256" s="2686" customFormat="1" ht="27" customHeight="1">
      <c r="A65" s="2687"/>
      <c r="B65" s="2682"/>
      <c r="C65" s="2683"/>
      <c r="D65" s="2688" t="s">
        <v>5243</v>
      </c>
      <c r="E65" s="2683"/>
      <c r="F65" s="2689"/>
      <c r="G65" s="312"/>
      <c r="H65" s="2684"/>
      <c r="I65" s="2690"/>
      <c r="J65" s="2691"/>
      <c r="K65" s="2691"/>
    </row>
    <row r="66" spans="1:256" s="2686" customFormat="1" ht="13.5" customHeight="1">
      <c r="A66" s="2687"/>
      <c r="B66" s="2682"/>
      <c r="C66" s="2683"/>
      <c r="D66" s="2688" t="s">
        <v>5314</v>
      </c>
      <c r="E66" s="2683"/>
      <c r="F66" s="2689">
        <f>(3*(5.7+5.7+5.7+5.7))*0.5</f>
        <v>34.200000000000003</v>
      </c>
      <c r="G66" s="312"/>
      <c r="H66" s="2684"/>
      <c r="I66" s="2690"/>
      <c r="J66" s="2691"/>
      <c r="K66" s="2691"/>
    </row>
    <row r="67" spans="1:256" s="1272" customFormat="1" ht="13.5" customHeight="1">
      <c r="A67" s="2693" t="s">
        <v>196</v>
      </c>
      <c r="B67" s="2694" t="s">
        <v>135</v>
      </c>
      <c r="C67" s="2695" t="s">
        <v>4782</v>
      </c>
      <c r="D67" s="2695" t="s">
        <v>4783</v>
      </c>
      <c r="E67" s="2695" t="s">
        <v>146</v>
      </c>
      <c r="F67" s="1258">
        <f>ROUND(SUM(F69,F71),3)</f>
        <v>31.667999999999999</v>
      </c>
      <c r="G67" s="1641">
        <f>ROUND(SUM(H73:H77)/F67,2)</f>
        <v>0</v>
      </c>
      <c r="H67" s="568">
        <f t="shared" ref="H67" si="11">ROUND(F67*G67,2)</f>
        <v>0</v>
      </c>
      <c r="I67" s="2696" t="s">
        <v>111</v>
      </c>
      <c r="J67" s="2697"/>
      <c r="K67" s="2698"/>
      <c r="L67" s="2698"/>
      <c r="M67" s="2697"/>
      <c r="N67" s="1644"/>
    </row>
    <row r="68" spans="1:256" s="1272" customFormat="1" ht="13.5" customHeight="1">
      <c r="A68" s="2693"/>
      <c r="B68" s="2694"/>
      <c r="C68" s="2695"/>
      <c r="D68" s="2699" t="s">
        <v>4784</v>
      </c>
      <c r="E68" s="2695"/>
      <c r="F68" s="2700"/>
      <c r="G68" s="346"/>
      <c r="H68" s="2701"/>
      <c r="I68" s="2696"/>
      <c r="J68" s="2697"/>
      <c r="K68" s="2698"/>
      <c r="L68" s="2698"/>
      <c r="M68" s="2697"/>
      <c r="N68" s="1644"/>
    </row>
    <row r="69" spans="1:256" s="593" customFormat="1" ht="13.5" customHeight="1">
      <c r="A69" s="2702"/>
      <c r="B69" s="790"/>
      <c r="C69" s="2695"/>
      <c r="D69" s="756" t="s">
        <v>182</v>
      </c>
      <c r="E69" s="1260"/>
      <c r="F69" s="758">
        <f>ROUND(SUM(F70:F70),3)</f>
        <v>15.834</v>
      </c>
      <c r="G69" s="879"/>
      <c r="H69" s="587"/>
      <c r="I69" s="1014"/>
      <c r="J69" s="2697"/>
      <c r="K69" s="2698"/>
      <c r="L69" s="2698"/>
      <c r="M69" s="2697"/>
      <c r="N69" s="1644"/>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213"/>
      <c r="EV69" s="213"/>
      <c r="EW69" s="213"/>
      <c r="EX69" s="213"/>
      <c r="EY69" s="213"/>
      <c r="EZ69" s="213"/>
      <c r="FA69" s="213"/>
      <c r="FB69" s="213"/>
      <c r="FC69" s="213"/>
      <c r="FD69" s="213"/>
      <c r="FE69" s="213"/>
      <c r="FF69" s="213"/>
      <c r="FG69" s="213"/>
      <c r="FH69" s="213"/>
      <c r="FI69" s="213"/>
      <c r="FJ69" s="213"/>
      <c r="FK69" s="213"/>
      <c r="FL69" s="213"/>
      <c r="FM69" s="213"/>
      <c r="FN69" s="213"/>
      <c r="FO69" s="213"/>
      <c r="FP69" s="213"/>
      <c r="FQ69" s="213"/>
      <c r="FR69" s="213"/>
      <c r="FS69" s="213"/>
      <c r="FT69" s="213"/>
      <c r="FU69" s="213"/>
      <c r="FV69" s="213"/>
      <c r="FW69" s="213"/>
      <c r="FX69" s="213"/>
      <c r="FY69" s="213"/>
      <c r="FZ69" s="213"/>
      <c r="GA69" s="213"/>
      <c r="GB69" s="213"/>
      <c r="GC69" s="213"/>
      <c r="GD69" s="213"/>
      <c r="GE69" s="213"/>
      <c r="GF69" s="213"/>
      <c r="GG69" s="213"/>
      <c r="GH69" s="213"/>
      <c r="GI69" s="213"/>
      <c r="GJ69" s="213"/>
      <c r="GK69" s="213"/>
      <c r="GL69" s="213"/>
      <c r="GM69" s="213"/>
      <c r="GN69" s="213"/>
      <c r="GO69" s="213"/>
      <c r="GP69" s="213"/>
      <c r="GQ69" s="213"/>
      <c r="GR69" s="213"/>
      <c r="GS69" s="213"/>
      <c r="GT69" s="213"/>
      <c r="GU69" s="213"/>
      <c r="GV69" s="213"/>
      <c r="GW69" s="213"/>
      <c r="GX69" s="213"/>
      <c r="GY69" s="213"/>
      <c r="GZ69" s="213"/>
      <c r="HA69" s="213"/>
      <c r="HB69" s="213"/>
      <c r="HC69" s="213"/>
      <c r="HD69" s="213"/>
      <c r="HE69" s="213"/>
      <c r="HF69" s="213"/>
      <c r="HG69" s="213"/>
      <c r="HH69" s="213"/>
      <c r="HI69" s="213"/>
      <c r="HJ69" s="213"/>
      <c r="HK69" s="213"/>
      <c r="HL69" s="213"/>
      <c r="HM69" s="213"/>
      <c r="HN69" s="213"/>
      <c r="HO69" s="213"/>
      <c r="HP69" s="213"/>
      <c r="HQ69" s="213"/>
      <c r="HR69" s="213"/>
      <c r="HS69" s="213"/>
      <c r="HT69" s="213"/>
      <c r="HU69" s="213"/>
      <c r="HV69" s="213"/>
      <c r="HW69" s="213"/>
      <c r="HX69" s="213"/>
      <c r="HY69" s="213"/>
      <c r="HZ69" s="213"/>
      <c r="IA69" s="213"/>
      <c r="IB69" s="213"/>
      <c r="IC69" s="213"/>
      <c r="ID69" s="213"/>
      <c r="IE69" s="213"/>
      <c r="IF69" s="213"/>
      <c r="IG69" s="213"/>
      <c r="IH69" s="213"/>
      <c r="II69" s="213"/>
      <c r="IJ69" s="213"/>
      <c r="IK69" s="213"/>
      <c r="IL69" s="213"/>
      <c r="IM69" s="213"/>
      <c r="IN69" s="213"/>
      <c r="IO69" s="213"/>
      <c r="IP69" s="213"/>
      <c r="IQ69" s="213"/>
      <c r="IR69" s="213"/>
      <c r="IS69" s="213"/>
      <c r="IT69" s="213"/>
      <c r="IU69" s="213"/>
      <c r="IV69" s="213"/>
    </row>
    <row r="70" spans="1:256" s="1272" customFormat="1" ht="13.5" customHeight="1">
      <c r="A70" s="2703"/>
      <c r="B70" s="2704"/>
      <c r="C70" s="2705"/>
      <c r="D70" s="2699" t="s">
        <v>5315</v>
      </c>
      <c r="E70" s="2699"/>
      <c r="F70" s="2706">
        <f>(31.668)*(0.1+0.4)</f>
        <v>15.834</v>
      </c>
      <c r="G70" s="346"/>
      <c r="H70" s="2701"/>
      <c r="I70" s="2707"/>
      <c r="J70" s="2697"/>
      <c r="K70" s="2698"/>
      <c r="L70" s="2698"/>
      <c r="M70" s="2697"/>
      <c r="N70" s="1644"/>
    </row>
    <row r="71" spans="1:256" s="593" customFormat="1" ht="13.5" customHeight="1">
      <c r="A71" s="2702"/>
      <c r="B71" s="790"/>
      <c r="C71" s="2695"/>
      <c r="D71" s="756" t="s">
        <v>185</v>
      </c>
      <c r="E71" s="1260"/>
      <c r="F71" s="758">
        <f>ROUND(SUM(F72:F72),3)</f>
        <v>15.834</v>
      </c>
      <c r="G71" s="879"/>
      <c r="H71" s="587"/>
      <c r="I71" s="1014"/>
      <c r="J71" s="1262"/>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213"/>
      <c r="FH71" s="213"/>
      <c r="FI71" s="213"/>
      <c r="FJ71" s="213"/>
      <c r="FK71" s="213"/>
      <c r="FL71" s="213"/>
      <c r="FM71" s="213"/>
      <c r="FN71" s="213"/>
      <c r="FO71" s="213"/>
      <c r="FP71" s="213"/>
      <c r="FQ71" s="213"/>
      <c r="FR71" s="213"/>
      <c r="FS71" s="213"/>
      <c r="FT71" s="213"/>
      <c r="FU71" s="213"/>
      <c r="FV71" s="213"/>
      <c r="FW71" s="213"/>
      <c r="FX71" s="213"/>
      <c r="FY71" s="213"/>
      <c r="FZ71" s="213"/>
      <c r="GA71" s="213"/>
      <c r="GB71" s="213"/>
      <c r="GC71" s="213"/>
      <c r="GD71" s="213"/>
      <c r="GE71" s="213"/>
      <c r="GF71" s="213"/>
      <c r="GG71" s="213"/>
      <c r="GH71" s="213"/>
      <c r="GI71" s="213"/>
      <c r="GJ71" s="213"/>
      <c r="GK71" s="213"/>
      <c r="GL71" s="213"/>
      <c r="GM71" s="213"/>
      <c r="GN71" s="213"/>
      <c r="GO71" s="213"/>
      <c r="GP71" s="213"/>
      <c r="GQ71" s="213"/>
      <c r="GR71" s="213"/>
      <c r="GS71" s="213"/>
      <c r="GT71" s="213"/>
      <c r="GU71" s="213"/>
      <c r="GV71" s="213"/>
      <c r="GW71" s="213"/>
      <c r="GX71" s="213"/>
      <c r="GY71" s="213"/>
      <c r="GZ71" s="213"/>
      <c r="HA71" s="213"/>
      <c r="HB71" s="213"/>
      <c r="HC71" s="213"/>
      <c r="HD71" s="213"/>
      <c r="HE71" s="213"/>
      <c r="HF71" s="213"/>
      <c r="HG71" s="213"/>
      <c r="HH71" s="213"/>
      <c r="HI71" s="213"/>
      <c r="HJ71" s="213"/>
      <c r="HK71" s="213"/>
      <c r="HL71" s="213"/>
      <c r="HM71" s="213"/>
      <c r="HN71" s="213"/>
      <c r="HO71" s="213"/>
      <c r="HP71" s="213"/>
      <c r="HQ71" s="213"/>
      <c r="HR71" s="213"/>
      <c r="HS71" s="213"/>
      <c r="HT71" s="213"/>
      <c r="HU71" s="213"/>
      <c r="HV71" s="213"/>
      <c r="HW71" s="213"/>
      <c r="HX71" s="213"/>
      <c r="HY71" s="213"/>
      <c r="HZ71" s="213"/>
      <c r="IA71" s="213"/>
      <c r="IB71" s="213"/>
      <c r="IC71" s="213"/>
      <c r="ID71" s="213"/>
      <c r="IE71" s="213"/>
      <c r="IF71" s="213"/>
      <c r="IG71" s="213"/>
      <c r="IH71" s="213"/>
      <c r="II71" s="213"/>
      <c r="IJ71" s="213"/>
      <c r="IK71" s="213"/>
      <c r="IL71" s="213"/>
      <c r="IM71" s="213"/>
      <c r="IN71" s="213"/>
      <c r="IO71" s="213"/>
      <c r="IP71" s="213"/>
      <c r="IQ71" s="213"/>
      <c r="IR71" s="213"/>
      <c r="IS71" s="213"/>
      <c r="IT71" s="213"/>
      <c r="IU71" s="213"/>
      <c r="IV71" s="213"/>
    </row>
    <row r="72" spans="1:256" s="1272" customFormat="1" ht="13.5" customHeight="1">
      <c r="A72" s="2703"/>
      <c r="B72" s="2704"/>
      <c r="C72" s="2705"/>
      <c r="D72" s="2699" t="s">
        <v>5316</v>
      </c>
      <c r="E72" s="2699"/>
      <c r="F72" s="2706">
        <f>(31.668)*((0.1+0.3)+(0.1))</f>
        <v>15.834</v>
      </c>
      <c r="G72" s="346"/>
      <c r="H72" s="2701"/>
      <c r="I72" s="2707"/>
      <c r="J72" s="2708"/>
      <c r="K72" s="2698"/>
      <c r="L72" s="2698"/>
      <c r="M72" s="2697"/>
      <c r="N72" s="1644"/>
    </row>
    <row r="73" spans="1:256" s="1272" customFormat="1" ht="13.5" customHeight="1">
      <c r="A73" s="2709" t="s">
        <v>5248</v>
      </c>
      <c r="B73" s="2695"/>
      <c r="C73" s="777">
        <v>167151101</v>
      </c>
      <c r="D73" s="2699" t="s">
        <v>2401</v>
      </c>
      <c r="E73" s="1026" t="s">
        <v>146</v>
      </c>
      <c r="F73" s="2706">
        <f>F69</f>
        <v>15.834</v>
      </c>
      <c r="G73" s="354"/>
      <c r="H73" s="2710">
        <f t="shared" ref="H73:H77" si="12">ROUND(F73*G73,2)</f>
        <v>0</v>
      </c>
      <c r="I73" s="781" t="s">
        <v>137</v>
      </c>
      <c r="J73" s="2697"/>
      <c r="K73" s="2698"/>
      <c r="L73" s="2698"/>
      <c r="M73" s="2697"/>
      <c r="N73" s="1644"/>
      <c r="O73" s="612"/>
      <c r="P73" s="612"/>
      <c r="Q73" s="612"/>
      <c r="R73" s="612"/>
      <c r="S73" s="788"/>
      <c r="V73" s="612"/>
    </row>
    <row r="74" spans="1:256" s="1272" customFormat="1" ht="13.5" customHeight="1">
      <c r="A74" s="2711" t="s">
        <v>5249</v>
      </c>
      <c r="B74" s="2695"/>
      <c r="C74" s="777">
        <v>167151102</v>
      </c>
      <c r="D74" s="2699" t="s">
        <v>4789</v>
      </c>
      <c r="E74" s="2699" t="s">
        <v>146</v>
      </c>
      <c r="F74" s="2706">
        <f>F71</f>
        <v>15.834</v>
      </c>
      <c r="G74" s="354"/>
      <c r="H74" s="2710">
        <f t="shared" si="12"/>
        <v>0</v>
      </c>
      <c r="I74" s="781" t="s">
        <v>137</v>
      </c>
      <c r="J74" s="783"/>
      <c r="K74" s="783"/>
      <c r="L74" s="2712"/>
      <c r="M74" s="2712"/>
      <c r="N74" s="2712"/>
      <c r="Q74" s="2712"/>
      <c r="V74" s="2713"/>
    </row>
    <row r="75" spans="1:256" s="1272" customFormat="1" ht="27" customHeight="1">
      <c r="A75" s="2709" t="s">
        <v>5250</v>
      </c>
      <c r="B75" s="2695"/>
      <c r="C75" s="777">
        <v>162351103</v>
      </c>
      <c r="D75" s="2699" t="s">
        <v>4791</v>
      </c>
      <c r="E75" s="1026" t="s">
        <v>146</v>
      </c>
      <c r="F75" s="2706">
        <f>F69</f>
        <v>15.834</v>
      </c>
      <c r="G75" s="354"/>
      <c r="H75" s="2710">
        <f t="shared" si="12"/>
        <v>0</v>
      </c>
      <c r="I75" s="781" t="s">
        <v>137</v>
      </c>
      <c r="J75" s="2697"/>
      <c r="K75" s="2698"/>
      <c r="L75" s="2698"/>
      <c r="M75" s="2697"/>
      <c r="N75" s="1644"/>
      <c r="O75" s="1231"/>
    </row>
    <row r="76" spans="1:256" s="1272" customFormat="1" ht="27" customHeight="1">
      <c r="A76" s="2711" t="s">
        <v>5251</v>
      </c>
      <c r="B76" s="2695"/>
      <c r="C76" s="777">
        <v>162351123</v>
      </c>
      <c r="D76" s="2699" t="s">
        <v>4793</v>
      </c>
      <c r="E76" s="2699" t="s">
        <v>146</v>
      </c>
      <c r="F76" s="2706">
        <f>F71</f>
        <v>15.834</v>
      </c>
      <c r="G76" s="354"/>
      <c r="H76" s="2710">
        <f t="shared" si="12"/>
        <v>0</v>
      </c>
      <c r="I76" s="781" t="s">
        <v>137</v>
      </c>
      <c r="J76" s="783"/>
      <c r="K76" s="783"/>
      <c r="L76" s="2712"/>
      <c r="M76" s="2712"/>
      <c r="N76" s="2712"/>
      <c r="Q76" s="2712"/>
      <c r="V76" s="2714"/>
    </row>
    <row r="77" spans="1:256" s="1272" customFormat="1" ht="13.5" customHeight="1">
      <c r="A77" s="2709" t="s">
        <v>5252</v>
      </c>
      <c r="B77" s="2695"/>
      <c r="C77" s="777">
        <v>171251201</v>
      </c>
      <c r="D77" s="2699" t="s">
        <v>4795</v>
      </c>
      <c r="E77" s="1026" t="s">
        <v>146</v>
      </c>
      <c r="F77" s="2706">
        <f>F67</f>
        <v>31.667999999999999</v>
      </c>
      <c r="G77" s="354"/>
      <c r="H77" s="2710">
        <f t="shared" si="12"/>
        <v>0</v>
      </c>
      <c r="I77" s="781" t="s">
        <v>137</v>
      </c>
      <c r="J77" s="2697"/>
      <c r="K77" s="2698"/>
      <c r="L77" s="2698"/>
      <c r="M77" s="2697"/>
      <c r="N77" s="1644"/>
      <c r="O77" s="612"/>
      <c r="P77" s="612"/>
      <c r="Q77" s="612"/>
      <c r="R77" s="612"/>
      <c r="S77" s="788"/>
      <c r="V77" s="612"/>
    </row>
    <row r="78" spans="1:256" s="1272" customFormat="1" ht="13.5" customHeight="1">
      <c r="A78" s="2693"/>
      <c r="B78" s="2695"/>
      <c r="C78" s="2695"/>
      <c r="D78" s="2699" t="s">
        <v>4796</v>
      </c>
      <c r="E78" s="2695"/>
      <c r="F78" s="2715"/>
      <c r="G78" s="355"/>
      <c r="H78" s="2701"/>
      <c r="I78" s="2696"/>
      <c r="J78" s="2697"/>
      <c r="K78" s="2698"/>
      <c r="L78" s="2698"/>
      <c r="M78" s="2697"/>
      <c r="N78" s="1644"/>
    </row>
    <row r="79" spans="1:256" s="1272" customFormat="1" ht="13.5" customHeight="1">
      <c r="A79" s="2693" t="s">
        <v>202</v>
      </c>
      <c r="B79" s="2694" t="s">
        <v>135</v>
      </c>
      <c r="C79" s="2695" t="s">
        <v>4797</v>
      </c>
      <c r="D79" s="2695" t="s">
        <v>4798</v>
      </c>
      <c r="E79" s="2695" t="s">
        <v>146</v>
      </c>
      <c r="F79" s="1258">
        <f>ROUND(SUM(F81,F83),3)</f>
        <v>31.667999999999999</v>
      </c>
      <c r="G79" s="1641">
        <f>ROUND(SUM(H85:H88)/F79,2)</f>
        <v>0</v>
      </c>
      <c r="H79" s="1242">
        <f t="shared" ref="H79" si="13">ROUND(F79*G79,2)</f>
        <v>0</v>
      </c>
      <c r="I79" s="2696" t="s">
        <v>111</v>
      </c>
      <c r="J79" s="2697"/>
      <c r="K79" s="2698"/>
      <c r="L79" s="2698"/>
      <c r="M79" s="2697"/>
      <c r="N79" s="1644"/>
    </row>
    <row r="80" spans="1:256" s="1272" customFormat="1" ht="13.5" customHeight="1">
      <c r="A80" s="2703"/>
      <c r="B80" s="2704"/>
      <c r="C80" s="2705"/>
      <c r="D80" s="2699" t="s">
        <v>4799</v>
      </c>
      <c r="E80" s="2699"/>
      <c r="F80" s="2706"/>
      <c r="G80" s="346"/>
      <c r="H80" s="2701"/>
      <c r="I80" s="2707"/>
      <c r="J80" s="2697"/>
      <c r="K80" s="2698"/>
      <c r="L80" s="2698"/>
      <c r="M80" s="2697"/>
      <c r="N80" s="1644"/>
      <c r="U80" s="2714"/>
    </row>
    <row r="81" spans="1:256" s="593" customFormat="1" ht="13.5" customHeight="1">
      <c r="A81" s="2702"/>
      <c r="B81" s="790"/>
      <c r="C81" s="2695"/>
      <c r="D81" s="756" t="s">
        <v>4800</v>
      </c>
      <c r="E81" s="1260"/>
      <c r="F81" s="758">
        <f>ROUND(SUM(F82:F82),3)</f>
        <v>15.834</v>
      </c>
      <c r="G81" s="879"/>
      <c r="H81" s="587"/>
      <c r="I81" s="1014"/>
      <c r="J81" s="2697"/>
      <c r="K81" s="2698"/>
      <c r="L81" s="2698"/>
      <c r="M81" s="2697"/>
      <c r="N81" s="1644"/>
      <c r="O81" s="213"/>
      <c r="P81" s="213"/>
      <c r="Q81" s="213"/>
      <c r="S81" s="213"/>
      <c r="U81" s="2714"/>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213"/>
      <c r="FH81" s="213"/>
      <c r="FI81" s="213"/>
      <c r="FJ81" s="213"/>
      <c r="FK81" s="213"/>
      <c r="FL81" s="213"/>
      <c r="FM81" s="213"/>
      <c r="FN81" s="213"/>
      <c r="FO81" s="213"/>
      <c r="FP81" s="213"/>
      <c r="FQ81" s="213"/>
      <c r="FR81" s="213"/>
      <c r="FS81" s="213"/>
      <c r="FT81" s="213"/>
      <c r="FU81" s="213"/>
      <c r="FV81" s="213"/>
      <c r="FW81" s="213"/>
      <c r="FX81" s="213"/>
      <c r="FY81" s="213"/>
      <c r="FZ81" s="213"/>
      <c r="GA81" s="213"/>
      <c r="GB81" s="213"/>
      <c r="GC81" s="213"/>
      <c r="GD81" s="213"/>
      <c r="GE81" s="213"/>
      <c r="GF81" s="213"/>
      <c r="GG81" s="213"/>
      <c r="GH81" s="213"/>
      <c r="GI81" s="213"/>
      <c r="GJ81" s="213"/>
      <c r="GK81" s="213"/>
      <c r="GL81" s="213"/>
      <c r="GM81" s="213"/>
      <c r="GN81" s="213"/>
      <c r="GO81" s="213"/>
      <c r="GP81" s="213"/>
      <c r="GQ81" s="213"/>
      <c r="GR81" s="213"/>
      <c r="GS81" s="213"/>
      <c r="GT81" s="213"/>
      <c r="GU81" s="213"/>
      <c r="GV81" s="213"/>
      <c r="GW81" s="213"/>
      <c r="GX81" s="213"/>
      <c r="GY81" s="213"/>
      <c r="GZ81" s="213"/>
      <c r="HA81" s="213"/>
      <c r="HB81" s="213"/>
      <c r="HC81" s="213"/>
      <c r="HD81" s="213"/>
      <c r="HE81" s="213"/>
      <c r="HF81" s="213"/>
      <c r="HG81" s="213"/>
      <c r="HH81" s="213"/>
      <c r="HI81" s="213"/>
      <c r="HJ81" s="213"/>
      <c r="HK81" s="213"/>
      <c r="HL81" s="213"/>
      <c r="HM81" s="213"/>
      <c r="HN81" s="213"/>
      <c r="HO81" s="213"/>
      <c r="HP81" s="213"/>
      <c r="HQ81" s="213"/>
      <c r="HR81" s="213"/>
      <c r="HS81" s="213"/>
      <c r="HT81" s="213"/>
      <c r="HU81" s="213"/>
      <c r="HV81" s="213"/>
      <c r="HW81" s="213"/>
      <c r="HX81" s="213"/>
      <c r="HY81" s="213"/>
      <c r="HZ81" s="213"/>
      <c r="IA81" s="213"/>
      <c r="IB81" s="213"/>
      <c r="IC81" s="213"/>
      <c r="ID81" s="213"/>
      <c r="IE81" s="213"/>
      <c r="IF81" s="213"/>
      <c r="IG81" s="213"/>
      <c r="IH81" s="213"/>
      <c r="II81" s="213"/>
      <c r="IJ81" s="213"/>
      <c r="IK81" s="213"/>
      <c r="IL81" s="213"/>
      <c r="IM81" s="213"/>
      <c r="IN81" s="213"/>
      <c r="IO81" s="213"/>
      <c r="IP81" s="213"/>
      <c r="IQ81" s="213"/>
      <c r="IR81" s="213"/>
      <c r="IS81" s="213"/>
      <c r="IT81" s="213"/>
      <c r="IU81" s="213"/>
      <c r="IV81" s="213"/>
    </row>
    <row r="82" spans="1:256" s="1272" customFormat="1" ht="13.5" customHeight="1">
      <c r="A82" s="2703"/>
      <c r="B82" s="2704"/>
      <c r="C82" s="2705"/>
      <c r="D82" s="2699" t="s">
        <v>5317</v>
      </c>
      <c r="E82" s="2699"/>
      <c r="F82" s="2706">
        <f>(31.668)*(0.1+0.4)</f>
        <v>15.834</v>
      </c>
      <c r="G82" s="346"/>
      <c r="H82" s="2701"/>
      <c r="I82" s="2707"/>
      <c r="J82" s="2697"/>
      <c r="K82" s="2698"/>
      <c r="L82" s="2698"/>
      <c r="M82" s="2697"/>
      <c r="N82" s="1644"/>
      <c r="U82" s="2714"/>
    </row>
    <row r="83" spans="1:256" s="593" customFormat="1" ht="13.5" customHeight="1">
      <c r="A83" s="2702"/>
      <c r="B83" s="790"/>
      <c r="C83" s="2695"/>
      <c r="D83" s="756" t="s">
        <v>4802</v>
      </c>
      <c r="E83" s="1260"/>
      <c r="F83" s="758">
        <f>ROUND(SUM(F84:F84),3)</f>
        <v>15.834</v>
      </c>
      <c r="G83" s="879"/>
      <c r="H83" s="587"/>
      <c r="I83" s="1014"/>
      <c r="J83" s="2716"/>
      <c r="L83" s="213"/>
      <c r="M83" s="213"/>
      <c r="N83" s="213"/>
      <c r="O83" s="213"/>
      <c r="P83" s="213"/>
      <c r="Q83" s="213"/>
      <c r="S83" s="213"/>
      <c r="U83" s="2714"/>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c r="FX83" s="213"/>
      <c r="FY83" s="213"/>
      <c r="FZ83" s="213"/>
      <c r="GA83" s="213"/>
      <c r="GB83" s="213"/>
      <c r="GC83" s="213"/>
      <c r="GD83" s="213"/>
      <c r="GE83" s="213"/>
      <c r="GF83" s="213"/>
      <c r="GG83" s="213"/>
      <c r="GH83" s="213"/>
      <c r="GI83" s="213"/>
      <c r="GJ83" s="213"/>
      <c r="GK83" s="213"/>
      <c r="GL83" s="213"/>
      <c r="GM83" s="213"/>
      <c r="GN83" s="213"/>
      <c r="GO83" s="213"/>
      <c r="GP83" s="213"/>
      <c r="GQ83" s="213"/>
      <c r="GR83" s="213"/>
      <c r="GS83" s="213"/>
      <c r="GT83" s="213"/>
      <c r="GU83" s="213"/>
      <c r="GV83" s="213"/>
      <c r="GW83" s="213"/>
      <c r="GX83" s="213"/>
      <c r="GY83" s="213"/>
      <c r="GZ83" s="213"/>
      <c r="HA83" s="213"/>
      <c r="HB83" s="213"/>
      <c r="HC83" s="213"/>
      <c r="HD83" s="213"/>
      <c r="HE83" s="213"/>
      <c r="HF83" s="213"/>
      <c r="HG83" s="213"/>
      <c r="HH83" s="213"/>
      <c r="HI83" s="213"/>
      <c r="HJ83" s="213"/>
      <c r="HK83" s="213"/>
      <c r="HL83" s="213"/>
      <c r="HM83" s="213"/>
      <c r="HN83" s="213"/>
      <c r="HO83" s="213"/>
      <c r="HP83" s="213"/>
      <c r="HQ83" s="213"/>
      <c r="HR83" s="213"/>
      <c r="HS83" s="213"/>
      <c r="HT83" s="213"/>
      <c r="HU83" s="213"/>
      <c r="HV83" s="213"/>
      <c r="HW83" s="213"/>
      <c r="HX83" s="213"/>
      <c r="HY83" s="213"/>
      <c r="HZ83" s="213"/>
      <c r="IA83" s="213"/>
      <c r="IB83" s="213"/>
      <c r="IC83" s="213"/>
      <c r="ID83" s="213"/>
      <c r="IE83" s="213"/>
      <c r="IF83" s="213"/>
      <c r="IG83" s="213"/>
      <c r="IH83" s="213"/>
      <c r="II83" s="213"/>
      <c r="IJ83" s="213"/>
      <c r="IK83" s="213"/>
      <c r="IL83" s="213"/>
      <c r="IM83" s="213"/>
      <c r="IN83" s="213"/>
      <c r="IO83" s="213"/>
      <c r="IP83" s="213"/>
      <c r="IQ83" s="213"/>
      <c r="IR83" s="213"/>
      <c r="IS83" s="213"/>
      <c r="IT83" s="213"/>
      <c r="IU83" s="213"/>
      <c r="IV83" s="213"/>
    </row>
    <row r="84" spans="1:256" s="1272" customFormat="1" ht="13.5" customHeight="1">
      <c r="A84" s="2703"/>
      <c r="B84" s="2704"/>
      <c r="C84" s="2705"/>
      <c r="D84" s="2699" t="s">
        <v>5318</v>
      </c>
      <c r="E84" s="2699"/>
      <c r="F84" s="2706">
        <f>(31.668)*((0.1+0.3)+(0.1))</f>
        <v>15.834</v>
      </c>
      <c r="G84" s="346"/>
      <c r="H84" s="2701"/>
      <c r="I84" s="2707"/>
      <c r="U84" s="2714"/>
    </row>
    <row r="85" spans="1:256" s="1272" customFormat="1" ht="13.5" customHeight="1">
      <c r="A85" s="2709" t="s">
        <v>5255</v>
      </c>
      <c r="B85" s="2695"/>
      <c r="C85" s="777">
        <v>167151101</v>
      </c>
      <c r="D85" s="2699" t="s">
        <v>2401</v>
      </c>
      <c r="E85" s="1026" t="s">
        <v>146</v>
      </c>
      <c r="F85" s="2706">
        <f>F81</f>
        <v>15.834</v>
      </c>
      <c r="G85" s="354"/>
      <c r="H85" s="2710">
        <f t="shared" ref="H85:H88" si="14">ROUND(F85*G85,2)</f>
        <v>0</v>
      </c>
      <c r="I85" s="781" t="s">
        <v>137</v>
      </c>
      <c r="J85" s="2697"/>
      <c r="K85" s="2698"/>
      <c r="L85" s="2698"/>
      <c r="M85" s="2697"/>
      <c r="N85" s="1644"/>
      <c r="O85" s="612"/>
      <c r="P85" s="612"/>
      <c r="Q85" s="612"/>
      <c r="R85" s="612"/>
      <c r="S85" s="788"/>
      <c r="V85" s="612"/>
    </row>
    <row r="86" spans="1:256" s="1272" customFormat="1" ht="13.5" customHeight="1">
      <c r="A86" s="2711" t="s">
        <v>5256</v>
      </c>
      <c r="B86" s="2695"/>
      <c r="C86" s="777">
        <v>167151102</v>
      </c>
      <c r="D86" s="2699" t="s">
        <v>4789</v>
      </c>
      <c r="E86" s="2699" t="s">
        <v>146</v>
      </c>
      <c r="F86" s="2706">
        <f>F83</f>
        <v>15.834</v>
      </c>
      <c r="G86" s="354"/>
      <c r="H86" s="2710">
        <f t="shared" si="14"/>
        <v>0</v>
      </c>
      <c r="I86" s="781" t="s">
        <v>137</v>
      </c>
      <c r="J86" s="783"/>
      <c r="K86" s="783"/>
      <c r="L86" s="2712"/>
      <c r="M86" s="2712"/>
      <c r="N86" s="2712"/>
      <c r="Q86" s="2712"/>
      <c r="V86" s="2713"/>
    </row>
    <row r="87" spans="1:256" s="1272" customFormat="1" ht="27" customHeight="1">
      <c r="A87" s="2709" t="s">
        <v>5257</v>
      </c>
      <c r="B87" s="2695"/>
      <c r="C87" s="777">
        <v>162351103</v>
      </c>
      <c r="D87" s="2699" t="s">
        <v>4791</v>
      </c>
      <c r="E87" s="1026" t="s">
        <v>146</v>
      </c>
      <c r="F87" s="2706">
        <f>F81</f>
        <v>15.834</v>
      </c>
      <c r="G87" s="354"/>
      <c r="H87" s="2710">
        <f t="shared" si="14"/>
        <v>0</v>
      </c>
      <c r="I87" s="781" t="s">
        <v>137</v>
      </c>
      <c r="J87" s="2697"/>
      <c r="K87" s="2698"/>
      <c r="L87" s="2698"/>
      <c r="M87" s="2697"/>
      <c r="N87" s="1644"/>
      <c r="O87" s="1231"/>
    </row>
    <row r="88" spans="1:256" s="1272" customFormat="1" ht="27" customHeight="1">
      <c r="A88" s="2711" t="s">
        <v>5258</v>
      </c>
      <c r="B88" s="2695"/>
      <c r="C88" s="777">
        <v>162351123</v>
      </c>
      <c r="D88" s="2699" t="s">
        <v>4793</v>
      </c>
      <c r="E88" s="2699" t="s">
        <v>146</v>
      </c>
      <c r="F88" s="2706">
        <f>F83</f>
        <v>15.834</v>
      </c>
      <c r="G88" s="354"/>
      <c r="H88" s="2710">
        <f t="shared" si="14"/>
        <v>0</v>
      </c>
      <c r="I88" s="781" t="s">
        <v>137</v>
      </c>
      <c r="J88" s="783"/>
      <c r="K88" s="783"/>
      <c r="L88" s="2712"/>
      <c r="M88" s="2712"/>
      <c r="N88" s="2712"/>
      <c r="Q88" s="2712"/>
      <c r="V88" s="2714"/>
    </row>
    <row r="89" spans="1:256" s="1272" customFormat="1" ht="27" customHeight="1">
      <c r="A89" s="2709"/>
      <c r="B89" s="2695"/>
      <c r="C89" s="2695"/>
      <c r="D89" s="2717" t="s">
        <v>4808</v>
      </c>
      <c r="E89" s="1026"/>
      <c r="F89" s="2706"/>
      <c r="G89" s="356"/>
      <c r="H89" s="2715"/>
      <c r="I89" s="781"/>
      <c r="J89" s="2697"/>
      <c r="K89" s="2698"/>
      <c r="L89" s="2698"/>
      <c r="M89" s="2697"/>
      <c r="N89" s="1644"/>
    </row>
    <row r="90" spans="1:256" s="796" customFormat="1" ht="27" customHeight="1">
      <c r="A90" s="1015">
        <v>20</v>
      </c>
      <c r="B90" s="1016" t="s">
        <v>135</v>
      </c>
      <c r="C90" s="1648" t="s">
        <v>180</v>
      </c>
      <c r="D90" s="1648" t="s">
        <v>6330</v>
      </c>
      <c r="E90" s="1648" t="s">
        <v>146</v>
      </c>
      <c r="F90" s="2659">
        <f>ROUND(SUM(F92,F95),3)</f>
        <v>26.91</v>
      </c>
      <c r="G90" s="2718">
        <f>ROUND(SUM(H98:H103)/F90,2)</f>
        <v>0</v>
      </c>
      <c r="H90" s="568">
        <f>ROUND(F90*G90,2)</f>
        <v>0</v>
      </c>
      <c r="I90" s="2719" t="s">
        <v>111</v>
      </c>
      <c r="J90" s="2720"/>
      <c r="L90" s="797"/>
      <c r="M90" s="797"/>
      <c r="N90" s="797"/>
      <c r="O90" s="797"/>
      <c r="P90" s="797"/>
      <c r="Q90" s="797"/>
      <c r="R90" s="797"/>
      <c r="S90" s="797"/>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7"/>
      <c r="AX90" s="797"/>
      <c r="AY90" s="797"/>
      <c r="AZ90" s="797"/>
      <c r="BA90" s="797"/>
      <c r="BB90" s="797"/>
      <c r="BC90" s="797"/>
      <c r="BD90" s="797"/>
      <c r="BE90" s="797"/>
      <c r="BF90" s="797"/>
      <c r="BG90" s="797"/>
      <c r="BH90" s="797"/>
      <c r="BI90" s="797"/>
      <c r="BJ90" s="797"/>
      <c r="BK90" s="797"/>
      <c r="BL90" s="797"/>
      <c r="BM90" s="797"/>
      <c r="BN90" s="797"/>
      <c r="BO90" s="797"/>
      <c r="BP90" s="797"/>
      <c r="BQ90" s="797"/>
      <c r="BR90" s="797"/>
      <c r="BS90" s="797"/>
      <c r="BT90" s="797"/>
      <c r="BU90" s="797"/>
      <c r="BV90" s="797"/>
      <c r="BW90" s="797"/>
      <c r="BX90" s="797"/>
      <c r="BY90" s="797"/>
      <c r="BZ90" s="797"/>
      <c r="CA90" s="797"/>
      <c r="CB90" s="797"/>
      <c r="CC90" s="797"/>
      <c r="CD90" s="797"/>
      <c r="CE90" s="797"/>
      <c r="CF90" s="797"/>
      <c r="CG90" s="797"/>
      <c r="CH90" s="797"/>
      <c r="CI90" s="797"/>
      <c r="CJ90" s="797"/>
      <c r="CK90" s="797"/>
      <c r="CL90" s="797"/>
      <c r="CM90" s="797"/>
      <c r="CN90" s="797"/>
      <c r="CO90" s="797"/>
      <c r="CP90" s="797"/>
      <c r="CQ90" s="797"/>
      <c r="CR90" s="797"/>
      <c r="CS90" s="797"/>
      <c r="CT90" s="797"/>
      <c r="CU90" s="797"/>
      <c r="CV90" s="797"/>
      <c r="CW90" s="797"/>
      <c r="CX90" s="797"/>
      <c r="CY90" s="797"/>
      <c r="CZ90" s="797"/>
      <c r="DA90" s="797"/>
      <c r="DB90" s="797"/>
      <c r="DC90" s="797"/>
      <c r="DD90" s="797"/>
      <c r="DE90" s="797"/>
      <c r="DF90" s="797"/>
      <c r="DG90" s="797"/>
      <c r="DH90" s="797"/>
      <c r="DI90" s="797"/>
      <c r="DJ90" s="797"/>
      <c r="DK90" s="797"/>
      <c r="DL90" s="797"/>
      <c r="DM90" s="797"/>
      <c r="DN90" s="797"/>
      <c r="DO90" s="797"/>
      <c r="DP90" s="797"/>
      <c r="DQ90" s="797"/>
      <c r="DR90" s="797"/>
      <c r="DS90" s="797"/>
      <c r="DT90" s="797"/>
      <c r="DU90" s="797"/>
      <c r="DV90" s="797"/>
      <c r="DW90" s="797"/>
      <c r="DX90" s="797"/>
      <c r="DY90" s="797"/>
      <c r="DZ90" s="797"/>
      <c r="EA90" s="797"/>
      <c r="EB90" s="797"/>
      <c r="EC90" s="797"/>
      <c r="ED90" s="797"/>
      <c r="EE90" s="797"/>
      <c r="EF90" s="797"/>
      <c r="EG90" s="797"/>
      <c r="EH90" s="797"/>
      <c r="EI90" s="797"/>
      <c r="EJ90" s="797"/>
      <c r="EK90" s="797"/>
      <c r="EL90" s="797"/>
      <c r="EM90" s="797"/>
      <c r="EN90" s="797"/>
      <c r="EO90" s="797"/>
      <c r="EP90" s="797"/>
      <c r="EQ90" s="797"/>
      <c r="ER90" s="797"/>
      <c r="ES90" s="797"/>
      <c r="ET90" s="797"/>
      <c r="EU90" s="797"/>
      <c r="EV90" s="797"/>
      <c r="EW90" s="797"/>
      <c r="EX90" s="797"/>
      <c r="EY90" s="797"/>
      <c r="EZ90" s="797"/>
      <c r="FA90" s="797"/>
      <c r="FB90" s="797"/>
      <c r="FC90" s="797"/>
      <c r="FD90" s="797"/>
      <c r="FE90" s="797"/>
      <c r="FF90" s="797"/>
      <c r="FG90" s="797"/>
      <c r="FH90" s="797"/>
      <c r="FI90" s="797"/>
      <c r="FJ90" s="797"/>
      <c r="FK90" s="797"/>
      <c r="FL90" s="797"/>
      <c r="FM90" s="797"/>
      <c r="FN90" s="797"/>
      <c r="FO90" s="797"/>
      <c r="FP90" s="797"/>
      <c r="FQ90" s="797"/>
      <c r="FR90" s="797"/>
      <c r="FS90" s="797"/>
      <c r="FT90" s="797"/>
      <c r="FU90" s="797"/>
      <c r="FV90" s="797"/>
      <c r="FW90" s="797"/>
      <c r="FX90" s="797"/>
      <c r="FY90" s="797"/>
      <c r="FZ90" s="797"/>
      <c r="GA90" s="797"/>
      <c r="GB90" s="797"/>
      <c r="GC90" s="797"/>
      <c r="GD90" s="797"/>
      <c r="GE90" s="797"/>
      <c r="GF90" s="797"/>
      <c r="GG90" s="797"/>
      <c r="GH90" s="797"/>
      <c r="GI90" s="797"/>
      <c r="GJ90" s="797"/>
      <c r="GK90" s="797"/>
      <c r="GL90" s="797"/>
      <c r="GM90" s="797"/>
      <c r="GN90" s="797"/>
      <c r="GO90" s="797"/>
      <c r="GP90" s="797"/>
      <c r="GQ90" s="797"/>
      <c r="GR90" s="797"/>
      <c r="GS90" s="797"/>
      <c r="GT90" s="797"/>
      <c r="GU90" s="797"/>
      <c r="GV90" s="797"/>
      <c r="GW90" s="797"/>
      <c r="GX90" s="797"/>
      <c r="GY90" s="797"/>
      <c r="GZ90" s="797"/>
      <c r="HA90" s="797"/>
      <c r="HB90" s="797"/>
      <c r="HC90" s="797"/>
      <c r="HD90" s="797"/>
      <c r="HE90" s="797"/>
      <c r="HF90" s="797"/>
      <c r="HG90" s="797"/>
      <c r="HH90" s="797"/>
      <c r="HI90" s="797"/>
      <c r="HJ90" s="797"/>
      <c r="HK90" s="797"/>
      <c r="HL90" s="797"/>
      <c r="HM90" s="797"/>
      <c r="HN90" s="797"/>
      <c r="HO90" s="797"/>
      <c r="HP90" s="797"/>
      <c r="HQ90" s="797"/>
      <c r="HR90" s="797"/>
      <c r="HS90" s="797"/>
      <c r="HT90" s="797"/>
      <c r="HU90" s="797"/>
      <c r="HV90" s="797"/>
      <c r="HW90" s="797"/>
      <c r="HX90" s="797"/>
      <c r="HY90" s="797"/>
      <c r="HZ90" s="797"/>
      <c r="IA90" s="797"/>
      <c r="IB90" s="797"/>
      <c r="IC90" s="797"/>
      <c r="ID90" s="797"/>
      <c r="IE90" s="797"/>
      <c r="IF90" s="797"/>
      <c r="IG90" s="797"/>
      <c r="IH90" s="797"/>
      <c r="II90" s="797"/>
      <c r="IJ90" s="797"/>
      <c r="IK90" s="797"/>
      <c r="IL90" s="797"/>
      <c r="IM90" s="797"/>
      <c r="IN90" s="797"/>
      <c r="IO90" s="797"/>
      <c r="IP90" s="797"/>
      <c r="IQ90" s="797"/>
      <c r="IR90" s="797"/>
      <c r="IS90" s="797"/>
      <c r="IT90" s="797"/>
      <c r="IU90" s="797"/>
      <c r="IV90" s="797"/>
    </row>
    <row r="91" spans="1:256" s="796" customFormat="1" ht="13.5" customHeight="1">
      <c r="A91" s="1015"/>
      <c r="B91" s="1016"/>
      <c r="C91" s="1648"/>
      <c r="D91" s="1036" t="s">
        <v>4809</v>
      </c>
      <c r="E91" s="1648"/>
      <c r="F91" s="1649"/>
      <c r="G91" s="298"/>
      <c r="H91" s="1038"/>
      <c r="I91" s="1019"/>
      <c r="J91" s="1650"/>
      <c r="L91" s="797"/>
      <c r="M91" s="797"/>
      <c r="N91" s="797"/>
      <c r="O91" s="797"/>
      <c r="P91" s="797"/>
      <c r="Q91" s="797"/>
      <c r="R91" s="797"/>
      <c r="S91" s="797"/>
      <c r="V91" s="797"/>
      <c r="W91" s="797"/>
      <c r="X91" s="797"/>
      <c r="Y91" s="797"/>
      <c r="Z91" s="797"/>
      <c r="AA91" s="797"/>
      <c r="AB91" s="797"/>
      <c r="AC91" s="797"/>
      <c r="AD91" s="797"/>
      <c r="AE91" s="797"/>
      <c r="AF91" s="797"/>
      <c r="AG91" s="797"/>
      <c r="AH91" s="797"/>
      <c r="AI91" s="797"/>
      <c r="AJ91" s="797"/>
      <c r="AK91" s="797"/>
      <c r="AL91" s="797"/>
      <c r="AM91" s="797"/>
      <c r="AN91" s="797"/>
      <c r="AO91" s="797"/>
      <c r="AP91" s="797"/>
      <c r="AQ91" s="797"/>
      <c r="AR91" s="797"/>
      <c r="AS91" s="797"/>
      <c r="AT91" s="797"/>
      <c r="AU91" s="797"/>
      <c r="AV91" s="797"/>
      <c r="AW91" s="797"/>
      <c r="AX91" s="797"/>
      <c r="AY91" s="797"/>
      <c r="AZ91" s="797"/>
      <c r="BA91" s="797"/>
      <c r="BB91" s="797"/>
      <c r="BC91" s="797"/>
      <c r="BD91" s="797"/>
      <c r="BE91" s="797"/>
      <c r="BF91" s="797"/>
      <c r="BG91" s="797"/>
      <c r="BH91" s="797"/>
      <c r="BI91" s="797"/>
      <c r="BJ91" s="797"/>
      <c r="BK91" s="797"/>
      <c r="BL91" s="797"/>
      <c r="BM91" s="797"/>
      <c r="BN91" s="797"/>
      <c r="BO91" s="797"/>
      <c r="BP91" s="797"/>
      <c r="BQ91" s="797"/>
      <c r="BR91" s="797"/>
      <c r="BS91" s="797"/>
      <c r="BT91" s="797"/>
      <c r="BU91" s="797"/>
      <c r="BV91" s="797"/>
      <c r="BW91" s="797"/>
      <c r="BX91" s="797"/>
      <c r="BY91" s="797"/>
      <c r="BZ91" s="797"/>
      <c r="CA91" s="797"/>
      <c r="CB91" s="797"/>
      <c r="CC91" s="797"/>
      <c r="CD91" s="797"/>
      <c r="CE91" s="797"/>
      <c r="CF91" s="797"/>
      <c r="CG91" s="797"/>
      <c r="CH91" s="797"/>
      <c r="CI91" s="797"/>
      <c r="CJ91" s="797"/>
      <c r="CK91" s="797"/>
      <c r="CL91" s="797"/>
      <c r="CM91" s="797"/>
      <c r="CN91" s="797"/>
      <c r="CO91" s="797"/>
      <c r="CP91" s="797"/>
      <c r="CQ91" s="797"/>
      <c r="CR91" s="797"/>
      <c r="CS91" s="797"/>
      <c r="CT91" s="797"/>
      <c r="CU91" s="797"/>
      <c r="CV91" s="797"/>
      <c r="CW91" s="797"/>
      <c r="CX91" s="797"/>
      <c r="CY91" s="797"/>
      <c r="CZ91" s="797"/>
      <c r="DA91" s="797"/>
      <c r="DB91" s="797"/>
      <c r="DC91" s="797"/>
      <c r="DD91" s="797"/>
      <c r="DE91" s="797"/>
      <c r="DF91" s="797"/>
      <c r="DG91" s="797"/>
      <c r="DH91" s="797"/>
      <c r="DI91" s="797"/>
      <c r="DJ91" s="797"/>
      <c r="DK91" s="797"/>
      <c r="DL91" s="797"/>
      <c r="DM91" s="797"/>
      <c r="DN91" s="797"/>
      <c r="DO91" s="797"/>
      <c r="DP91" s="797"/>
      <c r="DQ91" s="797"/>
      <c r="DR91" s="797"/>
      <c r="DS91" s="797"/>
      <c r="DT91" s="797"/>
      <c r="DU91" s="797"/>
      <c r="DV91" s="797"/>
      <c r="DW91" s="797"/>
      <c r="DX91" s="797"/>
      <c r="DY91" s="797"/>
      <c r="DZ91" s="797"/>
      <c r="EA91" s="797"/>
      <c r="EB91" s="797"/>
      <c r="EC91" s="797"/>
      <c r="ED91" s="797"/>
      <c r="EE91" s="797"/>
      <c r="EF91" s="797"/>
      <c r="EG91" s="797"/>
      <c r="EH91" s="797"/>
      <c r="EI91" s="797"/>
      <c r="EJ91" s="797"/>
      <c r="EK91" s="797"/>
      <c r="EL91" s="797"/>
      <c r="EM91" s="797"/>
      <c r="EN91" s="797"/>
      <c r="EO91" s="797"/>
      <c r="EP91" s="797"/>
      <c r="EQ91" s="797"/>
      <c r="ER91" s="797"/>
      <c r="ES91" s="797"/>
      <c r="ET91" s="797"/>
      <c r="EU91" s="797"/>
      <c r="EV91" s="797"/>
      <c r="EW91" s="797"/>
      <c r="EX91" s="797"/>
      <c r="EY91" s="797"/>
      <c r="EZ91" s="797"/>
      <c r="FA91" s="797"/>
      <c r="FB91" s="797"/>
      <c r="FC91" s="797"/>
      <c r="FD91" s="797"/>
      <c r="FE91" s="797"/>
      <c r="FF91" s="797"/>
      <c r="FG91" s="797"/>
      <c r="FH91" s="797"/>
      <c r="FI91" s="797"/>
      <c r="FJ91" s="797"/>
      <c r="FK91" s="797"/>
      <c r="FL91" s="797"/>
      <c r="FM91" s="797"/>
      <c r="FN91" s="797"/>
      <c r="FO91" s="797"/>
      <c r="FP91" s="797"/>
      <c r="FQ91" s="797"/>
      <c r="FR91" s="797"/>
      <c r="FS91" s="797"/>
      <c r="FT91" s="797"/>
      <c r="FU91" s="797"/>
      <c r="FV91" s="797"/>
      <c r="FW91" s="797"/>
      <c r="FX91" s="797"/>
      <c r="FY91" s="797"/>
      <c r="FZ91" s="797"/>
      <c r="GA91" s="797"/>
      <c r="GB91" s="797"/>
      <c r="GC91" s="797"/>
      <c r="GD91" s="797"/>
      <c r="GE91" s="797"/>
      <c r="GF91" s="797"/>
      <c r="GG91" s="797"/>
      <c r="GH91" s="797"/>
      <c r="GI91" s="797"/>
      <c r="GJ91" s="797"/>
      <c r="GK91" s="797"/>
      <c r="GL91" s="797"/>
      <c r="GM91" s="797"/>
      <c r="GN91" s="797"/>
      <c r="GO91" s="797"/>
      <c r="GP91" s="797"/>
      <c r="GQ91" s="797"/>
      <c r="GR91" s="797"/>
      <c r="GS91" s="797"/>
      <c r="GT91" s="797"/>
      <c r="GU91" s="797"/>
      <c r="GV91" s="797"/>
      <c r="GW91" s="797"/>
      <c r="GX91" s="797"/>
      <c r="GY91" s="797"/>
      <c r="GZ91" s="797"/>
      <c r="HA91" s="797"/>
      <c r="HB91" s="797"/>
      <c r="HC91" s="797"/>
      <c r="HD91" s="797"/>
      <c r="HE91" s="797"/>
      <c r="HF91" s="797"/>
      <c r="HG91" s="797"/>
      <c r="HH91" s="797"/>
      <c r="HI91" s="797"/>
      <c r="HJ91" s="797"/>
      <c r="HK91" s="797"/>
      <c r="HL91" s="797"/>
      <c r="HM91" s="797"/>
      <c r="HN91" s="797"/>
      <c r="HO91" s="797"/>
      <c r="HP91" s="797"/>
      <c r="HQ91" s="797"/>
      <c r="HR91" s="797"/>
      <c r="HS91" s="797"/>
      <c r="HT91" s="797"/>
      <c r="HU91" s="797"/>
      <c r="HV91" s="797"/>
      <c r="HW91" s="797"/>
      <c r="HX91" s="797"/>
      <c r="HY91" s="797"/>
      <c r="HZ91" s="797"/>
      <c r="IA91" s="797"/>
      <c r="IB91" s="797"/>
      <c r="IC91" s="797"/>
      <c r="ID91" s="797"/>
      <c r="IE91" s="797"/>
      <c r="IF91" s="797"/>
      <c r="IG91" s="797"/>
      <c r="IH91" s="797"/>
      <c r="II91" s="797"/>
      <c r="IJ91" s="797"/>
      <c r="IK91" s="797"/>
      <c r="IL91" s="797"/>
      <c r="IM91" s="797"/>
      <c r="IN91" s="797"/>
      <c r="IO91" s="797"/>
      <c r="IP91" s="797"/>
      <c r="IQ91" s="797"/>
      <c r="IR91" s="797"/>
      <c r="IS91" s="797"/>
      <c r="IT91" s="797"/>
      <c r="IU91" s="797"/>
      <c r="IV91" s="797"/>
    </row>
    <row r="92" spans="1:256" s="1587" customFormat="1" ht="13.5" customHeight="1">
      <c r="A92" s="2721"/>
      <c r="B92" s="2722"/>
      <c r="C92" s="799"/>
      <c r="D92" s="756" t="s">
        <v>182</v>
      </c>
      <c r="E92" s="2723"/>
      <c r="F92" s="758">
        <f>ROUND(SUM(F93:F94),3)</f>
        <v>13.455</v>
      </c>
      <c r="G92" s="299"/>
      <c r="H92" s="2724"/>
      <c r="I92" s="2725"/>
      <c r="J92" s="2726"/>
      <c r="L92" s="1588"/>
      <c r="M92" s="1588"/>
      <c r="N92" s="1588"/>
      <c r="O92" s="1588"/>
      <c r="P92" s="1588"/>
      <c r="Q92" s="1588"/>
      <c r="R92" s="1588"/>
      <c r="S92" s="1588"/>
      <c r="V92" s="1588"/>
      <c r="W92" s="1588"/>
      <c r="X92" s="1588"/>
      <c r="Y92" s="1588"/>
      <c r="Z92" s="1588"/>
      <c r="AA92" s="1588"/>
      <c r="AB92" s="1588"/>
      <c r="AC92" s="1588"/>
      <c r="AD92" s="1588"/>
      <c r="AE92" s="1588"/>
      <c r="AF92" s="1588"/>
      <c r="AG92" s="1588"/>
      <c r="AH92" s="1588"/>
      <c r="AI92" s="1588"/>
      <c r="AJ92" s="1588"/>
      <c r="AK92" s="1588"/>
      <c r="AL92" s="1588"/>
      <c r="AM92" s="1588"/>
      <c r="AN92" s="1588"/>
      <c r="AO92" s="1588"/>
      <c r="AP92" s="1588"/>
      <c r="AQ92" s="1588"/>
      <c r="AR92" s="1588"/>
      <c r="AS92" s="1588"/>
      <c r="AT92" s="1588"/>
      <c r="AU92" s="1588"/>
      <c r="AV92" s="1588"/>
      <c r="AW92" s="1588"/>
      <c r="AX92" s="1588"/>
      <c r="AY92" s="1588"/>
      <c r="AZ92" s="1588"/>
      <c r="BA92" s="1588"/>
      <c r="BB92" s="1588"/>
      <c r="BC92" s="1588"/>
      <c r="BD92" s="1588"/>
      <c r="BE92" s="1588"/>
      <c r="BF92" s="1588"/>
      <c r="BG92" s="1588"/>
      <c r="BH92" s="1588"/>
      <c r="BI92" s="1588"/>
      <c r="BJ92" s="1588"/>
      <c r="BK92" s="1588"/>
      <c r="BL92" s="1588"/>
      <c r="BM92" s="1588"/>
      <c r="BN92" s="1588"/>
      <c r="BO92" s="1588"/>
      <c r="BP92" s="1588"/>
      <c r="BQ92" s="1588"/>
      <c r="BR92" s="1588"/>
      <c r="BS92" s="1588"/>
      <c r="BT92" s="1588"/>
      <c r="BU92" s="1588"/>
      <c r="BV92" s="1588"/>
      <c r="BW92" s="1588"/>
      <c r="BX92" s="1588"/>
      <c r="BY92" s="1588"/>
      <c r="BZ92" s="1588"/>
      <c r="CA92" s="1588"/>
      <c r="CB92" s="1588"/>
      <c r="CC92" s="1588"/>
      <c r="CD92" s="1588"/>
      <c r="CE92" s="1588"/>
      <c r="CF92" s="1588"/>
      <c r="CG92" s="1588"/>
      <c r="CH92" s="1588"/>
      <c r="CI92" s="1588"/>
      <c r="CJ92" s="1588"/>
      <c r="CK92" s="1588"/>
      <c r="CL92" s="1588"/>
      <c r="CM92" s="1588"/>
      <c r="CN92" s="1588"/>
      <c r="CO92" s="1588"/>
      <c r="CP92" s="1588"/>
      <c r="CQ92" s="1588"/>
      <c r="CR92" s="1588"/>
      <c r="CS92" s="1588"/>
      <c r="CT92" s="1588"/>
      <c r="CU92" s="1588"/>
      <c r="CV92" s="1588"/>
      <c r="CW92" s="1588"/>
      <c r="CX92" s="1588"/>
      <c r="CY92" s="1588"/>
      <c r="CZ92" s="1588"/>
      <c r="DA92" s="1588"/>
      <c r="DB92" s="1588"/>
      <c r="DC92" s="1588"/>
      <c r="DD92" s="1588"/>
      <c r="DE92" s="1588"/>
      <c r="DF92" s="1588"/>
      <c r="DG92" s="1588"/>
      <c r="DH92" s="1588"/>
      <c r="DI92" s="1588"/>
      <c r="DJ92" s="1588"/>
      <c r="DK92" s="1588"/>
      <c r="DL92" s="1588"/>
      <c r="DM92" s="1588"/>
      <c r="DN92" s="1588"/>
      <c r="DO92" s="1588"/>
      <c r="DP92" s="1588"/>
      <c r="DQ92" s="1588"/>
      <c r="DR92" s="1588"/>
      <c r="DS92" s="1588"/>
      <c r="DT92" s="1588"/>
      <c r="DU92" s="1588"/>
      <c r="DV92" s="1588"/>
      <c r="DW92" s="1588"/>
      <c r="DX92" s="1588"/>
      <c r="DY92" s="1588"/>
      <c r="DZ92" s="1588"/>
      <c r="EA92" s="1588"/>
      <c r="EB92" s="1588"/>
      <c r="EC92" s="1588"/>
      <c r="ED92" s="1588"/>
      <c r="EE92" s="1588"/>
      <c r="EF92" s="1588"/>
      <c r="EG92" s="1588"/>
      <c r="EH92" s="1588"/>
      <c r="EI92" s="1588"/>
      <c r="EJ92" s="1588"/>
      <c r="EK92" s="1588"/>
      <c r="EL92" s="1588"/>
      <c r="EM92" s="1588"/>
      <c r="EN92" s="1588"/>
      <c r="EO92" s="1588"/>
      <c r="EP92" s="1588"/>
      <c r="EQ92" s="1588"/>
      <c r="ER92" s="1588"/>
      <c r="ES92" s="1588"/>
      <c r="ET92" s="1588"/>
      <c r="EU92" s="1588"/>
      <c r="EV92" s="1588"/>
      <c r="EW92" s="1588"/>
      <c r="EX92" s="1588"/>
      <c r="EY92" s="1588"/>
      <c r="EZ92" s="1588"/>
      <c r="FA92" s="1588"/>
      <c r="FB92" s="1588"/>
      <c r="FC92" s="1588"/>
      <c r="FD92" s="1588"/>
      <c r="FE92" s="1588"/>
      <c r="FF92" s="1588"/>
      <c r="FG92" s="1588"/>
      <c r="FH92" s="1588"/>
      <c r="FI92" s="1588"/>
      <c r="FJ92" s="1588"/>
      <c r="FK92" s="1588"/>
      <c r="FL92" s="1588"/>
      <c r="FM92" s="1588"/>
      <c r="FN92" s="1588"/>
      <c r="FO92" s="1588"/>
      <c r="FP92" s="1588"/>
      <c r="FQ92" s="1588"/>
      <c r="FR92" s="1588"/>
      <c r="FS92" s="1588"/>
      <c r="FT92" s="1588"/>
      <c r="FU92" s="1588"/>
      <c r="FV92" s="1588"/>
      <c r="FW92" s="1588"/>
      <c r="FX92" s="1588"/>
      <c r="FY92" s="1588"/>
      <c r="FZ92" s="1588"/>
      <c r="GA92" s="1588"/>
      <c r="GB92" s="1588"/>
      <c r="GC92" s="1588"/>
      <c r="GD92" s="1588"/>
      <c r="GE92" s="1588"/>
      <c r="GF92" s="1588"/>
      <c r="GG92" s="1588"/>
      <c r="GH92" s="1588"/>
      <c r="GI92" s="1588"/>
      <c r="GJ92" s="1588"/>
      <c r="GK92" s="1588"/>
      <c r="GL92" s="1588"/>
      <c r="GM92" s="1588"/>
      <c r="GN92" s="1588"/>
      <c r="GO92" s="1588"/>
      <c r="GP92" s="1588"/>
      <c r="GQ92" s="1588"/>
      <c r="GR92" s="1588"/>
      <c r="GS92" s="1588"/>
      <c r="GT92" s="1588"/>
      <c r="GU92" s="1588"/>
      <c r="GV92" s="1588"/>
      <c r="GW92" s="1588"/>
      <c r="GX92" s="1588"/>
      <c r="GY92" s="1588"/>
      <c r="GZ92" s="1588"/>
      <c r="HA92" s="1588"/>
      <c r="HB92" s="1588"/>
      <c r="HC92" s="1588"/>
      <c r="HD92" s="1588"/>
      <c r="HE92" s="1588"/>
      <c r="HF92" s="1588"/>
      <c r="HG92" s="1588"/>
      <c r="HH92" s="1588"/>
      <c r="HI92" s="1588"/>
      <c r="HJ92" s="1588"/>
      <c r="HK92" s="1588"/>
      <c r="HL92" s="1588"/>
      <c r="HM92" s="1588"/>
      <c r="HN92" s="1588"/>
      <c r="HO92" s="1588"/>
      <c r="HP92" s="1588"/>
      <c r="HQ92" s="1588"/>
      <c r="HR92" s="1588"/>
      <c r="HS92" s="1588"/>
      <c r="HT92" s="1588"/>
      <c r="HU92" s="1588"/>
      <c r="HV92" s="1588"/>
      <c r="HW92" s="1588"/>
      <c r="HX92" s="1588"/>
      <c r="HY92" s="1588"/>
      <c r="HZ92" s="1588"/>
      <c r="IA92" s="1588"/>
      <c r="IB92" s="1588"/>
      <c r="IC92" s="1588"/>
      <c r="ID92" s="1588"/>
      <c r="IE92" s="1588"/>
      <c r="IF92" s="1588"/>
      <c r="IG92" s="1588"/>
      <c r="IH92" s="1588"/>
      <c r="II92" s="1588"/>
      <c r="IJ92" s="1588"/>
      <c r="IK92" s="1588"/>
      <c r="IL92" s="1588"/>
      <c r="IM92" s="1588"/>
      <c r="IN92" s="1588"/>
      <c r="IO92" s="1588"/>
      <c r="IP92" s="1588"/>
      <c r="IQ92" s="1588"/>
      <c r="IR92" s="1588"/>
      <c r="IS92" s="1588"/>
      <c r="IT92" s="1588"/>
      <c r="IU92" s="1588"/>
      <c r="IV92" s="1588"/>
    </row>
    <row r="93" spans="1:256" s="796" customFormat="1" ht="13.5" customHeight="1">
      <c r="A93" s="1033"/>
      <c r="B93" s="1034"/>
      <c r="C93" s="1035"/>
      <c r="D93" s="1036" t="s">
        <v>5319</v>
      </c>
      <c r="E93" s="1036"/>
      <c r="F93" s="2727">
        <f>(5.858+23.431)</f>
        <v>29.289000000000001</v>
      </c>
      <c r="G93" s="298"/>
      <c r="H93" s="1038"/>
      <c r="I93" s="2728"/>
      <c r="J93" s="2729"/>
      <c r="K93" s="2730"/>
      <c r="L93" s="2731"/>
      <c r="M93" s="2731"/>
      <c r="N93" s="2731"/>
      <c r="O93" s="2731"/>
      <c r="P93" s="797"/>
      <c r="Q93" s="797"/>
      <c r="R93" s="797"/>
      <c r="S93" s="797"/>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7"/>
      <c r="BP93" s="797"/>
      <c r="BQ93" s="797"/>
      <c r="BR93" s="797"/>
      <c r="BS93" s="797"/>
      <c r="BT93" s="797"/>
      <c r="BU93" s="797"/>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7"/>
      <c r="DC93" s="797"/>
      <c r="DD93" s="797"/>
      <c r="DE93" s="797"/>
      <c r="DF93" s="797"/>
      <c r="DG93" s="797"/>
      <c r="DH93" s="797"/>
      <c r="DI93" s="797"/>
      <c r="DJ93" s="797"/>
      <c r="DK93" s="797"/>
      <c r="DL93" s="797"/>
      <c r="DM93" s="797"/>
      <c r="DN93" s="797"/>
      <c r="DO93" s="797"/>
      <c r="DP93" s="797"/>
      <c r="DQ93" s="797"/>
      <c r="DR93" s="797"/>
      <c r="DS93" s="797"/>
      <c r="DT93" s="797"/>
      <c r="DU93" s="797"/>
      <c r="DV93" s="797"/>
      <c r="DW93" s="797"/>
      <c r="DX93" s="797"/>
      <c r="DY93" s="797"/>
      <c r="DZ93" s="797"/>
      <c r="EA93" s="797"/>
      <c r="EB93" s="797"/>
      <c r="EC93" s="797"/>
      <c r="ED93" s="797"/>
      <c r="EE93" s="797"/>
      <c r="EF93" s="797"/>
      <c r="EG93" s="797"/>
      <c r="EH93" s="797"/>
      <c r="EI93" s="797"/>
      <c r="EJ93" s="797"/>
      <c r="EK93" s="797"/>
      <c r="EL93" s="797"/>
      <c r="EM93" s="797"/>
      <c r="EN93" s="797"/>
      <c r="EO93" s="797"/>
      <c r="EP93" s="797"/>
      <c r="EQ93" s="797"/>
      <c r="ER93" s="797"/>
      <c r="ES93" s="797"/>
      <c r="ET93" s="797"/>
      <c r="EU93" s="797"/>
      <c r="EV93" s="797"/>
      <c r="EW93" s="797"/>
      <c r="EX93" s="797"/>
      <c r="EY93" s="797"/>
      <c r="EZ93" s="797"/>
      <c r="FA93" s="797"/>
      <c r="FB93" s="797"/>
      <c r="FC93" s="797"/>
      <c r="FD93" s="797"/>
      <c r="FE93" s="797"/>
      <c r="FF93" s="797"/>
      <c r="FG93" s="797"/>
      <c r="FH93" s="797"/>
      <c r="FI93" s="797"/>
      <c r="FJ93" s="797"/>
      <c r="FK93" s="797"/>
      <c r="FL93" s="797"/>
      <c r="FM93" s="797"/>
      <c r="FN93" s="797"/>
      <c r="FO93" s="797"/>
      <c r="FP93" s="797"/>
      <c r="FQ93" s="797"/>
      <c r="FR93" s="797"/>
      <c r="FS93" s="797"/>
      <c r="FT93" s="797"/>
      <c r="FU93" s="797"/>
      <c r="FV93" s="797"/>
      <c r="FW93" s="797"/>
      <c r="FX93" s="797"/>
      <c r="FY93" s="797"/>
      <c r="FZ93" s="797"/>
      <c r="GA93" s="797"/>
      <c r="GB93" s="797"/>
      <c r="GC93" s="797"/>
      <c r="GD93" s="797"/>
      <c r="GE93" s="797"/>
      <c r="GF93" s="797"/>
      <c r="GG93" s="797"/>
      <c r="GH93" s="797"/>
      <c r="GI93" s="797"/>
      <c r="GJ93" s="797"/>
      <c r="GK93" s="797"/>
      <c r="GL93" s="797"/>
      <c r="GM93" s="797"/>
      <c r="GN93" s="797"/>
      <c r="GO93" s="797"/>
      <c r="GP93" s="797"/>
      <c r="GQ93" s="797"/>
      <c r="GR93" s="797"/>
      <c r="GS93" s="797"/>
      <c r="GT93" s="797"/>
      <c r="GU93" s="797"/>
      <c r="GV93" s="797"/>
      <c r="GW93" s="797"/>
      <c r="GX93" s="797"/>
      <c r="GY93" s="797"/>
      <c r="GZ93" s="797"/>
      <c r="HA93" s="797"/>
      <c r="HB93" s="797"/>
      <c r="HC93" s="797"/>
      <c r="HD93" s="797"/>
      <c r="HE93" s="797"/>
      <c r="HF93" s="797"/>
      <c r="HG93" s="797"/>
      <c r="HH93" s="797"/>
      <c r="HI93" s="797"/>
      <c r="HJ93" s="797"/>
      <c r="HK93" s="797"/>
      <c r="HL93" s="797"/>
      <c r="HM93" s="797"/>
      <c r="HN93" s="797"/>
      <c r="HO93" s="797"/>
      <c r="HP93" s="797"/>
      <c r="HQ93" s="797"/>
      <c r="HR93" s="797"/>
      <c r="HS93" s="797"/>
      <c r="HT93" s="797"/>
      <c r="HU93" s="797"/>
      <c r="HV93" s="797"/>
      <c r="HW93" s="797"/>
      <c r="HX93" s="797"/>
      <c r="HY93" s="797"/>
      <c r="HZ93" s="797"/>
      <c r="IA93" s="797"/>
      <c r="IB93" s="797"/>
      <c r="IC93" s="797"/>
      <c r="ID93" s="797"/>
      <c r="IE93" s="797"/>
      <c r="IF93" s="797"/>
      <c r="IG93" s="797"/>
      <c r="IH93" s="797"/>
      <c r="II93" s="797"/>
      <c r="IJ93" s="797"/>
      <c r="IK93" s="797"/>
      <c r="IL93" s="797"/>
      <c r="IM93" s="797"/>
      <c r="IN93" s="797"/>
      <c r="IO93" s="797"/>
      <c r="IP93" s="797"/>
      <c r="IQ93" s="797"/>
      <c r="IR93" s="797"/>
      <c r="IS93" s="797"/>
      <c r="IT93" s="797"/>
      <c r="IU93" s="797"/>
      <c r="IV93" s="797"/>
    </row>
    <row r="94" spans="1:256" s="796" customFormat="1" ht="13.5" customHeight="1">
      <c r="A94" s="1033"/>
      <c r="B94" s="1034"/>
      <c r="C94" s="1035"/>
      <c r="D94" s="1036" t="s">
        <v>5320</v>
      </c>
      <c r="E94" s="1036"/>
      <c r="F94" s="2727">
        <f>-(15.834)</f>
        <v>-15.834</v>
      </c>
      <c r="G94" s="298"/>
      <c r="H94" s="1038"/>
      <c r="I94" s="2728"/>
      <c r="J94" s="2729"/>
      <c r="K94" s="2730"/>
      <c r="L94" s="2731"/>
      <c r="M94" s="2731"/>
      <c r="N94" s="2731"/>
      <c r="O94" s="2731"/>
      <c r="P94" s="797"/>
      <c r="Q94" s="797"/>
      <c r="R94" s="797"/>
      <c r="S94" s="797"/>
      <c r="V94" s="797"/>
      <c r="W94" s="797"/>
      <c r="X94" s="797"/>
      <c r="Y94" s="797"/>
      <c r="Z94" s="797"/>
      <c r="AA94" s="797"/>
      <c r="AB94" s="797"/>
      <c r="AC94" s="797"/>
      <c r="AD94" s="797"/>
      <c r="AE94" s="797"/>
      <c r="AF94" s="797"/>
      <c r="AG94" s="797"/>
      <c r="AH94" s="797"/>
      <c r="AI94" s="797"/>
      <c r="AJ94" s="797"/>
      <c r="AK94" s="797"/>
      <c r="AL94" s="797"/>
      <c r="AM94" s="797"/>
      <c r="AN94" s="797"/>
      <c r="AO94" s="797"/>
      <c r="AP94" s="797"/>
      <c r="AQ94" s="797"/>
      <c r="AR94" s="797"/>
      <c r="AS94" s="797"/>
      <c r="AT94" s="797"/>
      <c r="AU94" s="797"/>
      <c r="AV94" s="797"/>
      <c r="AW94" s="797"/>
      <c r="AX94" s="797"/>
      <c r="AY94" s="797"/>
      <c r="AZ94" s="797"/>
      <c r="BA94" s="797"/>
      <c r="BB94" s="797"/>
      <c r="BC94" s="797"/>
      <c r="BD94" s="797"/>
      <c r="BE94" s="797"/>
      <c r="BF94" s="797"/>
      <c r="BG94" s="797"/>
      <c r="BH94" s="797"/>
      <c r="BI94" s="797"/>
      <c r="BJ94" s="797"/>
      <c r="BK94" s="797"/>
      <c r="BL94" s="797"/>
      <c r="BM94" s="797"/>
      <c r="BN94" s="797"/>
      <c r="BO94" s="797"/>
      <c r="BP94" s="797"/>
      <c r="BQ94" s="797"/>
      <c r="BR94" s="797"/>
      <c r="BS94" s="797"/>
      <c r="BT94" s="797"/>
      <c r="BU94" s="797"/>
      <c r="BV94" s="797"/>
      <c r="BW94" s="797"/>
      <c r="BX94" s="797"/>
      <c r="BY94" s="797"/>
      <c r="BZ94" s="797"/>
      <c r="CA94" s="797"/>
      <c r="CB94" s="797"/>
      <c r="CC94" s="797"/>
      <c r="CD94" s="797"/>
      <c r="CE94" s="797"/>
      <c r="CF94" s="797"/>
      <c r="CG94" s="797"/>
      <c r="CH94" s="797"/>
      <c r="CI94" s="797"/>
      <c r="CJ94" s="797"/>
      <c r="CK94" s="797"/>
      <c r="CL94" s="797"/>
      <c r="CM94" s="797"/>
      <c r="CN94" s="797"/>
      <c r="CO94" s="797"/>
      <c r="CP94" s="797"/>
      <c r="CQ94" s="797"/>
      <c r="CR94" s="797"/>
      <c r="CS94" s="797"/>
      <c r="CT94" s="797"/>
      <c r="CU94" s="797"/>
      <c r="CV94" s="797"/>
      <c r="CW94" s="797"/>
      <c r="CX94" s="797"/>
      <c r="CY94" s="797"/>
      <c r="CZ94" s="797"/>
      <c r="DA94" s="797"/>
      <c r="DB94" s="797"/>
      <c r="DC94" s="797"/>
      <c r="DD94" s="797"/>
      <c r="DE94" s="797"/>
      <c r="DF94" s="797"/>
      <c r="DG94" s="797"/>
      <c r="DH94" s="797"/>
      <c r="DI94" s="797"/>
      <c r="DJ94" s="797"/>
      <c r="DK94" s="797"/>
      <c r="DL94" s="797"/>
      <c r="DM94" s="797"/>
      <c r="DN94" s="797"/>
      <c r="DO94" s="797"/>
      <c r="DP94" s="797"/>
      <c r="DQ94" s="797"/>
      <c r="DR94" s="797"/>
      <c r="DS94" s="797"/>
      <c r="DT94" s="797"/>
      <c r="DU94" s="797"/>
      <c r="DV94" s="797"/>
      <c r="DW94" s="797"/>
      <c r="DX94" s="797"/>
      <c r="DY94" s="797"/>
      <c r="DZ94" s="797"/>
      <c r="EA94" s="797"/>
      <c r="EB94" s="797"/>
      <c r="EC94" s="797"/>
      <c r="ED94" s="797"/>
      <c r="EE94" s="797"/>
      <c r="EF94" s="797"/>
      <c r="EG94" s="797"/>
      <c r="EH94" s="797"/>
      <c r="EI94" s="797"/>
      <c r="EJ94" s="797"/>
      <c r="EK94" s="797"/>
      <c r="EL94" s="797"/>
      <c r="EM94" s="797"/>
      <c r="EN94" s="797"/>
      <c r="EO94" s="797"/>
      <c r="EP94" s="797"/>
      <c r="EQ94" s="797"/>
      <c r="ER94" s="797"/>
      <c r="ES94" s="797"/>
      <c r="ET94" s="797"/>
      <c r="EU94" s="797"/>
      <c r="EV94" s="797"/>
      <c r="EW94" s="797"/>
      <c r="EX94" s="797"/>
      <c r="EY94" s="797"/>
      <c r="EZ94" s="797"/>
      <c r="FA94" s="797"/>
      <c r="FB94" s="797"/>
      <c r="FC94" s="797"/>
      <c r="FD94" s="797"/>
      <c r="FE94" s="797"/>
      <c r="FF94" s="797"/>
      <c r="FG94" s="797"/>
      <c r="FH94" s="797"/>
      <c r="FI94" s="797"/>
      <c r="FJ94" s="797"/>
      <c r="FK94" s="797"/>
      <c r="FL94" s="797"/>
      <c r="FM94" s="797"/>
      <c r="FN94" s="797"/>
      <c r="FO94" s="797"/>
      <c r="FP94" s="797"/>
      <c r="FQ94" s="797"/>
      <c r="FR94" s="797"/>
      <c r="FS94" s="797"/>
      <c r="FT94" s="797"/>
      <c r="FU94" s="797"/>
      <c r="FV94" s="797"/>
      <c r="FW94" s="797"/>
      <c r="FX94" s="797"/>
      <c r="FY94" s="797"/>
      <c r="FZ94" s="797"/>
      <c r="GA94" s="797"/>
      <c r="GB94" s="797"/>
      <c r="GC94" s="797"/>
      <c r="GD94" s="797"/>
      <c r="GE94" s="797"/>
      <c r="GF94" s="797"/>
      <c r="GG94" s="797"/>
      <c r="GH94" s="797"/>
      <c r="GI94" s="797"/>
      <c r="GJ94" s="797"/>
      <c r="GK94" s="797"/>
      <c r="GL94" s="797"/>
      <c r="GM94" s="797"/>
      <c r="GN94" s="797"/>
      <c r="GO94" s="797"/>
      <c r="GP94" s="797"/>
      <c r="GQ94" s="797"/>
      <c r="GR94" s="797"/>
      <c r="GS94" s="797"/>
      <c r="GT94" s="797"/>
      <c r="GU94" s="797"/>
      <c r="GV94" s="797"/>
      <c r="GW94" s="797"/>
      <c r="GX94" s="797"/>
      <c r="GY94" s="797"/>
      <c r="GZ94" s="797"/>
      <c r="HA94" s="797"/>
      <c r="HB94" s="797"/>
      <c r="HC94" s="797"/>
      <c r="HD94" s="797"/>
      <c r="HE94" s="797"/>
      <c r="HF94" s="797"/>
      <c r="HG94" s="797"/>
      <c r="HH94" s="797"/>
      <c r="HI94" s="797"/>
      <c r="HJ94" s="797"/>
      <c r="HK94" s="797"/>
      <c r="HL94" s="797"/>
      <c r="HM94" s="797"/>
      <c r="HN94" s="797"/>
      <c r="HO94" s="797"/>
      <c r="HP94" s="797"/>
      <c r="HQ94" s="797"/>
      <c r="HR94" s="797"/>
      <c r="HS94" s="797"/>
      <c r="HT94" s="797"/>
      <c r="HU94" s="797"/>
      <c r="HV94" s="797"/>
      <c r="HW94" s="797"/>
      <c r="HX94" s="797"/>
      <c r="HY94" s="797"/>
      <c r="HZ94" s="797"/>
      <c r="IA94" s="797"/>
      <c r="IB94" s="797"/>
      <c r="IC94" s="797"/>
      <c r="ID94" s="797"/>
      <c r="IE94" s="797"/>
      <c r="IF94" s="797"/>
      <c r="IG94" s="797"/>
      <c r="IH94" s="797"/>
      <c r="II94" s="797"/>
      <c r="IJ94" s="797"/>
      <c r="IK94" s="797"/>
      <c r="IL94" s="797"/>
      <c r="IM94" s="797"/>
      <c r="IN94" s="797"/>
      <c r="IO94" s="797"/>
      <c r="IP94" s="797"/>
      <c r="IQ94" s="797"/>
      <c r="IR94" s="797"/>
      <c r="IS94" s="797"/>
      <c r="IT94" s="797"/>
      <c r="IU94" s="797"/>
      <c r="IV94" s="797"/>
    </row>
    <row r="95" spans="1:256" s="1587" customFormat="1" ht="13.5" customHeight="1">
      <c r="A95" s="2721"/>
      <c r="B95" s="2722"/>
      <c r="C95" s="799"/>
      <c r="D95" s="756" t="s">
        <v>185</v>
      </c>
      <c r="E95" s="2723"/>
      <c r="F95" s="758">
        <f>ROUND(SUM(F96:F97),3)</f>
        <v>13.455</v>
      </c>
      <c r="G95" s="299"/>
      <c r="H95" s="2724"/>
      <c r="I95" s="2725"/>
      <c r="J95" s="2726"/>
      <c r="K95" s="2732"/>
      <c r="L95" s="1588"/>
      <c r="M95" s="1588"/>
      <c r="N95" s="1588"/>
      <c r="O95" s="1588"/>
      <c r="P95" s="1588"/>
      <c r="Q95" s="1588"/>
      <c r="R95" s="1588"/>
      <c r="S95" s="1588"/>
      <c r="V95" s="1588"/>
      <c r="W95" s="1588"/>
      <c r="X95" s="1588"/>
      <c r="Y95" s="1588"/>
      <c r="Z95" s="1588"/>
      <c r="AA95" s="1588"/>
      <c r="AB95" s="1588"/>
      <c r="AC95" s="1588"/>
      <c r="AD95" s="1588"/>
      <c r="AE95" s="1588"/>
      <c r="AF95" s="1588"/>
      <c r="AG95" s="1588"/>
      <c r="AH95" s="1588"/>
      <c r="AI95" s="1588"/>
      <c r="AJ95" s="1588"/>
      <c r="AK95" s="1588"/>
      <c r="AL95" s="1588"/>
      <c r="AM95" s="1588"/>
      <c r="AN95" s="1588"/>
      <c r="AO95" s="1588"/>
      <c r="AP95" s="1588"/>
      <c r="AQ95" s="1588"/>
      <c r="AR95" s="1588"/>
      <c r="AS95" s="1588"/>
      <c r="AT95" s="1588"/>
      <c r="AU95" s="1588"/>
      <c r="AV95" s="1588"/>
      <c r="AW95" s="1588"/>
      <c r="AX95" s="1588"/>
      <c r="AY95" s="1588"/>
      <c r="AZ95" s="1588"/>
      <c r="BA95" s="1588"/>
      <c r="BB95" s="1588"/>
      <c r="BC95" s="1588"/>
      <c r="BD95" s="1588"/>
      <c r="BE95" s="1588"/>
      <c r="BF95" s="1588"/>
      <c r="BG95" s="1588"/>
      <c r="BH95" s="1588"/>
      <c r="BI95" s="1588"/>
      <c r="BJ95" s="1588"/>
      <c r="BK95" s="1588"/>
      <c r="BL95" s="1588"/>
      <c r="BM95" s="1588"/>
      <c r="BN95" s="1588"/>
      <c r="BO95" s="1588"/>
      <c r="BP95" s="1588"/>
      <c r="BQ95" s="1588"/>
      <c r="BR95" s="1588"/>
      <c r="BS95" s="1588"/>
      <c r="BT95" s="1588"/>
      <c r="BU95" s="1588"/>
      <c r="BV95" s="1588"/>
      <c r="BW95" s="1588"/>
      <c r="BX95" s="1588"/>
      <c r="BY95" s="1588"/>
      <c r="BZ95" s="1588"/>
      <c r="CA95" s="1588"/>
      <c r="CB95" s="1588"/>
      <c r="CC95" s="1588"/>
      <c r="CD95" s="1588"/>
      <c r="CE95" s="1588"/>
      <c r="CF95" s="1588"/>
      <c r="CG95" s="1588"/>
      <c r="CH95" s="1588"/>
      <c r="CI95" s="1588"/>
      <c r="CJ95" s="1588"/>
      <c r="CK95" s="1588"/>
      <c r="CL95" s="1588"/>
      <c r="CM95" s="1588"/>
      <c r="CN95" s="1588"/>
      <c r="CO95" s="1588"/>
      <c r="CP95" s="1588"/>
      <c r="CQ95" s="1588"/>
      <c r="CR95" s="1588"/>
      <c r="CS95" s="1588"/>
      <c r="CT95" s="1588"/>
      <c r="CU95" s="1588"/>
      <c r="CV95" s="1588"/>
      <c r="CW95" s="1588"/>
      <c r="CX95" s="1588"/>
      <c r="CY95" s="1588"/>
      <c r="CZ95" s="1588"/>
      <c r="DA95" s="1588"/>
      <c r="DB95" s="1588"/>
      <c r="DC95" s="1588"/>
      <c r="DD95" s="1588"/>
      <c r="DE95" s="1588"/>
      <c r="DF95" s="1588"/>
      <c r="DG95" s="1588"/>
      <c r="DH95" s="1588"/>
      <c r="DI95" s="1588"/>
      <c r="DJ95" s="1588"/>
      <c r="DK95" s="1588"/>
      <c r="DL95" s="1588"/>
      <c r="DM95" s="1588"/>
      <c r="DN95" s="1588"/>
      <c r="DO95" s="1588"/>
      <c r="DP95" s="1588"/>
      <c r="DQ95" s="1588"/>
      <c r="DR95" s="1588"/>
      <c r="DS95" s="1588"/>
      <c r="DT95" s="1588"/>
      <c r="DU95" s="1588"/>
      <c r="DV95" s="1588"/>
      <c r="DW95" s="1588"/>
      <c r="DX95" s="1588"/>
      <c r="DY95" s="1588"/>
      <c r="DZ95" s="1588"/>
      <c r="EA95" s="1588"/>
      <c r="EB95" s="1588"/>
      <c r="EC95" s="1588"/>
      <c r="ED95" s="1588"/>
      <c r="EE95" s="1588"/>
      <c r="EF95" s="1588"/>
      <c r="EG95" s="1588"/>
      <c r="EH95" s="1588"/>
      <c r="EI95" s="1588"/>
      <c r="EJ95" s="1588"/>
      <c r="EK95" s="1588"/>
      <c r="EL95" s="1588"/>
      <c r="EM95" s="1588"/>
      <c r="EN95" s="1588"/>
      <c r="EO95" s="1588"/>
      <c r="EP95" s="1588"/>
      <c r="EQ95" s="1588"/>
      <c r="ER95" s="1588"/>
      <c r="ES95" s="1588"/>
      <c r="ET95" s="1588"/>
      <c r="EU95" s="1588"/>
      <c r="EV95" s="1588"/>
      <c r="EW95" s="1588"/>
      <c r="EX95" s="1588"/>
      <c r="EY95" s="1588"/>
      <c r="EZ95" s="1588"/>
      <c r="FA95" s="1588"/>
      <c r="FB95" s="1588"/>
      <c r="FC95" s="1588"/>
      <c r="FD95" s="1588"/>
      <c r="FE95" s="1588"/>
      <c r="FF95" s="1588"/>
      <c r="FG95" s="1588"/>
      <c r="FH95" s="1588"/>
      <c r="FI95" s="1588"/>
      <c r="FJ95" s="1588"/>
      <c r="FK95" s="1588"/>
      <c r="FL95" s="1588"/>
      <c r="FM95" s="1588"/>
      <c r="FN95" s="1588"/>
      <c r="FO95" s="1588"/>
      <c r="FP95" s="1588"/>
      <c r="FQ95" s="1588"/>
      <c r="FR95" s="1588"/>
      <c r="FS95" s="1588"/>
      <c r="FT95" s="1588"/>
      <c r="FU95" s="1588"/>
      <c r="FV95" s="1588"/>
      <c r="FW95" s="1588"/>
      <c r="FX95" s="1588"/>
      <c r="FY95" s="1588"/>
      <c r="FZ95" s="1588"/>
      <c r="GA95" s="1588"/>
      <c r="GB95" s="1588"/>
      <c r="GC95" s="1588"/>
      <c r="GD95" s="1588"/>
      <c r="GE95" s="1588"/>
      <c r="GF95" s="1588"/>
      <c r="GG95" s="1588"/>
      <c r="GH95" s="1588"/>
      <c r="GI95" s="1588"/>
      <c r="GJ95" s="1588"/>
      <c r="GK95" s="1588"/>
      <c r="GL95" s="1588"/>
      <c r="GM95" s="1588"/>
      <c r="GN95" s="1588"/>
      <c r="GO95" s="1588"/>
      <c r="GP95" s="1588"/>
      <c r="GQ95" s="1588"/>
      <c r="GR95" s="1588"/>
      <c r="GS95" s="1588"/>
      <c r="GT95" s="1588"/>
      <c r="GU95" s="1588"/>
      <c r="GV95" s="1588"/>
      <c r="GW95" s="1588"/>
      <c r="GX95" s="1588"/>
      <c r="GY95" s="1588"/>
      <c r="GZ95" s="1588"/>
      <c r="HA95" s="1588"/>
      <c r="HB95" s="1588"/>
      <c r="HC95" s="1588"/>
      <c r="HD95" s="1588"/>
      <c r="HE95" s="1588"/>
      <c r="HF95" s="1588"/>
      <c r="HG95" s="1588"/>
      <c r="HH95" s="1588"/>
      <c r="HI95" s="1588"/>
      <c r="HJ95" s="1588"/>
      <c r="HK95" s="1588"/>
      <c r="HL95" s="1588"/>
      <c r="HM95" s="1588"/>
      <c r="HN95" s="1588"/>
      <c r="HO95" s="1588"/>
      <c r="HP95" s="1588"/>
      <c r="HQ95" s="1588"/>
      <c r="HR95" s="1588"/>
      <c r="HS95" s="1588"/>
      <c r="HT95" s="1588"/>
      <c r="HU95" s="1588"/>
      <c r="HV95" s="1588"/>
      <c r="HW95" s="1588"/>
      <c r="HX95" s="1588"/>
      <c r="HY95" s="1588"/>
      <c r="HZ95" s="1588"/>
      <c r="IA95" s="1588"/>
      <c r="IB95" s="1588"/>
      <c r="IC95" s="1588"/>
      <c r="ID95" s="1588"/>
      <c r="IE95" s="1588"/>
      <c r="IF95" s="1588"/>
      <c r="IG95" s="1588"/>
      <c r="IH95" s="1588"/>
      <c r="II95" s="1588"/>
      <c r="IJ95" s="1588"/>
      <c r="IK95" s="1588"/>
      <c r="IL95" s="1588"/>
      <c r="IM95" s="1588"/>
      <c r="IN95" s="1588"/>
      <c r="IO95" s="1588"/>
      <c r="IP95" s="1588"/>
      <c r="IQ95" s="1588"/>
      <c r="IR95" s="1588"/>
      <c r="IS95" s="1588"/>
      <c r="IT95" s="1588"/>
      <c r="IU95" s="1588"/>
      <c r="IV95" s="1588"/>
    </row>
    <row r="96" spans="1:256" s="796" customFormat="1" ht="13.5" customHeight="1">
      <c r="A96" s="1033"/>
      <c r="B96" s="1034"/>
      <c r="C96" s="1035"/>
      <c r="D96" s="1036" t="s">
        <v>5321</v>
      </c>
      <c r="E96" s="1036"/>
      <c r="F96" s="2727">
        <f>(5.858+17.573)+(5.858)</f>
        <v>29.289000000000001</v>
      </c>
      <c r="G96" s="298"/>
      <c r="H96" s="1038"/>
      <c r="I96" s="2728"/>
      <c r="J96" s="2729"/>
      <c r="K96" s="2730"/>
      <c r="L96" s="2731"/>
      <c r="M96" s="2731"/>
      <c r="N96" s="2731"/>
      <c r="O96" s="2731"/>
      <c r="P96" s="797"/>
      <c r="Q96" s="797"/>
      <c r="R96" s="797"/>
      <c r="S96" s="797"/>
      <c r="V96" s="797"/>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6" s="796" customFormat="1" ht="13.5" customHeight="1">
      <c r="A97" s="1033"/>
      <c r="B97" s="1034"/>
      <c r="C97" s="1035"/>
      <c r="D97" s="1036" t="s">
        <v>5320</v>
      </c>
      <c r="E97" s="1036"/>
      <c r="F97" s="2727">
        <f>-(15.834)</f>
        <v>-15.834</v>
      </c>
      <c r="G97" s="298"/>
      <c r="H97" s="1038"/>
      <c r="I97" s="2728"/>
      <c r="J97" s="2729"/>
      <c r="K97" s="2730"/>
      <c r="L97" s="2731"/>
      <c r="M97" s="2731"/>
      <c r="N97" s="2731"/>
      <c r="O97" s="2731"/>
      <c r="P97" s="797"/>
      <c r="Q97" s="797"/>
      <c r="R97" s="797"/>
      <c r="S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7"/>
      <c r="AY97" s="797"/>
      <c r="AZ97" s="797"/>
      <c r="BA97" s="797"/>
      <c r="BB97" s="797"/>
      <c r="BC97" s="797"/>
      <c r="BD97" s="797"/>
      <c r="BE97" s="797"/>
      <c r="BF97" s="797"/>
      <c r="BG97" s="797"/>
      <c r="BH97" s="797"/>
      <c r="BI97" s="797"/>
      <c r="BJ97" s="797"/>
      <c r="BK97" s="797"/>
      <c r="BL97" s="797"/>
      <c r="BM97" s="797"/>
      <c r="BN97" s="797"/>
      <c r="BO97" s="797"/>
      <c r="BP97" s="797"/>
      <c r="BQ97" s="797"/>
      <c r="BR97" s="797"/>
      <c r="BS97" s="797"/>
      <c r="BT97" s="797"/>
      <c r="BU97" s="797"/>
      <c r="BV97" s="797"/>
      <c r="BW97" s="797"/>
      <c r="BX97" s="797"/>
      <c r="BY97" s="797"/>
      <c r="BZ97" s="797"/>
      <c r="CA97" s="797"/>
      <c r="CB97" s="797"/>
      <c r="CC97" s="797"/>
      <c r="CD97" s="797"/>
      <c r="CE97" s="797"/>
      <c r="CF97" s="797"/>
      <c r="CG97" s="797"/>
      <c r="CH97" s="797"/>
      <c r="CI97" s="797"/>
      <c r="CJ97" s="797"/>
      <c r="CK97" s="797"/>
      <c r="CL97" s="797"/>
      <c r="CM97" s="797"/>
      <c r="CN97" s="797"/>
      <c r="CO97" s="797"/>
      <c r="CP97" s="797"/>
      <c r="CQ97" s="797"/>
      <c r="CR97" s="797"/>
      <c r="CS97" s="797"/>
      <c r="CT97" s="797"/>
      <c r="CU97" s="797"/>
      <c r="CV97" s="797"/>
      <c r="CW97" s="797"/>
      <c r="CX97" s="797"/>
      <c r="CY97" s="797"/>
      <c r="CZ97" s="797"/>
      <c r="DA97" s="797"/>
      <c r="DB97" s="797"/>
      <c r="DC97" s="797"/>
      <c r="DD97" s="797"/>
      <c r="DE97" s="797"/>
      <c r="DF97" s="797"/>
      <c r="DG97" s="797"/>
      <c r="DH97" s="797"/>
      <c r="DI97" s="797"/>
      <c r="DJ97" s="797"/>
      <c r="DK97" s="797"/>
      <c r="DL97" s="797"/>
      <c r="DM97" s="797"/>
      <c r="DN97" s="797"/>
      <c r="DO97" s="797"/>
      <c r="DP97" s="797"/>
      <c r="DQ97" s="797"/>
      <c r="DR97" s="797"/>
      <c r="DS97" s="797"/>
      <c r="DT97" s="797"/>
      <c r="DU97" s="797"/>
      <c r="DV97" s="797"/>
      <c r="DW97" s="797"/>
      <c r="DX97" s="797"/>
      <c r="DY97" s="797"/>
      <c r="DZ97" s="797"/>
      <c r="EA97" s="797"/>
      <c r="EB97" s="797"/>
      <c r="EC97" s="797"/>
      <c r="ED97" s="797"/>
      <c r="EE97" s="797"/>
      <c r="EF97" s="797"/>
      <c r="EG97" s="797"/>
      <c r="EH97" s="797"/>
      <c r="EI97" s="797"/>
      <c r="EJ97" s="797"/>
      <c r="EK97" s="797"/>
      <c r="EL97" s="797"/>
      <c r="EM97" s="797"/>
      <c r="EN97" s="797"/>
      <c r="EO97" s="797"/>
      <c r="EP97" s="797"/>
      <c r="EQ97" s="797"/>
      <c r="ER97" s="797"/>
      <c r="ES97" s="797"/>
      <c r="ET97" s="797"/>
      <c r="EU97" s="797"/>
      <c r="EV97" s="797"/>
      <c r="EW97" s="797"/>
      <c r="EX97" s="797"/>
      <c r="EY97" s="797"/>
      <c r="EZ97" s="797"/>
      <c r="FA97" s="797"/>
      <c r="FB97" s="797"/>
      <c r="FC97" s="797"/>
      <c r="FD97" s="797"/>
      <c r="FE97" s="797"/>
      <c r="FF97" s="797"/>
      <c r="FG97" s="797"/>
      <c r="FH97" s="797"/>
      <c r="FI97" s="797"/>
      <c r="FJ97" s="797"/>
      <c r="FK97" s="797"/>
      <c r="FL97" s="797"/>
      <c r="FM97" s="797"/>
      <c r="FN97" s="797"/>
      <c r="FO97" s="797"/>
      <c r="FP97" s="797"/>
      <c r="FQ97" s="797"/>
      <c r="FR97" s="797"/>
      <c r="FS97" s="797"/>
      <c r="FT97" s="797"/>
      <c r="FU97" s="797"/>
      <c r="FV97" s="797"/>
      <c r="FW97" s="797"/>
      <c r="FX97" s="797"/>
      <c r="FY97" s="797"/>
      <c r="FZ97" s="797"/>
      <c r="GA97" s="797"/>
      <c r="GB97" s="797"/>
      <c r="GC97" s="797"/>
      <c r="GD97" s="797"/>
      <c r="GE97" s="797"/>
      <c r="GF97" s="797"/>
      <c r="GG97" s="797"/>
      <c r="GH97" s="797"/>
      <c r="GI97" s="797"/>
      <c r="GJ97" s="797"/>
      <c r="GK97" s="797"/>
      <c r="GL97" s="797"/>
      <c r="GM97" s="797"/>
      <c r="GN97" s="797"/>
      <c r="GO97" s="797"/>
      <c r="GP97" s="797"/>
      <c r="GQ97" s="797"/>
      <c r="GR97" s="797"/>
      <c r="GS97" s="797"/>
      <c r="GT97" s="797"/>
      <c r="GU97" s="797"/>
      <c r="GV97" s="797"/>
      <c r="GW97" s="797"/>
      <c r="GX97" s="797"/>
      <c r="GY97" s="797"/>
      <c r="GZ97" s="797"/>
      <c r="HA97" s="797"/>
      <c r="HB97" s="797"/>
      <c r="HC97" s="797"/>
      <c r="HD97" s="797"/>
      <c r="HE97" s="797"/>
      <c r="HF97" s="797"/>
      <c r="HG97" s="797"/>
      <c r="HH97" s="797"/>
      <c r="HI97" s="797"/>
      <c r="HJ97" s="797"/>
      <c r="HK97" s="797"/>
      <c r="HL97" s="797"/>
      <c r="HM97" s="797"/>
      <c r="HN97" s="797"/>
      <c r="HO97" s="797"/>
      <c r="HP97" s="797"/>
      <c r="HQ97" s="797"/>
      <c r="HR97" s="797"/>
      <c r="HS97" s="797"/>
      <c r="HT97" s="797"/>
      <c r="HU97" s="797"/>
      <c r="HV97" s="797"/>
      <c r="HW97" s="797"/>
      <c r="HX97" s="797"/>
      <c r="HY97" s="797"/>
      <c r="HZ97" s="797"/>
      <c r="IA97" s="797"/>
      <c r="IB97" s="797"/>
      <c r="IC97" s="797"/>
      <c r="ID97" s="797"/>
      <c r="IE97" s="797"/>
      <c r="IF97" s="797"/>
      <c r="IG97" s="797"/>
      <c r="IH97" s="797"/>
      <c r="II97" s="797"/>
      <c r="IJ97" s="797"/>
      <c r="IK97" s="797"/>
      <c r="IL97" s="797"/>
      <c r="IM97" s="797"/>
      <c r="IN97" s="797"/>
      <c r="IO97" s="797"/>
      <c r="IP97" s="797"/>
      <c r="IQ97" s="797"/>
      <c r="IR97" s="797"/>
      <c r="IS97" s="797"/>
      <c r="IT97" s="797"/>
      <c r="IU97" s="797"/>
      <c r="IV97" s="797"/>
    </row>
    <row r="98" spans="1:256" s="804" customFormat="1" ht="13.5" customHeight="1">
      <c r="A98" s="798" t="s">
        <v>5262</v>
      </c>
      <c r="B98" s="799"/>
      <c r="C98" s="777">
        <v>167151101</v>
      </c>
      <c r="D98" s="2699" t="s">
        <v>2401</v>
      </c>
      <c r="E98" s="801" t="s">
        <v>146</v>
      </c>
      <c r="F98" s="802">
        <f>F92</f>
        <v>13.455</v>
      </c>
      <c r="G98" s="354"/>
      <c r="H98" s="803">
        <f t="shared" ref="H98:H99" si="15">ROUND(F98*G98,2)</f>
        <v>0</v>
      </c>
      <c r="I98" s="781" t="s">
        <v>137</v>
      </c>
      <c r="J98" s="647"/>
      <c r="K98" s="647"/>
      <c r="L98" s="612"/>
      <c r="M98" s="612"/>
      <c r="N98" s="612"/>
      <c r="O98" s="612"/>
      <c r="P98" s="612"/>
      <c r="Q98" s="612"/>
      <c r="R98" s="612"/>
      <c r="S98" s="788"/>
      <c r="V98" s="612"/>
    </row>
    <row r="99" spans="1:256" s="804" customFormat="1" ht="13.5" customHeight="1">
      <c r="A99" s="798" t="s">
        <v>5263</v>
      </c>
      <c r="B99" s="799"/>
      <c r="C99" s="777">
        <v>167151102</v>
      </c>
      <c r="D99" s="2717" t="s">
        <v>2402</v>
      </c>
      <c r="E99" s="801" t="s">
        <v>146</v>
      </c>
      <c r="F99" s="802">
        <f>F95</f>
        <v>13.455</v>
      </c>
      <c r="G99" s="354"/>
      <c r="H99" s="803">
        <f t="shared" si="15"/>
        <v>0</v>
      </c>
      <c r="I99" s="781" t="s">
        <v>137</v>
      </c>
      <c r="J99" s="647"/>
      <c r="K99" s="647"/>
      <c r="L99" s="612"/>
      <c r="M99" s="612"/>
      <c r="N99" s="612"/>
      <c r="O99" s="612"/>
      <c r="P99" s="612"/>
      <c r="Q99" s="612"/>
      <c r="R99" s="612"/>
      <c r="S99" s="788"/>
      <c r="V99" s="612"/>
    </row>
    <row r="100" spans="1:256" s="796" customFormat="1" ht="27" customHeight="1">
      <c r="A100" s="792" t="s">
        <v>5264</v>
      </c>
      <c r="B100" s="793"/>
      <c r="C100" s="793" t="s">
        <v>6324</v>
      </c>
      <c r="D100" s="793" t="s">
        <v>6317</v>
      </c>
      <c r="E100" s="793" t="s">
        <v>146</v>
      </c>
      <c r="F100" s="794">
        <f>F92</f>
        <v>13.455</v>
      </c>
      <c r="G100" s="470"/>
      <c r="H100" s="795">
        <f t="shared" ref="H100:H101" si="16">F100*G100</f>
        <v>0</v>
      </c>
      <c r="I100" s="781" t="s">
        <v>112</v>
      </c>
      <c r="J100" s="783"/>
      <c r="K100" s="783"/>
      <c r="L100" s="621"/>
      <c r="M100" s="621"/>
      <c r="N100" s="621"/>
      <c r="O100" s="621"/>
      <c r="P100" s="621"/>
      <c r="Q100" s="621"/>
      <c r="R100" s="621"/>
      <c r="S100" s="784"/>
      <c r="V100" s="783"/>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7"/>
      <c r="AY100" s="797"/>
      <c r="AZ100" s="797"/>
      <c r="BA100" s="797"/>
      <c r="BB100" s="797"/>
      <c r="BC100" s="797"/>
      <c r="BD100" s="797"/>
      <c r="BE100" s="797"/>
      <c r="BF100" s="797"/>
      <c r="BG100" s="797"/>
      <c r="BH100" s="797"/>
      <c r="BI100" s="797"/>
      <c r="BJ100" s="797"/>
      <c r="BK100" s="797"/>
      <c r="BL100" s="797"/>
      <c r="BM100" s="797"/>
      <c r="BN100" s="797"/>
      <c r="BO100" s="797"/>
      <c r="BP100" s="797"/>
      <c r="BQ100" s="797"/>
      <c r="BR100" s="797"/>
      <c r="BS100" s="797"/>
      <c r="BT100" s="797"/>
      <c r="BU100" s="797"/>
      <c r="BV100" s="797"/>
      <c r="BW100" s="797"/>
      <c r="BX100" s="797"/>
      <c r="BY100" s="797"/>
      <c r="BZ100" s="797"/>
      <c r="CA100" s="797"/>
      <c r="CB100" s="797"/>
      <c r="CC100" s="797"/>
      <c r="CD100" s="797"/>
      <c r="CE100" s="797"/>
      <c r="CF100" s="797"/>
      <c r="CG100" s="797"/>
      <c r="CH100" s="797"/>
      <c r="CI100" s="797"/>
      <c r="CJ100" s="797"/>
      <c r="CK100" s="797"/>
      <c r="CL100" s="797"/>
      <c r="CM100" s="797"/>
      <c r="CN100" s="797"/>
      <c r="CO100" s="797"/>
      <c r="CP100" s="797"/>
      <c r="CQ100" s="797"/>
      <c r="CR100" s="797"/>
      <c r="CS100" s="797"/>
      <c r="CT100" s="797"/>
      <c r="CU100" s="797"/>
      <c r="CV100" s="797"/>
      <c r="CW100" s="797"/>
      <c r="CX100" s="797"/>
      <c r="CY100" s="797"/>
      <c r="CZ100" s="797"/>
      <c r="DA100" s="797"/>
      <c r="DB100" s="797"/>
      <c r="DC100" s="797"/>
      <c r="DD100" s="797"/>
      <c r="DE100" s="797"/>
      <c r="DF100" s="797"/>
      <c r="DG100" s="797"/>
      <c r="DH100" s="797"/>
      <c r="DI100" s="797"/>
      <c r="DJ100" s="797"/>
      <c r="DK100" s="797"/>
      <c r="DL100" s="797"/>
      <c r="DM100" s="797"/>
      <c r="DN100" s="797"/>
      <c r="DO100" s="797"/>
      <c r="DP100" s="797"/>
      <c r="DQ100" s="797"/>
      <c r="DR100" s="797"/>
      <c r="DS100" s="797"/>
      <c r="DT100" s="797"/>
      <c r="DU100" s="797"/>
      <c r="DV100" s="797"/>
      <c r="DW100" s="797"/>
      <c r="DX100" s="797"/>
      <c r="DY100" s="797"/>
      <c r="DZ100" s="797"/>
      <c r="EA100" s="797"/>
      <c r="EB100" s="797"/>
      <c r="EC100" s="797"/>
      <c r="ED100" s="797"/>
      <c r="EE100" s="797"/>
      <c r="EF100" s="797"/>
      <c r="EG100" s="797"/>
      <c r="EH100" s="797"/>
      <c r="EI100" s="797"/>
      <c r="EJ100" s="797"/>
      <c r="EK100" s="797"/>
      <c r="EL100" s="797"/>
      <c r="EM100" s="797"/>
      <c r="EN100" s="797"/>
      <c r="EO100" s="797"/>
      <c r="EP100" s="797"/>
      <c r="EQ100" s="797"/>
      <c r="ER100" s="797"/>
      <c r="ES100" s="797"/>
      <c r="ET100" s="797"/>
      <c r="EU100" s="797"/>
      <c r="EV100" s="797"/>
      <c r="EW100" s="797"/>
      <c r="EX100" s="797"/>
      <c r="EY100" s="797"/>
      <c r="EZ100" s="797"/>
      <c r="FA100" s="797"/>
      <c r="FB100" s="797"/>
      <c r="FC100" s="797"/>
      <c r="FD100" s="797"/>
      <c r="FE100" s="797"/>
      <c r="FF100" s="797"/>
      <c r="FG100" s="797"/>
      <c r="FH100" s="797"/>
      <c r="FI100" s="797"/>
      <c r="FJ100" s="797"/>
      <c r="FK100" s="797"/>
      <c r="FL100" s="797"/>
      <c r="FM100" s="797"/>
      <c r="FN100" s="797"/>
      <c r="FO100" s="797"/>
      <c r="FP100" s="797"/>
      <c r="FQ100" s="797"/>
      <c r="FR100" s="797"/>
      <c r="FS100" s="797"/>
      <c r="FT100" s="797"/>
      <c r="FU100" s="797"/>
      <c r="FV100" s="797"/>
      <c r="FW100" s="797"/>
      <c r="FX100" s="797"/>
      <c r="FY100" s="797"/>
      <c r="FZ100" s="797"/>
      <c r="GA100" s="797"/>
      <c r="GB100" s="797"/>
      <c r="GC100" s="797"/>
      <c r="GD100" s="797"/>
      <c r="GE100" s="797"/>
      <c r="GF100" s="797"/>
      <c r="GG100" s="797"/>
      <c r="GH100" s="797"/>
      <c r="GI100" s="797"/>
      <c r="GJ100" s="797"/>
      <c r="GK100" s="797"/>
      <c r="GL100" s="797"/>
      <c r="GM100" s="797"/>
      <c r="GN100" s="797"/>
      <c r="GO100" s="797"/>
      <c r="GP100" s="797"/>
      <c r="GQ100" s="797"/>
      <c r="GR100" s="797"/>
      <c r="GS100" s="797"/>
      <c r="GT100" s="797"/>
      <c r="GU100" s="797"/>
      <c r="GV100" s="797"/>
      <c r="GW100" s="797"/>
      <c r="GX100" s="797"/>
      <c r="GY100" s="797"/>
      <c r="GZ100" s="797"/>
      <c r="HA100" s="797"/>
      <c r="HB100" s="797"/>
      <c r="HC100" s="797"/>
      <c r="HD100" s="797"/>
      <c r="HE100" s="797"/>
      <c r="HF100" s="797"/>
      <c r="HG100" s="797"/>
      <c r="HH100" s="797"/>
      <c r="HI100" s="797"/>
      <c r="HJ100" s="797"/>
      <c r="HK100" s="797"/>
      <c r="HL100" s="797"/>
      <c r="HM100" s="797"/>
      <c r="HN100" s="797"/>
      <c r="HO100" s="797"/>
      <c r="HP100" s="797"/>
      <c r="HQ100" s="797"/>
      <c r="HR100" s="797"/>
      <c r="HS100" s="797"/>
      <c r="HT100" s="797"/>
      <c r="HU100" s="797"/>
      <c r="HV100" s="797"/>
      <c r="HW100" s="797"/>
      <c r="HX100" s="797"/>
      <c r="HY100" s="797"/>
      <c r="HZ100" s="797"/>
      <c r="IA100" s="797"/>
      <c r="IB100" s="797"/>
      <c r="IC100" s="797"/>
      <c r="ID100" s="797"/>
      <c r="IE100" s="797"/>
      <c r="IF100" s="797"/>
      <c r="IG100" s="797"/>
      <c r="IH100" s="797"/>
      <c r="II100" s="797"/>
      <c r="IJ100" s="797"/>
      <c r="IK100" s="797"/>
      <c r="IL100" s="797"/>
      <c r="IM100" s="797"/>
      <c r="IN100" s="797"/>
      <c r="IO100" s="797"/>
      <c r="IP100" s="797"/>
      <c r="IQ100" s="797"/>
      <c r="IR100" s="797"/>
      <c r="IS100" s="797"/>
      <c r="IT100" s="797"/>
      <c r="IU100" s="797"/>
      <c r="IV100" s="797"/>
    </row>
    <row r="101" spans="1:256" s="796" customFormat="1" ht="27" customHeight="1">
      <c r="A101" s="792" t="s">
        <v>5265</v>
      </c>
      <c r="B101" s="793"/>
      <c r="C101" s="793" t="s">
        <v>6325</v>
      </c>
      <c r="D101" s="793" t="s">
        <v>6318</v>
      </c>
      <c r="E101" s="793" t="s">
        <v>146</v>
      </c>
      <c r="F101" s="794">
        <f>F95</f>
        <v>13.455</v>
      </c>
      <c r="G101" s="470"/>
      <c r="H101" s="795">
        <f t="shared" si="16"/>
        <v>0</v>
      </c>
      <c r="I101" s="781" t="s">
        <v>112</v>
      </c>
      <c r="J101" s="783"/>
      <c r="K101" s="783"/>
      <c r="L101" s="621"/>
      <c r="M101" s="621"/>
      <c r="N101" s="621"/>
      <c r="O101" s="621"/>
      <c r="P101" s="621"/>
      <c r="Q101" s="621"/>
      <c r="R101" s="621"/>
      <c r="S101" s="784"/>
      <c r="V101" s="783"/>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797"/>
      <c r="BF101" s="797"/>
      <c r="BG101" s="797"/>
      <c r="BH101" s="797"/>
      <c r="BI101" s="797"/>
      <c r="BJ101" s="797"/>
      <c r="BK101" s="797"/>
      <c r="BL101" s="797"/>
      <c r="BM101" s="797"/>
      <c r="BN101" s="797"/>
      <c r="BO101" s="797"/>
      <c r="BP101" s="797"/>
      <c r="BQ101" s="797"/>
      <c r="BR101" s="797"/>
      <c r="BS101" s="797"/>
      <c r="BT101" s="797"/>
      <c r="BU101" s="797"/>
      <c r="BV101" s="797"/>
      <c r="BW101" s="797"/>
      <c r="BX101" s="797"/>
      <c r="BY101" s="797"/>
      <c r="BZ101" s="797"/>
      <c r="CA101" s="797"/>
      <c r="CB101" s="797"/>
      <c r="CC101" s="797"/>
      <c r="CD101" s="797"/>
      <c r="CE101" s="797"/>
      <c r="CF101" s="797"/>
      <c r="CG101" s="797"/>
      <c r="CH101" s="797"/>
      <c r="CI101" s="797"/>
      <c r="CJ101" s="797"/>
      <c r="CK101" s="797"/>
      <c r="CL101" s="797"/>
      <c r="CM101" s="797"/>
      <c r="CN101" s="797"/>
      <c r="CO101" s="797"/>
      <c r="CP101" s="797"/>
      <c r="CQ101" s="797"/>
      <c r="CR101" s="797"/>
      <c r="CS101" s="797"/>
      <c r="CT101" s="797"/>
      <c r="CU101" s="797"/>
      <c r="CV101" s="797"/>
      <c r="CW101" s="797"/>
      <c r="CX101" s="797"/>
      <c r="CY101" s="797"/>
      <c r="CZ101" s="797"/>
      <c r="DA101" s="797"/>
      <c r="DB101" s="797"/>
      <c r="DC101" s="797"/>
      <c r="DD101" s="797"/>
      <c r="DE101" s="797"/>
      <c r="DF101" s="797"/>
      <c r="DG101" s="797"/>
      <c r="DH101" s="797"/>
      <c r="DI101" s="797"/>
      <c r="DJ101" s="797"/>
      <c r="DK101" s="797"/>
      <c r="DL101" s="797"/>
      <c r="DM101" s="797"/>
      <c r="DN101" s="797"/>
      <c r="DO101" s="797"/>
      <c r="DP101" s="797"/>
      <c r="DQ101" s="797"/>
      <c r="DR101" s="797"/>
      <c r="DS101" s="797"/>
      <c r="DT101" s="797"/>
      <c r="DU101" s="797"/>
      <c r="DV101" s="797"/>
      <c r="DW101" s="797"/>
      <c r="DX101" s="797"/>
      <c r="DY101" s="797"/>
      <c r="DZ101" s="797"/>
      <c r="EA101" s="797"/>
      <c r="EB101" s="797"/>
      <c r="EC101" s="797"/>
      <c r="ED101" s="797"/>
      <c r="EE101" s="797"/>
      <c r="EF101" s="797"/>
      <c r="EG101" s="797"/>
      <c r="EH101" s="797"/>
      <c r="EI101" s="797"/>
      <c r="EJ101" s="797"/>
      <c r="EK101" s="797"/>
      <c r="EL101" s="797"/>
      <c r="EM101" s="797"/>
      <c r="EN101" s="797"/>
      <c r="EO101" s="797"/>
      <c r="EP101" s="797"/>
      <c r="EQ101" s="797"/>
      <c r="ER101" s="797"/>
      <c r="ES101" s="797"/>
      <c r="ET101" s="797"/>
      <c r="EU101" s="797"/>
      <c r="EV101" s="797"/>
      <c r="EW101" s="797"/>
      <c r="EX101" s="797"/>
      <c r="EY101" s="797"/>
      <c r="EZ101" s="797"/>
      <c r="FA101" s="797"/>
      <c r="FB101" s="797"/>
      <c r="FC101" s="797"/>
      <c r="FD101" s="797"/>
      <c r="FE101" s="797"/>
      <c r="FF101" s="797"/>
      <c r="FG101" s="797"/>
      <c r="FH101" s="797"/>
      <c r="FI101" s="797"/>
      <c r="FJ101" s="797"/>
      <c r="FK101" s="797"/>
      <c r="FL101" s="797"/>
      <c r="FM101" s="797"/>
      <c r="FN101" s="797"/>
      <c r="FO101" s="797"/>
      <c r="FP101" s="797"/>
      <c r="FQ101" s="797"/>
      <c r="FR101" s="797"/>
      <c r="FS101" s="797"/>
      <c r="FT101" s="797"/>
      <c r="FU101" s="797"/>
      <c r="FV101" s="797"/>
      <c r="FW101" s="797"/>
      <c r="FX101" s="797"/>
      <c r="FY101" s="797"/>
      <c r="FZ101" s="797"/>
      <c r="GA101" s="797"/>
      <c r="GB101" s="797"/>
      <c r="GC101" s="797"/>
      <c r="GD101" s="797"/>
      <c r="GE101" s="797"/>
      <c r="GF101" s="797"/>
      <c r="GG101" s="797"/>
      <c r="GH101" s="797"/>
      <c r="GI101" s="797"/>
      <c r="GJ101" s="797"/>
      <c r="GK101" s="797"/>
      <c r="GL101" s="797"/>
      <c r="GM101" s="797"/>
      <c r="GN101" s="797"/>
      <c r="GO101" s="797"/>
      <c r="GP101" s="797"/>
      <c r="GQ101" s="797"/>
      <c r="GR101" s="797"/>
      <c r="GS101" s="797"/>
      <c r="GT101" s="797"/>
      <c r="GU101" s="797"/>
      <c r="GV101" s="797"/>
      <c r="GW101" s="797"/>
      <c r="GX101" s="797"/>
      <c r="GY101" s="797"/>
      <c r="GZ101" s="797"/>
      <c r="HA101" s="797"/>
      <c r="HB101" s="797"/>
      <c r="HC101" s="797"/>
      <c r="HD101" s="797"/>
      <c r="HE101" s="797"/>
      <c r="HF101" s="797"/>
      <c r="HG101" s="797"/>
      <c r="HH101" s="797"/>
      <c r="HI101" s="797"/>
      <c r="HJ101" s="797"/>
      <c r="HK101" s="797"/>
      <c r="HL101" s="797"/>
      <c r="HM101" s="797"/>
      <c r="HN101" s="797"/>
      <c r="HO101" s="797"/>
      <c r="HP101" s="797"/>
      <c r="HQ101" s="797"/>
      <c r="HR101" s="797"/>
      <c r="HS101" s="797"/>
      <c r="HT101" s="797"/>
      <c r="HU101" s="797"/>
      <c r="HV101" s="797"/>
      <c r="HW101" s="797"/>
      <c r="HX101" s="797"/>
      <c r="HY101" s="797"/>
      <c r="HZ101" s="797"/>
      <c r="IA101" s="797"/>
      <c r="IB101" s="797"/>
      <c r="IC101" s="797"/>
      <c r="ID101" s="797"/>
      <c r="IE101" s="797"/>
      <c r="IF101" s="797"/>
      <c r="IG101" s="797"/>
      <c r="IH101" s="797"/>
      <c r="II101" s="797"/>
      <c r="IJ101" s="797"/>
      <c r="IK101" s="797"/>
      <c r="IL101" s="797"/>
      <c r="IM101" s="797"/>
      <c r="IN101" s="797"/>
      <c r="IO101" s="797"/>
      <c r="IP101" s="797"/>
      <c r="IQ101" s="797"/>
      <c r="IR101" s="797"/>
      <c r="IS101" s="797"/>
      <c r="IT101" s="797"/>
      <c r="IU101" s="797"/>
      <c r="IV101" s="797"/>
    </row>
    <row r="102" spans="1:256" s="804" customFormat="1" ht="27" customHeight="1">
      <c r="A102" s="798" t="s">
        <v>5266</v>
      </c>
      <c r="B102" s="799"/>
      <c r="C102" s="777">
        <v>171251101</v>
      </c>
      <c r="D102" s="800" t="s">
        <v>192</v>
      </c>
      <c r="E102" s="801" t="s">
        <v>146</v>
      </c>
      <c r="F102" s="802">
        <f>F90</f>
        <v>26.91</v>
      </c>
      <c r="G102" s="295"/>
      <c r="H102" s="803">
        <f t="shared" ref="H102:H103" si="17">ROUND(F102*G102,2)</f>
        <v>0</v>
      </c>
      <c r="I102" s="781" t="s">
        <v>137</v>
      </c>
      <c r="J102" s="647"/>
      <c r="K102" s="647"/>
      <c r="L102" s="612"/>
      <c r="M102" s="612"/>
      <c r="N102" s="612"/>
      <c r="O102" s="612"/>
      <c r="P102" s="612"/>
      <c r="Q102" s="612"/>
      <c r="R102" s="612"/>
      <c r="S102" s="788"/>
      <c r="V102" s="612"/>
    </row>
    <row r="103" spans="1:256" s="804" customFormat="1" ht="13.5" customHeight="1">
      <c r="A103" s="798" t="s">
        <v>5267</v>
      </c>
      <c r="B103" s="799"/>
      <c r="C103" s="805" t="s">
        <v>6311</v>
      </c>
      <c r="D103" s="806" t="s">
        <v>6323</v>
      </c>
      <c r="E103" s="801" t="s">
        <v>175</v>
      </c>
      <c r="F103" s="802">
        <f>F90*2</f>
        <v>53.82</v>
      </c>
      <c r="G103" s="295"/>
      <c r="H103" s="803">
        <f t="shared" si="17"/>
        <v>0</v>
      </c>
      <c r="I103" s="781" t="s">
        <v>112</v>
      </c>
      <c r="J103" s="647"/>
      <c r="K103" s="647"/>
      <c r="L103" s="612"/>
      <c r="M103" s="612"/>
      <c r="N103" s="612"/>
      <c r="O103" s="612"/>
      <c r="P103" s="612"/>
      <c r="Q103" s="612"/>
      <c r="R103" s="612"/>
      <c r="S103" s="788"/>
      <c r="V103" s="612"/>
    </row>
    <row r="104" spans="1:256" s="647" customFormat="1" ht="13.5" customHeight="1">
      <c r="A104" s="807"/>
      <c r="B104" s="808"/>
      <c r="C104" s="809"/>
      <c r="D104" s="810" t="s">
        <v>193</v>
      </c>
      <c r="E104" s="811"/>
      <c r="F104" s="812"/>
      <c r="G104" s="881"/>
      <c r="H104" s="813"/>
      <c r="I104" s="814"/>
      <c r="J104" s="815"/>
      <c r="L104" s="612"/>
      <c r="M104" s="612"/>
      <c r="N104" s="612"/>
      <c r="O104" s="612"/>
      <c r="P104" s="612"/>
      <c r="Q104" s="612"/>
      <c r="R104" s="612"/>
      <c r="S104" s="788"/>
      <c r="T104" s="816"/>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6"/>
      <c r="AY104" s="816"/>
      <c r="AZ104" s="816"/>
      <c r="BA104" s="816"/>
      <c r="BB104" s="816"/>
      <c r="BC104" s="816"/>
      <c r="BD104" s="816"/>
      <c r="BE104" s="816"/>
      <c r="BF104" s="816"/>
      <c r="BG104" s="816"/>
      <c r="BH104" s="816"/>
      <c r="BI104" s="816"/>
      <c r="BJ104" s="816"/>
      <c r="BK104" s="816"/>
      <c r="BL104" s="816"/>
      <c r="BM104" s="816"/>
      <c r="BN104" s="816"/>
      <c r="BO104" s="816"/>
      <c r="BP104" s="816"/>
      <c r="BQ104" s="816"/>
      <c r="BR104" s="816"/>
      <c r="BS104" s="816"/>
      <c r="BT104" s="816"/>
      <c r="BU104" s="816"/>
      <c r="BV104" s="816"/>
      <c r="BW104" s="816"/>
      <c r="BX104" s="816"/>
      <c r="BY104" s="816"/>
      <c r="BZ104" s="816"/>
      <c r="CA104" s="816"/>
      <c r="CB104" s="816"/>
      <c r="CC104" s="816"/>
      <c r="CD104" s="816"/>
      <c r="CE104" s="816"/>
      <c r="CF104" s="816"/>
      <c r="CG104" s="816"/>
      <c r="CH104" s="816"/>
      <c r="CI104" s="816"/>
      <c r="CJ104" s="816"/>
      <c r="CK104" s="816"/>
      <c r="CL104" s="816"/>
      <c r="CM104" s="816"/>
      <c r="CN104" s="816"/>
      <c r="CO104" s="816"/>
      <c r="CP104" s="816"/>
      <c r="CQ104" s="816"/>
      <c r="CR104" s="816"/>
      <c r="CS104" s="816"/>
      <c r="CT104" s="816"/>
      <c r="CU104" s="816"/>
      <c r="CV104" s="816"/>
      <c r="CW104" s="816"/>
      <c r="CX104" s="816"/>
      <c r="CY104" s="816"/>
      <c r="CZ104" s="816"/>
      <c r="DA104" s="816"/>
      <c r="DB104" s="816"/>
      <c r="DC104" s="816"/>
      <c r="DD104" s="816"/>
      <c r="DE104" s="816"/>
      <c r="DF104" s="816"/>
      <c r="DG104" s="816"/>
      <c r="DH104" s="816"/>
      <c r="DI104" s="816"/>
      <c r="DJ104" s="816"/>
      <c r="DK104" s="816"/>
      <c r="DL104" s="816"/>
      <c r="DM104" s="816"/>
      <c r="DN104" s="816"/>
      <c r="DO104" s="816"/>
      <c r="DP104" s="816"/>
      <c r="DQ104" s="816"/>
      <c r="DR104" s="816"/>
      <c r="DS104" s="816"/>
      <c r="DT104" s="816"/>
      <c r="DU104" s="816"/>
      <c r="DV104" s="816"/>
      <c r="DW104" s="816"/>
      <c r="DX104" s="816"/>
      <c r="DY104" s="816"/>
      <c r="DZ104" s="816"/>
      <c r="EA104" s="816"/>
      <c r="EB104" s="816"/>
      <c r="EC104" s="816"/>
      <c r="ED104" s="816"/>
      <c r="EE104" s="816"/>
      <c r="EF104" s="816"/>
      <c r="EG104" s="816"/>
      <c r="EH104" s="816"/>
      <c r="EI104" s="816"/>
      <c r="EJ104" s="816"/>
      <c r="EK104" s="816"/>
      <c r="EL104" s="816"/>
      <c r="EM104" s="816"/>
      <c r="EN104" s="816"/>
      <c r="EO104" s="816"/>
      <c r="EP104" s="816"/>
      <c r="EQ104" s="816"/>
      <c r="ER104" s="816"/>
      <c r="ES104" s="816"/>
      <c r="ET104" s="816"/>
      <c r="EU104" s="816"/>
      <c r="EV104" s="816"/>
      <c r="EW104" s="816"/>
      <c r="EX104" s="816"/>
      <c r="EY104" s="816"/>
      <c r="EZ104" s="816"/>
      <c r="FA104" s="816"/>
      <c r="FB104" s="816"/>
      <c r="FC104" s="816"/>
      <c r="FD104" s="816"/>
      <c r="FE104" s="816"/>
      <c r="FF104" s="816"/>
      <c r="FG104" s="816"/>
      <c r="FH104" s="816"/>
      <c r="FI104" s="816"/>
      <c r="FJ104" s="816"/>
      <c r="FK104" s="816"/>
      <c r="FL104" s="816"/>
      <c r="FM104" s="816"/>
      <c r="FN104" s="816"/>
      <c r="FO104" s="816"/>
      <c r="FP104" s="816"/>
      <c r="FQ104" s="816"/>
      <c r="FR104" s="816"/>
      <c r="FS104" s="816"/>
      <c r="FT104" s="816"/>
      <c r="FU104" s="816"/>
      <c r="FV104" s="816"/>
      <c r="FW104" s="816"/>
      <c r="FX104" s="816"/>
      <c r="FY104" s="816"/>
      <c r="FZ104" s="816"/>
      <c r="GA104" s="816"/>
      <c r="GB104" s="816"/>
      <c r="GC104" s="816"/>
      <c r="GD104" s="816"/>
      <c r="GE104" s="816"/>
      <c r="GF104" s="816"/>
      <c r="GG104" s="816"/>
      <c r="GH104" s="816"/>
      <c r="GI104" s="816"/>
      <c r="GJ104" s="816"/>
      <c r="GK104" s="816"/>
      <c r="GL104" s="816"/>
      <c r="GM104" s="816"/>
      <c r="GN104" s="816"/>
      <c r="GO104" s="816"/>
      <c r="GP104" s="816"/>
      <c r="GQ104" s="816"/>
      <c r="GR104" s="816"/>
      <c r="GS104" s="816"/>
      <c r="GT104" s="816"/>
      <c r="GU104" s="816"/>
      <c r="GV104" s="816"/>
      <c r="GW104" s="816"/>
      <c r="GX104" s="816"/>
      <c r="GY104" s="816"/>
      <c r="GZ104" s="816"/>
      <c r="HA104" s="816"/>
      <c r="HB104" s="816"/>
      <c r="HC104" s="816"/>
      <c r="HD104" s="816"/>
      <c r="HE104" s="816"/>
      <c r="HF104" s="816"/>
      <c r="HG104" s="816"/>
      <c r="HH104" s="816"/>
      <c r="HI104" s="816"/>
      <c r="HJ104" s="816"/>
      <c r="HK104" s="816"/>
      <c r="HL104" s="816"/>
      <c r="HM104" s="816"/>
      <c r="HN104" s="816"/>
      <c r="HO104" s="816"/>
      <c r="HP104" s="816"/>
      <c r="HQ104" s="816"/>
      <c r="HR104" s="816"/>
      <c r="HS104" s="816"/>
      <c r="HT104" s="816"/>
      <c r="HU104" s="816"/>
      <c r="HV104" s="816"/>
      <c r="HW104" s="816"/>
      <c r="HX104" s="816"/>
      <c r="HY104" s="816"/>
      <c r="HZ104" s="816"/>
      <c r="IA104" s="816"/>
      <c r="IB104" s="816"/>
      <c r="IC104" s="816"/>
      <c r="ID104" s="816"/>
      <c r="IE104" s="816"/>
      <c r="IF104" s="816"/>
      <c r="IG104" s="816"/>
      <c r="IH104" s="816"/>
      <c r="II104" s="816"/>
      <c r="IJ104" s="816"/>
      <c r="IK104" s="816"/>
      <c r="IL104" s="816"/>
      <c r="IM104" s="816"/>
      <c r="IN104" s="816"/>
      <c r="IO104" s="816"/>
      <c r="IP104" s="816"/>
      <c r="IQ104" s="816"/>
      <c r="IR104" s="816"/>
      <c r="IS104" s="816"/>
      <c r="IT104" s="816"/>
      <c r="IU104" s="816"/>
      <c r="IV104" s="816"/>
    </row>
    <row r="105" spans="1:256" s="1587" customFormat="1" ht="81" customHeight="1">
      <c r="A105" s="1602"/>
      <c r="B105" s="1603"/>
      <c r="C105" s="1604"/>
      <c r="D105" s="584" t="s">
        <v>2404</v>
      </c>
      <c r="E105" s="1605"/>
      <c r="F105" s="1606"/>
      <c r="G105" s="299"/>
      <c r="H105" s="1607"/>
      <c r="I105" s="1608"/>
      <c r="L105" s="1588"/>
      <c r="M105" s="1588"/>
      <c r="N105" s="1588"/>
      <c r="O105" s="1588"/>
      <c r="P105" s="1588"/>
      <c r="Q105" s="1588"/>
      <c r="R105" s="1588"/>
      <c r="S105" s="1588"/>
      <c r="T105" s="1588"/>
      <c r="U105" s="1588"/>
      <c r="V105" s="1588"/>
      <c r="W105" s="1588"/>
      <c r="X105" s="1588"/>
      <c r="Y105" s="1588"/>
      <c r="Z105" s="1588"/>
      <c r="AA105" s="1588"/>
      <c r="AB105" s="1588"/>
      <c r="AC105" s="1588"/>
      <c r="AD105" s="1588"/>
      <c r="AE105" s="1588"/>
      <c r="AF105" s="1588"/>
      <c r="AG105" s="1588"/>
      <c r="AH105" s="1588"/>
      <c r="AI105" s="1588"/>
      <c r="AJ105" s="1588"/>
      <c r="AK105" s="1588"/>
      <c r="AL105" s="1588"/>
      <c r="AM105" s="1588"/>
      <c r="AN105" s="1588"/>
      <c r="AO105" s="1588"/>
      <c r="AP105" s="1588"/>
      <c r="AQ105" s="1588"/>
      <c r="AR105" s="1588"/>
      <c r="AS105" s="1588"/>
      <c r="AT105" s="1588"/>
      <c r="AU105" s="1588"/>
      <c r="AV105" s="1588"/>
      <c r="AW105" s="1588"/>
      <c r="AX105" s="1588"/>
      <c r="AY105" s="1588"/>
      <c r="AZ105" s="1588"/>
      <c r="BA105" s="1588"/>
      <c r="BB105" s="1588"/>
      <c r="BC105" s="1588"/>
      <c r="BD105" s="1588"/>
      <c r="BE105" s="1588"/>
      <c r="BF105" s="1588"/>
      <c r="BG105" s="1588"/>
      <c r="BH105" s="1588"/>
      <c r="BI105" s="1588"/>
      <c r="BJ105" s="1588"/>
      <c r="BK105" s="1588"/>
      <c r="BL105" s="1588"/>
      <c r="BM105" s="1588"/>
      <c r="BN105" s="1588"/>
      <c r="BO105" s="1588"/>
      <c r="BP105" s="1588"/>
      <c r="BQ105" s="1588"/>
      <c r="BR105" s="1588"/>
      <c r="BS105" s="1588"/>
      <c r="BT105" s="1588"/>
      <c r="BU105" s="1588"/>
      <c r="BV105" s="1588"/>
      <c r="BW105" s="1588"/>
      <c r="BX105" s="1588"/>
      <c r="BY105" s="1588"/>
      <c r="BZ105" s="1588"/>
      <c r="CA105" s="1588"/>
      <c r="CB105" s="1588"/>
      <c r="CC105" s="1588"/>
      <c r="CD105" s="1588"/>
      <c r="CE105" s="1588"/>
      <c r="CF105" s="1588"/>
      <c r="CG105" s="1588"/>
      <c r="CH105" s="1588"/>
      <c r="CI105" s="1588"/>
      <c r="CJ105" s="1588"/>
      <c r="CK105" s="1588"/>
      <c r="CL105" s="1588"/>
      <c r="CM105" s="1588"/>
      <c r="CN105" s="1588"/>
      <c r="CO105" s="1588"/>
      <c r="CP105" s="1588"/>
      <c r="CQ105" s="1588"/>
      <c r="CR105" s="1588"/>
      <c r="CS105" s="1588"/>
      <c r="CT105" s="1588"/>
      <c r="CU105" s="1588"/>
      <c r="CV105" s="1588"/>
      <c r="CW105" s="1588"/>
      <c r="CX105" s="1588"/>
      <c r="CY105" s="1588"/>
      <c r="CZ105" s="1588"/>
      <c r="DA105" s="1588"/>
      <c r="DB105" s="1588"/>
      <c r="DC105" s="1588"/>
      <c r="DD105" s="1588"/>
      <c r="DE105" s="1588"/>
      <c r="DF105" s="1588"/>
      <c r="DG105" s="1588"/>
      <c r="DH105" s="1588"/>
      <c r="DI105" s="1588"/>
      <c r="DJ105" s="1588"/>
      <c r="DK105" s="1588"/>
      <c r="DL105" s="1588"/>
      <c r="DM105" s="1588"/>
      <c r="DN105" s="1588"/>
      <c r="DO105" s="1588"/>
      <c r="DP105" s="1588"/>
      <c r="DQ105" s="1588"/>
      <c r="DR105" s="1588"/>
      <c r="DS105" s="1588"/>
      <c r="DT105" s="1588"/>
      <c r="DU105" s="1588"/>
      <c r="DV105" s="1588"/>
      <c r="DW105" s="1588"/>
      <c r="DX105" s="1588"/>
      <c r="DY105" s="1588"/>
      <c r="DZ105" s="1588"/>
      <c r="EA105" s="1588"/>
      <c r="EB105" s="1588"/>
      <c r="EC105" s="1588"/>
      <c r="ED105" s="1588"/>
      <c r="EE105" s="1588"/>
      <c r="EF105" s="1588"/>
      <c r="EG105" s="1588"/>
      <c r="EH105" s="1588"/>
      <c r="EI105" s="1588"/>
      <c r="EJ105" s="1588"/>
      <c r="EK105" s="1588"/>
      <c r="EL105" s="1588"/>
      <c r="EM105" s="1588"/>
      <c r="EN105" s="1588"/>
      <c r="EO105" s="1588"/>
      <c r="EP105" s="1588"/>
      <c r="EQ105" s="1588"/>
      <c r="ER105" s="1588"/>
      <c r="ES105" s="1588"/>
      <c r="ET105" s="1588"/>
      <c r="EU105" s="1588"/>
      <c r="EV105" s="1588"/>
      <c r="EW105" s="1588"/>
      <c r="EX105" s="1588"/>
      <c r="EY105" s="1588"/>
      <c r="EZ105" s="1588"/>
      <c r="FA105" s="1588"/>
      <c r="FB105" s="1588"/>
      <c r="FC105" s="1588"/>
      <c r="FD105" s="1588"/>
      <c r="FE105" s="1588"/>
      <c r="FF105" s="1588"/>
      <c r="FG105" s="1588"/>
      <c r="FH105" s="1588"/>
      <c r="FI105" s="1588"/>
      <c r="FJ105" s="1588"/>
      <c r="FK105" s="1588"/>
      <c r="FL105" s="1588"/>
      <c r="FM105" s="1588"/>
      <c r="FN105" s="1588"/>
      <c r="FO105" s="1588"/>
      <c r="FP105" s="1588"/>
      <c r="FQ105" s="1588"/>
      <c r="FR105" s="1588"/>
      <c r="FS105" s="1588"/>
      <c r="FT105" s="1588"/>
      <c r="FU105" s="1588"/>
      <c r="FV105" s="1588"/>
      <c r="FW105" s="1588"/>
      <c r="FX105" s="1588"/>
      <c r="FY105" s="1588"/>
      <c r="FZ105" s="1588"/>
      <c r="GA105" s="1588"/>
      <c r="GB105" s="1588"/>
      <c r="GC105" s="1588"/>
      <c r="GD105" s="1588"/>
      <c r="GE105" s="1588"/>
      <c r="GF105" s="1588"/>
      <c r="GG105" s="1588"/>
      <c r="GH105" s="1588"/>
      <c r="GI105" s="1588"/>
      <c r="GJ105" s="1588"/>
      <c r="GK105" s="1588"/>
      <c r="GL105" s="1588"/>
      <c r="GM105" s="1588"/>
      <c r="GN105" s="1588"/>
      <c r="GO105" s="1588"/>
      <c r="GP105" s="1588"/>
      <c r="GQ105" s="1588"/>
      <c r="GR105" s="1588"/>
      <c r="GS105" s="1588"/>
      <c r="GT105" s="1588"/>
      <c r="GU105" s="1588"/>
      <c r="GV105" s="1588"/>
      <c r="GW105" s="1588"/>
      <c r="GX105" s="1588"/>
      <c r="GY105" s="1588"/>
      <c r="GZ105" s="1588"/>
      <c r="HA105" s="1588"/>
      <c r="HB105" s="1588"/>
      <c r="HC105" s="1588"/>
      <c r="HD105" s="1588"/>
      <c r="HE105" s="1588"/>
      <c r="HF105" s="1588"/>
      <c r="HG105" s="1588"/>
      <c r="HH105" s="1588"/>
      <c r="HI105" s="1588"/>
      <c r="HJ105" s="1588"/>
      <c r="HK105" s="1588"/>
      <c r="HL105" s="1588"/>
      <c r="HM105" s="1588"/>
      <c r="HN105" s="1588"/>
      <c r="HO105" s="1588"/>
      <c r="HP105" s="1588"/>
      <c r="HQ105" s="1588"/>
      <c r="HR105" s="1588"/>
      <c r="HS105" s="1588"/>
      <c r="HT105" s="1588"/>
      <c r="HU105" s="1588"/>
      <c r="HV105" s="1588"/>
      <c r="HW105" s="1588"/>
      <c r="HX105" s="1588"/>
      <c r="HY105" s="1588"/>
      <c r="HZ105" s="1588"/>
      <c r="IA105" s="1588"/>
      <c r="IB105" s="1588"/>
      <c r="IC105" s="1588"/>
      <c r="ID105" s="1588"/>
      <c r="IE105" s="1588"/>
      <c r="IF105" s="1588"/>
      <c r="IG105" s="1588"/>
      <c r="IH105" s="1588"/>
      <c r="II105" s="1588"/>
      <c r="IJ105" s="1588"/>
      <c r="IK105" s="1588"/>
      <c r="IL105" s="1588"/>
      <c r="IM105" s="1588"/>
      <c r="IN105" s="1588"/>
      <c r="IO105" s="1588"/>
      <c r="IP105" s="1588"/>
      <c r="IQ105" s="1588"/>
      <c r="IR105" s="1588"/>
      <c r="IS105" s="1588"/>
      <c r="IT105" s="1588"/>
      <c r="IU105" s="1588"/>
      <c r="IV105" s="1588"/>
    </row>
    <row r="106" spans="1:256" ht="13.5" customHeight="1">
      <c r="A106" s="608"/>
      <c r="B106" s="557"/>
      <c r="C106" s="616">
        <v>4</v>
      </c>
      <c r="D106" s="616" t="s">
        <v>279</v>
      </c>
      <c r="E106" s="616"/>
      <c r="F106" s="617"/>
      <c r="G106" s="303"/>
      <c r="H106" s="828">
        <f>SUM(H107:H118)</f>
        <v>0</v>
      </c>
      <c r="I106" s="613"/>
    </row>
    <row r="107" spans="1:256" ht="13.5" customHeight="1">
      <c r="A107" s="608">
        <v>21</v>
      </c>
      <c r="B107" s="557">
        <v>271</v>
      </c>
      <c r="C107" s="557">
        <v>451573111</v>
      </c>
      <c r="D107" s="557" t="s">
        <v>2405</v>
      </c>
      <c r="E107" s="557" t="s">
        <v>146</v>
      </c>
      <c r="F107" s="2659">
        <f>ROUND(SUM(F109),3)</f>
        <v>0.9</v>
      </c>
      <c r="G107" s="288"/>
      <c r="H107" s="568">
        <f t="shared" ref="H107" si="18">ROUND(F107*G107,2)</f>
        <v>0</v>
      </c>
      <c r="I107" s="613" t="s">
        <v>137</v>
      </c>
    </row>
    <row r="108" spans="1:256" s="604" customFormat="1" ht="13.5" customHeight="1">
      <c r="A108" s="595"/>
      <c r="B108" s="596"/>
      <c r="C108" s="597"/>
      <c r="D108" s="719" t="s">
        <v>5322</v>
      </c>
      <c r="E108" s="599"/>
      <c r="F108" s="600"/>
      <c r="G108" s="289"/>
      <c r="H108" s="601"/>
      <c r="I108" s="602"/>
      <c r="J108" s="606"/>
      <c r="U108" s="605"/>
      <c r="W108" s="605"/>
    </row>
    <row r="109" spans="1:256" s="604" customFormat="1" ht="13.5" customHeight="1">
      <c r="A109" s="595"/>
      <c r="B109" s="596"/>
      <c r="C109" s="597"/>
      <c r="D109" s="599" t="s">
        <v>5323</v>
      </c>
      <c r="E109" s="599"/>
      <c r="F109" s="600">
        <f>(3*3)*0.1</f>
        <v>0.9</v>
      </c>
      <c r="G109" s="289"/>
      <c r="H109" s="2733"/>
      <c r="I109" s="602"/>
      <c r="J109" s="606"/>
      <c r="L109" s="2584"/>
      <c r="M109" s="2584"/>
      <c r="Q109" s="2585"/>
      <c r="R109" s="2585"/>
      <c r="U109" s="605"/>
      <c r="W109" s="605"/>
    </row>
    <row r="110" spans="1:256" s="888" customFormat="1" ht="13.5" customHeight="1">
      <c r="A110" s="2664" t="s">
        <v>884</v>
      </c>
      <c r="B110" s="2665">
        <v>271</v>
      </c>
      <c r="C110" s="2666">
        <v>452321162</v>
      </c>
      <c r="D110" s="2666" t="s">
        <v>5324</v>
      </c>
      <c r="E110" s="2666" t="s">
        <v>146</v>
      </c>
      <c r="F110" s="2659">
        <f>ROUND(SUM(F112),3)</f>
        <v>1.89</v>
      </c>
      <c r="G110" s="287"/>
      <c r="H110" s="568">
        <f t="shared" ref="H110" si="19">ROUND(F110*G110,2)</f>
        <v>0</v>
      </c>
      <c r="I110" s="613" t="s">
        <v>137</v>
      </c>
      <c r="J110" s="2734"/>
    </row>
    <row r="111" spans="1:256" s="888" customFormat="1" ht="27" customHeight="1">
      <c r="A111" s="2664"/>
      <c r="B111" s="2665"/>
      <c r="C111" s="2666"/>
      <c r="D111" s="2669" t="s">
        <v>5325</v>
      </c>
      <c r="E111" s="2666"/>
      <c r="F111" s="779"/>
      <c r="G111" s="287"/>
      <c r="H111" s="2667"/>
      <c r="I111" s="2670"/>
      <c r="J111" s="2671"/>
    </row>
    <row r="112" spans="1:256" s="888" customFormat="1" ht="13.5" customHeight="1">
      <c r="A112" s="2664"/>
      <c r="B112" s="2665"/>
      <c r="C112" s="2666"/>
      <c r="D112" s="2669" t="s">
        <v>5326</v>
      </c>
      <c r="E112" s="2666"/>
      <c r="F112" s="779">
        <f>((3*3)*0.2)*1.05</f>
        <v>1.8900000000000001</v>
      </c>
      <c r="G112" s="287"/>
      <c r="H112" s="2667"/>
      <c r="I112" s="2670"/>
      <c r="J112" s="2735"/>
    </row>
    <row r="113" spans="1:256" s="604" customFormat="1" ht="27" customHeight="1">
      <c r="A113" s="2664" t="s">
        <v>1071</v>
      </c>
      <c r="B113" s="557">
        <v>271</v>
      </c>
      <c r="C113" s="557">
        <v>452351111</v>
      </c>
      <c r="D113" s="557" t="s">
        <v>5327</v>
      </c>
      <c r="E113" s="557" t="s">
        <v>163</v>
      </c>
      <c r="F113" s="2659">
        <f>ROUND(SUM(F115),3)</f>
        <v>2.4</v>
      </c>
      <c r="G113" s="288"/>
      <c r="H113" s="568">
        <f t="shared" ref="H113" si="20">ROUND(F113*G113,2)</f>
        <v>0</v>
      </c>
      <c r="I113" s="613" t="s">
        <v>137</v>
      </c>
      <c r="J113" s="610"/>
      <c r="K113" s="2663"/>
      <c r="U113" s="605"/>
      <c r="W113" s="605"/>
    </row>
    <row r="114" spans="1:256" s="888" customFormat="1" ht="13.5" customHeight="1">
      <c r="A114" s="2664"/>
      <c r="B114" s="2665"/>
      <c r="C114" s="2666"/>
      <c r="D114" s="2669" t="s">
        <v>5328</v>
      </c>
      <c r="E114" s="2666"/>
      <c r="F114" s="779"/>
      <c r="G114" s="287"/>
      <c r="H114" s="2667"/>
      <c r="I114" s="2670"/>
      <c r="J114" s="2671"/>
    </row>
    <row r="115" spans="1:256" s="888" customFormat="1" ht="13.5" customHeight="1">
      <c r="A115" s="2664"/>
      <c r="B115" s="2665"/>
      <c r="C115" s="2666"/>
      <c r="D115" s="2669" t="s">
        <v>5329</v>
      </c>
      <c r="E115" s="2666"/>
      <c r="F115" s="779">
        <f>((3)*4)*0.2</f>
        <v>2.4000000000000004</v>
      </c>
      <c r="G115" s="287"/>
      <c r="H115" s="2667"/>
      <c r="I115" s="2670"/>
      <c r="J115" s="2671"/>
    </row>
    <row r="116" spans="1:256" s="604" customFormat="1" ht="27" customHeight="1">
      <c r="A116" s="2664" t="s">
        <v>1218</v>
      </c>
      <c r="B116" s="557">
        <v>271</v>
      </c>
      <c r="C116" s="557">
        <v>452351112</v>
      </c>
      <c r="D116" s="557" t="s">
        <v>5330</v>
      </c>
      <c r="E116" s="557" t="s">
        <v>163</v>
      </c>
      <c r="F116" s="2659">
        <f>ROUND(SUM(F113),3)</f>
        <v>2.4</v>
      </c>
      <c r="G116" s="288"/>
      <c r="H116" s="568">
        <f t="shared" ref="H116:H117" si="21">ROUND(F116*G116,2)</f>
        <v>0</v>
      </c>
      <c r="I116" s="613" t="s">
        <v>137</v>
      </c>
      <c r="J116" s="610"/>
      <c r="K116" s="2663"/>
      <c r="U116" s="605"/>
      <c r="W116" s="605"/>
    </row>
    <row r="117" spans="1:256" s="2739" customFormat="1" ht="22.5">
      <c r="A117" s="2664" t="s">
        <v>1223</v>
      </c>
      <c r="B117" s="2736" t="s">
        <v>2416</v>
      </c>
      <c r="C117" s="2737">
        <v>452368211</v>
      </c>
      <c r="D117" s="2737" t="s">
        <v>5331</v>
      </c>
      <c r="E117" s="2737" t="s">
        <v>175</v>
      </c>
      <c r="F117" s="2659">
        <f>ROUND(SUM(F118),3)</f>
        <v>0.126</v>
      </c>
      <c r="G117" s="360"/>
      <c r="H117" s="568">
        <f t="shared" si="21"/>
        <v>0</v>
      </c>
      <c r="I117" s="613" t="s">
        <v>137</v>
      </c>
      <c r="J117" s="2738"/>
      <c r="K117" s="2738"/>
      <c r="L117" s="2738"/>
      <c r="N117" s="2738"/>
    </row>
    <row r="118" spans="1:256" s="2745" customFormat="1" ht="27" customHeight="1">
      <c r="A118" s="2740"/>
      <c r="B118" s="2669"/>
      <c r="C118" s="2669"/>
      <c r="D118" s="2741" t="s">
        <v>5332</v>
      </c>
      <c r="E118" s="2741"/>
      <c r="F118" s="2742">
        <f>((1.89)/1.05)*0.07</f>
        <v>0.126</v>
      </c>
      <c r="G118" s="361"/>
      <c r="H118" s="2743"/>
      <c r="I118" s="2744"/>
      <c r="M118" s="2739"/>
    </row>
    <row r="119" spans="1:256" ht="13.5" customHeight="1">
      <c r="A119" s="608"/>
      <c r="B119" s="557"/>
      <c r="C119" s="616" t="s">
        <v>1171</v>
      </c>
      <c r="D119" s="616" t="s">
        <v>1646</v>
      </c>
      <c r="E119" s="616"/>
      <c r="F119" s="617"/>
      <c r="G119" s="303"/>
      <c r="H119" s="828">
        <f>SUM(H120:H131)</f>
        <v>0</v>
      </c>
      <c r="I119" s="613"/>
      <c r="J119" s="2738"/>
    </row>
    <row r="120" spans="1:256" s="2739" customFormat="1" ht="13.5" customHeight="1">
      <c r="A120" s="2746">
        <v>26</v>
      </c>
      <c r="B120" s="2736">
        <v>271</v>
      </c>
      <c r="C120" s="2737" t="s">
        <v>4910</v>
      </c>
      <c r="D120" s="2737" t="s">
        <v>5333</v>
      </c>
      <c r="E120" s="2737" t="s">
        <v>205</v>
      </c>
      <c r="F120" s="2659">
        <f>ROUND(SUM(F121),3)</f>
        <v>1</v>
      </c>
      <c r="G120" s="360"/>
      <c r="H120" s="568">
        <f t="shared" ref="H120" si="22">ROUND(F120*G120,2)</f>
        <v>0</v>
      </c>
      <c r="I120" s="363" t="s">
        <v>111</v>
      </c>
      <c r="J120" s="2747"/>
      <c r="K120" s="888"/>
      <c r="L120" s="888"/>
      <c r="M120" s="888"/>
      <c r="N120" s="888"/>
      <c r="O120" s="888"/>
      <c r="P120" s="888"/>
      <c r="R120" s="2748"/>
    </row>
    <row r="121" spans="1:256" s="888" customFormat="1" ht="13.5" customHeight="1">
      <c r="A121" s="2664"/>
      <c r="B121" s="2665"/>
      <c r="C121" s="2666"/>
      <c r="D121" s="2669" t="s">
        <v>5334</v>
      </c>
      <c r="E121" s="2666"/>
      <c r="F121" s="779">
        <v>1</v>
      </c>
      <c r="G121" s="287"/>
      <c r="H121" s="2667"/>
      <c r="I121" s="2749"/>
      <c r="J121" s="2747"/>
      <c r="R121" s="2748"/>
    </row>
    <row r="122" spans="1:256" s="1587" customFormat="1" ht="54" customHeight="1">
      <c r="A122" s="1602"/>
      <c r="B122" s="1603"/>
      <c r="C122" s="1604"/>
      <c r="D122" s="584" t="s">
        <v>5335</v>
      </c>
      <c r="E122" s="1605"/>
      <c r="F122" s="1606"/>
      <c r="G122" s="299"/>
      <c r="H122" s="1607"/>
      <c r="I122" s="2749"/>
      <c r="J122" s="2747"/>
      <c r="L122" s="1588"/>
      <c r="M122" s="1588"/>
      <c r="N122" s="1588"/>
      <c r="O122" s="1588"/>
      <c r="P122" s="1588"/>
      <c r="Q122" s="1588"/>
      <c r="R122" s="2748"/>
      <c r="S122" s="1588"/>
      <c r="T122" s="1588"/>
      <c r="U122" s="1588"/>
      <c r="V122" s="1588"/>
      <c r="W122" s="1588"/>
      <c r="X122" s="1588"/>
      <c r="Y122" s="1588"/>
      <c r="Z122" s="1588"/>
      <c r="AA122" s="1588"/>
      <c r="AB122" s="1588"/>
      <c r="AC122" s="1588"/>
      <c r="AD122" s="1588"/>
      <c r="AE122" s="1588"/>
      <c r="AF122" s="1588"/>
      <c r="AG122" s="1588"/>
      <c r="AH122" s="1588"/>
      <c r="AI122" s="1588"/>
      <c r="AJ122" s="1588"/>
      <c r="AK122" s="1588"/>
      <c r="AL122" s="1588"/>
      <c r="AM122" s="1588"/>
      <c r="AN122" s="1588"/>
      <c r="AO122" s="1588"/>
      <c r="AP122" s="1588"/>
      <c r="AQ122" s="1588"/>
      <c r="AR122" s="1588"/>
      <c r="AS122" s="1588"/>
      <c r="AT122" s="1588"/>
      <c r="AU122" s="1588"/>
      <c r="AV122" s="1588"/>
      <c r="AW122" s="1588"/>
      <c r="AX122" s="1588"/>
      <c r="AY122" s="1588"/>
      <c r="AZ122" s="1588"/>
      <c r="BA122" s="1588"/>
      <c r="BB122" s="1588"/>
      <c r="BC122" s="1588"/>
      <c r="BD122" s="1588"/>
      <c r="BE122" s="1588"/>
      <c r="BF122" s="1588"/>
      <c r="BG122" s="1588"/>
      <c r="BH122" s="1588"/>
      <c r="BI122" s="1588"/>
      <c r="BJ122" s="1588"/>
      <c r="BK122" s="1588"/>
      <c r="BL122" s="1588"/>
      <c r="BM122" s="1588"/>
      <c r="BN122" s="1588"/>
      <c r="BO122" s="1588"/>
      <c r="BP122" s="1588"/>
      <c r="BQ122" s="1588"/>
      <c r="BR122" s="1588"/>
      <c r="BS122" s="1588"/>
      <c r="BT122" s="1588"/>
      <c r="BU122" s="1588"/>
      <c r="BV122" s="1588"/>
      <c r="BW122" s="1588"/>
      <c r="BX122" s="1588"/>
      <c r="BY122" s="1588"/>
      <c r="BZ122" s="1588"/>
      <c r="CA122" s="1588"/>
      <c r="CB122" s="1588"/>
      <c r="CC122" s="1588"/>
      <c r="CD122" s="1588"/>
      <c r="CE122" s="1588"/>
      <c r="CF122" s="1588"/>
      <c r="CG122" s="1588"/>
      <c r="CH122" s="1588"/>
      <c r="CI122" s="1588"/>
      <c r="CJ122" s="1588"/>
      <c r="CK122" s="1588"/>
      <c r="CL122" s="1588"/>
      <c r="CM122" s="1588"/>
      <c r="CN122" s="1588"/>
      <c r="CO122" s="1588"/>
      <c r="CP122" s="1588"/>
      <c r="CQ122" s="1588"/>
      <c r="CR122" s="1588"/>
      <c r="CS122" s="1588"/>
      <c r="CT122" s="1588"/>
      <c r="CU122" s="1588"/>
      <c r="CV122" s="1588"/>
      <c r="CW122" s="1588"/>
      <c r="CX122" s="1588"/>
      <c r="CY122" s="1588"/>
      <c r="CZ122" s="1588"/>
      <c r="DA122" s="1588"/>
      <c r="DB122" s="1588"/>
      <c r="DC122" s="1588"/>
      <c r="DD122" s="1588"/>
      <c r="DE122" s="1588"/>
      <c r="DF122" s="1588"/>
      <c r="DG122" s="1588"/>
      <c r="DH122" s="1588"/>
      <c r="DI122" s="1588"/>
      <c r="DJ122" s="1588"/>
      <c r="DK122" s="1588"/>
      <c r="DL122" s="1588"/>
      <c r="DM122" s="1588"/>
      <c r="DN122" s="1588"/>
      <c r="DO122" s="1588"/>
      <c r="DP122" s="1588"/>
      <c r="DQ122" s="1588"/>
      <c r="DR122" s="1588"/>
      <c r="DS122" s="1588"/>
      <c r="DT122" s="1588"/>
      <c r="DU122" s="1588"/>
      <c r="DV122" s="1588"/>
      <c r="DW122" s="1588"/>
      <c r="DX122" s="1588"/>
      <c r="DY122" s="1588"/>
      <c r="DZ122" s="1588"/>
      <c r="EA122" s="1588"/>
      <c r="EB122" s="1588"/>
      <c r="EC122" s="1588"/>
      <c r="ED122" s="1588"/>
      <c r="EE122" s="1588"/>
      <c r="EF122" s="1588"/>
      <c r="EG122" s="1588"/>
      <c r="EH122" s="1588"/>
      <c r="EI122" s="1588"/>
      <c r="EJ122" s="1588"/>
      <c r="EK122" s="1588"/>
      <c r="EL122" s="1588"/>
      <c r="EM122" s="1588"/>
      <c r="EN122" s="1588"/>
      <c r="EO122" s="1588"/>
      <c r="EP122" s="1588"/>
      <c r="EQ122" s="1588"/>
      <c r="ER122" s="1588"/>
      <c r="ES122" s="1588"/>
      <c r="ET122" s="1588"/>
      <c r="EU122" s="1588"/>
      <c r="EV122" s="1588"/>
      <c r="EW122" s="1588"/>
      <c r="EX122" s="1588"/>
      <c r="EY122" s="1588"/>
      <c r="EZ122" s="1588"/>
      <c r="FA122" s="1588"/>
      <c r="FB122" s="1588"/>
      <c r="FC122" s="1588"/>
      <c r="FD122" s="1588"/>
      <c r="FE122" s="1588"/>
      <c r="FF122" s="1588"/>
      <c r="FG122" s="1588"/>
      <c r="FH122" s="1588"/>
      <c r="FI122" s="1588"/>
      <c r="FJ122" s="1588"/>
      <c r="FK122" s="1588"/>
      <c r="FL122" s="1588"/>
      <c r="FM122" s="1588"/>
      <c r="FN122" s="1588"/>
      <c r="FO122" s="1588"/>
      <c r="FP122" s="1588"/>
      <c r="FQ122" s="1588"/>
      <c r="FR122" s="1588"/>
      <c r="FS122" s="1588"/>
      <c r="FT122" s="1588"/>
      <c r="FU122" s="1588"/>
      <c r="FV122" s="1588"/>
      <c r="FW122" s="1588"/>
      <c r="FX122" s="1588"/>
      <c r="FY122" s="1588"/>
      <c r="FZ122" s="1588"/>
      <c r="GA122" s="1588"/>
      <c r="GB122" s="1588"/>
      <c r="GC122" s="1588"/>
      <c r="GD122" s="1588"/>
      <c r="GE122" s="1588"/>
      <c r="GF122" s="1588"/>
      <c r="GG122" s="1588"/>
      <c r="GH122" s="1588"/>
      <c r="GI122" s="1588"/>
      <c r="GJ122" s="1588"/>
      <c r="GK122" s="1588"/>
      <c r="GL122" s="1588"/>
      <c r="GM122" s="1588"/>
      <c r="GN122" s="1588"/>
      <c r="GO122" s="1588"/>
      <c r="GP122" s="1588"/>
      <c r="GQ122" s="1588"/>
      <c r="GR122" s="1588"/>
      <c r="GS122" s="1588"/>
      <c r="GT122" s="1588"/>
      <c r="GU122" s="1588"/>
      <c r="GV122" s="1588"/>
      <c r="GW122" s="1588"/>
      <c r="GX122" s="1588"/>
      <c r="GY122" s="1588"/>
      <c r="GZ122" s="1588"/>
      <c r="HA122" s="1588"/>
      <c r="HB122" s="1588"/>
      <c r="HC122" s="1588"/>
      <c r="HD122" s="1588"/>
      <c r="HE122" s="1588"/>
      <c r="HF122" s="1588"/>
      <c r="HG122" s="1588"/>
      <c r="HH122" s="1588"/>
      <c r="HI122" s="1588"/>
      <c r="HJ122" s="1588"/>
      <c r="HK122" s="1588"/>
      <c r="HL122" s="1588"/>
      <c r="HM122" s="1588"/>
      <c r="HN122" s="1588"/>
      <c r="HO122" s="1588"/>
      <c r="HP122" s="1588"/>
      <c r="HQ122" s="1588"/>
      <c r="HR122" s="1588"/>
      <c r="HS122" s="1588"/>
      <c r="HT122" s="1588"/>
      <c r="HU122" s="1588"/>
      <c r="HV122" s="1588"/>
      <c r="HW122" s="1588"/>
      <c r="HX122" s="1588"/>
      <c r="HY122" s="1588"/>
      <c r="HZ122" s="1588"/>
      <c r="IA122" s="1588"/>
      <c r="IB122" s="1588"/>
      <c r="IC122" s="1588"/>
      <c r="ID122" s="1588"/>
      <c r="IE122" s="1588"/>
      <c r="IF122" s="1588"/>
      <c r="IG122" s="1588"/>
      <c r="IH122" s="1588"/>
      <c r="II122" s="1588"/>
      <c r="IJ122" s="1588"/>
      <c r="IK122" s="1588"/>
      <c r="IL122" s="1588"/>
      <c r="IM122" s="1588"/>
      <c r="IN122" s="1588"/>
      <c r="IO122" s="1588"/>
      <c r="IP122" s="1588"/>
      <c r="IQ122" s="1588"/>
      <c r="IR122" s="1588"/>
      <c r="IS122" s="1588"/>
      <c r="IT122" s="1588"/>
      <c r="IU122" s="1588"/>
      <c r="IV122" s="1588"/>
    </row>
    <row r="123" spans="1:256" s="888" customFormat="1" ht="13.5" customHeight="1">
      <c r="A123" s="2664"/>
      <c r="B123" s="2665"/>
      <c r="C123" s="2666"/>
      <c r="D123" s="2669" t="s">
        <v>5336</v>
      </c>
      <c r="E123" s="2666"/>
      <c r="F123" s="779"/>
      <c r="G123" s="287"/>
      <c r="H123" s="2667"/>
      <c r="I123" s="2670"/>
      <c r="J123" s="2671"/>
    </row>
    <row r="124" spans="1:256" s="604" customFormat="1" ht="13.5" customHeight="1">
      <c r="A124" s="608">
        <v>27</v>
      </c>
      <c r="B124" s="557">
        <v>271</v>
      </c>
      <c r="C124" s="557" t="s">
        <v>2407</v>
      </c>
      <c r="D124" s="557" t="s">
        <v>5337</v>
      </c>
      <c r="E124" s="557" t="s">
        <v>49</v>
      </c>
      <c r="F124" s="2659">
        <f>ROUND(SUM(F125),3)</f>
        <v>1</v>
      </c>
      <c r="G124" s="288"/>
      <c r="H124" s="568">
        <f t="shared" ref="H124" si="23">ROUND(F124*G124,2)</f>
        <v>0</v>
      </c>
      <c r="I124" s="363" t="s">
        <v>111</v>
      </c>
      <c r="J124" s="610"/>
      <c r="K124" s="2663"/>
      <c r="U124" s="605"/>
      <c r="W124" s="605"/>
    </row>
    <row r="125" spans="1:256" s="455" customFormat="1" ht="13.5" customHeight="1">
      <c r="A125" s="351"/>
      <c r="B125" s="352"/>
      <c r="C125" s="352"/>
      <c r="D125" s="719" t="s">
        <v>5338</v>
      </c>
      <c r="E125" s="352"/>
      <c r="F125" s="2750">
        <v>1</v>
      </c>
      <c r="G125" s="2784"/>
      <c r="H125" s="362"/>
      <c r="I125" s="363"/>
      <c r="J125" s="2751"/>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2"/>
      <c r="AH125" s="2752"/>
      <c r="AI125" s="2752"/>
      <c r="AJ125" s="2752"/>
      <c r="AK125" s="2752"/>
      <c r="AL125" s="2752"/>
      <c r="AM125" s="2752"/>
      <c r="AN125" s="2752"/>
      <c r="AO125" s="2752"/>
      <c r="AP125" s="2752"/>
      <c r="AQ125" s="2752"/>
      <c r="AR125" s="2752"/>
      <c r="AS125" s="2752"/>
      <c r="AT125" s="2752"/>
      <c r="AU125" s="2752"/>
      <c r="AV125" s="2752"/>
      <c r="AW125" s="2752"/>
      <c r="AX125" s="2752"/>
      <c r="AY125" s="2752"/>
      <c r="AZ125" s="2752"/>
      <c r="BA125" s="2752"/>
      <c r="BB125" s="2752"/>
      <c r="BC125" s="2752"/>
      <c r="BD125" s="2752"/>
      <c r="BE125" s="2752"/>
      <c r="BF125" s="2752"/>
      <c r="BG125" s="2752"/>
      <c r="BH125" s="2752"/>
      <c r="BI125" s="2752"/>
      <c r="BJ125" s="2752"/>
      <c r="BK125" s="2752"/>
      <c r="BL125" s="2752"/>
      <c r="BM125" s="2752"/>
      <c r="BN125" s="2752"/>
      <c r="BO125" s="2752"/>
      <c r="BP125" s="2752"/>
      <c r="BQ125" s="2752"/>
      <c r="BR125" s="2752"/>
      <c r="BS125" s="2752"/>
      <c r="BT125" s="2752"/>
      <c r="BU125" s="2752"/>
      <c r="BV125" s="2752"/>
      <c r="BW125" s="2752"/>
      <c r="BX125" s="2752"/>
      <c r="BY125" s="2752"/>
      <c r="BZ125" s="2752"/>
      <c r="CA125" s="2752"/>
      <c r="CB125" s="2752"/>
      <c r="CC125" s="2752"/>
      <c r="CD125" s="2752"/>
      <c r="CE125" s="2752"/>
      <c r="CF125" s="2752"/>
      <c r="CG125" s="2752"/>
      <c r="CH125" s="2752"/>
      <c r="CI125" s="2752"/>
      <c r="CJ125" s="2752"/>
      <c r="CK125" s="2752"/>
      <c r="CL125" s="2752"/>
      <c r="CM125" s="2752"/>
      <c r="CN125" s="2752"/>
      <c r="CO125" s="2752"/>
      <c r="CP125" s="2752"/>
      <c r="CQ125" s="2752"/>
      <c r="CR125" s="2752"/>
      <c r="CS125" s="2752"/>
      <c r="CT125" s="2752"/>
      <c r="CU125" s="2752"/>
      <c r="CV125" s="2752"/>
      <c r="CW125" s="2752"/>
      <c r="CX125" s="2752"/>
      <c r="CY125" s="2752"/>
      <c r="CZ125" s="2752"/>
      <c r="DA125" s="2752"/>
      <c r="DB125" s="2752"/>
      <c r="DC125" s="2752"/>
      <c r="DD125" s="2752"/>
      <c r="DE125" s="2752"/>
      <c r="DF125" s="2752"/>
      <c r="DG125" s="2752"/>
      <c r="DH125" s="2752"/>
      <c r="DI125" s="2752"/>
      <c r="DJ125" s="2752"/>
      <c r="DK125" s="2752"/>
      <c r="DL125" s="2752"/>
      <c r="DM125" s="2752"/>
      <c r="DN125" s="2752"/>
      <c r="DO125" s="2752"/>
      <c r="DP125" s="2752"/>
      <c r="DQ125" s="2752"/>
      <c r="DR125" s="2752"/>
      <c r="DS125" s="2752"/>
      <c r="DT125" s="2752"/>
      <c r="DU125" s="2752"/>
      <c r="DV125" s="2752"/>
      <c r="DW125" s="2752"/>
      <c r="DX125" s="2752"/>
      <c r="DY125" s="2752"/>
      <c r="DZ125" s="2752"/>
      <c r="EA125" s="2752"/>
      <c r="EB125" s="2752"/>
      <c r="EC125" s="2752"/>
      <c r="ED125" s="2752"/>
      <c r="EE125" s="2752"/>
      <c r="EF125" s="2752"/>
      <c r="EG125" s="2752"/>
      <c r="EH125" s="2752"/>
      <c r="EI125" s="2752"/>
      <c r="EJ125" s="2752"/>
      <c r="EK125" s="2752"/>
      <c r="EL125" s="2752"/>
      <c r="EM125" s="2752"/>
      <c r="EN125" s="2752"/>
      <c r="EO125" s="2752"/>
      <c r="EP125" s="2752"/>
      <c r="EQ125" s="2752"/>
      <c r="ER125" s="2752"/>
      <c r="ES125" s="2752"/>
      <c r="ET125" s="2752"/>
      <c r="EU125" s="2752"/>
      <c r="EV125" s="2752"/>
      <c r="EW125" s="2752"/>
      <c r="EX125" s="2752"/>
      <c r="EY125" s="2752"/>
      <c r="EZ125" s="2752"/>
      <c r="FA125" s="2752"/>
      <c r="FB125" s="2752"/>
      <c r="FC125" s="2752"/>
      <c r="FD125" s="2752"/>
      <c r="FE125" s="2752"/>
      <c r="FF125" s="2752"/>
      <c r="FG125" s="2752"/>
      <c r="FH125" s="2752"/>
      <c r="FI125" s="2752"/>
      <c r="FJ125" s="2752"/>
      <c r="FK125" s="2752"/>
      <c r="FL125" s="2752"/>
      <c r="FM125" s="2752"/>
      <c r="FN125" s="2752"/>
      <c r="FO125" s="2752"/>
      <c r="FP125" s="2752"/>
      <c r="FQ125" s="2752"/>
      <c r="FR125" s="2752"/>
      <c r="FS125" s="2752"/>
      <c r="FT125" s="2752"/>
      <c r="FU125" s="2752"/>
      <c r="FV125" s="2752"/>
      <c r="FW125" s="2752"/>
      <c r="FX125" s="2752"/>
      <c r="FY125" s="2752"/>
      <c r="FZ125" s="2752"/>
      <c r="GA125" s="2752"/>
      <c r="GB125" s="2752"/>
      <c r="GC125" s="2752"/>
      <c r="GD125" s="2752"/>
      <c r="GE125" s="2752"/>
      <c r="GF125" s="2752"/>
      <c r="GG125" s="2752"/>
      <c r="GH125" s="2752"/>
      <c r="GI125" s="2752"/>
      <c r="GJ125" s="2752"/>
      <c r="GK125" s="2752"/>
      <c r="GL125" s="2752"/>
      <c r="GM125" s="2752"/>
      <c r="GN125" s="2752"/>
      <c r="GO125" s="2752"/>
      <c r="GP125" s="2752"/>
      <c r="GQ125" s="2752"/>
      <c r="GR125" s="2752"/>
      <c r="GS125" s="2752"/>
      <c r="GT125" s="2752"/>
      <c r="GU125" s="2752"/>
      <c r="GV125" s="2752"/>
      <c r="GW125" s="2752"/>
      <c r="GX125" s="2752"/>
      <c r="GY125" s="2752"/>
      <c r="GZ125" s="2752"/>
      <c r="HA125" s="2752"/>
      <c r="HB125" s="2752"/>
      <c r="HC125" s="2752"/>
      <c r="HD125" s="2752"/>
      <c r="HE125" s="2752"/>
      <c r="HF125" s="2752"/>
      <c r="HG125" s="2752"/>
      <c r="HH125" s="2752"/>
      <c r="HI125" s="2752"/>
      <c r="HJ125" s="2752"/>
      <c r="HK125" s="2752"/>
      <c r="HL125" s="2752"/>
      <c r="HM125" s="2752"/>
      <c r="HN125" s="2752"/>
      <c r="HO125" s="2752"/>
      <c r="HP125" s="2752"/>
      <c r="HQ125" s="2752"/>
      <c r="HR125" s="2752"/>
      <c r="HS125" s="2752"/>
      <c r="HT125" s="2752"/>
      <c r="HU125" s="2752"/>
      <c r="HV125" s="2752"/>
      <c r="HW125" s="2752"/>
      <c r="HX125" s="2752"/>
      <c r="HY125" s="2752"/>
      <c r="HZ125" s="2752"/>
      <c r="IA125" s="2752"/>
      <c r="IB125" s="2752"/>
      <c r="IC125" s="2752"/>
      <c r="ID125" s="2752"/>
      <c r="IE125" s="2752"/>
      <c r="IF125" s="2752"/>
      <c r="IG125" s="2752"/>
      <c r="IH125" s="2752"/>
      <c r="II125" s="2752"/>
      <c r="IJ125" s="2752"/>
      <c r="IK125" s="2752"/>
      <c r="IL125" s="2752"/>
      <c r="IM125" s="2752"/>
      <c r="IN125" s="2752"/>
    </row>
    <row r="126" spans="1:256" s="455" customFormat="1" ht="27" customHeight="1">
      <c r="A126" s="351"/>
      <c r="B126" s="352"/>
      <c r="C126" s="352"/>
      <c r="D126" s="719" t="s">
        <v>5339</v>
      </c>
      <c r="E126" s="352"/>
      <c r="F126" s="352"/>
      <c r="G126" s="2784"/>
      <c r="H126" s="362"/>
      <c r="I126" s="364"/>
      <c r="J126" s="2752"/>
      <c r="K126" s="2752"/>
      <c r="L126" s="2752"/>
      <c r="M126" s="2752"/>
      <c r="N126" s="2752"/>
      <c r="O126" s="2752"/>
      <c r="P126" s="2752"/>
      <c r="Q126" s="2752"/>
      <c r="R126" s="2752"/>
      <c r="S126" s="2752"/>
      <c r="T126" s="2752"/>
      <c r="U126" s="2752"/>
      <c r="V126" s="2752"/>
      <c r="W126" s="2752"/>
      <c r="X126" s="2752"/>
      <c r="Y126" s="2752"/>
      <c r="Z126" s="2752"/>
      <c r="AA126" s="2752"/>
      <c r="AB126" s="2752"/>
      <c r="AC126" s="2752"/>
      <c r="AD126" s="2752"/>
      <c r="AE126" s="2752"/>
      <c r="AF126" s="2752"/>
      <c r="AG126" s="2752"/>
      <c r="AH126" s="2752"/>
      <c r="AI126" s="2752"/>
      <c r="AJ126" s="2752"/>
      <c r="AK126" s="2752"/>
      <c r="AL126" s="2752"/>
      <c r="AM126" s="2752"/>
      <c r="AN126" s="2752"/>
      <c r="AO126" s="2752"/>
      <c r="AP126" s="2752"/>
      <c r="AQ126" s="2752"/>
      <c r="AR126" s="2752"/>
      <c r="AS126" s="2752"/>
      <c r="AT126" s="2752"/>
      <c r="AU126" s="2752"/>
      <c r="AV126" s="2752"/>
      <c r="AW126" s="2752"/>
      <c r="AX126" s="2752"/>
      <c r="AY126" s="2752"/>
      <c r="AZ126" s="2752"/>
      <c r="BA126" s="2752"/>
      <c r="BB126" s="2752"/>
      <c r="BC126" s="2752"/>
      <c r="BD126" s="2752"/>
      <c r="BE126" s="2752"/>
      <c r="BF126" s="2752"/>
      <c r="BG126" s="2752"/>
      <c r="BH126" s="2752"/>
      <c r="BI126" s="2752"/>
      <c r="BJ126" s="2752"/>
      <c r="BK126" s="2752"/>
      <c r="BL126" s="2752"/>
      <c r="BM126" s="2752"/>
      <c r="BN126" s="2752"/>
      <c r="BO126" s="2752"/>
      <c r="BP126" s="2752"/>
      <c r="BQ126" s="2752"/>
      <c r="BR126" s="2752"/>
      <c r="BS126" s="2752"/>
      <c r="BT126" s="2752"/>
      <c r="BU126" s="2752"/>
      <c r="BV126" s="2752"/>
      <c r="BW126" s="2752"/>
      <c r="BX126" s="2752"/>
      <c r="BY126" s="2752"/>
      <c r="BZ126" s="2752"/>
      <c r="CA126" s="2752"/>
      <c r="CB126" s="2752"/>
      <c r="CC126" s="2752"/>
      <c r="CD126" s="2752"/>
      <c r="CE126" s="2752"/>
      <c r="CF126" s="2752"/>
      <c r="CG126" s="2752"/>
      <c r="CH126" s="2752"/>
      <c r="CI126" s="2752"/>
      <c r="CJ126" s="2752"/>
      <c r="CK126" s="2752"/>
      <c r="CL126" s="2752"/>
      <c r="CM126" s="2752"/>
      <c r="CN126" s="2752"/>
      <c r="CO126" s="2752"/>
      <c r="CP126" s="2752"/>
      <c r="CQ126" s="2752"/>
      <c r="CR126" s="2752"/>
      <c r="CS126" s="2752"/>
      <c r="CT126" s="2752"/>
      <c r="CU126" s="2752"/>
      <c r="CV126" s="2752"/>
      <c r="CW126" s="2752"/>
      <c r="CX126" s="2752"/>
      <c r="CY126" s="2752"/>
      <c r="CZ126" s="2752"/>
      <c r="DA126" s="2752"/>
      <c r="DB126" s="2752"/>
      <c r="DC126" s="2752"/>
      <c r="DD126" s="2752"/>
      <c r="DE126" s="2752"/>
      <c r="DF126" s="2752"/>
      <c r="DG126" s="2752"/>
      <c r="DH126" s="2752"/>
      <c r="DI126" s="2752"/>
      <c r="DJ126" s="2752"/>
      <c r="DK126" s="2752"/>
      <c r="DL126" s="2752"/>
      <c r="DM126" s="2752"/>
      <c r="DN126" s="2752"/>
      <c r="DO126" s="2752"/>
      <c r="DP126" s="2752"/>
      <c r="DQ126" s="2752"/>
      <c r="DR126" s="2752"/>
      <c r="DS126" s="2752"/>
      <c r="DT126" s="2752"/>
      <c r="DU126" s="2752"/>
      <c r="DV126" s="2752"/>
      <c r="DW126" s="2752"/>
      <c r="DX126" s="2752"/>
      <c r="DY126" s="2752"/>
      <c r="DZ126" s="2752"/>
      <c r="EA126" s="2752"/>
      <c r="EB126" s="2752"/>
      <c r="EC126" s="2752"/>
      <c r="ED126" s="2752"/>
      <c r="EE126" s="2752"/>
      <c r="EF126" s="2752"/>
      <c r="EG126" s="2752"/>
      <c r="EH126" s="2752"/>
      <c r="EI126" s="2752"/>
      <c r="EJ126" s="2752"/>
      <c r="EK126" s="2752"/>
      <c r="EL126" s="2752"/>
      <c r="EM126" s="2752"/>
      <c r="EN126" s="2752"/>
      <c r="EO126" s="2752"/>
      <c r="EP126" s="2752"/>
      <c r="EQ126" s="2752"/>
      <c r="ER126" s="2752"/>
      <c r="ES126" s="2752"/>
      <c r="ET126" s="2752"/>
      <c r="EU126" s="2752"/>
      <c r="EV126" s="2752"/>
      <c r="EW126" s="2752"/>
      <c r="EX126" s="2752"/>
      <c r="EY126" s="2752"/>
      <c r="EZ126" s="2752"/>
      <c r="FA126" s="2752"/>
      <c r="FB126" s="2752"/>
      <c r="FC126" s="2752"/>
      <c r="FD126" s="2752"/>
      <c r="FE126" s="2752"/>
      <c r="FF126" s="2752"/>
      <c r="FG126" s="2752"/>
      <c r="FH126" s="2752"/>
      <c r="FI126" s="2752"/>
      <c r="FJ126" s="2752"/>
      <c r="FK126" s="2752"/>
      <c r="FL126" s="2752"/>
      <c r="FM126" s="2752"/>
      <c r="FN126" s="2752"/>
      <c r="FO126" s="2752"/>
      <c r="FP126" s="2752"/>
      <c r="FQ126" s="2752"/>
      <c r="FR126" s="2752"/>
      <c r="FS126" s="2752"/>
      <c r="FT126" s="2752"/>
      <c r="FU126" s="2752"/>
      <c r="FV126" s="2752"/>
      <c r="FW126" s="2752"/>
      <c r="FX126" s="2752"/>
      <c r="FY126" s="2752"/>
      <c r="FZ126" s="2752"/>
      <c r="GA126" s="2752"/>
      <c r="GB126" s="2752"/>
      <c r="GC126" s="2752"/>
      <c r="GD126" s="2752"/>
      <c r="GE126" s="2752"/>
      <c r="GF126" s="2752"/>
      <c r="GG126" s="2752"/>
      <c r="GH126" s="2752"/>
      <c r="GI126" s="2752"/>
      <c r="GJ126" s="2752"/>
      <c r="GK126" s="2752"/>
      <c r="GL126" s="2752"/>
      <c r="GM126" s="2752"/>
      <c r="GN126" s="2752"/>
      <c r="GO126" s="2752"/>
      <c r="GP126" s="2752"/>
      <c r="GQ126" s="2752"/>
      <c r="GR126" s="2752"/>
      <c r="GS126" s="2752"/>
      <c r="GT126" s="2752"/>
      <c r="GU126" s="2752"/>
      <c r="GV126" s="2752"/>
      <c r="GW126" s="2752"/>
      <c r="GX126" s="2752"/>
      <c r="GY126" s="2752"/>
      <c r="GZ126" s="2752"/>
      <c r="HA126" s="2752"/>
      <c r="HB126" s="2752"/>
      <c r="HC126" s="2752"/>
      <c r="HD126" s="2752"/>
      <c r="HE126" s="2752"/>
      <c r="HF126" s="2752"/>
      <c r="HG126" s="2752"/>
      <c r="HH126" s="2752"/>
      <c r="HI126" s="2752"/>
      <c r="HJ126" s="2752"/>
      <c r="HK126" s="2752"/>
      <c r="HL126" s="2752"/>
      <c r="HM126" s="2752"/>
      <c r="HN126" s="2752"/>
      <c r="HO126" s="2752"/>
      <c r="HP126" s="2752"/>
      <c r="HQ126" s="2752"/>
      <c r="HR126" s="2752"/>
      <c r="HS126" s="2752"/>
      <c r="HT126" s="2752"/>
      <c r="HU126" s="2752"/>
      <c r="HV126" s="2752"/>
      <c r="HW126" s="2752"/>
      <c r="HX126" s="2752"/>
      <c r="HY126" s="2752"/>
      <c r="HZ126" s="2752"/>
      <c r="IA126" s="2752"/>
      <c r="IB126" s="2752"/>
      <c r="IC126" s="2752"/>
      <c r="ID126" s="2752"/>
      <c r="IE126" s="2752"/>
      <c r="IF126" s="2752"/>
      <c r="IG126" s="2752"/>
      <c r="IH126" s="2752"/>
      <c r="II126" s="2752"/>
      <c r="IJ126" s="2752"/>
      <c r="IK126" s="2752"/>
      <c r="IL126" s="2752"/>
      <c r="IM126" s="2752"/>
      <c r="IN126" s="2752"/>
    </row>
    <row r="127" spans="1:256" s="455" customFormat="1" ht="13.5" customHeight="1">
      <c r="A127" s="351"/>
      <c r="B127" s="352"/>
      <c r="C127" s="352"/>
      <c r="D127" s="719" t="s">
        <v>278</v>
      </c>
      <c r="E127" s="352"/>
      <c r="F127" s="352"/>
      <c r="G127" s="2784"/>
      <c r="H127" s="362"/>
      <c r="I127" s="364"/>
      <c r="J127" s="2752"/>
      <c r="K127" s="2752"/>
      <c r="L127" s="2752"/>
      <c r="M127" s="2752"/>
      <c r="N127" s="2752"/>
      <c r="O127" s="2752"/>
      <c r="P127" s="2752"/>
      <c r="Q127" s="2752"/>
      <c r="R127" s="2752"/>
      <c r="S127" s="2752"/>
      <c r="T127" s="2752"/>
      <c r="U127" s="2752"/>
      <c r="V127" s="2752"/>
      <c r="W127" s="2752"/>
      <c r="X127" s="2752"/>
      <c r="Y127" s="2752"/>
      <c r="Z127" s="2752"/>
      <c r="AA127" s="2752"/>
      <c r="AB127" s="2752"/>
      <c r="AC127" s="2752"/>
      <c r="AD127" s="2752"/>
      <c r="AE127" s="2752"/>
      <c r="AF127" s="2752"/>
      <c r="AG127" s="2752"/>
      <c r="AH127" s="2752"/>
      <c r="AI127" s="2752"/>
      <c r="AJ127" s="2752"/>
      <c r="AK127" s="2752"/>
      <c r="AL127" s="2752"/>
      <c r="AM127" s="2752"/>
      <c r="AN127" s="2752"/>
      <c r="AO127" s="2752"/>
      <c r="AP127" s="2752"/>
      <c r="AQ127" s="2752"/>
      <c r="AR127" s="2752"/>
      <c r="AS127" s="2752"/>
      <c r="AT127" s="2752"/>
      <c r="AU127" s="2752"/>
      <c r="AV127" s="2752"/>
      <c r="AW127" s="2752"/>
      <c r="AX127" s="2752"/>
      <c r="AY127" s="2752"/>
      <c r="AZ127" s="2752"/>
      <c r="BA127" s="2752"/>
      <c r="BB127" s="2752"/>
      <c r="BC127" s="2752"/>
      <c r="BD127" s="2752"/>
      <c r="BE127" s="2752"/>
      <c r="BF127" s="2752"/>
      <c r="BG127" s="2752"/>
      <c r="BH127" s="2752"/>
      <c r="BI127" s="2752"/>
      <c r="BJ127" s="2752"/>
      <c r="BK127" s="2752"/>
      <c r="BL127" s="2752"/>
      <c r="BM127" s="2752"/>
      <c r="BN127" s="2752"/>
      <c r="BO127" s="2752"/>
      <c r="BP127" s="2752"/>
      <c r="BQ127" s="2752"/>
      <c r="BR127" s="2752"/>
      <c r="BS127" s="2752"/>
      <c r="BT127" s="2752"/>
      <c r="BU127" s="2752"/>
      <c r="BV127" s="2752"/>
      <c r="BW127" s="2752"/>
      <c r="BX127" s="2752"/>
      <c r="BY127" s="2752"/>
      <c r="BZ127" s="2752"/>
      <c r="CA127" s="2752"/>
      <c r="CB127" s="2752"/>
      <c r="CC127" s="2752"/>
      <c r="CD127" s="2752"/>
      <c r="CE127" s="2752"/>
      <c r="CF127" s="2752"/>
      <c r="CG127" s="2752"/>
      <c r="CH127" s="2752"/>
      <c r="CI127" s="2752"/>
      <c r="CJ127" s="2752"/>
      <c r="CK127" s="2752"/>
      <c r="CL127" s="2752"/>
      <c r="CM127" s="2752"/>
      <c r="CN127" s="2752"/>
      <c r="CO127" s="2752"/>
      <c r="CP127" s="2752"/>
      <c r="CQ127" s="2752"/>
      <c r="CR127" s="2752"/>
      <c r="CS127" s="2752"/>
      <c r="CT127" s="2752"/>
      <c r="CU127" s="2752"/>
      <c r="CV127" s="2752"/>
      <c r="CW127" s="2752"/>
      <c r="CX127" s="2752"/>
      <c r="CY127" s="2752"/>
      <c r="CZ127" s="2752"/>
      <c r="DA127" s="2752"/>
      <c r="DB127" s="2752"/>
      <c r="DC127" s="2752"/>
      <c r="DD127" s="2752"/>
      <c r="DE127" s="2752"/>
      <c r="DF127" s="2752"/>
      <c r="DG127" s="2752"/>
      <c r="DH127" s="2752"/>
      <c r="DI127" s="2752"/>
      <c r="DJ127" s="2752"/>
      <c r="DK127" s="2752"/>
      <c r="DL127" s="2752"/>
      <c r="DM127" s="2752"/>
      <c r="DN127" s="2752"/>
      <c r="DO127" s="2752"/>
      <c r="DP127" s="2752"/>
      <c r="DQ127" s="2752"/>
      <c r="DR127" s="2752"/>
      <c r="DS127" s="2752"/>
      <c r="DT127" s="2752"/>
      <c r="DU127" s="2752"/>
      <c r="DV127" s="2752"/>
      <c r="DW127" s="2752"/>
      <c r="DX127" s="2752"/>
      <c r="DY127" s="2752"/>
      <c r="DZ127" s="2752"/>
      <c r="EA127" s="2752"/>
      <c r="EB127" s="2752"/>
      <c r="EC127" s="2752"/>
      <c r="ED127" s="2752"/>
      <c r="EE127" s="2752"/>
      <c r="EF127" s="2752"/>
      <c r="EG127" s="2752"/>
      <c r="EH127" s="2752"/>
      <c r="EI127" s="2752"/>
      <c r="EJ127" s="2752"/>
      <c r="EK127" s="2752"/>
      <c r="EL127" s="2752"/>
      <c r="EM127" s="2752"/>
      <c r="EN127" s="2752"/>
      <c r="EO127" s="2752"/>
      <c r="EP127" s="2752"/>
      <c r="EQ127" s="2752"/>
      <c r="ER127" s="2752"/>
      <c r="ES127" s="2752"/>
      <c r="ET127" s="2752"/>
      <c r="EU127" s="2752"/>
      <c r="EV127" s="2752"/>
      <c r="EW127" s="2752"/>
      <c r="EX127" s="2752"/>
      <c r="EY127" s="2752"/>
      <c r="EZ127" s="2752"/>
      <c r="FA127" s="2752"/>
      <c r="FB127" s="2752"/>
      <c r="FC127" s="2752"/>
      <c r="FD127" s="2752"/>
      <c r="FE127" s="2752"/>
      <c r="FF127" s="2752"/>
      <c r="FG127" s="2752"/>
      <c r="FH127" s="2752"/>
      <c r="FI127" s="2752"/>
      <c r="FJ127" s="2752"/>
      <c r="FK127" s="2752"/>
      <c r="FL127" s="2752"/>
      <c r="FM127" s="2752"/>
      <c r="FN127" s="2752"/>
      <c r="FO127" s="2752"/>
      <c r="FP127" s="2752"/>
      <c r="FQ127" s="2752"/>
      <c r="FR127" s="2752"/>
      <c r="FS127" s="2752"/>
      <c r="FT127" s="2752"/>
      <c r="FU127" s="2752"/>
      <c r="FV127" s="2752"/>
      <c r="FW127" s="2752"/>
      <c r="FX127" s="2752"/>
      <c r="FY127" s="2752"/>
      <c r="FZ127" s="2752"/>
      <c r="GA127" s="2752"/>
      <c r="GB127" s="2752"/>
      <c r="GC127" s="2752"/>
      <c r="GD127" s="2752"/>
      <c r="GE127" s="2752"/>
      <c r="GF127" s="2752"/>
      <c r="GG127" s="2752"/>
      <c r="GH127" s="2752"/>
      <c r="GI127" s="2752"/>
      <c r="GJ127" s="2752"/>
      <c r="GK127" s="2752"/>
      <c r="GL127" s="2752"/>
      <c r="GM127" s="2752"/>
      <c r="GN127" s="2752"/>
      <c r="GO127" s="2752"/>
      <c r="GP127" s="2752"/>
      <c r="GQ127" s="2752"/>
      <c r="GR127" s="2752"/>
      <c r="GS127" s="2752"/>
      <c r="GT127" s="2752"/>
      <c r="GU127" s="2752"/>
      <c r="GV127" s="2752"/>
      <c r="GW127" s="2752"/>
      <c r="GX127" s="2752"/>
      <c r="GY127" s="2752"/>
      <c r="GZ127" s="2752"/>
      <c r="HA127" s="2752"/>
      <c r="HB127" s="2752"/>
      <c r="HC127" s="2752"/>
      <c r="HD127" s="2752"/>
      <c r="HE127" s="2752"/>
      <c r="HF127" s="2752"/>
      <c r="HG127" s="2752"/>
      <c r="HH127" s="2752"/>
      <c r="HI127" s="2752"/>
      <c r="HJ127" s="2752"/>
      <c r="HK127" s="2752"/>
      <c r="HL127" s="2752"/>
      <c r="HM127" s="2752"/>
      <c r="HN127" s="2752"/>
      <c r="HO127" s="2752"/>
      <c r="HP127" s="2752"/>
      <c r="HQ127" s="2752"/>
      <c r="HR127" s="2752"/>
      <c r="HS127" s="2752"/>
      <c r="HT127" s="2752"/>
      <c r="HU127" s="2752"/>
      <c r="HV127" s="2752"/>
      <c r="HW127" s="2752"/>
      <c r="HX127" s="2752"/>
      <c r="HY127" s="2752"/>
      <c r="HZ127" s="2752"/>
      <c r="IA127" s="2752"/>
      <c r="IB127" s="2752"/>
      <c r="IC127" s="2752"/>
      <c r="ID127" s="2752"/>
      <c r="IE127" s="2752"/>
      <c r="IF127" s="2752"/>
      <c r="IG127" s="2752"/>
      <c r="IH127" s="2752"/>
      <c r="II127" s="2752"/>
      <c r="IJ127" s="2752"/>
      <c r="IK127" s="2752"/>
      <c r="IL127" s="2752"/>
      <c r="IM127" s="2752"/>
      <c r="IN127" s="2752"/>
    </row>
    <row r="128" spans="1:256" s="455" customFormat="1" ht="27" customHeight="1">
      <c r="A128" s="351">
        <v>28</v>
      </c>
      <c r="B128" s="352">
        <v>271</v>
      </c>
      <c r="C128" s="352" t="s">
        <v>5274</v>
      </c>
      <c r="D128" s="352" t="s">
        <v>5340</v>
      </c>
      <c r="E128" s="352" t="s">
        <v>205</v>
      </c>
      <c r="F128" s="2659">
        <f>ROUND(SUM(F130:F130),3)</f>
        <v>2</v>
      </c>
      <c r="G128" s="5226" t="s">
        <v>5276</v>
      </c>
      <c r="H128" s="5227"/>
      <c r="I128" s="363" t="s">
        <v>111</v>
      </c>
      <c r="J128" s="2753"/>
      <c r="K128" s="2752"/>
      <c r="L128" s="2752"/>
      <c r="M128" s="2752"/>
      <c r="N128" s="2752"/>
      <c r="O128" s="2752"/>
      <c r="P128" s="2752"/>
      <c r="Q128" s="2752"/>
      <c r="R128" s="2752"/>
      <c r="S128" s="2752"/>
      <c r="T128" s="2752"/>
      <c r="U128" s="2752"/>
      <c r="V128" s="2752"/>
      <c r="W128" s="2752"/>
      <c r="X128" s="2752"/>
      <c r="Y128" s="2752"/>
      <c r="Z128" s="2752"/>
      <c r="AA128" s="2752"/>
      <c r="AB128" s="2752"/>
      <c r="AC128" s="2752"/>
      <c r="AD128" s="2752"/>
      <c r="AE128" s="2752"/>
      <c r="AF128" s="2752"/>
      <c r="AG128" s="2752"/>
      <c r="AH128" s="2752"/>
      <c r="AI128" s="2752"/>
      <c r="AJ128" s="2752"/>
      <c r="AK128" s="2752"/>
      <c r="AL128" s="2752"/>
      <c r="AM128" s="2752"/>
      <c r="AN128" s="2752"/>
      <c r="AO128" s="2752"/>
      <c r="AP128" s="2752"/>
      <c r="AQ128" s="2752"/>
      <c r="AR128" s="2752"/>
      <c r="AS128" s="2752"/>
      <c r="AT128" s="2752"/>
      <c r="AU128" s="2752"/>
      <c r="AV128" s="2752"/>
      <c r="AW128" s="2752"/>
      <c r="AX128" s="2752"/>
      <c r="AY128" s="2752"/>
      <c r="AZ128" s="2752"/>
      <c r="BA128" s="2752"/>
      <c r="BB128" s="2752"/>
      <c r="BC128" s="2752"/>
      <c r="BD128" s="2752"/>
      <c r="BE128" s="2752"/>
      <c r="BF128" s="2752"/>
      <c r="BG128" s="2752"/>
      <c r="BH128" s="2752"/>
      <c r="BI128" s="2752"/>
      <c r="BJ128" s="2752"/>
      <c r="BK128" s="2752"/>
      <c r="BL128" s="2752"/>
      <c r="BM128" s="2752"/>
      <c r="BN128" s="2752"/>
      <c r="BO128" s="2752"/>
      <c r="BP128" s="2752"/>
      <c r="BQ128" s="2752"/>
      <c r="BR128" s="2752"/>
      <c r="BS128" s="2752"/>
      <c r="BT128" s="2752"/>
      <c r="BU128" s="2752"/>
      <c r="BV128" s="2752"/>
      <c r="BW128" s="2752"/>
      <c r="BX128" s="2752"/>
      <c r="BY128" s="2752"/>
      <c r="BZ128" s="2752"/>
      <c r="CA128" s="2752"/>
      <c r="CB128" s="2752"/>
      <c r="CC128" s="2752"/>
      <c r="CD128" s="2752"/>
      <c r="CE128" s="2752"/>
      <c r="CF128" s="2752"/>
      <c r="CG128" s="2752"/>
      <c r="CH128" s="2752"/>
      <c r="CI128" s="2752"/>
      <c r="CJ128" s="2752"/>
      <c r="CK128" s="2752"/>
      <c r="CL128" s="2752"/>
      <c r="CM128" s="2752"/>
      <c r="CN128" s="2752"/>
      <c r="CO128" s="2752"/>
      <c r="CP128" s="2752"/>
      <c r="CQ128" s="2752"/>
      <c r="CR128" s="2752"/>
      <c r="CS128" s="2752"/>
      <c r="CT128" s="2752"/>
      <c r="CU128" s="2752"/>
      <c r="CV128" s="2752"/>
      <c r="CW128" s="2752"/>
      <c r="CX128" s="2752"/>
      <c r="CY128" s="2752"/>
      <c r="CZ128" s="2752"/>
      <c r="DA128" s="2752"/>
      <c r="DB128" s="2752"/>
      <c r="DC128" s="2752"/>
      <c r="DD128" s="2752"/>
      <c r="DE128" s="2752"/>
      <c r="DF128" s="2752"/>
      <c r="DG128" s="2752"/>
      <c r="DH128" s="2752"/>
      <c r="DI128" s="2752"/>
      <c r="DJ128" s="2752"/>
      <c r="DK128" s="2752"/>
      <c r="DL128" s="2752"/>
      <c r="DM128" s="2752"/>
      <c r="DN128" s="2752"/>
      <c r="DO128" s="2752"/>
      <c r="DP128" s="2752"/>
      <c r="DQ128" s="2752"/>
      <c r="DR128" s="2752"/>
      <c r="DS128" s="2752"/>
      <c r="DT128" s="2752"/>
      <c r="DU128" s="2752"/>
      <c r="DV128" s="2752"/>
      <c r="DW128" s="2752"/>
      <c r="DX128" s="2752"/>
      <c r="DY128" s="2752"/>
      <c r="DZ128" s="2752"/>
      <c r="EA128" s="2752"/>
      <c r="EB128" s="2752"/>
      <c r="EC128" s="2752"/>
      <c r="ED128" s="2752"/>
      <c r="EE128" s="2752"/>
      <c r="EF128" s="2752"/>
      <c r="EG128" s="2752"/>
      <c r="EH128" s="2752"/>
      <c r="EI128" s="2752"/>
      <c r="EJ128" s="2752"/>
      <c r="EK128" s="2752"/>
      <c r="EL128" s="2752"/>
      <c r="EM128" s="2752"/>
      <c r="EN128" s="2752"/>
      <c r="EO128" s="2752"/>
      <c r="EP128" s="2752"/>
      <c r="EQ128" s="2752"/>
      <c r="ER128" s="2752"/>
      <c r="ES128" s="2752"/>
      <c r="ET128" s="2752"/>
      <c r="EU128" s="2752"/>
      <c r="EV128" s="2752"/>
      <c r="EW128" s="2752"/>
      <c r="EX128" s="2752"/>
      <c r="EY128" s="2752"/>
      <c r="EZ128" s="2752"/>
      <c r="FA128" s="2752"/>
      <c r="FB128" s="2752"/>
      <c r="FC128" s="2752"/>
      <c r="FD128" s="2752"/>
      <c r="FE128" s="2752"/>
      <c r="FF128" s="2752"/>
      <c r="FG128" s="2752"/>
      <c r="FH128" s="2752"/>
      <c r="FI128" s="2752"/>
      <c r="FJ128" s="2752"/>
      <c r="FK128" s="2752"/>
      <c r="FL128" s="2752"/>
      <c r="FM128" s="2752"/>
      <c r="FN128" s="2752"/>
      <c r="FO128" s="2752"/>
      <c r="FP128" s="2752"/>
      <c r="FQ128" s="2752"/>
      <c r="FR128" s="2752"/>
      <c r="FS128" s="2752"/>
      <c r="FT128" s="2752"/>
      <c r="FU128" s="2752"/>
      <c r="FV128" s="2752"/>
      <c r="FW128" s="2752"/>
      <c r="FX128" s="2752"/>
      <c r="FY128" s="2752"/>
      <c r="FZ128" s="2752"/>
      <c r="GA128" s="2752"/>
      <c r="GB128" s="2752"/>
      <c r="GC128" s="2752"/>
      <c r="GD128" s="2752"/>
      <c r="GE128" s="2752"/>
      <c r="GF128" s="2752"/>
      <c r="GG128" s="2752"/>
      <c r="GH128" s="2752"/>
      <c r="GI128" s="2752"/>
      <c r="GJ128" s="2752"/>
      <c r="GK128" s="2752"/>
      <c r="GL128" s="2752"/>
      <c r="GM128" s="2752"/>
      <c r="GN128" s="2752"/>
      <c r="GO128" s="2752"/>
      <c r="GP128" s="2752"/>
      <c r="GQ128" s="2752"/>
      <c r="GR128" s="2752"/>
      <c r="GS128" s="2752"/>
      <c r="GT128" s="2752"/>
      <c r="GU128" s="2752"/>
      <c r="GV128" s="2752"/>
      <c r="GW128" s="2752"/>
      <c r="GX128" s="2752"/>
      <c r="GY128" s="2752"/>
      <c r="GZ128" s="2752"/>
      <c r="HA128" s="2752"/>
      <c r="HB128" s="2752"/>
      <c r="HC128" s="2752"/>
      <c r="HD128" s="2752"/>
      <c r="HE128" s="2752"/>
      <c r="HF128" s="2752"/>
      <c r="HG128" s="2752"/>
      <c r="HH128" s="2752"/>
      <c r="HI128" s="2752"/>
      <c r="HJ128" s="2752"/>
      <c r="HK128" s="2752"/>
      <c r="HL128" s="2752"/>
      <c r="HM128" s="2752"/>
      <c r="HN128" s="2752"/>
      <c r="HO128" s="2752"/>
      <c r="HP128" s="2752"/>
      <c r="HQ128" s="2752"/>
      <c r="HR128" s="2752"/>
      <c r="HS128" s="2752"/>
      <c r="HT128" s="2752"/>
      <c r="HU128" s="2752"/>
      <c r="HV128" s="2752"/>
      <c r="HW128" s="2752"/>
      <c r="HX128" s="2752"/>
      <c r="HY128" s="2752"/>
      <c r="HZ128" s="2752"/>
      <c r="IA128" s="2752"/>
      <c r="IB128" s="2752"/>
      <c r="IC128" s="2752"/>
      <c r="ID128" s="2752"/>
      <c r="IE128" s="2752"/>
      <c r="IF128" s="2752"/>
      <c r="IG128" s="2752"/>
      <c r="IH128" s="2752"/>
      <c r="II128" s="2752"/>
      <c r="IJ128" s="2752"/>
      <c r="IK128" s="2752"/>
      <c r="IL128" s="2752"/>
      <c r="IM128" s="2752"/>
      <c r="IN128" s="2752"/>
      <c r="IO128" s="2752"/>
      <c r="IP128" s="2752"/>
      <c r="IQ128" s="2752"/>
      <c r="IR128" s="2752"/>
      <c r="IS128" s="2752"/>
      <c r="IT128" s="2752"/>
      <c r="IU128" s="2752"/>
      <c r="IV128" s="2752"/>
    </row>
    <row r="129" spans="1:256" s="455" customFormat="1" ht="13.5" customHeight="1">
      <c r="A129" s="351"/>
      <c r="B129" s="352"/>
      <c r="C129" s="352"/>
      <c r="D129" s="719" t="s">
        <v>5341</v>
      </c>
      <c r="E129" s="352"/>
      <c r="F129" s="2754"/>
      <c r="G129" s="357"/>
      <c r="H129" s="362"/>
      <c r="I129" s="363"/>
      <c r="J129" s="2753"/>
      <c r="K129" s="2752"/>
      <c r="L129" s="2752"/>
      <c r="M129" s="2752"/>
      <c r="N129" s="2752"/>
      <c r="O129" s="2752"/>
      <c r="P129" s="2752"/>
      <c r="Q129" s="2752"/>
      <c r="R129" s="2752"/>
      <c r="S129" s="2752"/>
      <c r="T129" s="2752"/>
      <c r="U129" s="2752"/>
      <c r="V129" s="2752"/>
      <c r="W129" s="2752"/>
      <c r="X129" s="2752"/>
      <c r="Y129" s="2752"/>
      <c r="Z129" s="2752"/>
      <c r="AA129" s="2752"/>
      <c r="AB129" s="2752"/>
      <c r="AC129" s="2752"/>
      <c r="AD129" s="2752"/>
      <c r="AE129" s="2752"/>
      <c r="AF129" s="2752"/>
      <c r="AG129" s="2752"/>
      <c r="AH129" s="2752"/>
      <c r="AI129" s="2752"/>
      <c r="AJ129" s="2752"/>
      <c r="AK129" s="2752"/>
      <c r="AL129" s="2752"/>
      <c r="AM129" s="2752"/>
      <c r="AN129" s="2752"/>
      <c r="AO129" s="2752"/>
      <c r="AP129" s="2752"/>
      <c r="AQ129" s="2752"/>
      <c r="AR129" s="2752"/>
      <c r="AS129" s="2752"/>
      <c r="AT129" s="2752"/>
      <c r="AU129" s="2752"/>
      <c r="AV129" s="2752"/>
      <c r="AW129" s="2752"/>
      <c r="AX129" s="2752"/>
      <c r="AY129" s="2752"/>
      <c r="AZ129" s="2752"/>
      <c r="BA129" s="2752"/>
      <c r="BB129" s="2752"/>
      <c r="BC129" s="2752"/>
      <c r="BD129" s="2752"/>
      <c r="BE129" s="2752"/>
      <c r="BF129" s="2752"/>
      <c r="BG129" s="2752"/>
      <c r="BH129" s="2752"/>
      <c r="BI129" s="2752"/>
      <c r="BJ129" s="2752"/>
      <c r="BK129" s="2752"/>
      <c r="BL129" s="2752"/>
      <c r="BM129" s="2752"/>
      <c r="BN129" s="2752"/>
      <c r="BO129" s="2752"/>
      <c r="BP129" s="2752"/>
      <c r="BQ129" s="2752"/>
      <c r="BR129" s="2752"/>
      <c r="BS129" s="2752"/>
      <c r="BT129" s="2752"/>
      <c r="BU129" s="2752"/>
      <c r="BV129" s="2752"/>
      <c r="BW129" s="2752"/>
      <c r="BX129" s="2752"/>
      <c r="BY129" s="2752"/>
      <c r="BZ129" s="2752"/>
      <c r="CA129" s="2752"/>
      <c r="CB129" s="2752"/>
      <c r="CC129" s="2752"/>
      <c r="CD129" s="2752"/>
      <c r="CE129" s="2752"/>
      <c r="CF129" s="2752"/>
      <c r="CG129" s="2752"/>
      <c r="CH129" s="2752"/>
      <c r="CI129" s="2752"/>
      <c r="CJ129" s="2752"/>
      <c r="CK129" s="2752"/>
      <c r="CL129" s="2752"/>
      <c r="CM129" s="2752"/>
      <c r="CN129" s="2752"/>
      <c r="CO129" s="2752"/>
      <c r="CP129" s="2752"/>
      <c r="CQ129" s="2752"/>
      <c r="CR129" s="2752"/>
      <c r="CS129" s="2752"/>
      <c r="CT129" s="2752"/>
      <c r="CU129" s="2752"/>
      <c r="CV129" s="2752"/>
      <c r="CW129" s="2752"/>
      <c r="CX129" s="2752"/>
      <c r="CY129" s="2752"/>
      <c r="CZ129" s="2752"/>
      <c r="DA129" s="2752"/>
      <c r="DB129" s="2752"/>
      <c r="DC129" s="2752"/>
      <c r="DD129" s="2752"/>
      <c r="DE129" s="2752"/>
      <c r="DF129" s="2752"/>
      <c r="DG129" s="2752"/>
      <c r="DH129" s="2752"/>
      <c r="DI129" s="2752"/>
      <c r="DJ129" s="2752"/>
      <c r="DK129" s="2752"/>
      <c r="DL129" s="2752"/>
      <c r="DM129" s="2752"/>
      <c r="DN129" s="2752"/>
      <c r="DO129" s="2752"/>
      <c r="DP129" s="2752"/>
      <c r="DQ129" s="2752"/>
      <c r="DR129" s="2752"/>
      <c r="DS129" s="2752"/>
      <c r="DT129" s="2752"/>
      <c r="DU129" s="2752"/>
      <c r="DV129" s="2752"/>
      <c r="DW129" s="2752"/>
      <c r="DX129" s="2752"/>
      <c r="DY129" s="2752"/>
      <c r="DZ129" s="2752"/>
      <c r="EA129" s="2752"/>
      <c r="EB129" s="2752"/>
      <c r="EC129" s="2752"/>
      <c r="ED129" s="2752"/>
      <c r="EE129" s="2752"/>
      <c r="EF129" s="2752"/>
      <c r="EG129" s="2752"/>
      <c r="EH129" s="2752"/>
      <c r="EI129" s="2752"/>
      <c r="EJ129" s="2752"/>
      <c r="EK129" s="2752"/>
      <c r="EL129" s="2752"/>
      <c r="EM129" s="2752"/>
      <c r="EN129" s="2752"/>
      <c r="EO129" s="2752"/>
      <c r="EP129" s="2752"/>
      <c r="EQ129" s="2752"/>
      <c r="ER129" s="2752"/>
      <c r="ES129" s="2752"/>
      <c r="ET129" s="2752"/>
      <c r="EU129" s="2752"/>
      <c r="EV129" s="2752"/>
      <c r="EW129" s="2752"/>
      <c r="EX129" s="2752"/>
      <c r="EY129" s="2752"/>
      <c r="EZ129" s="2752"/>
      <c r="FA129" s="2752"/>
      <c r="FB129" s="2752"/>
      <c r="FC129" s="2752"/>
      <c r="FD129" s="2752"/>
      <c r="FE129" s="2752"/>
      <c r="FF129" s="2752"/>
      <c r="FG129" s="2752"/>
      <c r="FH129" s="2752"/>
      <c r="FI129" s="2752"/>
      <c r="FJ129" s="2752"/>
      <c r="FK129" s="2752"/>
      <c r="FL129" s="2752"/>
      <c r="FM129" s="2752"/>
      <c r="FN129" s="2752"/>
      <c r="FO129" s="2752"/>
      <c r="FP129" s="2752"/>
      <c r="FQ129" s="2752"/>
      <c r="FR129" s="2752"/>
      <c r="FS129" s="2752"/>
      <c r="FT129" s="2752"/>
      <c r="FU129" s="2752"/>
      <c r="FV129" s="2752"/>
      <c r="FW129" s="2752"/>
      <c r="FX129" s="2752"/>
      <c r="FY129" s="2752"/>
      <c r="FZ129" s="2752"/>
      <c r="GA129" s="2752"/>
      <c r="GB129" s="2752"/>
      <c r="GC129" s="2752"/>
      <c r="GD129" s="2752"/>
      <c r="GE129" s="2752"/>
      <c r="GF129" s="2752"/>
      <c r="GG129" s="2752"/>
      <c r="GH129" s="2752"/>
      <c r="GI129" s="2752"/>
      <c r="GJ129" s="2752"/>
      <c r="GK129" s="2752"/>
      <c r="GL129" s="2752"/>
      <c r="GM129" s="2752"/>
      <c r="GN129" s="2752"/>
      <c r="GO129" s="2752"/>
      <c r="GP129" s="2752"/>
      <c r="GQ129" s="2752"/>
      <c r="GR129" s="2752"/>
      <c r="GS129" s="2752"/>
      <c r="GT129" s="2752"/>
      <c r="GU129" s="2752"/>
      <c r="GV129" s="2752"/>
      <c r="GW129" s="2752"/>
      <c r="GX129" s="2752"/>
      <c r="GY129" s="2752"/>
      <c r="GZ129" s="2752"/>
      <c r="HA129" s="2752"/>
      <c r="HB129" s="2752"/>
      <c r="HC129" s="2752"/>
      <c r="HD129" s="2752"/>
      <c r="HE129" s="2752"/>
      <c r="HF129" s="2752"/>
      <c r="HG129" s="2752"/>
      <c r="HH129" s="2752"/>
      <c r="HI129" s="2752"/>
      <c r="HJ129" s="2752"/>
      <c r="HK129" s="2752"/>
      <c r="HL129" s="2752"/>
      <c r="HM129" s="2752"/>
      <c r="HN129" s="2752"/>
      <c r="HO129" s="2752"/>
      <c r="HP129" s="2752"/>
      <c r="HQ129" s="2752"/>
      <c r="HR129" s="2752"/>
      <c r="HS129" s="2752"/>
      <c r="HT129" s="2752"/>
      <c r="HU129" s="2752"/>
      <c r="HV129" s="2752"/>
      <c r="HW129" s="2752"/>
      <c r="HX129" s="2752"/>
      <c r="HY129" s="2752"/>
      <c r="HZ129" s="2752"/>
      <c r="IA129" s="2752"/>
      <c r="IB129" s="2752"/>
      <c r="IC129" s="2752"/>
      <c r="ID129" s="2752"/>
      <c r="IE129" s="2752"/>
      <c r="IF129" s="2752"/>
      <c r="IG129" s="2752"/>
      <c r="IH129" s="2752"/>
      <c r="II129" s="2752"/>
      <c r="IJ129" s="2752"/>
      <c r="IK129" s="2752"/>
      <c r="IL129" s="2752"/>
      <c r="IM129" s="2752"/>
      <c r="IN129" s="2752"/>
      <c r="IO129" s="2752"/>
      <c r="IP129" s="2752"/>
      <c r="IQ129" s="2752"/>
      <c r="IR129" s="2752"/>
      <c r="IS129" s="2752"/>
      <c r="IT129" s="2752"/>
      <c r="IU129" s="2752"/>
      <c r="IV129" s="2752"/>
    </row>
    <row r="130" spans="1:256" s="455" customFormat="1" ht="13.5" customHeight="1">
      <c r="A130" s="351"/>
      <c r="B130" s="352"/>
      <c r="C130" s="352"/>
      <c r="D130" s="719" t="s">
        <v>5278</v>
      </c>
      <c r="E130" s="352"/>
      <c r="F130" s="2754">
        <v>2</v>
      </c>
      <c r="G130" s="357"/>
      <c r="H130" s="362"/>
      <c r="I130" s="363"/>
      <c r="J130" s="2753"/>
      <c r="K130" s="2752"/>
      <c r="L130" s="2752"/>
      <c r="M130" s="2752"/>
      <c r="N130" s="2752"/>
      <c r="O130" s="2752"/>
      <c r="P130" s="2752"/>
      <c r="Q130" s="2752"/>
      <c r="R130" s="2752"/>
      <c r="S130" s="2752"/>
      <c r="T130" s="2752"/>
      <c r="U130" s="2752"/>
      <c r="V130" s="2752"/>
      <c r="W130" s="2752"/>
      <c r="X130" s="2752"/>
      <c r="Y130" s="2752"/>
      <c r="Z130" s="2752"/>
      <c r="AA130" s="2752"/>
      <c r="AB130" s="2752"/>
      <c r="AC130" s="2752"/>
      <c r="AD130" s="2752"/>
      <c r="AE130" s="2752"/>
      <c r="AF130" s="2752"/>
      <c r="AG130" s="2752"/>
      <c r="AH130" s="2752"/>
      <c r="AI130" s="2752"/>
      <c r="AJ130" s="2752"/>
      <c r="AK130" s="2752"/>
      <c r="AL130" s="2752"/>
      <c r="AM130" s="2752"/>
      <c r="AN130" s="2752"/>
      <c r="AO130" s="2752"/>
      <c r="AP130" s="2752"/>
      <c r="AQ130" s="2752"/>
      <c r="AR130" s="2752"/>
      <c r="AS130" s="2752"/>
      <c r="AT130" s="2752"/>
      <c r="AU130" s="2752"/>
      <c r="AV130" s="2752"/>
      <c r="AW130" s="2752"/>
      <c r="AX130" s="2752"/>
      <c r="AY130" s="2752"/>
      <c r="AZ130" s="2752"/>
      <c r="BA130" s="2752"/>
      <c r="BB130" s="2752"/>
      <c r="BC130" s="2752"/>
      <c r="BD130" s="2752"/>
      <c r="BE130" s="2752"/>
      <c r="BF130" s="2752"/>
      <c r="BG130" s="2752"/>
      <c r="BH130" s="2752"/>
      <c r="BI130" s="2752"/>
      <c r="BJ130" s="2752"/>
      <c r="BK130" s="2752"/>
      <c r="BL130" s="2752"/>
      <c r="BM130" s="2752"/>
      <c r="BN130" s="2752"/>
      <c r="BO130" s="2752"/>
      <c r="BP130" s="2752"/>
      <c r="BQ130" s="2752"/>
      <c r="BR130" s="2752"/>
      <c r="BS130" s="2752"/>
      <c r="BT130" s="2752"/>
      <c r="BU130" s="2752"/>
      <c r="BV130" s="2752"/>
      <c r="BW130" s="2752"/>
      <c r="BX130" s="2752"/>
      <c r="BY130" s="2752"/>
      <c r="BZ130" s="2752"/>
      <c r="CA130" s="2752"/>
      <c r="CB130" s="2752"/>
      <c r="CC130" s="2752"/>
      <c r="CD130" s="2752"/>
      <c r="CE130" s="2752"/>
      <c r="CF130" s="2752"/>
      <c r="CG130" s="2752"/>
      <c r="CH130" s="2752"/>
      <c r="CI130" s="2752"/>
      <c r="CJ130" s="2752"/>
      <c r="CK130" s="2752"/>
      <c r="CL130" s="2752"/>
      <c r="CM130" s="2752"/>
      <c r="CN130" s="2752"/>
      <c r="CO130" s="2752"/>
      <c r="CP130" s="2752"/>
      <c r="CQ130" s="2752"/>
      <c r="CR130" s="2752"/>
      <c r="CS130" s="2752"/>
      <c r="CT130" s="2752"/>
      <c r="CU130" s="2752"/>
      <c r="CV130" s="2752"/>
      <c r="CW130" s="2752"/>
      <c r="CX130" s="2752"/>
      <c r="CY130" s="2752"/>
      <c r="CZ130" s="2752"/>
      <c r="DA130" s="2752"/>
      <c r="DB130" s="2752"/>
      <c r="DC130" s="2752"/>
      <c r="DD130" s="2752"/>
      <c r="DE130" s="2752"/>
      <c r="DF130" s="2752"/>
      <c r="DG130" s="2752"/>
      <c r="DH130" s="2752"/>
      <c r="DI130" s="2752"/>
      <c r="DJ130" s="2752"/>
      <c r="DK130" s="2752"/>
      <c r="DL130" s="2752"/>
      <c r="DM130" s="2752"/>
      <c r="DN130" s="2752"/>
      <c r="DO130" s="2752"/>
      <c r="DP130" s="2752"/>
      <c r="DQ130" s="2752"/>
      <c r="DR130" s="2752"/>
      <c r="DS130" s="2752"/>
      <c r="DT130" s="2752"/>
      <c r="DU130" s="2752"/>
      <c r="DV130" s="2752"/>
      <c r="DW130" s="2752"/>
      <c r="DX130" s="2752"/>
      <c r="DY130" s="2752"/>
      <c r="DZ130" s="2752"/>
      <c r="EA130" s="2752"/>
      <c r="EB130" s="2752"/>
      <c r="EC130" s="2752"/>
      <c r="ED130" s="2752"/>
      <c r="EE130" s="2752"/>
      <c r="EF130" s="2752"/>
      <c r="EG130" s="2752"/>
      <c r="EH130" s="2752"/>
      <c r="EI130" s="2752"/>
      <c r="EJ130" s="2752"/>
      <c r="EK130" s="2752"/>
      <c r="EL130" s="2752"/>
      <c r="EM130" s="2752"/>
      <c r="EN130" s="2752"/>
      <c r="EO130" s="2752"/>
      <c r="EP130" s="2752"/>
      <c r="EQ130" s="2752"/>
      <c r="ER130" s="2752"/>
      <c r="ES130" s="2752"/>
      <c r="ET130" s="2752"/>
      <c r="EU130" s="2752"/>
      <c r="EV130" s="2752"/>
      <c r="EW130" s="2752"/>
      <c r="EX130" s="2752"/>
      <c r="EY130" s="2752"/>
      <c r="EZ130" s="2752"/>
      <c r="FA130" s="2752"/>
      <c r="FB130" s="2752"/>
      <c r="FC130" s="2752"/>
      <c r="FD130" s="2752"/>
      <c r="FE130" s="2752"/>
      <c r="FF130" s="2752"/>
      <c r="FG130" s="2752"/>
      <c r="FH130" s="2752"/>
      <c r="FI130" s="2752"/>
      <c r="FJ130" s="2752"/>
      <c r="FK130" s="2752"/>
      <c r="FL130" s="2752"/>
      <c r="FM130" s="2752"/>
      <c r="FN130" s="2752"/>
      <c r="FO130" s="2752"/>
      <c r="FP130" s="2752"/>
      <c r="FQ130" s="2752"/>
      <c r="FR130" s="2752"/>
      <c r="FS130" s="2752"/>
      <c r="FT130" s="2752"/>
      <c r="FU130" s="2752"/>
      <c r="FV130" s="2752"/>
      <c r="FW130" s="2752"/>
      <c r="FX130" s="2752"/>
      <c r="FY130" s="2752"/>
      <c r="FZ130" s="2752"/>
      <c r="GA130" s="2752"/>
      <c r="GB130" s="2752"/>
      <c r="GC130" s="2752"/>
      <c r="GD130" s="2752"/>
      <c r="GE130" s="2752"/>
      <c r="GF130" s="2752"/>
      <c r="GG130" s="2752"/>
      <c r="GH130" s="2752"/>
      <c r="GI130" s="2752"/>
      <c r="GJ130" s="2752"/>
      <c r="GK130" s="2752"/>
      <c r="GL130" s="2752"/>
      <c r="GM130" s="2752"/>
      <c r="GN130" s="2752"/>
      <c r="GO130" s="2752"/>
      <c r="GP130" s="2752"/>
      <c r="GQ130" s="2752"/>
      <c r="GR130" s="2752"/>
      <c r="GS130" s="2752"/>
      <c r="GT130" s="2752"/>
      <c r="GU130" s="2752"/>
      <c r="GV130" s="2752"/>
      <c r="GW130" s="2752"/>
      <c r="GX130" s="2752"/>
      <c r="GY130" s="2752"/>
      <c r="GZ130" s="2752"/>
      <c r="HA130" s="2752"/>
      <c r="HB130" s="2752"/>
      <c r="HC130" s="2752"/>
      <c r="HD130" s="2752"/>
      <c r="HE130" s="2752"/>
      <c r="HF130" s="2752"/>
      <c r="HG130" s="2752"/>
      <c r="HH130" s="2752"/>
      <c r="HI130" s="2752"/>
      <c r="HJ130" s="2752"/>
      <c r="HK130" s="2752"/>
      <c r="HL130" s="2752"/>
      <c r="HM130" s="2752"/>
      <c r="HN130" s="2752"/>
      <c r="HO130" s="2752"/>
      <c r="HP130" s="2752"/>
      <c r="HQ130" s="2752"/>
      <c r="HR130" s="2752"/>
      <c r="HS130" s="2752"/>
      <c r="HT130" s="2752"/>
      <c r="HU130" s="2752"/>
      <c r="HV130" s="2752"/>
      <c r="HW130" s="2752"/>
      <c r="HX130" s="2752"/>
      <c r="HY130" s="2752"/>
      <c r="HZ130" s="2752"/>
      <c r="IA130" s="2752"/>
      <c r="IB130" s="2752"/>
      <c r="IC130" s="2752"/>
      <c r="ID130" s="2752"/>
      <c r="IE130" s="2752"/>
      <c r="IF130" s="2752"/>
      <c r="IG130" s="2752"/>
      <c r="IH130" s="2752"/>
      <c r="II130" s="2752"/>
      <c r="IJ130" s="2752"/>
      <c r="IK130" s="2752"/>
      <c r="IL130" s="2752"/>
      <c r="IM130" s="2752"/>
      <c r="IN130" s="2752"/>
      <c r="IO130" s="2752"/>
      <c r="IP130" s="2752"/>
      <c r="IQ130" s="2752"/>
      <c r="IR130" s="2752"/>
      <c r="IS130" s="2752"/>
      <c r="IT130" s="2752"/>
      <c r="IU130" s="2752"/>
      <c r="IV130" s="2752"/>
    </row>
    <row r="131" spans="1:256" s="455" customFormat="1" ht="27" customHeight="1">
      <c r="A131" s="2755"/>
      <c r="B131" s="2737"/>
      <c r="C131" s="2756"/>
      <c r="D131" s="2669" t="s">
        <v>5279</v>
      </c>
      <c r="E131" s="2756"/>
      <c r="F131" s="2757"/>
      <c r="G131" s="358"/>
      <c r="H131" s="2758"/>
      <c r="I131" s="2759"/>
      <c r="J131" s="2760"/>
      <c r="K131" s="2761"/>
      <c r="L131" s="2761"/>
      <c r="M131" s="2761"/>
      <c r="N131" s="2761"/>
      <c r="O131" s="2761"/>
      <c r="P131" s="2761"/>
      <c r="Q131" s="2761"/>
      <c r="R131" s="2761"/>
      <c r="S131" s="2761"/>
      <c r="T131" s="2761"/>
      <c r="U131" s="2761"/>
      <c r="V131" s="2761"/>
      <c r="W131" s="2761"/>
      <c r="X131" s="2761"/>
      <c r="Y131" s="2761"/>
      <c r="Z131" s="2761"/>
      <c r="AA131" s="2761"/>
      <c r="AB131" s="2761"/>
      <c r="AC131" s="2761"/>
      <c r="AD131" s="2761"/>
      <c r="AE131" s="2761"/>
      <c r="AF131" s="2761"/>
      <c r="AG131" s="2761"/>
      <c r="AH131" s="2761"/>
      <c r="AI131" s="2761"/>
      <c r="AJ131" s="2761"/>
      <c r="AK131" s="2761"/>
      <c r="AL131" s="2761"/>
      <c r="AM131" s="2761"/>
      <c r="AN131" s="2761"/>
      <c r="AO131" s="2761"/>
      <c r="AP131" s="2761"/>
      <c r="AQ131" s="2761"/>
      <c r="AR131" s="2761"/>
      <c r="AS131" s="2761"/>
      <c r="AT131" s="2761"/>
      <c r="AU131" s="2761"/>
      <c r="AV131" s="2761"/>
      <c r="AW131" s="2761"/>
      <c r="AX131" s="2761"/>
      <c r="AY131" s="2761"/>
      <c r="AZ131" s="2761"/>
      <c r="BA131" s="2761"/>
      <c r="BB131" s="2761"/>
      <c r="BC131" s="2761"/>
      <c r="BD131" s="2761"/>
      <c r="BE131" s="2761"/>
      <c r="BF131" s="2761"/>
      <c r="BG131" s="2761"/>
      <c r="BH131" s="2761"/>
      <c r="BI131" s="2761"/>
      <c r="BJ131" s="2761"/>
      <c r="BK131" s="2761"/>
      <c r="BL131" s="2761"/>
      <c r="BM131" s="2761"/>
      <c r="BN131" s="2761"/>
      <c r="BO131" s="2761"/>
      <c r="BP131" s="2761"/>
      <c r="BQ131" s="2761"/>
      <c r="BR131" s="2761"/>
      <c r="BS131" s="2761"/>
      <c r="BT131" s="2761"/>
      <c r="BU131" s="2761"/>
      <c r="BV131" s="2761"/>
      <c r="BW131" s="2761"/>
      <c r="BX131" s="2761"/>
      <c r="BY131" s="2761"/>
      <c r="BZ131" s="2761"/>
      <c r="CA131" s="2761"/>
      <c r="CB131" s="2761"/>
      <c r="CC131" s="2761"/>
      <c r="CD131" s="2761"/>
      <c r="CE131" s="2761"/>
      <c r="CF131" s="2761"/>
      <c r="CG131" s="2761"/>
      <c r="CH131" s="2761"/>
      <c r="CI131" s="2761"/>
      <c r="CJ131" s="2761"/>
      <c r="CK131" s="2761"/>
      <c r="CL131" s="2761"/>
      <c r="CM131" s="2761"/>
      <c r="CN131" s="2761"/>
      <c r="CO131" s="2761"/>
      <c r="CP131" s="2761"/>
      <c r="CQ131" s="2761"/>
      <c r="CR131" s="2761"/>
      <c r="CS131" s="2761"/>
      <c r="CT131" s="2761"/>
      <c r="CU131" s="2761"/>
      <c r="CV131" s="2761"/>
      <c r="CW131" s="2761"/>
      <c r="CX131" s="2761"/>
      <c r="CY131" s="2761"/>
      <c r="CZ131" s="2761"/>
      <c r="DA131" s="2761"/>
      <c r="DB131" s="2761"/>
      <c r="DC131" s="2761"/>
      <c r="DD131" s="2761"/>
      <c r="DE131" s="2761"/>
      <c r="DF131" s="2761"/>
      <c r="DG131" s="2761"/>
      <c r="DH131" s="2761"/>
      <c r="DI131" s="2761"/>
      <c r="DJ131" s="2761"/>
      <c r="DK131" s="2761"/>
      <c r="DL131" s="2761"/>
      <c r="DM131" s="2761"/>
      <c r="DN131" s="2761"/>
      <c r="DO131" s="2761"/>
      <c r="DP131" s="2761"/>
      <c r="DQ131" s="2761"/>
      <c r="DR131" s="2761"/>
      <c r="DS131" s="2761"/>
      <c r="DT131" s="2761"/>
      <c r="DU131" s="2761"/>
      <c r="DV131" s="2761"/>
      <c r="DW131" s="2761"/>
      <c r="DX131" s="2761"/>
      <c r="DY131" s="2761"/>
      <c r="DZ131" s="2761"/>
      <c r="EA131" s="2761"/>
      <c r="EB131" s="2761"/>
      <c r="EC131" s="2761"/>
      <c r="ED131" s="2761"/>
      <c r="EE131" s="2761"/>
      <c r="EF131" s="2761"/>
      <c r="EG131" s="2761"/>
      <c r="EH131" s="2761"/>
      <c r="EI131" s="2761"/>
      <c r="EJ131" s="2761"/>
      <c r="EK131" s="2761"/>
      <c r="EL131" s="2761"/>
      <c r="EM131" s="2761"/>
      <c r="EN131" s="2761"/>
      <c r="EO131" s="2761"/>
      <c r="EP131" s="2761"/>
      <c r="EQ131" s="2761"/>
      <c r="ER131" s="2761"/>
      <c r="ES131" s="2761"/>
      <c r="ET131" s="2761"/>
      <c r="EU131" s="2761"/>
      <c r="EV131" s="2761"/>
      <c r="EW131" s="2761"/>
      <c r="EX131" s="2761"/>
      <c r="EY131" s="2761"/>
      <c r="EZ131" s="2761"/>
      <c r="FA131" s="2761"/>
      <c r="FB131" s="2761"/>
      <c r="FC131" s="2761"/>
      <c r="FD131" s="2761"/>
      <c r="FE131" s="2761"/>
      <c r="FF131" s="2761"/>
      <c r="FG131" s="2761"/>
      <c r="FH131" s="2761"/>
      <c r="FI131" s="2761"/>
      <c r="FJ131" s="2761"/>
      <c r="FK131" s="2761"/>
      <c r="FL131" s="2761"/>
      <c r="FM131" s="2761"/>
      <c r="FN131" s="2761"/>
      <c r="FO131" s="2761"/>
      <c r="FP131" s="2761"/>
      <c r="FQ131" s="2761"/>
      <c r="FR131" s="2761"/>
      <c r="FS131" s="2761"/>
      <c r="FT131" s="2761"/>
      <c r="FU131" s="2761"/>
      <c r="FV131" s="2761"/>
      <c r="FW131" s="2761"/>
      <c r="FX131" s="2761"/>
      <c r="FY131" s="2761"/>
      <c r="FZ131" s="2761"/>
      <c r="GA131" s="2761"/>
      <c r="GB131" s="2761"/>
      <c r="GC131" s="2761"/>
      <c r="GD131" s="2761"/>
      <c r="GE131" s="2761"/>
      <c r="GF131" s="2761"/>
      <c r="GG131" s="2761"/>
      <c r="GH131" s="2761"/>
      <c r="GI131" s="2761"/>
      <c r="GJ131" s="2761"/>
      <c r="GK131" s="2761"/>
      <c r="GL131" s="2761"/>
      <c r="GM131" s="2761"/>
      <c r="GN131" s="2761"/>
      <c r="GO131" s="2761"/>
      <c r="GP131" s="2761"/>
      <c r="GQ131" s="2761"/>
      <c r="GR131" s="2761"/>
      <c r="GS131" s="2761"/>
      <c r="GT131" s="2761"/>
      <c r="GU131" s="2761"/>
      <c r="GV131" s="2761"/>
      <c r="GW131" s="2761"/>
      <c r="GX131" s="2761"/>
      <c r="GY131" s="2761"/>
      <c r="GZ131" s="2761"/>
      <c r="HA131" s="2761"/>
      <c r="HB131" s="2761"/>
      <c r="HC131" s="2761"/>
      <c r="HD131" s="2761"/>
      <c r="HE131" s="2761"/>
      <c r="HF131" s="2761"/>
      <c r="HG131" s="2761"/>
      <c r="HH131" s="2761"/>
      <c r="HI131" s="2761"/>
      <c r="HJ131" s="2761"/>
      <c r="HK131" s="2761"/>
      <c r="HL131" s="2761"/>
      <c r="HM131" s="2761"/>
      <c r="HN131" s="2761"/>
      <c r="HO131" s="2761"/>
      <c r="HP131" s="2761"/>
      <c r="HQ131" s="2761"/>
      <c r="HR131" s="2761"/>
      <c r="HS131" s="2761"/>
      <c r="HT131" s="2761"/>
      <c r="HU131" s="2761"/>
      <c r="HV131" s="2761"/>
      <c r="HW131" s="2761"/>
      <c r="HX131" s="2761"/>
      <c r="HY131" s="2761"/>
      <c r="HZ131" s="2761"/>
      <c r="IA131" s="2761"/>
      <c r="IB131" s="2761"/>
      <c r="IC131" s="2761"/>
      <c r="ID131" s="2761"/>
      <c r="IE131" s="2761"/>
      <c r="IF131" s="2761"/>
      <c r="IG131" s="2761"/>
      <c r="IH131" s="2761"/>
      <c r="II131" s="2761"/>
      <c r="IJ131" s="2761"/>
      <c r="IK131" s="2761"/>
      <c r="IL131" s="2761"/>
      <c r="IM131" s="2761"/>
      <c r="IN131" s="2761"/>
      <c r="IO131" s="2761"/>
      <c r="IP131" s="2761"/>
      <c r="IQ131" s="2761"/>
      <c r="IR131" s="2761"/>
      <c r="IS131" s="2761"/>
      <c r="IT131" s="2761"/>
      <c r="IU131" s="2761"/>
      <c r="IV131" s="2761"/>
    </row>
    <row r="132" spans="1:256" ht="13.5" customHeight="1">
      <c r="A132" s="608"/>
      <c r="B132" s="557"/>
      <c r="C132" s="616" t="s">
        <v>356</v>
      </c>
      <c r="D132" s="616" t="s">
        <v>357</v>
      </c>
      <c r="E132" s="616"/>
      <c r="F132" s="617"/>
      <c r="G132" s="303"/>
      <c r="H132" s="828">
        <f>SUM(H133:H136)</f>
        <v>0</v>
      </c>
      <c r="I132" s="613"/>
    </row>
    <row r="133" spans="1:256" s="604" customFormat="1" ht="13.5" customHeight="1">
      <c r="A133" s="608">
        <v>29</v>
      </c>
      <c r="B133" s="557" t="s">
        <v>5285</v>
      </c>
      <c r="C133" s="557">
        <v>998142251</v>
      </c>
      <c r="D133" s="557" t="s">
        <v>5286</v>
      </c>
      <c r="E133" s="557" t="s">
        <v>175</v>
      </c>
      <c r="F133" s="2659">
        <f>ROUND(SUM(F134),3)</f>
        <v>49.558999999999997</v>
      </c>
      <c r="G133" s="288"/>
      <c r="H133" s="568">
        <f t="shared" ref="H133" si="24">ROUND(F133*G133,2)</f>
        <v>0</v>
      </c>
      <c r="I133" s="613" t="s">
        <v>137</v>
      </c>
      <c r="J133" s="610"/>
      <c r="K133" s="2663"/>
      <c r="U133" s="605"/>
      <c r="W133" s="605"/>
    </row>
    <row r="134" spans="1:256" s="455" customFormat="1" ht="13.5" customHeight="1">
      <c r="A134" s="351"/>
      <c r="B134" s="352"/>
      <c r="C134" s="352"/>
      <c r="D134" s="719" t="s">
        <v>5342</v>
      </c>
      <c r="E134" s="352"/>
      <c r="F134" s="2754">
        <f>47.648+(5.9-3.989)</f>
        <v>49.559000000000005</v>
      </c>
      <c r="G134" s="357"/>
      <c r="H134" s="362"/>
      <c r="I134" s="363"/>
      <c r="J134" s="2762"/>
      <c r="K134" s="2752"/>
      <c r="L134" s="2752"/>
      <c r="M134" s="2752"/>
      <c r="N134" s="2752"/>
      <c r="O134" s="2752"/>
      <c r="P134" s="2752"/>
      <c r="Q134" s="2752"/>
      <c r="R134" s="2752"/>
      <c r="S134" s="2752"/>
      <c r="T134" s="2752"/>
      <c r="U134" s="2752"/>
      <c r="V134" s="2752"/>
      <c r="W134" s="2752"/>
      <c r="X134" s="2752"/>
      <c r="Y134" s="2752"/>
      <c r="Z134" s="2752"/>
      <c r="AA134" s="2752"/>
      <c r="AB134" s="2752"/>
      <c r="AC134" s="2752"/>
      <c r="AD134" s="2752"/>
      <c r="AE134" s="2752"/>
      <c r="AF134" s="2752"/>
      <c r="AG134" s="2752"/>
      <c r="AH134" s="2752"/>
      <c r="AI134" s="2752"/>
      <c r="AJ134" s="2752"/>
      <c r="AK134" s="2752"/>
      <c r="AL134" s="2752"/>
      <c r="AM134" s="2752"/>
      <c r="AN134" s="2752"/>
      <c r="AO134" s="2752"/>
      <c r="AP134" s="2752"/>
      <c r="AQ134" s="2752"/>
      <c r="AR134" s="2752"/>
      <c r="AS134" s="2752"/>
      <c r="AT134" s="2752"/>
      <c r="AU134" s="2752"/>
      <c r="AV134" s="2752"/>
      <c r="AW134" s="2752"/>
      <c r="AX134" s="2752"/>
      <c r="AY134" s="2752"/>
      <c r="AZ134" s="2752"/>
      <c r="BA134" s="2752"/>
      <c r="BB134" s="2752"/>
      <c r="BC134" s="2752"/>
      <c r="BD134" s="2752"/>
      <c r="BE134" s="2752"/>
      <c r="BF134" s="2752"/>
      <c r="BG134" s="2752"/>
      <c r="BH134" s="2752"/>
      <c r="BI134" s="2752"/>
      <c r="BJ134" s="2752"/>
      <c r="BK134" s="2752"/>
      <c r="BL134" s="2752"/>
      <c r="BM134" s="2752"/>
      <c r="BN134" s="2752"/>
      <c r="BO134" s="2752"/>
      <c r="BP134" s="2752"/>
      <c r="BQ134" s="2752"/>
      <c r="BR134" s="2752"/>
      <c r="BS134" s="2752"/>
      <c r="BT134" s="2752"/>
      <c r="BU134" s="2752"/>
      <c r="BV134" s="2752"/>
      <c r="BW134" s="2752"/>
      <c r="BX134" s="2752"/>
      <c r="BY134" s="2752"/>
      <c r="BZ134" s="2752"/>
      <c r="CA134" s="2752"/>
      <c r="CB134" s="2752"/>
      <c r="CC134" s="2752"/>
      <c r="CD134" s="2752"/>
      <c r="CE134" s="2752"/>
      <c r="CF134" s="2752"/>
      <c r="CG134" s="2752"/>
      <c r="CH134" s="2752"/>
      <c r="CI134" s="2752"/>
      <c r="CJ134" s="2752"/>
      <c r="CK134" s="2752"/>
      <c r="CL134" s="2752"/>
      <c r="CM134" s="2752"/>
      <c r="CN134" s="2752"/>
      <c r="CO134" s="2752"/>
      <c r="CP134" s="2752"/>
      <c r="CQ134" s="2752"/>
      <c r="CR134" s="2752"/>
      <c r="CS134" s="2752"/>
      <c r="CT134" s="2752"/>
      <c r="CU134" s="2752"/>
      <c r="CV134" s="2752"/>
      <c r="CW134" s="2752"/>
      <c r="CX134" s="2752"/>
      <c r="CY134" s="2752"/>
      <c r="CZ134" s="2752"/>
      <c r="DA134" s="2752"/>
      <c r="DB134" s="2752"/>
      <c r="DC134" s="2752"/>
      <c r="DD134" s="2752"/>
      <c r="DE134" s="2752"/>
      <c r="DF134" s="2752"/>
      <c r="DG134" s="2752"/>
      <c r="DH134" s="2752"/>
      <c r="DI134" s="2752"/>
      <c r="DJ134" s="2752"/>
      <c r="DK134" s="2752"/>
      <c r="DL134" s="2752"/>
      <c r="DM134" s="2752"/>
      <c r="DN134" s="2752"/>
      <c r="DO134" s="2752"/>
      <c r="DP134" s="2752"/>
      <c r="DQ134" s="2752"/>
      <c r="DR134" s="2752"/>
      <c r="DS134" s="2752"/>
      <c r="DT134" s="2752"/>
      <c r="DU134" s="2752"/>
      <c r="DV134" s="2752"/>
      <c r="DW134" s="2752"/>
      <c r="DX134" s="2752"/>
      <c r="DY134" s="2752"/>
      <c r="DZ134" s="2752"/>
      <c r="EA134" s="2752"/>
      <c r="EB134" s="2752"/>
      <c r="EC134" s="2752"/>
      <c r="ED134" s="2752"/>
      <c r="EE134" s="2752"/>
      <c r="EF134" s="2752"/>
      <c r="EG134" s="2752"/>
      <c r="EH134" s="2752"/>
      <c r="EI134" s="2752"/>
      <c r="EJ134" s="2752"/>
      <c r="EK134" s="2752"/>
      <c r="EL134" s="2752"/>
      <c r="EM134" s="2752"/>
      <c r="EN134" s="2752"/>
      <c r="EO134" s="2752"/>
      <c r="EP134" s="2752"/>
      <c r="EQ134" s="2752"/>
      <c r="ER134" s="2752"/>
      <c r="ES134" s="2752"/>
      <c r="ET134" s="2752"/>
      <c r="EU134" s="2752"/>
      <c r="EV134" s="2752"/>
      <c r="EW134" s="2752"/>
      <c r="EX134" s="2752"/>
      <c r="EY134" s="2752"/>
      <c r="EZ134" s="2752"/>
      <c r="FA134" s="2752"/>
      <c r="FB134" s="2752"/>
      <c r="FC134" s="2752"/>
      <c r="FD134" s="2752"/>
      <c r="FE134" s="2752"/>
      <c r="FF134" s="2752"/>
      <c r="FG134" s="2752"/>
      <c r="FH134" s="2752"/>
      <c r="FI134" s="2752"/>
      <c r="FJ134" s="2752"/>
      <c r="FK134" s="2752"/>
      <c r="FL134" s="2752"/>
      <c r="FM134" s="2752"/>
      <c r="FN134" s="2752"/>
      <c r="FO134" s="2752"/>
      <c r="FP134" s="2752"/>
      <c r="FQ134" s="2752"/>
      <c r="FR134" s="2752"/>
      <c r="FS134" s="2752"/>
      <c r="FT134" s="2752"/>
      <c r="FU134" s="2752"/>
      <c r="FV134" s="2752"/>
      <c r="FW134" s="2752"/>
      <c r="FX134" s="2752"/>
      <c r="FY134" s="2752"/>
      <c r="FZ134" s="2752"/>
      <c r="GA134" s="2752"/>
      <c r="GB134" s="2752"/>
      <c r="GC134" s="2752"/>
      <c r="GD134" s="2752"/>
      <c r="GE134" s="2752"/>
      <c r="GF134" s="2752"/>
      <c r="GG134" s="2752"/>
      <c r="GH134" s="2752"/>
      <c r="GI134" s="2752"/>
      <c r="GJ134" s="2752"/>
      <c r="GK134" s="2752"/>
      <c r="GL134" s="2752"/>
      <c r="GM134" s="2752"/>
      <c r="GN134" s="2752"/>
      <c r="GO134" s="2752"/>
      <c r="GP134" s="2752"/>
      <c r="GQ134" s="2752"/>
      <c r="GR134" s="2752"/>
      <c r="GS134" s="2752"/>
      <c r="GT134" s="2752"/>
      <c r="GU134" s="2752"/>
      <c r="GV134" s="2752"/>
      <c r="GW134" s="2752"/>
      <c r="GX134" s="2752"/>
      <c r="GY134" s="2752"/>
      <c r="GZ134" s="2752"/>
      <c r="HA134" s="2752"/>
      <c r="HB134" s="2752"/>
      <c r="HC134" s="2752"/>
      <c r="HD134" s="2752"/>
      <c r="HE134" s="2752"/>
      <c r="HF134" s="2752"/>
      <c r="HG134" s="2752"/>
      <c r="HH134" s="2752"/>
      <c r="HI134" s="2752"/>
      <c r="HJ134" s="2752"/>
      <c r="HK134" s="2752"/>
      <c r="HL134" s="2752"/>
      <c r="HM134" s="2752"/>
      <c r="HN134" s="2752"/>
      <c r="HO134" s="2752"/>
      <c r="HP134" s="2752"/>
      <c r="HQ134" s="2752"/>
      <c r="HR134" s="2752"/>
      <c r="HS134" s="2752"/>
      <c r="HT134" s="2752"/>
      <c r="HU134" s="2752"/>
      <c r="HV134" s="2752"/>
      <c r="HW134" s="2752"/>
      <c r="HX134" s="2752"/>
      <c r="HY134" s="2752"/>
      <c r="HZ134" s="2752"/>
      <c r="IA134" s="2752"/>
      <c r="IB134" s="2752"/>
      <c r="IC134" s="2752"/>
      <c r="ID134" s="2752"/>
      <c r="IE134" s="2752"/>
      <c r="IF134" s="2752"/>
      <c r="IG134" s="2752"/>
      <c r="IH134" s="2752"/>
      <c r="II134" s="2752"/>
      <c r="IJ134" s="2752"/>
      <c r="IK134" s="2752"/>
      <c r="IL134" s="2752"/>
      <c r="IM134" s="2752"/>
      <c r="IN134" s="2752"/>
      <c r="IO134" s="2752"/>
      <c r="IP134" s="2752"/>
      <c r="IQ134" s="2752"/>
      <c r="IR134" s="2752"/>
      <c r="IS134" s="2752"/>
      <c r="IT134" s="2752"/>
      <c r="IU134" s="2752"/>
      <c r="IV134" s="2752"/>
    </row>
    <row r="135" spans="1:256" s="604" customFormat="1" ht="13.5" customHeight="1">
      <c r="A135" s="608">
        <v>30</v>
      </c>
      <c r="B135" s="557" t="s">
        <v>362</v>
      </c>
      <c r="C135" s="557" t="s">
        <v>2424</v>
      </c>
      <c r="D135" s="557" t="s">
        <v>2425</v>
      </c>
      <c r="E135" s="557" t="s">
        <v>69</v>
      </c>
      <c r="F135" s="2659">
        <f>ROUND(SUM(F136),3)</f>
        <v>5</v>
      </c>
      <c r="G135" s="288"/>
      <c r="H135" s="568">
        <f t="shared" ref="H135" si="25">ROUND(F135*G135,2)</f>
        <v>0</v>
      </c>
      <c r="I135" s="613" t="s">
        <v>137</v>
      </c>
      <c r="J135" s="610"/>
      <c r="K135" s="2663"/>
      <c r="U135" s="605"/>
      <c r="W135" s="605"/>
    </row>
    <row r="136" spans="1:256" s="2761" customFormat="1" ht="27" customHeight="1">
      <c r="A136" s="2755"/>
      <c r="B136" s="2737"/>
      <c r="C136" s="2756"/>
      <c r="D136" s="2669" t="s">
        <v>365</v>
      </c>
      <c r="E136" s="2756"/>
      <c r="F136" s="2754">
        <v>5</v>
      </c>
      <c r="G136" s="358"/>
      <c r="H136" s="2758"/>
      <c r="I136" s="2759"/>
    </row>
    <row r="137" spans="1:256" ht="21" customHeight="1">
      <c r="A137" s="2763"/>
      <c r="B137" s="2764"/>
      <c r="C137" s="2764"/>
      <c r="D137" s="2764" t="s">
        <v>0</v>
      </c>
      <c r="E137" s="2764"/>
      <c r="F137" s="2765"/>
      <c r="G137" s="2766"/>
      <c r="H137" s="2766">
        <f>H9</f>
        <v>0</v>
      </c>
      <c r="I137" s="647"/>
    </row>
    <row r="138" spans="1:256">
      <c r="A138" s="2767"/>
      <c r="B138" s="2767"/>
      <c r="C138" s="2768"/>
      <c r="D138" s="2768"/>
      <c r="E138" s="2769"/>
      <c r="F138" s="2770"/>
      <c r="G138" s="2771"/>
      <c r="H138" s="2771"/>
      <c r="I138" s="2772"/>
    </row>
    <row r="139" spans="1:256" ht="13.5" customHeight="1">
      <c r="A139" s="5223" t="s">
        <v>862</v>
      </c>
      <c r="B139" s="5224"/>
      <c r="C139" s="5225"/>
      <c r="D139" s="1188" t="s">
        <v>5343</v>
      </c>
      <c r="E139" s="2773"/>
      <c r="F139" s="2774"/>
      <c r="G139" s="2775"/>
      <c r="H139" s="2776">
        <f>H137</f>
        <v>0</v>
      </c>
      <c r="I139" s="2777"/>
    </row>
    <row r="140" spans="1:256" ht="13.5" customHeight="1">
      <c r="A140" s="2778"/>
      <c r="B140" s="2779"/>
      <c r="C140" s="2779"/>
      <c r="D140" s="2780"/>
      <c r="E140" s="2781"/>
      <c r="F140" s="2782"/>
      <c r="G140" s="2783"/>
      <c r="H140" s="645"/>
      <c r="I140" s="647"/>
    </row>
    <row r="141" spans="1:256" ht="13.5" customHeight="1">
      <c r="A141" s="689" t="s">
        <v>1</v>
      </c>
      <c r="B141" s="689"/>
      <c r="C141" s="689"/>
      <c r="D141" s="689"/>
      <c r="E141" s="689"/>
      <c r="F141" s="689"/>
      <c r="G141" s="689"/>
      <c r="H141" s="689"/>
      <c r="I141" s="689"/>
    </row>
    <row r="142" spans="1:256" ht="27" customHeight="1">
      <c r="A142" s="5159" t="s">
        <v>864</v>
      </c>
      <c r="B142" s="5159"/>
      <c r="C142" s="5159"/>
      <c r="D142" s="5159"/>
      <c r="E142" s="5159"/>
      <c r="F142" s="5159"/>
      <c r="G142" s="5159"/>
      <c r="H142" s="689"/>
      <c r="I142" s="647"/>
    </row>
    <row r="143" spans="1:256" ht="93.75" customHeight="1">
      <c r="A143" s="5159" t="s">
        <v>104</v>
      </c>
      <c r="B143" s="5159"/>
      <c r="C143" s="5159"/>
      <c r="D143" s="5159"/>
      <c r="E143" s="5159"/>
      <c r="F143" s="5159"/>
      <c r="G143" s="5159"/>
      <c r="H143" s="689"/>
      <c r="I143" s="689"/>
    </row>
    <row r="144" spans="1:256" ht="13.5" customHeight="1">
      <c r="A144" s="5159" t="s">
        <v>105</v>
      </c>
      <c r="B144" s="5159"/>
      <c r="C144" s="5159"/>
      <c r="D144" s="5159"/>
      <c r="E144" s="5159"/>
      <c r="F144" s="5159"/>
      <c r="G144" s="5159"/>
      <c r="H144" s="691"/>
      <c r="I144" s="691"/>
    </row>
    <row r="145" spans="1:9" ht="13.5" customHeight="1">
      <c r="A145" s="5159" t="s">
        <v>106</v>
      </c>
      <c r="B145" s="5159"/>
      <c r="C145" s="5159"/>
      <c r="D145" s="5159"/>
      <c r="E145" s="5159"/>
      <c r="F145" s="5159"/>
      <c r="G145" s="5159"/>
      <c r="H145" s="691"/>
      <c r="I145" s="691"/>
    </row>
    <row r="146" spans="1:9" s="692" customFormat="1" ht="40.5" customHeight="1">
      <c r="A146" s="5156" t="s">
        <v>865</v>
      </c>
      <c r="B146" s="5156"/>
      <c r="C146" s="5156"/>
      <c r="D146" s="5156"/>
      <c r="E146" s="5156"/>
      <c r="F146" s="5156"/>
      <c r="G146" s="5156"/>
      <c r="I146" s="562"/>
    </row>
    <row r="147" spans="1:9" s="695" customFormat="1" ht="94.5" customHeight="1">
      <c r="A147" s="5156" t="s">
        <v>1013</v>
      </c>
      <c r="B147" s="5156"/>
      <c r="C147" s="5156"/>
      <c r="D147" s="5156"/>
      <c r="E147" s="5156"/>
      <c r="F147" s="5156"/>
      <c r="G147" s="5156"/>
      <c r="H147" s="693"/>
      <c r="I147" s="694"/>
    </row>
  </sheetData>
  <sheetProtection algorithmName="SHA-512" hashValue="y8/7V2lGGRXlengAq0WkwurmfVDBq5ud5dgfHH98OjUKLWF3eb42rGTphWZrQIVbexe0vcWS3T1vu/EkRZGagA==" saltValue="JEKLyeCM3ktIkeRheXFFAA==" spinCount="100000" sheet="1" objects="1" scenarios="1"/>
  <mergeCells count="12">
    <mergeCell ref="A147:G147"/>
    <mergeCell ref="A2:I2"/>
    <mergeCell ref="A3:D3"/>
    <mergeCell ref="A4:D4"/>
    <mergeCell ref="E4:H4"/>
    <mergeCell ref="G128:H128"/>
    <mergeCell ref="A139:C139"/>
    <mergeCell ref="A142:G142"/>
    <mergeCell ref="A143:G143"/>
    <mergeCell ref="A144:G144"/>
    <mergeCell ref="A145:G145"/>
    <mergeCell ref="A146:G14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C35-619A-4A01-B069-D0F68C8F09D9}">
  <sheetPr>
    <pageSetUpPr fitToPage="1"/>
  </sheetPr>
  <dimension ref="A1:DQ95"/>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02" customWidth="1"/>
    <col min="7" max="7" width="13.6640625" style="2202" customWidth="1"/>
    <col min="8" max="8" width="18.33203125" style="2202" customWidth="1"/>
    <col min="9" max="9" width="20.1640625" style="2202" customWidth="1"/>
    <col min="10" max="10" width="19.33203125" style="2202" customWidth="1"/>
    <col min="11" max="11" width="14.6640625" style="2202" customWidth="1"/>
    <col min="12" max="12" width="13.83203125" style="2202" customWidth="1"/>
    <col min="13" max="13" width="21.1640625" style="2202" customWidth="1"/>
    <col min="14" max="14" width="14.1640625" style="2202" customWidth="1"/>
    <col min="15" max="15" width="13.1640625" style="2202" customWidth="1"/>
    <col min="16" max="16" width="9.33203125" style="2202"/>
    <col min="17" max="17" width="17.5" style="2202" customWidth="1"/>
    <col min="18" max="18" width="19.6640625" style="2202" customWidth="1"/>
    <col min="19" max="19" width="12.83203125" style="2202" customWidth="1"/>
    <col min="20" max="20" width="15.33203125" style="2202" customWidth="1"/>
    <col min="21" max="16384" width="9.33203125" style="2202"/>
  </cols>
  <sheetData>
    <row r="1" spans="1:23" ht="18.75">
      <c r="A1" s="1" t="s">
        <v>2760</v>
      </c>
      <c r="B1" s="28"/>
      <c r="C1" s="28"/>
      <c r="D1" s="111"/>
      <c r="E1" s="111"/>
      <c r="F1" s="111"/>
      <c r="G1" s="111"/>
      <c r="H1" s="111"/>
      <c r="I1" s="111"/>
      <c r="J1" s="2201"/>
    </row>
    <row r="2" spans="1:23" ht="13.5" customHeight="1">
      <c r="A2" s="5199" t="s">
        <v>115</v>
      </c>
      <c r="B2" s="5230"/>
      <c r="C2" s="5230"/>
      <c r="D2" s="5230"/>
      <c r="E2" s="5230"/>
      <c r="F2" s="5230"/>
      <c r="G2" s="5230"/>
      <c r="H2" s="5230"/>
      <c r="I2" s="5230"/>
    </row>
    <row r="3" spans="1:23" ht="13.5" customHeight="1">
      <c r="A3" s="2203" t="s">
        <v>1849</v>
      </c>
      <c r="B3" s="2204"/>
      <c r="C3" s="2204"/>
      <c r="D3" s="2204"/>
      <c r="E3" s="2204"/>
      <c r="F3" s="2205"/>
      <c r="G3" s="2205"/>
      <c r="H3" s="2206"/>
      <c r="I3" s="2206"/>
    </row>
    <row r="4" spans="1:23">
      <c r="A4" s="2205"/>
      <c r="B4" s="2205"/>
      <c r="C4" s="2205"/>
      <c r="D4" s="2207"/>
      <c r="E4" s="2208"/>
      <c r="F4" s="2205"/>
      <c r="G4" s="2205"/>
      <c r="H4" s="2205"/>
      <c r="I4" s="2210"/>
    </row>
    <row r="5" spans="1:23" ht="22.5">
      <c r="A5" s="2211" t="s">
        <v>118</v>
      </c>
      <c r="B5" s="2211" t="s">
        <v>119</v>
      </c>
      <c r="C5" s="2211" t="s">
        <v>120</v>
      </c>
      <c r="D5" s="2211" t="s">
        <v>121</v>
      </c>
      <c r="E5" s="2211" t="s">
        <v>122</v>
      </c>
      <c r="F5" s="2211" t="s">
        <v>123</v>
      </c>
      <c r="G5" s="2211" t="s">
        <v>124</v>
      </c>
      <c r="H5" s="2213" t="s">
        <v>2</v>
      </c>
      <c r="I5" s="2214" t="s">
        <v>46</v>
      </c>
      <c r="J5" s="71"/>
    </row>
    <row r="6" spans="1:23">
      <c r="A6" s="2211" t="s">
        <v>125</v>
      </c>
      <c r="B6" s="2211" t="s">
        <v>126</v>
      </c>
      <c r="C6" s="2211">
        <v>3</v>
      </c>
      <c r="D6" s="2211">
        <v>4</v>
      </c>
      <c r="E6" s="2211">
        <v>5</v>
      </c>
      <c r="F6" s="2211">
        <v>6</v>
      </c>
      <c r="G6" s="2211">
        <v>7</v>
      </c>
      <c r="H6" s="2213">
        <v>8</v>
      </c>
      <c r="I6" s="2214">
        <v>9</v>
      </c>
    </row>
    <row r="7" spans="1:23" ht="21" customHeight="1">
      <c r="A7" s="2215"/>
      <c r="B7" s="2216"/>
      <c r="C7" s="2216" t="s">
        <v>366</v>
      </c>
      <c r="D7" s="2216" t="s">
        <v>367</v>
      </c>
      <c r="E7" s="2216"/>
      <c r="F7" s="2568"/>
      <c r="G7" s="2218"/>
      <c r="H7" s="2218">
        <f>H8+H42</f>
        <v>0</v>
      </c>
      <c r="I7" s="2219"/>
      <c r="J7" s="2220"/>
    </row>
    <row r="8" spans="1:23" s="883" customFormat="1" ht="13.5" customHeight="1">
      <c r="A8" s="2569"/>
      <c r="B8" s="2570"/>
      <c r="C8" s="2571">
        <v>723</v>
      </c>
      <c r="D8" s="2571" t="s">
        <v>1850</v>
      </c>
      <c r="E8" s="2571"/>
      <c r="F8" s="2572"/>
      <c r="G8" s="2573"/>
      <c r="H8" s="2573">
        <f>SUM(H9:H41)</f>
        <v>0</v>
      </c>
      <c r="I8" s="2574"/>
      <c r="J8" s="2575"/>
    </row>
    <row r="9" spans="1:23" s="612" customFormat="1" ht="22.5">
      <c r="A9" s="2263">
        <v>1</v>
      </c>
      <c r="B9" s="2264">
        <v>721</v>
      </c>
      <c r="C9" s="2264">
        <v>723150303</v>
      </c>
      <c r="D9" s="2264" t="s">
        <v>1851</v>
      </c>
      <c r="E9" s="2264" t="s">
        <v>141</v>
      </c>
      <c r="F9" s="2265">
        <f>F10</f>
        <v>19.8</v>
      </c>
      <c r="G9" s="105"/>
      <c r="H9" s="2266">
        <f>F9*G9</f>
        <v>0</v>
      </c>
      <c r="I9" s="2228" t="s">
        <v>1801</v>
      </c>
      <c r="J9" s="663"/>
      <c r="K9" s="663"/>
      <c r="L9" s="663"/>
      <c r="M9" s="663"/>
      <c r="N9" s="663"/>
      <c r="O9" s="663"/>
      <c r="P9" s="663"/>
      <c r="Q9" s="663"/>
    </row>
    <row r="10" spans="1:23" s="604" customFormat="1" ht="13.5" customHeight="1">
      <c r="A10" s="2576"/>
      <c r="B10" s="2577"/>
      <c r="C10" s="2578"/>
      <c r="D10" s="2230" t="s">
        <v>1852</v>
      </c>
      <c r="E10" s="2269"/>
      <c r="F10" s="2270">
        <f>(18)*1.1</f>
        <v>19.8</v>
      </c>
      <c r="G10" s="3"/>
      <c r="H10" s="2580"/>
      <c r="I10" s="2581"/>
      <c r="J10" s="606"/>
      <c r="U10" s="605"/>
      <c r="W10" s="605"/>
    </row>
    <row r="11" spans="1:23" s="604" customFormat="1" ht="13.5" customHeight="1">
      <c r="A11" s="2576"/>
      <c r="B11" s="2577"/>
      <c r="C11" s="2582"/>
      <c r="D11" s="2269" t="s">
        <v>1853</v>
      </c>
      <c r="E11" s="2269"/>
      <c r="F11" s="2270"/>
      <c r="G11" s="3"/>
      <c r="H11" s="2583"/>
      <c r="I11" s="2581"/>
      <c r="J11" s="606"/>
      <c r="L11" s="2584"/>
      <c r="M11" s="2584"/>
      <c r="Q11" s="2585"/>
      <c r="R11" s="2585"/>
      <c r="U11" s="605"/>
      <c r="W11" s="605"/>
    </row>
    <row r="12" spans="1:23" s="612" customFormat="1" ht="27" customHeight="1">
      <c r="A12" s="2263">
        <v>2</v>
      </c>
      <c r="B12" s="2264">
        <v>721</v>
      </c>
      <c r="C12" s="2264" t="s">
        <v>1854</v>
      </c>
      <c r="D12" s="2264" t="s">
        <v>1855</v>
      </c>
      <c r="E12" s="2264" t="s">
        <v>141</v>
      </c>
      <c r="F12" s="2265">
        <f>F13</f>
        <v>0.88000000000000012</v>
      </c>
      <c r="G12" s="105"/>
      <c r="H12" s="2266">
        <f>F12*G12</f>
        <v>0</v>
      </c>
      <c r="I12" s="2228" t="s">
        <v>111</v>
      </c>
    </row>
    <row r="13" spans="1:23" s="604" customFormat="1" ht="13.5" customHeight="1">
      <c r="A13" s="2576"/>
      <c r="B13" s="2577"/>
      <c r="C13" s="2578"/>
      <c r="D13" s="2230" t="s">
        <v>1856</v>
      </c>
      <c r="E13" s="2269"/>
      <c r="F13" s="2270">
        <f>(0.8)*1.1</f>
        <v>0.88000000000000012</v>
      </c>
      <c r="G13" s="3"/>
      <c r="H13" s="2580"/>
      <c r="I13" s="2581"/>
      <c r="J13" s="606"/>
      <c r="U13" s="605"/>
      <c r="W13" s="605"/>
    </row>
    <row r="14" spans="1:23" s="604" customFormat="1" ht="13.5" customHeight="1">
      <c r="A14" s="2576"/>
      <c r="B14" s="2577"/>
      <c r="C14" s="2582"/>
      <c r="D14" s="2269" t="s">
        <v>1853</v>
      </c>
      <c r="E14" s="2269"/>
      <c r="F14" s="2270"/>
      <c r="G14" s="3"/>
      <c r="H14" s="2583"/>
      <c r="I14" s="2581"/>
      <c r="J14" s="606"/>
      <c r="L14" s="2584"/>
      <c r="M14" s="2584"/>
      <c r="Q14" s="2585"/>
      <c r="R14" s="2585"/>
      <c r="U14" s="605"/>
      <c r="W14" s="605"/>
    </row>
    <row r="15" spans="1:23" s="612" customFormat="1" ht="13.5" customHeight="1">
      <c r="A15" s="2263">
        <v>3</v>
      </c>
      <c r="B15" s="2264">
        <v>721</v>
      </c>
      <c r="C15" s="2264" t="s">
        <v>1857</v>
      </c>
      <c r="D15" s="2264" t="s">
        <v>1858</v>
      </c>
      <c r="E15" s="2264" t="s">
        <v>141</v>
      </c>
      <c r="F15" s="2265">
        <f>F16</f>
        <v>4.4000000000000004</v>
      </c>
      <c r="G15" s="105"/>
      <c r="H15" s="2266">
        <f>F15*G15</f>
        <v>0</v>
      </c>
      <c r="I15" s="2228" t="s">
        <v>1801</v>
      </c>
      <c r="J15" s="829"/>
    </row>
    <row r="16" spans="1:23" s="604" customFormat="1" ht="13.5" customHeight="1">
      <c r="A16" s="2576"/>
      <c r="B16" s="2577"/>
      <c r="C16" s="2578"/>
      <c r="D16" s="2230" t="s">
        <v>1859</v>
      </c>
      <c r="E16" s="2269"/>
      <c r="F16" s="2270">
        <f>(4)*1.1</f>
        <v>4.4000000000000004</v>
      </c>
      <c r="G16" s="3"/>
      <c r="H16" s="2580"/>
      <c r="I16" s="2581"/>
      <c r="J16" s="606"/>
      <c r="U16" s="605"/>
      <c r="W16" s="605"/>
    </row>
    <row r="17" spans="1:121" s="604" customFormat="1" ht="13.5" customHeight="1">
      <c r="A17" s="2576"/>
      <c r="B17" s="2577"/>
      <c r="C17" s="2582"/>
      <c r="D17" s="2269" t="s">
        <v>1853</v>
      </c>
      <c r="E17" s="2269"/>
      <c r="F17" s="2270"/>
      <c r="G17" s="3"/>
      <c r="H17" s="2583"/>
      <c r="I17" s="2581"/>
      <c r="J17" s="606"/>
      <c r="L17" s="2586"/>
      <c r="P17" s="2587"/>
      <c r="Q17" s="2585"/>
      <c r="R17" s="2585"/>
      <c r="U17" s="605"/>
      <c r="W17" s="605"/>
    </row>
    <row r="18" spans="1:121" s="612" customFormat="1" ht="13.5" customHeight="1">
      <c r="A18" s="2263">
        <v>4</v>
      </c>
      <c r="B18" s="2264" t="s">
        <v>1860</v>
      </c>
      <c r="C18" s="2264" t="s">
        <v>1861</v>
      </c>
      <c r="D18" s="2264" t="s">
        <v>1862</v>
      </c>
      <c r="E18" s="2264" t="s">
        <v>141</v>
      </c>
      <c r="F18" s="2265">
        <f>F20</f>
        <v>4.4000000000000004</v>
      </c>
      <c r="G18" s="105"/>
      <c r="H18" s="2266">
        <f>F18*G18</f>
        <v>0</v>
      </c>
      <c r="I18" s="2228" t="s">
        <v>111</v>
      </c>
      <c r="J18" s="637"/>
    </row>
    <row r="19" spans="1:121" s="604" customFormat="1" ht="13.5" customHeight="1">
      <c r="A19" s="2576"/>
      <c r="B19" s="2577"/>
      <c r="C19" s="2578"/>
      <c r="D19" s="2230" t="s">
        <v>1863</v>
      </c>
      <c r="E19" s="2269"/>
      <c r="G19" s="3"/>
      <c r="H19" s="2580"/>
      <c r="I19" s="2581"/>
      <c r="J19" s="606"/>
      <c r="U19" s="605"/>
      <c r="W19" s="605"/>
    </row>
    <row r="20" spans="1:121" s="604" customFormat="1" ht="13.5" customHeight="1">
      <c r="A20" s="2576"/>
      <c r="B20" s="2577"/>
      <c r="C20" s="2578"/>
      <c r="D20" s="2230" t="s">
        <v>1864</v>
      </c>
      <c r="E20" s="2269"/>
      <c r="F20" s="2270">
        <f>(4)*1.1</f>
        <v>4.4000000000000004</v>
      </c>
      <c r="G20" s="3"/>
      <c r="H20" s="2580"/>
      <c r="I20" s="2581"/>
      <c r="J20" s="606"/>
      <c r="U20" s="605"/>
      <c r="W20" s="605"/>
    </row>
    <row r="21" spans="1:121" s="604" customFormat="1" ht="13.5" customHeight="1">
      <c r="A21" s="2576"/>
      <c r="B21" s="2577"/>
      <c r="C21" s="2582"/>
      <c r="D21" s="2269" t="s">
        <v>1853</v>
      </c>
      <c r="E21" s="2269"/>
      <c r="F21" s="2270"/>
      <c r="G21" s="3"/>
      <c r="H21" s="2583"/>
      <c r="I21" s="2581"/>
      <c r="J21" s="606"/>
      <c r="L21" s="2584"/>
      <c r="M21" s="2584"/>
      <c r="Q21" s="2585"/>
      <c r="R21" s="2585"/>
      <c r="U21" s="605"/>
      <c r="W21" s="605"/>
    </row>
    <row r="22" spans="1:121" s="2597" customFormat="1" ht="13.5" customHeight="1">
      <c r="A22" s="2588">
        <v>5</v>
      </c>
      <c r="B22" s="2589">
        <v>721</v>
      </c>
      <c r="C22" s="2590" t="s">
        <v>1865</v>
      </c>
      <c r="D22" s="2591" t="s">
        <v>1866</v>
      </c>
      <c r="E22" s="2592" t="s">
        <v>205</v>
      </c>
      <c r="F22" s="2593">
        <f>SUM(F23)</f>
        <v>1</v>
      </c>
      <c r="G22" s="79"/>
      <c r="H22" s="2266">
        <f>F22*G22</f>
        <v>0</v>
      </c>
      <c r="I22" s="2228" t="s">
        <v>111</v>
      </c>
      <c r="J22" s="2595"/>
      <c r="K22" s="2596"/>
      <c r="L22" s="2596"/>
      <c r="M22" s="2596"/>
      <c r="N22" s="2596"/>
      <c r="O22" s="2596"/>
      <c r="P22" s="2595"/>
      <c r="R22" s="2598"/>
      <c r="S22" s="2598"/>
      <c r="T22" s="2595"/>
      <c r="U22" s="2595"/>
    </row>
    <row r="23" spans="1:121" s="884" customFormat="1" ht="13.5" customHeight="1">
      <c r="A23" s="2595"/>
      <c r="B23" s="2595"/>
      <c r="C23" s="2595"/>
      <c r="D23" s="2599" t="s">
        <v>1867</v>
      </c>
      <c r="E23" s="2595"/>
      <c r="F23" s="2600">
        <f>1</f>
        <v>1</v>
      </c>
      <c r="G23" s="79"/>
      <c r="H23" s="2595"/>
      <c r="I23" s="2595"/>
      <c r="J23" s="71"/>
    </row>
    <row r="24" spans="1:121" s="612" customFormat="1" ht="13.5" customHeight="1">
      <c r="A24" s="2263">
        <v>6</v>
      </c>
      <c r="B24" s="2264">
        <v>721</v>
      </c>
      <c r="C24" s="2264" t="s">
        <v>1868</v>
      </c>
      <c r="D24" s="2264" t="s">
        <v>1869</v>
      </c>
      <c r="E24" s="2264" t="s">
        <v>205</v>
      </c>
      <c r="F24" s="2265">
        <f>SUM(F26)</f>
        <v>1</v>
      </c>
      <c r="G24" s="105"/>
      <c r="H24" s="2266">
        <f>F24*G24</f>
        <v>0</v>
      </c>
      <c r="I24" s="2228" t="s">
        <v>111</v>
      </c>
      <c r="Q24" s="2601"/>
      <c r="R24" s="2602"/>
    </row>
    <row r="25" spans="1:121" s="612" customFormat="1" ht="13.5" customHeight="1">
      <c r="A25" s="2263"/>
      <c r="B25" s="2264"/>
      <c r="C25" s="2264"/>
      <c r="D25" s="2230" t="s">
        <v>1870</v>
      </c>
      <c r="E25" s="2264"/>
      <c r="F25" s="2265"/>
      <c r="G25" s="105"/>
      <c r="H25" s="2266"/>
      <c r="I25" s="2228"/>
      <c r="J25" s="71"/>
      <c r="Q25" s="2601"/>
      <c r="R25" s="2602"/>
    </row>
    <row r="26" spans="1:121" s="604" customFormat="1" ht="13.5" customHeight="1">
      <c r="A26" s="2576"/>
      <c r="B26" s="2577"/>
      <c r="C26" s="2603"/>
      <c r="D26" s="2230" t="s">
        <v>1871</v>
      </c>
      <c r="E26" s="2269"/>
      <c r="F26" s="2270">
        <v>1</v>
      </c>
      <c r="G26" s="3"/>
      <c r="H26" s="2580"/>
      <c r="I26" s="2228"/>
      <c r="J26" s="2261"/>
      <c r="R26" s="2602"/>
      <c r="U26" s="605"/>
      <c r="W26" s="605"/>
    </row>
    <row r="27" spans="1:121" s="604" customFormat="1" ht="27" customHeight="1">
      <c r="A27" s="2576"/>
      <c r="B27" s="2577"/>
      <c r="C27" s="2603"/>
      <c r="D27" s="2230" t="s">
        <v>1872</v>
      </c>
      <c r="E27" s="2269"/>
      <c r="F27" s="2270"/>
      <c r="G27" s="3"/>
      <c r="H27" s="2580"/>
      <c r="I27" s="2228"/>
      <c r="J27" s="2604"/>
      <c r="R27" s="2602"/>
      <c r="U27" s="605"/>
      <c r="W27" s="605"/>
    </row>
    <row r="28" spans="1:121" s="2606" customFormat="1" ht="13.5" customHeight="1">
      <c r="A28" s="2222">
        <v>7</v>
      </c>
      <c r="B28" s="2223" t="s">
        <v>1860</v>
      </c>
      <c r="C28" s="2224" t="s">
        <v>2759</v>
      </c>
      <c r="D28" s="2224" t="s">
        <v>1873</v>
      </c>
      <c r="E28" s="2224" t="s">
        <v>49</v>
      </c>
      <c r="F28" s="2605">
        <f>F29</f>
        <v>1</v>
      </c>
      <c r="G28" s="124"/>
      <c r="H28" s="2226">
        <f>F28*G28</f>
        <v>0</v>
      </c>
      <c r="I28" s="2228" t="s">
        <v>111</v>
      </c>
      <c r="J28" s="2295"/>
      <c r="K28" s="2321"/>
      <c r="L28" s="2321"/>
      <c r="M28" s="2295"/>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2321"/>
      <c r="BB28" s="2321"/>
      <c r="BC28" s="2321"/>
      <c r="BD28" s="2321"/>
      <c r="BE28" s="2321"/>
      <c r="BF28" s="2321"/>
      <c r="BG28" s="2321"/>
      <c r="BH28" s="2321"/>
      <c r="BI28" s="2321"/>
      <c r="BJ28" s="2321"/>
      <c r="BK28" s="2321"/>
      <c r="BL28" s="2321"/>
      <c r="BM28" s="2321"/>
      <c r="BN28" s="2321"/>
      <c r="BO28" s="2321"/>
    </row>
    <row r="29" spans="1:121" s="2606" customFormat="1" ht="27" customHeight="1">
      <c r="A29" s="2222"/>
      <c r="B29" s="2223"/>
      <c r="C29" s="2224"/>
      <c r="D29" s="2277" t="s">
        <v>1874</v>
      </c>
      <c r="E29" s="2224"/>
      <c r="F29" s="2278">
        <v>1</v>
      </c>
      <c r="G29" s="124"/>
      <c r="H29" s="2226"/>
      <c r="I29" s="2297"/>
      <c r="J29" s="2607"/>
      <c r="K29" s="2321"/>
      <c r="L29" s="2321"/>
      <c r="M29" s="2295"/>
      <c r="N29" s="2321"/>
      <c r="O29" s="2321"/>
      <c r="P29" s="2321"/>
      <c r="Q29" s="2321"/>
      <c r="R29" s="2321"/>
      <c r="S29" s="2321"/>
      <c r="T29" s="2321"/>
      <c r="U29" s="2321"/>
      <c r="V29" s="2321"/>
      <c r="W29" s="2321"/>
      <c r="X29" s="2321"/>
      <c r="Y29" s="2321"/>
      <c r="Z29" s="2321"/>
      <c r="AA29" s="2321"/>
      <c r="AB29" s="2321"/>
      <c r="AC29" s="2321"/>
      <c r="AD29" s="2321"/>
      <c r="AE29" s="2321"/>
      <c r="AF29" s="2321"/>
      <c r="AG29" s="2321"/>
      <c r="AH29" s="2321"/>
      <c r="AI29" s="2321"/>
      <c r="AJ29" s="2321"/>
      <c r="AK29" s="2321"/>
      <c r="AL29" s="2321"/>
      <c r="AM29" s="2321"/>
      <c r="AN29" s="2321"/>
      <c r="AO29" s="2321"/>
      <c r="AP29" s="2321"/>
      <c r="AQ29" s="2321"/>
      <c r="AR29" s="2321"/>
      <c r="AS29" s="2321"/>
      <c r="AT29" s="2321"/>
      <c r="AU29" s="2321"/>
      <c r="AV29" s="2321"/>
      <c r="AW29" s="2321"/>
      <c r="AX29" s="2321"/>
      <c r="AY29" s="2321"/>
      <c r="AZ29" s="2321"/>
      <c r="BA29" s="2321"/>
      <c r="BB29" s="2321"/>
      <c r="BC29" s="2321"/>
      <c r="BD29" s="2321"/>
      <c r="BE29" s="2321"/>
      <c r="BF29" s="2321"/>
      <c r="BG29" s="2321"/>
      <c r="BH29" s="2321"/>
      <c r="BI29" s="2321"/>
      <c r="BJ29" s="2321"/>
      <c r="BK29" s="2321"/>
      <c r="BL29" s="2321"/>
      <c r="BM29" s="2321"/>
      <c r="BN29" s="2321"/>
      <c r="BO29" s="2321"/>
    </row>
    <row r="30" spans="1:121" s="2206" customFormat="1" ht="13.5" customHeight="1">
      <c r="A30" s="2235">
        <v>8</v>
      </c>
      <c r="B30" s="2224">
        <v>721</v>
      </c>
      <c r="C30" s="2224" t="s">
        <v>1875</v>
      </c>
      <c r="D30" s="2236" t="s">
        <v>1836</v>
      </c>
      <c r="E30" s="2236" t="s">
        <v>49</v>
      </c>
      <c r="F30" s="2237">
        <f>SUM(F32)</f>
        <v>1</v>
      </c>
      <c r="G30" s="125"/>
      <c r="H30" s="2238">
        <f>F30*G30</f>
        <v>0</v>
      </c>
      <c r="I30" s="2228" t="s">
        <v>111</v>
      </c>
    </row>
    <row r="31" spans="1:121" s="2262" customFormat="1" ht="27" customHeight="1">
      <c r="A31" s="2243"/>
      <c r="B31" s="2244"/>
      <c r="C31" s="2244"/>
      <c r="D31" s="2245" t="s">
        <v>1876</v>
      </c>
      <c r="E31" s="2244"/>
      <c r="F31" s="2225"/>
      <c r="G31" s="126"/>
      <c r="H31" s="2219"/>
      <c r="I31" s="2219"/>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2250"/>
      <c r="BQ31" s="2250"/>
      <c r="BR31" s="2250"/>
      <c r="BS31" s="2250"/>
      <c r="BT31" s="2250"/>
      <c r="BU31" s="2250"/>
      <c r="BV31" s="2250"/>
      <c r="BW31" s="2250"/>
      <c r="BX31" s="2250"/>
      <c r="BY31" s="2250"/>
      <c r="BZ31" s="2250"/>
      <c r="CA31" s="2250"/>
      <c r="CB31" s="2250"/>
      <c r="CC31" s="2250"/>
      <c r="CD31" s="2250"/>
      <c r="CE31" s="2250"/>
      <c r="CF31" s="2250"/>
      <c r="CG31" s="2250"/>
      <c r="CH31" s="2250"/>
      <c r="CI31" s="2250"/>
      <c r="CJ31" s="2250"/>
      <c r="CK31" s="2250"/>
      <c r="CL31" s="2250"/>
      <c r="CM31" s="2250"/>
      <c r="CN31" s="2250"/>
      <c r="CO31" s="2250"/>
      <c r="CP31" s="2250"/>
      <c r="CQ31" s="2250"/>
      <c r="CR31" s="2250"/>
      <c r="CS31" s="2250"/>
      <c r="CT31" s="2250"/>
      <c r="CU31" s="2250"/>
      <c r="CV31" s="2250"/>
      <c r="CW31" s="2250"/>
      <c r="CX31" s="2250"/>
      <c r="CY31" s="2250"/>
      <c r="CZ31" s="2250"/>
      <c r="DA31" s="2250"/>
      <c r="DB31" s="2250"/>
      <c r="DC31" s="2250"/>
      <c r="DD31" s="2250"/>
      <c r="DE31" s="2250"/>
      <c r="DF31" s="2250"/>
      <c r="DG31" s="2250"/>
      <c r="DH31" s="2250"/>
      <c r="DI31" s="2250"/>
      <c r="DJ31" s="2250"/>
      <c r="DK31" s="2250"/>
      <c r="DL31" s="2250"/>
      <c r="DM31" s="2250"/>
      <c r="DN31" s="2250"/>
      <c r="DO31" s="2250"/>
      <c r="DP31" s="2250"/>
      <c r="DQ31" s="2250"/>
    </row>
    <row r="32" spans="1:121" s="2262" customFormat="1" ht="13.5" customHeight="1">
      <c r="A32" s="2319"/>
      <c r="B32" s="2244"/>
      <c r="C32" s="2244"/>
      <c r="D32" s="2277" t="s">
        <v>1838</v>
      </c>
      <c r="E32" s="2244"/>
      <c r="F32" s="2278">
        <v>1</v>
      </c>
      <c r="G32" s="127"/>
      <c r="H32" s="2226"/>
      <c r="I32" s="2219"/>
      <c r="J32" s="2250"/>
      <c r="K32" s="2250"/>
      <c r="L32" s="2250"/>
      <c r="M32" s="2250"/>
      <c r="N32" s="2250"/>
      <c r="O32" s="2250"/>
      <c r="P32" s="2250"/>
      <c r="Q32" s="2250"/>
      <c r="R32" s="2250"/>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0"/>
      <c r="BE32" s="2250"/>
      <c r="BF32" s="2250"/>
      <c r="BG32" s="2250"/>
      <c r="BH32" s="2250"/>
      <c r="BI32" s="2250"/>
      <c r="BJ32" s="2250"/>
      <c r="BK32" s="2250"/>
      <c r="BL32" s="2250"/>
      <c r="BM32" s="2250"/>
      <c r="BN32" s="2250"/>
      <c r="BO32" s="2250"/>
      <c r="BP32" s="2250"/>
      <c r="BQ32" s="2250"/>
      <c r="BR32" s="2250"/>
      <c r="BS32" s="2250"/>
      <c r="BT32" s="2250"/>
      <c r="BU32" s="2250"/>
      <c r="BV32" s="2250"/>
      <c r="BW32" s="2250"/>
      <c r="BX32" s="2250"/>
      <c r="BY32" s="2250"/>
      <c r="BZ32" s="2250"/>
      <c r="CA32" s="2250"/>
      <c r="CB32" s="2250"/>
      <c r="CC32" s="2250"/>
      <c r="CD32" s="2250"/>
      <c r="CE32" s="2250"/>
      <c r="CF32" s="2250"/>
      <c r="CG32" s="2250"/>
      <c r="CH32" s="2250"/>
      <c r="CI32" s="2250"/>
      <c r="CJ32" s="2250"/>
      <c r="CK32" s="2250"/>
      <c r="CL32" s="2250"/>
      <c r="CM32" s="2250"/>
      <c r="CN32" s="2250"/>
      <c r="CO32" s="2250"/>
      <c r="CP32" s="2250"/>
      <c r="CQ32" s="2250"/>
      <c r="CR32" s="2250"/>
      <c r="CS32" s="2250"/>
      <c r="CT32" s="2250"/>
      <c r="CU32" s="2250"/>
      <c r="CV32" s="2250"/>
      <c r="CW32" s="2250"/>
      <c r="CX32" s="2250"/>
      <c r="CY32" s="2250"/>
      <c r="CZ32" s="2250"/>
      <c r="DA32" s="2250"/>
      <c r="DB32" s="2250"/>
      <c r="DC32" s="2250"/>
      <c r="DD32" s="2250"/>
      <c r="DE32" s="2250"/>
      <c r="DF32" s="2250"/>
      <c r="DG32" s="2250"/>
      <c r="DH32" s="2250"/>
      <c r="DI32" s="2250"/>
      <c r="DJ32" s="2250"/>
      <c r="DK32" s="2250"/>
      <c r="DL32" s="2250"/>
      <c r="DM32" s="2250"/>
      <c r="DN32" s="2250"/>
      <c r="DO32" s="2250"/>
      <c r="DP32" s="2250"/>
      <c r="DQ32" s="2250"/>
    </row>
    <row r="33" spans="1:108" s="2606" customFormat="1" ht="13.5" customHeight="1">
      <c r="A33" s="2222">
        <v>9</v>
      </c>
      <c r="B33" s="2608" t="s">
        <v>1860</v>
      </c>
      <c r="C33" s="2264" t="s">
        <v>1877</v>
      </c>
      <c r="D33" s="2224" t="s">
        <v>1878</v>
      </c>
      <c r="E33" s="2224" t="s">
        <v>49</v>
      </c>
      <c r="F33" s="2605">
        <f>F34</f>
        <v>1</v>
      </c>
      <c r="G33" s="126"/>
      <c r="H33" s="2279">
        <f>F33*G33</f>
        <v>0</v>
      </c>
      <c r="I33" s="2228" t="s">
        <v>111</v>
      </c>
      <c r="J33" s="2295"/>
      <c r="K33" s="2321"/>
      <c r="L33" s="2321"/>
      <c r="M33" s="2295"/>
      <c r="N33" s="2321"/>
      <c r="O33" s="2321"/>
      <c r="P33" s="2321"/>
      <c r="Q33" s="2321"/>
      <c r="R33" s="2321"/>
      <c r="S33" s="2321"/>
      <c r="T33" s="2321"/>
      <c r="U33" s="2321"/>
      <c r="V33" s="2321"/>
      <c r="W33" s="2321"/>
      <c r="X33" s="2321"/>
      <c r="Y33" s="2321"/>
      <c r="Z33" s="2321"/>
      <c r="AA33" s="2321"/>
      <c r="AB33" s="2321"/>
      <c r="AC33" s="2321"/>
      <c r="AD33" s="2321"/>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2321"/>
      <c r="BB33" s="2321"/>
      <c r="BC33" s="2321"/>
      <c r="BD33" s="2321"/>
      <c r="BE33" s="2321"/>
      <c r="BF33" s="2321"/>
      <c r="BG33" s="2321"/>
      <c r="BH33" s="2321"/>
      <c r="BI33" s="2321"/>
      <c r="BJ33" s="2321"/>
      <c r="BK33" s="2321"/>
      <c r="BL33" s="2321"/>
      <c r="BM33" s="2321"/>
      <c r="BN33" s="2321"/>
      <c r="BO33" s="2321"/>
      <c r="BP33" s="2321"/>
      <c r="BQ33" s="2321"/>
      <c r="BR33" s="2321"/>
      <c r="BS33" s="2321"/>
      <c r="BT33" s="2321"/>
      <c r="BU33" s="2321"/>
      <c r="BV33" s="2321"/>
      <c r="BW33" s="2321"/>
      <c r="BX33" s="2321"/>
      <c r="BY33" s="2321"/>
      <c r="BZ33" s="2321"/>
      <c r="CA33" s="2321"/>
      <c r="CB33" s="2321"/>
      <c r="CC33" s="2321"/>
      <c r="CD33" s="2321"/>
      <c r="CE33" s="2321"/>
      <c r="CF33" s="2321"/>
      <c r="CG33" s="2321"/>
      <c r="CH33" s="2321"/>
      <c r="CI33" s="2321"/>
      <c r="CJ33" s="2321"/>
      <c r="CK33" s="2321"/>
      <c r="CL33" s="2321"/>
      <c r="CM33" s="2321"/>
      <c r="CN33" s="2321"/>
      <c r="CO33" s="2321"/>
      <c r="CP33" s="2321"/>
      <c r="CQ33" s="2321"/>
      <c r="CR33" s="2321"/>
      <c r="CS33" s="2321"/>
      <c r="CT33" s="2321"/>
      <c r="CU33" s="2321"/>
      <c r="CV33" s="2321"/>
    </row>
    <row r="34" spans="1:108" s="2606" customFormat="1" ht="13.5" customHeight="1">
      <c r="A34" s="2222"/>
      <c r="B34" s="2223"/>
      <c r="C34" s="2224"/>
      <c r="D34" s="2277" t="s">
        <v>1879</v>
      </c>
      <c r="E34" s="2224"/>
      <c r="F34" s="2278">
        <v>1</v>
      </c>
      <c r="G34" s="126"/>
      <c r="H34" s="2279"/>
      <c r="I34" s="2297"/>
      <c r="J34" s="2295"/>
      <c r="K34" s="2321"/>
      <c r="L34" s="2321"/>
      <c r="M34" s="2295"/>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2321"/>
      <c r="BB34" s="2321"/>
      <c r="BC34" s="2321"/>
      <c r="BD34" s="2321"/>
      <c r="BE34" s="2321"/>
      <c r="BF34" s="2321"/>
      <c r="BG34" s="2321"/>
      <c r="BH34" s="2321"/>
      <c r="BI34" s="2321"/>
      <c r="BJ34" s="2321"/>
      <c r="BK34" s="2321"/>
      <c r="BL34" s="2321"/>
      <c r="BM34" s="2321"/>
      <c r="BN34" s="2321"/>
      <c r="BO34" s="2321"/>
      <c r="BP34" s="2321"/>
      <c r="BQ34" s="2321"/>
      <c r="BR34" s="2321"/>
      <c r="BS34" s="2321"/>
      <c r="BT34" s="2321"/>
      <c r="BU34" s="2321"/>
      <c r="BV34" s="2321"/>
      <c r="BW34" s="2321"/>
      <c r="BX34" s="2321"/>
      <c r="BY34" s="2321"/>
      <c r="BZ34" s="2321"/>
      <c r="CA34" s="2321"/>
      <c r="CB34" s="2321"/>
      <c r="CC34" s="2321"/>
      <c r="CD34" s="2321"/>
      <c r="CE34" s="2321"/>
      <c r="CF34" s="2321"/>
      <c r="CG34" s="2321"/>
      <c r="CH34" s="2321"/>
      <c r="CI34" s="2321"/>
      <c r="CJ34" s="2321"/>
      <c r="CK34" s="2321"/>
      <c r="CL34" s="2321"/>
      <c r="CM34" s="2321"/>
      <c r="CN34" s="2321"/>
      <c r="CO34" s="2321"/>
      <c r="CP34" s="2321"/>
      <c r="CQ34" s="2321"/>
      <c r="CR34" s="2321"/>
      <c r="CS34" s="2321"/>
      <c r="CT34" s="2321"/>
      <c r="CU34" s="2321"/>
      <c r="CV34" s="2321"/>
    </row>
    <row r="35" spans="1:108" s="2206" customFormat="1" ht="13.5" customHeight="1">
      <c r="A35" s="2235">
        <v>10</v>
      </c>
      <c r="B35" s="2224">
        <v>721</v>
      </c>
      <c r="C35" s="2224" t="s">
        <v>1880</v>
      </c>
      <c r="D35" s="2236" t="s">
        <v>1881</v>
      </c>
      <c r="E35" s="2236" t="s">
        <v>49</v>
      </c>
      <c r="F35" s="2237">
        <f>SUM(F36)</f>
        <v>1</v>
      </c>
      <c r="G35" s="125"/>
      <c r="H35" s="2238">
        <f>F35*G35</f>
        <v>0</v>
      </c>
      <c r="I35" s="2228" t="s">
        <v>111</v>
      </c>
      <c r="J35" s="2295"/>
    </row>
    <row r="36" spans="1:108" s="2606" customFormat="1" ht="27" customHeight="1">
      <c r="A36" s="2222"/>
      <c r="B36" s="2223"/>
      <c r="C36" s="2224"/>
      <c r="D36" s="2277" t="s">
        <v>1882</v>
      </c>
      <c r="E36" s="2224"/>
      <c r="F36" s="2278">
        <v>1</v>
      </c>
      <c r="G36" s="124"/>
      <c r="H36" s="2226"/>
      <c r="I36" s="2297"/>
      <c r="J36" s="2320"/>
      <c r="K36" s="2321"/>
      <c r="L36" s="2321"/>
      <c r="M36" s="2295"/>
      <c r="N36" s="2321"/>
      <c r="O36" s="2321"/>
      <c r="P36" s="2321"/>
      <c r="Q36" s="2321"/>
      <c r="R36" s="2321"/>
      <c r="S36" s="2321"/>
      <c r="T36" s="2321"/>
      <c r="U36" s="2321"/>
      <c r="V36" s="2321"/>
      <c r="W36" s="2321"/>
      <c r="X36" s="2321"/>
      <c r="Y36" s="2321"/>
      <c r="Z36" s="2321"/>
      <c r="AA36" s="2321"/>
      <c r="AB36" s="2321"/>
      <c r="AC36" s="2321"/>
      <c r="AD36" s="2321"/>
      <c r="AE36" s="2321"/>
      <c r="AF36" s="2321"/>
      <c r="AG36" s="2321"/>
      <c r="AH36" s="2321"/>
      <c r="AI36" s="2321"/>
      <c r="AJ36" s="2321"/>
      <c r="AK36" s="2321"/>
      <c r="AL36" s="2321"/>
      <c r="AM36" s="2321"/>
      <c r="AN36" s="2321"/>
      <c r="AO36" s="2321"/>
      <c r="AP36" s="2321"/>
      <c r="AQ36" s="2321"/>
      <c r="AR36" s="2321"/>
      <c r="AS36" s="2321"/>
      <c r="AT36" s="2321"/>
      <c r="AU36" s="2321"/>
      <c r="AV36" s="2321"/>
      <c r="AW36" s="2321"/>
      <c r="AX36" s="2321"/>
      <c r="AY36" s="2321"/>
      <c r="AZ36" s="2321"/>
      <c r="BA36" s="2321"/>
      <c r="BB36" s="2321"/>
      <c r="BC36" s="2321"/>
      <c r="BD36" s="2321"/>
      <c r="BE36" s="2321"/>
      <c r="BF36" s="2321"/>
      <c r="BG36" s="2321"/>
      <c r="BH36" s="2321"/>
      <c r="BI36" s="2321"/>
      <c r="BJ36" s="2321"/>
      <c r="BK36" s="2321"/>
      <c r="BL36" s="2321"/>
      <c r="BM36" s="2321"/>
      <c r="BN36" s="2321"/>
      <c r="BO36" s="2321"/>
      <c r="BP36" s="2321"/>
      <c r="BQ36" s="2321"/>
      <c r="BR36" s="2321"/>
      <c r="BS36" s="2321"/>
      <c r="BT36" s="2321"/>
      <c r="BU36" s="2321"/>
      <c r="BV36" s="2321"/>
      <c r="BW36" s="2321"/>
      <c r="BX36" s="2321"/>
      <c r="BY36" s="2321"/>
      <c r="BZ36" s="2321"/>
      <c r="CA36" s="2321"/>
      <c r="CB36" s="2321"/>
      <c r="CC36" s="2321"/>
      <c r="CD36" s="2321"/>
      <c r="CE36" s="2321"/>
      <c r="CF36" s="2321"/>
      <c r="CG36" s="2321"/>
      <c r="CH36" s="2321"/>
      <c r="CI36" s="2321"/>
      <c r="CJ36" s="2321"/>
      <c r="CK36" s="2321"/>
      <c r="CL36" s="2321"/>
      <c r="CM36" s="2321"/>
      <c r="CN36" s="2321"/>
      <c r="CO36" s="2321"/>
      <c r="CP36" s="2321"/>
      <c r="CQ36" s="2321"/>
      <c r="CR36" s="2321"/>
      <c r="CS36" s="2321"/>
      <c r="CT36" s="2321"/>
      <c r="CU36" s="2321"/>
      <c r="CV36" s="2321"/>
      <c r="CW36" s="2321"/>
      <c r="CX36" s="2321"/>
      <c r="CY36" s="2321"/>
      <c r="CZ36" s="2321"/>
      <c r="DA36" s="2321"/>
      <c r="DB36" s="2321"/>
      <c r="DC36" s="2321"/>
      <c r="DD36" s="2321"/>
    </row>
    <row r="37" spans="1:108" s="2606" customFormat="1" ht="27" customHeight="1">
      <c r="A37" s="2222"/>
      <c r="B37" s="2223"/>
      <c r="C37" s="2224"/>
      <c r="D37" s="2277" t="s">
        <v>1883</v>
      </c>
      <c r="E37" s="2224"/>
      <c r="F37" s="2278"/>
      <c r="G37" s="124"/>
      <c r="H37" s="2226"/>
      <c r="I37" s="2297"/>
      <c r="J37" s="2320"/>
      <c r="K37" s="2321"/>
      <c r="L37" s="2321"/>
      <c r="M37" s="2295"/>
      <c r="N37" s="2321"/>
      <c r="O37" s="2321"/>
      <c r="P37" s="2321"/>
      <c r="Q37" s="2321"/>
      <c r="R37" s="2321"/>
      <c r="S37" s="2321"/>
      <c r="T37" s="2321"/>
      <c r="U37" s="2321"/>
      <c r="V37" s="2321"/>
      <c r="W37" s="2321"/>
      <c r="X37" s="2321"/>
      <c r="Y37" s="2321"/>
      <c r="Z37" s="2321"/>
      <c r="AA37" s="2321"/>
      <c r="AB37" s="2321"/>
      <c r="AC37" s="2321"/>
      <c r="AD37" s="2321"/>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2321"/>
      <c r="BB37" s="2321"/>
      <c r="BC37" s="2321"/>
      <c r="BD37" s="2321"/>
      <c r="BE37" s="2321"/>
      <c r="BF37" s="2321"/>
      <c r="BG37" s="2321"/>
      <c r="BH37" s="2321"/>
      <c r="BI37" s="2321"/>
      <c r="BJ37" s="2321"/>
      <c r="BK37" s="2321"/>
      <c r="BL37" s="2321"/>
      <c r="BM37" s="2321"/>
      <c r="BN37" s="2321"/>
      <c r="BO37" s="2321"/>
      <c r="BP37" s="2321"/>
      <c r="BQ37" s="2321"/>
      <c r="BR37" s="2321"/>
      <c r="BS37" s="2321"/>
      <c r="BT37" s="2321"/>
      <c r="BU37" s="2321"/>
      <c r="BV37" s="2321"/>
      <c r="BW37" s="2321"/>
      <c r="BX37" s="2321"/>
      <c r="BY37" s="2321"/>
      <c r="BZ37" s="2321"/>
      <c r="CA37" s="2321"/>
      <c r="CB37" s="2321"/>
      <c r="CC37" s="2321"/>
      <c r="CD37" s="2321"/>
      <c r="CE37" s="2321"/>
      <c r="CF37" s="2321"/>
      <c r="CG37" s="2321"/>
      <c r="CH37" s="2321"/>
      <c r="CI37" s="2321"/>
      <c r="CJ37" s="2321"/>
      <c r="CK37" s="2321"/>
      <c r="CL37" s="2321"/>
      <c r="CM37" s="2321"/>
      <c r="CN37" s="2321"/>
      <c r="CO37" s="2321"/>
      <c r="CP37" s="2321"/>
      <c r="CQ37" s="2321"/>
      <c r="CR37" s="2321"/>
      <c r="CS37" s="2321"/>
      <c r="CT37" s="2321"/>
      <c r="CU37" s="2321"/>
      <c r="CV37" s="2321"/>
      <c r="CW37" s="2321"/>
      <c r="CX37" s="2321"/>
      <c r="CY37" s="2321"/>
      <c r="CZ37" s="2321"/>
      <c r="DA37" s="2321"/>
      <c r="DB37" s="2321"/>
      <c r="DC37" s="2321"/>
      <c r="DD37" s="2321"/>
    </row>
    <row r="38" spans="1:108" s="612" customFormat="1" ht="13.5" customHeight="1">
      <c r="A38" s="2263">
        <v>11</v>
      </c>
      <c r="B38" s="2264" t="s">
        <v>1860</v>
      </c>
      <c r="C38" s="2264">
        <v>998723202</v>
      </c>
      <c r="D38" s="2264" t="s">
        <v>1884</v>
      </c>
      <c r="E38" s="2264" t="s">
        <v>10</v>
      </c>
      <c r="F38" s="2265">
        <v>0.6</v>
      </c>
      <c r="G38" s="105"/>
      <c r="H38" s="2266">
        <f>F38*G38</f>
        <v>0</v>
      </c>
      <c r="I38" s="2228" t="s">
        <v>137</v>
      </c>
      <c r="J38" s="2609"/>
    </row>
    <row r="39" spans="1:108" s="612" customFormat="1" ht="13.5" customHeight="1">
      <c r="A39" s="2263">
        <v>12</v>
      </c>
      <c r="B39" s="2264" t="s">
        <v>362</v>
      </c>
      <c r="C39" s="2264" t="s">
        <v>1885</v>
      </c>
      <c r="D39" s="2264" t="s">
        <v>1886</v>
      </c>
      <c r="E39" s="2264" t="s">
        <v>69</v>
      </c>
      <c r="F39" s="2265">
        <f>F40</f>
        <v>8</v>
      </c>
      <c r="G39" s="105"/>
      <c r="H39" s="2266">
        <f>F39*G39</f>
        <v>0</v>
      </c>
      <c r="I39" s="2228" t="s">
        <v>137</v>
      </c>
    </row>
    <row r="40" spans="1:108" s="604" customFormat="1" ht="13.5" customHeight="1">
      <c r="A40" s="2576"/>
      <c r="B40" s="2577"/>
      <c r="C40" s="2603"/>
      <c r="D40" s="2230" t="s">
        <v>1887</v>
      </c>
      <c r="E40" s="2269"/>
      <c r="F40" s="2270">
        <v>8</v>
      </c>
      <c r="G40" s="3"/>
      <c r="H40" s="2580"/>
      <c r="I40" s="2581"/>
      <c r="J40" s="606"/>
      <c r="U40" s="605"/>
      <c r="W40" s="605"/>
    </row>
    <row r="41" spans="1:108" s="604" customFormat="1" ht="13.5" customHeight="1">
      <c r="A41" s="2576"/>
      <c r="B41" s="2577"/>
      <c r="C41" s="2603"/>
      <c r="D41" s="2230" t="s">
        <v>1888</v>
      </c>
      <c r="E41" s="2269"/>
      <c r="F41" s="2270"/>
      <c r="G41" s="3"/>
      <c r="H41" s="2580"/>
      <c r="I41" s="2581"/>
      <c r="J41" s="606"/>
      <c r="U41" s="605"/>
      <c r="W41" s="605"/>
    </row>
    <row r="42" spans="1:108" s="2250" customFormat="1" ht="13.5" customHeight="1">
      <c r="A42" s="2215"/>
      <c r="B42" s="2216"/>
      <c r="C42" s="2216">
        <v>783</v>
      </c>
      <c r="D42" s="2216" t="s">
        <v>798</v>
      </c>
      <c r="E42" s="2216"/>
      <c r="F42" s="2217"/>
      <c r="G42" s="128"/>
      <c r="H42" s="2610">
        <f>SUM(H43:H68)</f>
        <v>0</v>
      </c>
      <c r="I42" s="2332"/>
    </row>
    <row r="43" spans="1:108" s="2250" customFormat="1" ht="13.5" customHeight="1">
      <c r="A43" s="2222">
        <v>13</v>
      </c>
      <c r="B43" s="2224">
        <v>783</v>
      </c>
      <c r="C43" s="2224">
        <v>783614601</v>
      </c>
      <c r="D43" s="2224" t="s">
        <v>1889</v>
      </c>
      <c r="E43" s="2224" t="s">
        <v>205</v>
      </c>
      <c r="F43" s="2225">
        <f>SUM(F45:F46)</f>
        <v>2</v>
      </c>
      <c r="G43" s="124"/>
      <c r="H43" s="2226">
        <f>F43*G43</f>
        <v>0</v>
      </c>
      <c r="I43" s="2228" t="s">
        <v>137</v>
      </c>
      <c r="J43" s="2308"/>
    </row>
    <row r="44" spans="1:108" s="2250" customFormat="1" ht="13.5" customHeight="1">
      <c r="A44" s="2222"/>
      <c r="B44" s="2224"/>
      <c r="C44" s="2224"/>
      <c r="D44" s="2277" t="s">
        <v>1890</v>
      </c>
      <c r="E44" s="2224"/>
      <c r="G44" s="124"/>
      <c r="H44" s="2226"/>
      <c r="I44" s="2297"/>
      <c r="J44" s="2308"/>
    </row>
    <row r="45" spans="1:108" s="2250" customFormat="1" ht="13.5" customHeight="1">
      <c r="A45" s="2222"/>
      <c r="B45" s="2224"/>
      <c r="C45" s="2224"/>
      <c r="D45" s="2277" t="s">
        <v>1891</v>
      </c>
      <c r="E45" s="2224"/>
      <c r="F45" s="2278">
        <v>1</v>
      </c>
      <c r="G45" s="124"/>
      <c r="H45" s="2226"/>
      <c r="I45" s="2297"/>
      <c r="J45" s="2308"/>
    </row>
    <row r="46" spans="1:108" s="2250" customFormat="1" ht="13.5" customHeight="1">
      <c r="A46" s="2222"/>
      <c r="B46" s="2224"/>
      <c r="C46" s="2224"/>
      <c r="D46" s="2277" t="s">
        <v>1892</v>
      </c>
      <c r="E46" s="2224"/>
      <c r="F46" s="2278">
        <v>1</v>
      </c>
      <c r="G46" s="124"/>
      <c r="H46" s="2226"/>
      <c r="I46" s="2297"/>
      <c r="J46" s="2308"/>
    </row>
    <row r="47" spans="1:108" s="2616" customFormat="1" ht="13.5" customHeight="1">
      <c r="A47" s="2611">
        <v>14</v>
      </c>
      <c r="B47" s="2612">
        <v>783</v>
      </c>
      <c r="C47" s="2612">
        <v>783614651</v>
      </c>
      <c r="D47" s="2612" t="s">
        <v>1893</v>
      </c>
      <c r="E47" s="2612" t="s">
        <v>141</v>
      </c>
      <c r="F47" s="2613">
        <f>SUM(F49:F50)</f>
        <v>18.8</v>
      </c>
      <c r="G47" s="129"/>
      <c r="H47" s="2614">
        <f>F47*G47</f>
        <v>0</v>
      </c>
      <c r="I47" s="2228" t="s">
        <v>137</v>
      </c>
      <c r="J47" s="2615"/>
      <c r="M47" s="1802"/>
    </row>
    <row r="48" spans="1:108" s="2616" customFormat="1" ht="13.5" customHeight="1">
      <c r="A48" s="2611"/>
      <c r="B48" s="2612"/>
      <c r="C48" s="2612"/>
      <c r="D48" s="2617" t="s">
        <v>1894</v>
      </c>
      <c r="E48" s="2612"/>
      <c r="F48" s="2618"/>
      <c r="G48" s="129"/>
      <c r="H48" s="2614"/>
      <c r="I48" s="2619"/>
      <c r="M48" s="1802"/>
    </row>
    <row r="49" spans="1:13" s="2616" customFormat="1" ht="13.5" customHeight="1">
      <c r="A49" s="2611"/>
      <c r="B49" s="2612"/>
      <c r="C49" s="2612"/>
      <c r="D49" s="2617" t="s">
        <v>1895</v>
      </c>
      <c r="E49" s="2612"/>
      <c r="F49" s="2618">
        <v>18</v>
      </c>
      <c r="G49" s="129"/>
      <c r="H49" s="2614"/>
      <c r="I49" s="2619"/>
      <c r="M49" s="1802"/>
    </row>
    <row r="50" spans="1:13" s="2616" customFormat="1" ht="13.5" customHeight="1">
      <c r="A50" s="2611"/>
      <c r="B50" s="2612"/>
      <c r="C50" s="2612"/>
      <c r="D50" s="2617" t="s">
        <v>1896</v>
      </c>
      <c r="E50" s="2612"/>
      <c r="F50" s="2618">
        <v>0.8</v>
      </c>
      <c r="G50" s="129"/>
      <c r="H50" s="2614"/>
      <c r="I50" s="2619"/>
    </row>
    <row r="51" spans="1:13" s="2250" customFormat="1" ht="13.5" customHeight="1">
      <c r="A51" s="2222">
        <v>15</v>
      </c>
      <c r="B51" s="2224">
        <v>783</v>
      </c>
      <c r="C51" s="2224">
        <v>783615501</v>
      </c>
      <c r="D51" s="2224" t="s">
        <v>1897</v>
      </c>
      <c r="E51" s="2224" t="s">
        <v>205</v>
      </c>
      <c r="F51" s="2225">
        <f>SUM(F53:F53)</f>
        <v>1</v>
      </c>
      <c r="G51" s="124"/>
      <c r="H51" s="2226">
        <f>F51*G51</f>
        <v>0</v>
      </c>
      <c r="I51" s="2228" t="s">
        <v>137</v>
      </c>
      <c r="J51" s="2308"/>
    </row>
    <row r="52" spans="1:13" s="2250" customFormat="1" ht="13.5" customHeight="1">
      <c r="A52" s="2222"/>
      <c r="B52" s="2224"/>
      <c r="C52" s="2224"/>
      <c r="D52" s="2277" t="s">
        <v>1898</v>
      </c>
      <c r="E52" s="2224"/>
      <c r="F52" s="2278"/>
      <c r="G52" s="124"/>
      <c r="H52" s="2226"/>
      <c r="I52" s="2297"/>
      <c r="J52" s="2308"/>
    </row>
    <row r="53" spans="1:13" s="2250" customFormat="1" ht="13.5" customHeight="1">
      <c r="A53" s="2222"/>
      <c r="B53" s="2224"/>
      <c r="C53" s="2224"/>
      <c r="D53" s="2277" t="s">
        <v>1891</v>
      </c>
      <c r="E53" s="2224"/>
      <c r="F53" s="2278">
        <v>1</v>
      </c>
      <c r="G53" s="124"/>
      <c r="H53" s="2226"/>
      <c r="I53" s="2297"/>
      <c r="J53" s="2308"/>
    </row>
    <row r="54" spans="1:13" s="2616" customFormat="1" ht="13.5" customHeight="1">
      <c r="A54" s="2611">
        <v>16</v>
      </c>
      <c r="B54" s="2612">
        <v>783</v>
      </c>
      <c r="C54" s="2612">
        <v>783615551</v>
      </c>
      <c r="D54" s="2612" t="s">
        <v>1899</v>
      </c>
      <c r="E54" s="2612" t="s">
        <v>141</v>
      </c>
      <c r="F54" s="2613">
        <f>SUM(F56:F57)</f>
        <v>18.8</v>
      </c>
      <c r="G54" s="129"/>
      <c r="H54" s="2614">
        <f>F54*G54</f>
        <v>0</v>
      </c>
      <c r="I54" s="2228" t="s">
        <v>137</v>
      </c>
    </row>
    <row r="55" spans="1:13" s="2616" customFormat="1" ht="13.5" customHeight="1">
      <c r="A55" s="2611"/>
      <c r="B55" s="2612"/>
      <c r="C55" s="2612"/>
      <c r="D55" s="2617" t="s">
        <v>1900</v>
      </c>
      <c r="E55" s="2612"/>
      <c r="F55" s="2618"/>
      <c r="G55" s="129"/>
      <c r="H55" s="2614"/>
      <c r="I55" s="2619"/>
    </row>
    <row r="56" spans="1:13" s="2616" customFormat="1" ht="13.5" customHeight="1">
      <c r="A56" s="2611"/>
      <c r="B56" s="2612"/>
      <c r="C56" s="2612"/>
      <c r="D56" s="2617" t="s">
        <v>1901</v>
      </c>
      <c r="E56" s="2612"/>
      <c r="F56" s="2618">
        <v>18</v>
      </c>
      <c r="G56" s="129"/>
      <c r="H56" s="2614"/>
      <c r="I56" s="2619"/>
    </row>
    <row r="57" spans="1:13" s="2616" customFormat="1" ht="13.5" customHeight="1">
      <c r="A57" s="2611"/>
      <c r="B57" s="2612"/>
      <c r="C57" s="2612"/>
      <c r="D57" s="2617" t="s">
        <v>1902</v>
      </c>
      <c r="E57" s="2612"/>
      <c r="F57" s="2618">
        <v>0.8</v>
      </c>
      <c r="G57" s="129"/>
      <c r="H57" s="2614"/>
      <c r="I57" s="2619"/>
    </row>
    <row r="58" spans="1:13" s="2616" customFormat="1" ht="13.5" customHeight="1">
      <c r="A58" s="2611">
        <v>17</v>
      </c>
      <c r="B58" s="2612">
        <v>783</v>
      </c>
      <c r="C58" s="2612">
        <v>783617511</v>
      </c>
      <c r="D58" s="2612" t="s">
        <v>1903</v>
      </c>
      <c r="E58" s="2612" t="s">
        <v>205</v>
      </c>
      <c r="F58" s="2225">
        <f>SUM(F60:F61)</f>
        <v>2</v>
      </c>
      <c r="G58" s="129"/>
      <c r="H58" s="2614">
        <f>F58*G58</f>
        <v>0</v>
      </c>
      <c r="I58" s="2228" t="s">
        <v>137</v>
      </c>
      <c r="J58" s="2620"/>
    </row>
    <row r="59" spans="1:13" s="2616" customFormat="1" ht="13.5" customHeight="1">
      <c r="A59" s="2611"/>
      <c r="B59" s="2612"/>
      <c r="C59" s="2612"/>
      <c r="D59" s="2617" t="s">
        <v>1904</v>
      </c>
      <c r="E59" s="2612"/>
      <c r="F59" s="2618"/>
      <c r="G59" s="129"/>
      <c r="H59" s="2614"/>
      <c r="I59" s="2619"/>
      <c r="J59" s="2620"/>
    </row>
    <row r="60" spans="1:13" s="2250" customFormat="1" ht="13.5" customHeight="1">
      <c r="A60" s="2222"/>
      <c r="B60" s="2224"/>
      <c r="C60" s="2224"/>
      <c r="D60" s="2277" t="s">
        <v>1891</v>
      </c>
      <c r="E60" s="2224"/>
      <c r="F60" s="2278">
        <v>1</v>
      </c>
      <c r="G60" s="124"/>
      <c r="H60" s="2226"/>
      <c r="I60" s="2297"/>
      <c r="J60" s="2308"/>
    </row>
    <row r="61" spans="1:13" s="2250" customFormat="1" ht="13.5" customHeight="1">
      <c r="A61" s="2222"/>
      <c r="B61" s="2224"/>
      <c r="C61" s="2224"/>
      <c r="D61" s="2277" t="s">
        <v>1892</v>
      </c>
      <c r="E61" s="2224"/>
      <c r="F61" s="2278">
        <v>1</v>
      </c>
      <c r="G61" s="124"/>
      <c r="H61" s="2226"/>
      <c r="I61" s="2297"/>
      <c r="J61" s="2308"/>
    </row>
    <row r="62" spans="1:13" s="2616" customFormat="1" ht="13.5" customHeight="1">
      <c r="A62" s="2611">
        <v>18</v>
      </c>
      <c r="B62" s="2612">
        <v>783</v>
      </c>
      <c r="C62" s="2612">
        <v>783617611</v>
      </c>
      <c r="D62" s="2612" t="s">
        <v>1905</v>
      </c>
      <c r="E62" s="2612" t="s">
        <v>141</v>
      </c>
      <c r="F62" s="2613">
        <f>SUM(F64:F65)</f>
        <v>18.8</v>
      </c>
      <c r="G62" s="129"/>
      <c r="H62" s="2614">
        <f>F62*G62</f>
        <v>0</v>
      </c>
      <c r="I62" s="2228" t="s">
        <v>137</v>
      </c>
      <c r="J62" s="2621"/>
    </row>
    <row r="63" spans="1:13" s="2616" customFormat="1" ht="13.5" customHeight="1">
      <c r="A63" s="2611"/>
      <c r="B63" s="2612"/>
      <c r="C63" s="2612"/>
      <c r="D63" s="2617" t="s">
        <v>1906</v>
      </c>
      <c r="E63" s="2612"/>
      <c r="F63" s="2618"/>
      <c r="G63" s="129"/>
      <c r="H63" s="2614"/>
      <c r="I63" s="2619"/>
    </row>
    <row r="64" spans="1:13" s="2616" customFormat="1" ht="13.5" customHeight="1">
      <c r="A64" s="2611"/>
      <c r="B64" s="2612"/>
      <c r="C64" s="2612"/>
      <c r="D64" s="2617" t="s">
        <v>1907</v>
      </c>
      <c r="E64" s="2612"/>
      <c r="F64" s="2618">
        <v>18</v>
      </c>
      <c r="G64" s="129"/>
      <c r="H64" s="2614"/>
      <c r="I64" s="2619"/>
    </row>
    <row r="65" spans="1:10" s="2616" customFormat="1" ht="13.5" customHeight="1">
      <c r="A65" s="2611"/>
      <c r="B65" s="2612"/>
      <c r="C65" s="2612"/>
      <c r="D65" s="2617" t="s">
        <v>1908</v>
      </c>
      <c r="E65" s="2612"/>
      <c r="F65" s="2618">
        <v>0.8</v>
      </c>
      <c r="G65" s="129"/>
      <c r="H65" s="2614"/>
      <c r="I65" s="2619"/>
    </row>
    <row r="66" spans="1:10" s="593" customFormat="1" ht="13.5" customHeight="1">
      <c r="A66" s="2222">
        <v>19</v>
      </c>
      <c r="B66" s="2224" t="s">
        <v>362</v>
      </c>
      <c r="C66" s="2224" t="s">
        <v>804</v>
      </c>
      <c r="D66" s="2224" t="s">
        <v>805</v>
      </c>
      <c r="E66" s="2224" t="s">
        <v>69</v>
      </c>
      <c r="F66" s="2225">
        <f>F67</f>
        <v>8</v>
      </c>
      <c r="G66" s="126"/>
      <c r="H66" s="2279">
        <f>F66*G66</f>
        <v>0</v>
      </c>
      <c r="I66" s="2228" t="s">
        <v>137</v>
      </c>
    </row>
    <row r="67" spans="1:10" s="593" customFormat="1" ht="13.5" customHeight="1">
      <c r="A67" s="2319"/>
      <c r="B67" s="2244"/>
      <c r="C67" s="2244"/>
      <c r="D67" s="2277" t="s">
        <v>806</v>
      </c>
      <c r="E67" s="2244"/>
      <c r="F67" s="2278">
        <v>8</v>
      </c>
      <c r="G67" s="130"/>
      <c r="H67" s="2279"/>
      <c r="I67" s="2219"/>
    </row>
    <row r="68" spans="1:10" s="593" customFormat="1" ht="13.5" customHeight="1">
      <c r="A68" s="2319"/>
      <c r="B68" s="2244"/>
      <c r="C68" s="2244"/>
      <c r="D68" s="2277" t="s">
        <v>1909</v>
      </c>
      <c r="E68" s="2244"/>
      <c r="F68" s="2278"/>
      <c r="G68" s="130"/>
      <c r="H68" s="2279"/>
      <c r="I68" s="2219"/>
    </row>
    <row r="69" spans="1:10" s="2206" customFormat="1" ht="21" customHeight="1">
      <c r="A69" s="2222"/>
      <c r="B69" s="2222"/>
      <c r="C69" s="2216" t="s">
        <v>846</v>
      </c>
      <c r="D69" s="2216" t="s">
        <v>847</v>
      </c>
      <c r="E69" s="2216"/>
      <c r="F69" s="2217"/>
      <c r="G69" s="128"/>
      <c r="H69" s="2610">
        <f>H70</f>
        <v>0</v>
      </c>
      <c r="I69" s="2622"/>
    </row>
    <row r="70" spans="1:10" s="2206" customFormat="1" ht="13.5" customHeight="1">
      <c r="A70" s="2222"/>
      <c r="B70" s="2222"/>
      <c r="C70" s="2216" t="s">
        <v>1910</v>
      </c>
      <c r="D70" s="2216" t="s">
        <v>1911</v>
      </c>
      <c r="E70" s="2216"/>
      <c r="F70" s="2217"/>
      <c r="G70" s="128"/>
      <c r="H70" s="2610">
        <f>SUM(H71:H84)</f>
        <v>0</v>
      </c>
      <c r="I70" s="2219"/>
    </row>
    <row r="71" spans="1:10" s="2250" customFormat="1" ht="13.5" customHeight="1">
      <c r="A71" s="2222">
        <v>20</v>
      </c>
      <c r="B71" s="2223" t="s">
        <v>1912</v>
      </c>
      <c r="C71" s="2224">
        <v>230170001</v>
      </c>
      <c r="D71" s="2224" t="s">
        <v>1913</v>
      </c>
      <c r="E71" s="2224" t="s">
        <v>49</v>
      </c>
      <c r="F71" s="2623">
        <f>SUM(F73:F74)</f>
        <v>2</v>
      </c>
      <c r="G71" s="126"/>
      <c r="H71" s="2279">
        <f>F71*G71</f>
        <v>0</v>
      </c>
      <c r="I71" s="2228" t="s">
        <v>137</v>
      </c>
      <c r="J71" s="2206"/>
    </row>
    <row r="72" spans="1:10" s="2626" customFormat="1" ht="13.5" customHeight="1">
      <c r="A72" s="2222"/>
      <c r="B72" s="2222"/>
      <c r="C72" s="2277"/>
      <c r="D72" s="2277" t="s">
        <v>1914</v>
      </c>
      <c r="E72" s="2277"/>
      <c r="F72" s="2278"/>
      <c r="G72" s="100"/>
      <c r="H72" s="2624"/>
      <c r="I72" s="2625"/>
      <c r="J72" s="2206"/>
    </row>
    <row r="73" spans="1:10" s="2616" customFormat="1" ht="13.5" customHeight="1">
      <c r="A73" s="2611"/>
      <c r="B73" s="2612"/>
      <c r="C73" s="2612"/>
      <c r="D73" s="2617" t="s">
        <v>1915</v>
      </c>
      <c r="E73" s="2612"/>
      <c r="F73" s="2618">
        <v>1</v>
      </c>
      <c r="G73" s="129"/>
      <c r="H73" s="2614"/>
      <c r="I73" s="2619"/>
    </row>
    <row r="74" spans="1:10" s="2616" customFormat="1" ht="13.5" customHeight="1">
      <c r="A74" s="2611"/>
      <c r="B74" s="2612"/>
      <c r="C74" s="2612"/>
      <c r="D74" s="2617" t="s">
        <v>1916</v>
      </c>
      <c r="E74" s="2612"/>
      <c r="F74" s="2618">
        <v>1</v>
      </c>
      <c r="G74" s="129"/>
      <c r="H74" s="2614"/>
      <c r="I74" s="2619"/>
      <c r="J74" s="2249"/>
    </row>
    <row r="75" spans="1:10" s="2626" customFormat="1" ht="13.5" customHeight="1">
      <c r="A75" s="2222">
        <v>21</v>
      </c>
      <c r="B75" s="2223" t="s">
        <v>1912</v>
      </c>
      <c r="C75" s="2224">
        <v>230170011</v>
      </c>
      <c r="D75" s="2224" t="s">
        <v>1917</v>
      </c>
      <c r="E75" s="2224" t="s">
        <v>141</v>
      </c>
      <c r="F75" s="2623">
        <f>SUM(F77:F78)</f>
        <v>18.8</v>
      </c>
      <c r="G75" s="126"/>
      <c r="H75" s="2279">
        <f>F75*G75</f>
        <v>0</v>
      </c>
      <c r="I75" s="2228" t="s">
        <v>137</v>
      </c>
      <c r="J75" s="2206"/>
    </row>
    <row r="76" spans="1:10" s="2626" customFormat="1" ht="13.5" customHeight="1">
      <c r="A76" s="2222"/>
      <c r="B76" s="2222"/>
      <c r="C76" s="2277"/>
      <c r="D76" s="2277" t="s">
        <v>1918</v>
      </c>
      <c r="E76" s="2277"/>
      <c r="F76" s="2278"/>
      <c r="G76" s="100"/>
      <c r="H76" s="2624"/>
      <c r="I76" s="2625"/>
      <c r="J76" s="2206"/>
    </row>
    <row r="77" spans="1:10" s="2616" customFormat="1" ht="13.5" customHeight="1">
      <c r="A77" s="2611"/>
      <c r="B77" s="2612"/>
      <c r="C77" s="2612"/>
      <c r="D77" s="2617" t="s">
        <v>1919</v>
      </c>
      <c r="E77" s="2612"/>
      <c r="F77" s="2618">
        <v>18</v>
      </c>
      <c r="G77" s="129"/>
      <c r="H77" s="2614"/>
      <c r="I77" s="2619"/>
    </row>
    <row r="78" spans="1:10" s="2616" customFormat="1" ht="13.5" customHeight="1">
      <c r="A78" s="2611"/>
      <c r="B78" s="2612"/>
      <c r="C78" s="2612"/>
      <c r="D78" s="2617" t="s">
        <v>1920</v>
      </c>
      <c r="E78" s="2612"/>
      <c r="F78" s="2618">
        <v>0.8</v>
      </c>
      <c r="G78" s="129"/>
      <c r="H78" s="2614"/>
      <c r="I78" s="2619"/>
    </row>
    <row r="79" spans="1:10" s="2250" customFormat="1" ht="13.5" customHeight="1">
      <c r="A79" s="2222">
        <v>22</v>
      </c>
      <c r="B79" s="2223" t="s">
        <v>1912</v>
      </c>
      <c r="C79" s="2224">
        <v>230230076</v>
      </c>
      <c r="D79" s="2224" t="s">
        <v>1921</v>
      </c>
      <c r="E79" s="2224" t="s">
        <v>141</v>
      </c>
      <c r="F79" s="2623">
        <f>SUM(F81:F82)</f>
        <v>18.8</v>
      </c>
      <c r="G79" s="126"/>
      <c r="H79" s="2279">
        <f>F79*G79</f>
        <v>0</v>
      </c>
      <c r="I79" s="2228" t="s">
        <v>137</v>
      </c>
      <c r="J79" s="2627"/>
    </row>
    <row r="80" spans="1:10" s="2626" customFormat="1" ht="13.5" customHeight="1">
      <c r="A80" s="2222"/>
      <c r="B80" s="2222"/>
      <c r="C80" s="2277"/>
      <c r="D80" s="2277" t="s">
        <v>1922</v>
      </c>
      <c r="E80" s="2277"/>
      <c r="F80" s="2628"/>
      <c r="G80" s="100"/>
      <c r="H80" s="2624"/>
      <c r="I80" s="2625"/>
      <c r="J80" s="2206"/>
    </row>
    <row r="81" spans="1:11" s="2616" customFormat="1" ht="13.5" customHeight="1">
      <c r="A81" s="2611"/>
      <c r="B81" s="2612"/>
      <c r="C81" s="2612"/>
      <c r="D81" s="2617" t="s">
        <v>1923</v>
      </c>
      <c r="E81" s="2612"/>
      <c r="F81" s="2618">
        <v>18</v>
      </c>
      <c r="G81" s="129"/>
      <c r="H81" s="2614"/>
      <c r="I81" s="2619"/>
    </row>
    <row r="82" spans="1:11" s="2616" customFormat="1" ht="13.5" customHeight="1">
      <c r="A82" s="2611"/>
      <c r="B82" s="2612"/>
      <c r="C82" s="2612"/>
      <c r="D82" s="2617" t="s">
        <v>1924</v>
      </c>
      <c r="E82" s="2612"/>
      <c r="F82" s="2618">
        <v>0.8</v>
      </c>
      <c r="G82" s="129"/>
      <c r="H82" s="2614"/>
      <c r="I82" s="2619"/>
    </row>
    <row r="83" spans="1:11" s="2206" customFormat="1" ht="13.5" customHeight="1">
      <c r="A83" s="2235">
        <v>23</v>
      </c>
      <c r="B83" s="2224">
        <v>721</v>
      </c>
      <c r="C83" s="2224" t="s">
        <v>1925</v>
      </c>
      <c r="D83" s="2224" t="s">
        <v>1926</v>
      </c>
      <c r="E83" s="2236" t="s">
        <v>49</v>
      </c>
      <c r="F83" s="2629">
        <f>SUM(F84)</f>
        <v>1</v>
      </c>
      <c r="G83" s="125"/>
      <c r="H83" s="2238">
        <f>F83*G83</f>
        <v>0</v>
      </c>
      <c r="I83" s="2630" t="s">
        <v>111</v>
      </c>
    </row>
    <row r="84" spans="1:11" s="2206" customFormat="1" ht="27" customHeight="1">
      <c r="A84" s="2222"/>
      <c r="B84" s="2224"/>
      <c r="C84" s="2224"/>
      <c r="D84" s="2277" t="s">
        <v>1927</v>
      </c>
      <c r="E84" s="2340"/>
      <c r="F84" s="2300">
        <v>1</v>
      </c>
      <c r="G84" s="126"/>
      <c r="H84" s="2279"/>
      <c r="I84" s="2219"/>
      <c r="J84" s="2320"/>
      <c r="K84" s="2341"/>
    </row>
    <row r="85" spans="1:11" ht="21" customHeight="1">
      <c r="A85" s="2353"/>
      <c r="B85" s="2354"/>
      <c r="C85" s="2354"/>
      <c r="D85" s="2354" t="s">
        <v>0</v>
      </c>
      <c r="E85" s="2354"/>
      <c r="F85" s="2631"/>
      <c r="G85" s="2356"/>
      <c r="H85" s="2356">
        <f>H7+H69</f>
        <v>0</v>
      </c>
      <c r="I85" s="2206"/>
    </row>
    <row r="86" spans="1:11">
      <c r="A86" s="2357"/>
      <c r="B86" s="2357"/>
      <c r="C86" s="2358"/>
      <c r="D86" s="2358"/>
      <c r="E86" s="2359"/>
      <c r="F86" s="2632"/>
      <c r="G86" s="2361"/>
      <c r="H86" s="2361"/>
      <c r="I86" s="2362"/>
    </row>
    <row r="87" spans="1:11" ht="13.5" customHeight="1">
      <c r="A87" s="5208" t="s">
        <v>862</v>
      </c>
      <c r="B87" s="5209"/>
      <c r="C87" s="5210"/>
      <c r="D87" s="2363" t="s">
        <v>1928</v>
      </c>
      <c r="E87" s="2364"/>
      <c r="F87" s="2633"/>
      <c r="G87" s="2366"/>
      <c r="H87" s="2367">
        <f>H85</f>
        <v>0</v>
      </c>
      <c r="I87" s="2368"/>
    </row>
    <row r="88" spans="1:11" ht="13.5" customHeight="1">
      <c r="A88" s="2243"/>
      <c r="B88" s="2246"/>
      <c r="C88" s="2246"/>
      <c r="D88" s="2351"/>
      <c r="E88" s="2369"/>
      <c r="F88" s="2634"/>
      <c r="G88" s="2247"/>
      <c r="H88" s="2248"/>
      <c r="I88" s="2206"/>
    </row>
    <row r="89" spans="1:11" ht="13.5" customHeight="1">
      <c r="A89" s="689" t="s">
        <v>1</v>
      </c>
      <c r="B89" s="689"/>
      <c r="C89" s="689"/>
      <c r="D89" s="689"/>
      <c r="E89" s="689"/>
      <c r="F89" s="689"/>
      <c r="G89" s="689"/>
      <c r="H89" s="689"/>
      <c r="I89" s="689"/>
    </row>
    <row r="90" spans="1:11" ht="27" customHeight="1">
      <c r="A90" s="5159" t="s">
        <v>864</v>
      </c>
      <c r="B90" s="5159"/>
      <c r="C90" s="5159"/>
      <c r="D90" s="5159"/>
      <c r="E90" s="5159"/>
      <c r="F90" s="5159"/>
      <c r="G90" s="5159"/>
      <c r="H90" s="689"/>
      <c r="I90" s="2206"/>
    </row>
    <row r="91" spans="1:11" ht="93.75" customHeight="1">
      <c r="A91" s="5159" t="s">
        <v>104</v>
      </c>
      <c r="B91" s="5159"/>
      <c r="C91" s="5159"/>
      <c r="D91" s="5159"/>
      <c r="E91" s="5159"/>
      <c r="F91" s="5159"/>
      <c r="G91" s="5159"/>
      <c r="H91" s="689"/>
      <c r="I91" s="689"/>
    </row>
    <row r="92" spans="1:11" ht="13.5" customHeight="1">
      <c r="A92" s="5159" t="s">
        <v>105</v>
      </c>
      <c r="B92" s="5159"/>
      <c r="C92" s="5159"/>
      <c r="D92" s="5159"/>
      <c r="E92" s="5159"/>
      <c r="F92" s="5159"/>
      <c r="G92" s="5159"/>
      <c r="H92" s="691"/>
      <c r="I92" s="691"/>
    </row>
    <row r="93" spans="1:11" ht="13.5" customHeight="1">
      <c r="A93" s="5159" t="s">
        <v>106</v>
      </c>
      <c r="B93" s="5159"/>
      <c r="C93" s="5159"/>
      <c r="D93" s="5159"/>
      <c r="E93" s="5159"/>
      <c r="F93" s="5159"/>
      <c r="G93" s="5159"/>
      <c r="H93" s="691"/>
      <c r="I93" s="691"/>
    </row>
    <row r="94" spans="1:11" s="889" customFormat="1" ht="40.5" customHeight="1">
      <c r="A94" s="5156" t="s">
        <v>865</v>
      </c>
      <c r="B94" s="5156"/>
      <c r="C94" s="5156"/>
      <c r="D94" s="5156"/>
      <c r="E94" s="5156"/>
      <c r="F94" s="5156"/>
      <c r="G94" s="5156"/>
      <c r="H94" s="1203"/>
      <c r="I94" s="888"/>
    </row>
    <row r="95" spans="1:11" s="889" customFormat="1" ht="108" customHeight="1">
      <c r="A95" s="5156" t="s">
        <v>1013</v>
      </c>
      <c r="B95" s="5156"/>
      <c r="C95" s="5156"/>
      <c r="D95" s="5156"/>
      <c r="E95" s="5156"/>
      <c r="F95" s="5156"/>
      <c r="G95" s="5156"/>
      <c r="H95" s="1204"/>
      <c r="I95" s="1205"/>
    </row>
  </sheetData>
  <sheetProtection algorithmName="SHA-512" hashValue="ifKgzuECkyOanteEWQKjkWgEV9T+1Pd66ZcLH2Vqsw5X7qDeDGZ5pgFTVpju7rx3JtREnAHxbwdIVi4F2d9I3A==" saltValue="dPgTI761Psioc1lk2u8L1A==" spinCount="100000" sheet="1" objects="1" scenarios="1"/>
  <mergeCells count="8">
    <mergeCell ref="A95:G95"/>
    <mergeCell ref="A93:G93"/>
    <mergeCell ref="A94:G94"/>
    <mergeCell ref="A2:I2"/>
    <mergeCell ref="A87:C87"/>
    <mergeCell ref="A90:G90"/>
    <mergeCell ref="A91:G91"/>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14BE-B63C-48E5-873F-C0EE36FFA4F2}">
  <sheetPr>
    <tabColor rgb="FFFF00FF"/>
    <pageSetUpPr fitToPage="1"/>
  </sheetPr>
  <dimension ref="A1:DQ1172"/>
  <sheetViews>
    <sheetView zoomScaleNormal="100" workbookViewId="0"/>
  </sheetViews>
  <sheetFormatPr defaultRowHeight="15"/>
  <cols>
    <col min="1" max="2" width="4.83203125" style="1757" customWidth="1"/>
    <col min="3" max="3" width="16.83203125" style="1757" customWidth="1"/>
    <col min="4" max="4" width="75.83203125" style="1757" customWidth="1"/>
    <col min="5" max="5" width="7.83203125" style="1757" customWidth="1"/>
    <col min="6" max="6" width="11.83203125" style="1757" customWidth="1"/>
    <col min="7" max="7" width="13.6640625" style="1757" customWidth="1"/>
    <col min="8" max="8" width="18.33203125" style="1757" customWidth="1"/>
    <col min="9" max="9" width="20" style="1757" customWidth="1"/>
    <col min="10" max="10" width="17.33203125" style="1757" customWidth="1"/>
    <col min="11" max="11" width="24" style="1757" customWidth="1"/>
    <col min="12" max="12" width="23.1640625" style="1757" customWidth="1"/>
    <col min="13" max="13" width="12.5" style="4877" bestFit="1" customWidth="1"/>
    <col min="14" max="14" width="10.6640625" style="4883" bestFit="1" customWidth="1"/>
    <col min="15" max="15" width="13.83203125" style="4883" customWidth="1"/>
    <col min="16" max="16" width="10.6640625" style="4883" customWidth="1"/>
    <col min="17" max="17" width="13.1640625" style="4883" customWidth="1"/>
    <col min="18" max="23" width="9.33203125" style="4883"/>
    <col min="24" max="16384" width="9.33203125" style="1757"/>
  </cols>
  <sheetData>
    <row r="1" spans="1:97" s="251" customFormat="1" ht="20.25" customHeight="1">
      <c r="A1" s="1" t="s">
        <v>2760</v>
      </c>
      <c r="B1" s="28"/>
      <c r="C1" s="28"/>
      <c r="D1" s="111"/>
      <c r="E1" s="111"/>
      <c r="F1" s="111"/>
      <c r="G1" s="111"/>
      <c r="H1" s="111"/>
      <c r="I1" s="111"/>
      <c r="M1" s="4877"/>
      <c r="N1" s="4878"/>
      <c r="O1" s="4878"/>
      <c r="P1" s="4878"/>
      <c r="Q1" s="4878"/>
      <c r="R1" s="4878"/>
      <c r="S1" s="4878"/>
      <c r="T1" s="4878"/>
      <c r="U1" s="4878"/>
      <c r="V1" s="4878"/>
      <c r="W1" s="4878"/>
    </row>
    <row r="2" spans="1:97" s="122" customFormat="1" ht="13.5" customHeight="1">
      <c r="A2" s="5199" t="s">
        <v>115</v>
      </c>
      <c r="B2" s="5231"/>
      <c r="C2" s="5231"/>
      <c r="D2" s="5231"/>
      <c r="E2" s="5231"/>
      <c r="F2" s="5231"/>
      <c r="G2" s="5231"/>
      <c r="H2" s="5231"/>
      <c r="I2" s="5231"/>
      <c r="J2" s="2372"/>
      <c r="K2" s="2373"/>
      <c r="L2" s="4879"/>
      <c r="M2" s="4880"/>
      <c r="N2" s="4881"/>
      <c r="O2" s="4882"/>
    </row>
    <row r="3" spans="1:97" s="122" customFormat="1" ht="13.5" customHeight="1">
      <c r="A3" s="56" t="s">
        <v>1980</v>
      </c>
      <c r="B3" s="137"/>
      <c r="C3" s="138"/>
      <c r="D3" s="138"/>
      <c r="E3" s="138"/>
      <c r="F3" s="139"/>
      <c r="G3" s="138"/>
      <c r="H3" s="138"/>
      <c r="I3" s="251"/>
      <c r="J3" s="2372"/>
      <c r="K3" s="2373"/>
      <c r="L3" s="4879"/>
      <c r="M3" s="4880"/>
      <c r="N3" s="4881"/>
      <c r="O3" s="4882"/>
    </row>
    <row r="4" spans="1:97" ht="13.5" customHeight="1">
      <c r="A4" s="140"/>
      <c r="B4" s="140"/>
      <c r="C4" s="140"/>
      <c r="D4" s="140"/>
      <c r="E4" s="141"/>
      <c r="F4" s="140"/>
      <c r="G4" s="140"/>
      <c r="H4" s="140"/>
      <c r="I4" s="2374"/>
    </row>
    <row r="5" spans="1:97" ht="24.75" customHeight="1">
      <c r="A5" s="142" t="s">
        <v>118</v>
      </c>
      <c r="B5" s="142" t="s">
        <v>119</v>
      </c>
      <c r="C5" s="142" t="s">
        <v>120</v>
      </c>
      <c r="D5" s="142" t="s">
        <v>121</v>
      </c>
      <c r="E5" s="142" t="s">
        <v>122</v>
      </c>
      <c r="F5" s="142" t="s">
        <v>123</v>
      </c>
      <c r="G5" s="142" t="s">
        <v>124</v>
      </c>
      <c r="H5" s="143" t="s">
        <v>2</v>
      </c>
      <c r="I5" s="144" t="s">
        <v>46</v>
      </c>
      <c r="J5" s="4884"/>
      <c r="L5" s="1758"/>
      <c r="M5" s="1757"/>
      <c r="N5" s="1757"/>
    </row>
    <row r="6" spans="1:97" ht="12.75" customHeight="1">
      <c r="A6" s="142" t="s">
        <v>125</v>
      </c>
      <c r="B6" s="142" t="s">
        <v>126</v>
      </c>
      <c r="C6" s="142">
        <v>3</v>
      </c>
      <c r="D6" s="142">
        <v>4</v>
      </c>
      <c r="E6" s="142">
        <v>5</v>
      </c>
      <c r="F6" s="142">
        <v>6</v>
      </c>
      <c r="G6" s="142">
        <v>7</v>
      </c>
      <c r="H6" s="143">
        <v>8</v>
      </c>
      <c r="I6" s="144">
        <v>9</v>
      </c>
    </row>
    <row r="7" spans="1:97" s="251" customFormat="1" ht="21" customHeight="1">
      <c r="A7" s="2375"/>
      <c r="B7" s="1762"/>
      <c r="C7" s="1762" t="s">
        <v>366</v>
      </c>
      <c r="D7" s="1762" t="s">
        <v>367</v>
      </c>
      <c r="E7" s="1762"/>
      <c r="F7" s="2376"/>
      <c r="G7" s="2377"/>
      <c r="H7" s="2377">
        <f>H8+H86+H558+H801</f>
        <v>0</v>
      </c>
      <c r="J7" s="4885"/>
      <c r="M7" s="4877"/>
      <c r="N7" s="4878"/>
      <c r="O7" s="4878"/>
      <c r="P7" s="4878"/>
      <c r="Q7" s="4878"/>
      <c r="R7" s="4878"/>
      <c r="S7" s="4878"/>
      <c r="T7" s="4878"/>
      <c r="U7" s="4878"/>
      <c r="V7" s="4878"/>
      <c r="W7" s="4878"/>
    </row>
    <row r="8" spans="1:97" s="251" customFormat="1" ht="13.5" customHeight="1">
      <c r="A8" s="2378"/>
      <c r="B8" s="2379"/>
      <c r="C8" s="2379">
        <v>751</v>
      </c>
      <c r="D8" s="2379" t="s">
        <v>1981</v>
      </c>
      <c r="E8" s="2379"/>
      <c r="F8" s="2380"/>
      <c r="G8" s="2381"/>
      <c r="H8" s="2381">
        <f>SUM(H9:H85)</f>
        <v>0</v>
      </c>
      <c r="I8" s="2382"/>
      <c r="M8" s="4877"/>
      <c r="N8" s="4878"/>
      <c r="O8" s="4878"/>
      <c r="P8" s="4878"/>
      <c r="Q8" s="4878"/>
      <c r="R8" s="4878"/>
      <c r="S8" s="4878"/>
      <c r="T8" s="4878"/>
      <c r="U8" s="4878"/>
      <c r="V8" s="4878"/>
      <c r="W8" s="4878"/>
    </row>
    <row r="9" spans="1:97" s="1952" customFormat="1" ht="13.5" customHeight="1">
      <c r="A9" s="2045">
        <v>1</v>
      </c>
      <c r="B9" s="2046">
        <v>751</v>
      </c>
      <c r="C9" s="2046" t="s">
        <v>1982</v>
      </c>
      <c r="D9" s="2046" t="s">
        <v>3253</v>
      </c>
      <c r="E9" s="2046" t="s">
        <v>205</v>
      </c>
      <c r="F9" s="2051">
        <f>F10</f>
        <v>1</v>
      </c>
      <c r="G9" s="2558"/>
      <c r="H9" s="2100">
        <f>F9*G9</f>
        <v>0</v>
      </c>
      <c r="I9" s="2047" t="s">
        <v>112</v>
      </c>
      <c r="J9" s="2020"/>
      <c r="K9" s="2050"/>
      <c r="L9" s="2050"/>
      <c r="M9" s="2050"/>
      <c r="N9" s="2050"/>
      <c r="O9" s="2050"/>
      <c r="P9" s="2050"/>
      <c r="Q9" s="1951"/>
      <c r="R9" s="1951"/>
      <c r="S9" s="1951"/>
      <c r="T9" s="1951"/>
      <c r="U9" s="1951"/>
      <c r="V9" s="1951"/>
      <c r="W9" s="1951"/>
      <c r="X9" s="1951"/>
      <c r="Y9" s="1951"/>
      <c r="Z9" s="1951"/>
      <c r="AA9" s="1951"/>
      <c r="AB9" s="1951"/>
      <c r="AC9" s="1951"/>
      <c r="AD9" s="1951"/>
      <c r="AE9" s="1951"/>
      <c r="AF9" s="1951"/>
      <c r="AG9" s="1951"/>
      <c r="AH9" s="1951"/>
      <c r="AI9" s="1951"/>
      <c r="AJ9" s="1951"/>
      <c r="AK9" s="1951"/>
      <c r="AL9" s="1951"/>
      <c r="AM9" s="1951"/>
      <c r="AN9" s="1951"/>
      <c r="AO9" s="1951"/>
      <c r="AP9" s="1951"/>
      <c r="AQ9" s="1951"/>
      <c r="AR9" s="1951"/>
      <c r="AS9" s="1951"/>
      <c r="AT9" s="1951"/>
      <c r="AU9" s="1951"/>
      <c r="AV9" s="1951"/>
      <c r="AW9" s="1951"/>
      <c r="AX9" s="1951"/>
      <c r="AY9" s="1951"/>
      <c r="AZ9" s="1951"/>
      <c r="BA9" s="1951"/>
      <c r="BB9" s="1951"/>
      <c r="BC9" s="1951"/>
      <c r="BD9" s="1951"/>
      <c r="BE9" s="1951"/>
      <c r="BF9" s="1951"/>
      <c r="BG9" s="1951"/>
      <c r="BH9" s="1951"/>
      <c r="BI9" s="1951"/>
      <c r="BJ9" s="1951"/>
      <c r="BK9" s="1951"/>
      <c r="BL9" s="1951"/>
      <c r="BM9" s="1951"/>
      <c r="BN9" s="1951"/>
      <c r="BO9" s="1951"/>
      <c r="BP9" s="1951"/>
      <c r="BQ9" s="1951"/>
      <c r="BR9" s="1951"/>
      <c r="BS9" s="1951"/>
      <c r="BT9" s="1951"/>
      <c r="BU9" s="1951"/>
      <c r="BV9" s="1951"/>
      <c r="BW9" s="1951"/>
      <c r="BX9" s="1951"/>
      <c r="BY9" s="1951"/>
      <c r="BZ9" s="1951"/>
      <c r="CA9" s="1951"/>
      <c r="CB9" s="1951"/>
      <c r="CC9" s="1951"/>
      <c r="CD9" s="1951"/>
      <c r="CE9" s="1951"/>
      <c r="CF9" s="1951"/>
      <c r="CG9" s="1951"/>
      <c r="CH9" s="1951"/>
      <c r="CI9" s="1951"/>
      <c r="CJ9" s="1951"/>
      <c r="CK9" s="1951"/>
      <c r="CL9" s="1951"/>
      <c r="CM9" s="1951"/>
      <c r="CN9" s="1951"/>
      <c r="CO9" s="1951"/>
      <c r="CP9" s="1951"/>
      <c r="CQ9" s="1951"/>
      <c r="CR9" s="1951"/>
      <c r="CS9" s="1951"/>
    </row>
    <row r="10" spans="1:97" s="1951" customFormat="1" ht="39.75" customHeight="1">
      <c r="A10" s="2384"/>
      <c r="B10" s="2385"/>
      <c r="C10" s="2385"/>
      <c r="D10" s="2107" t="s">
        <v>3254</v>
      </c>
      <c r="E10" s="2385"/>
      <c r="F10" s="2386">
        <v>1</v>
      </c>
      <c r="G10" s="2559"/>
      <c r="H10" s="2387"/>
      <c r="I10" s="2387"/>
      <c r="J10" s="4886"/>
    </row>
    <row r="11" spans="1:97" s="1951" customFormat="1" ht="59.25" customHeight="1">
      <c r="A11" s="2384"/>
      <c r="B11" s="2385"/>
      <c r="C11" s="2385"/>
      <c r="D11" s="2388" t="s">
        <v>3255</v>
      </c>
      <c r="E11" s="2385"/>
      <c r="F11" s="2389"/>
      <c r="G11" s="2559"/>
      <c r="H11" s="2387"/>
      <c r="I11" s="2390"/>
      <c r="J11" s="4887"/>
      <c r="K11" s="4888"/>
    </row>
    <row r="12" spans="1:97" s="1951" customFormat="1" ht="53.25" customHeight="1">
      <c r="A12" s="2384"/>
      <c r="B12" s="2385"/>
      <c r="C12" s="2385"/>
      <c r="D12" s="2388" t="s">
        <v>3256</v>
      </c>
      <c r="E12" s="2385"/>
      <c r="F12" s="2389"/>
      <c r="G12" s="2559"/>
      <c r="H12" s="2387"/>
      <c r="I12" s="2390"/>
      <c r="J12" s="4886"/>
      <c r="K12" s="4889"/>
    </row>
    <row r="13" spans="1:97" s="1951" customFormat="1" ht="13.5" customHeight="1">
      <c r="A13" s="2384"/>
      <c r="B13" s="2385"/>
      <c r="C13" s="2385"/>
      <c r="D13" s="2107" t="s">
        <v>1983</v>
      </c>
      <c r="E13" s="2385"/>
      <c r="F13" s="2386"/>
      <c r="G13" s="2559"/>
      <c r="H13" s="2387"/>
      <c r="I13" s="2390"/>
      <c r="J13" s="4886"/>
      <c r="K13" s="4889"/>
    </row>
    <row r="14" spans="1:97" s="1951" customFormat="1" ht="27" customHeight="1">
      <c r="A14" s="2384"/>
      <c r="B14" s="2385"/>
      <c r="C14" s="2385"/>
      <c r="D14" s="2107" t="s">
        <v>3257</v>
      </c>
      <c r="E14" s="2385"/>
      <c r="F14" s="2386"/>
      <c r="G14" s="2559"/>
      <c r="H14" s="2387"/>
      <c r="I14" s="2390"/>
    </row>
    <row r="15" spans="1:97" s="1952" customFormat="1" ht="13.5" customHeight="1">
      <c r="A15" s="2045">
        <v>2</v>
      </c>
      <c r="B15" s="2046">
        <v>751</v>
      </c>
      <c r="C15" s="2046" t="s">
        <v>3258</v>
      </c>
      <c r="D15" s="2046" t="s">
        <v>3259</v>
      </c>
      <c r="E15" s="2046" t="s">
        <v>205</v>
      </c>
      <c r="F15" s="2051">
        <f>F16</f>
        <v>1</v>
      </c>
      <c r="G15" s="2558"/>
      <c r="H15" s="2100">
        <f>F15*G15</f>
        <v>0</v>
      </c>
      <c r="I15" s="2047" t="s">
        <v>112</v>
      </c>
      <c r="J15" s="2020"/>
      <c r="K15" s="2050"/>
      <c r="L15" s="2050"/>
      <c r="M15" s="2050"/>
      <c r="N15" s="2050"/>
      <c r="O15" s="2050"/>
      <c r="P15" s="2050"/>
      <c r="Q15" s="1951"/>
      <c r="R15" s="1951"/>
      <c r="S15" s="1951"/>
      <c r="T15" s="1951"/>
      <c r="U15" s="1951"/>
      <c r="V15" s="1951"/>
      <c r="W15" s="1951"/>
      <c r="X15" s="1951"/>
      <c r="Y15" s="1951"/>
      <c r="Z15" s="1951"/>
      <c r="AA15" s="1951"/>
      <c r="AB15" s="1951"/>
      <c r="AC15" s="1951"/>
      <c r="AD15" s="1951"/>
      <c r="AE15" s="1951"/>
      <c r="AF15" s="1951"/>
      <c r="AG15" s="1951"/>
      <c r="AH15" s="1951"/>
      <c r="AI15" s="1951"/>
      <c r="AJ15" s="1951"/>
      <c r="AK15" s="1951"/>
      <c r="AL15" s="1951"/>
      <c r="AM15" s="1951"/>
      <c r="AN15" s="1951"/>
      <c r="AO15" s="1951"/>
      <c r="AP15" s="1951"/>
      <c r="AQ15" s="1951"/>
      <c r="AR15" s="1951"/>
      <c r="AS15" s="1951"/>
      <c r="AT15" s="1951"/>
      <c r="AU15" s="1951"/>
      <c r="AV15" s="1951"/>
      <c r="AW15" s="1951"/>
      <c r="AX15" s="1951"/>
      <c r="AY15" s="1951"/>
      <c r="AZ15" s="1951"/>
      <c r="BA15" s="1951"/>
      <c r="BB15" s="1951"/>
      <c r="BC15" s="1951"/>
      <c r="BD15" s="1951"/>
      <c r="BE15" s="1951"/>
      <c r="BF15" s="1951"/>
      <c r="BG15" s="1951"/>
      <c r="BH15" s="1951"/>
      <c r="BI15" s="1951"/>
      <c r="BJ15" s="1951"/>
      <c r="BK15" s="1951"/>
      <c r="BL15" s="1951"/>
      <c r="BM15" s="1951"/>
      <c r="BN15" s="1951"/>
      <c r="BO15" s="1951"/>
      <c r="BP15" s="1951"/>
      <c r="BQ15" s="1951"/>
      <c r="BR15" s="1951"/>
      <c r="BS15" s="1951"/>
      <c r="BT15" s="1951"/>
      <c r="BU15" s="1951"/>
      <c r="BV15" s="1951"/>
      <c r="BW15" s="1951"/>
      <c r="BX15" s="1951"/>
      <c r="BY15" s="1951"/>
      <c r="BZ15" s="1951"/>
      <c r="CA15" s="1951"/>
      <c r="CB15" s="1951"/>
      <c r="CC15" s="1951"/>
      <c r="CD15" s="1951"/>
      <c r="CE15" s="1951"/>
      <c r="CF15" s="1951"/>
      <c r="CG15" s="1951"/>
      <c r="CH15" s="1951"/>
      <c r="CI15" s="1951"/>
      <c r="CJ15" s="1951"/>
      <c r="CK15" s="1951"/>
      <c r="CL15" s="1951"/>
      <c r="CM15" s="1951"/>
      <c r="CN15" s="1951"/>
      <c r="CO15" s="1951"/>
      <c r="CP15" s="1951"/>
      <c r="CQ15" s="1951"/>
      <c r="CR15" s="1951"/>
      <c r="CS15" s="1951"/>
    </row>
    <row r="16" spans="1:97" s="1951" customFormat="1" ht="39.75" customHeight="1">
      <c r="A16" s="2384"/>
      <c r="B16" s="2385"/>
      <c r="C16" s="2385"/>
      <c r="D16" s="2107" t="s">
        <v>3260</v>
      </c>
      <c r="E16" s="2385"/>
      <c r="F16" s="2386">
        <v>1</v>
      </c>
      <c r="G16" s="2559"/>
      <c r="H16" s="2387"/>
      <c r="I16" s="2387"/>
      <c r="J16" s="4886"/>
    </row>
    <row r="17" spans="1:97" s="1951" customFormat="1" ht="59.25" customHeight="1">
      <c r="A17" s="2384"/>
      <c r="B17" s="2385"/>
      <c r="C17" s="2385"/>
      <c r="D17" s="2388" t="s">
        <v>3261</v>
      </c>
      <c r="E17" s="2385"/>
      <c r="F17" s="2389"/>
      <c r="G17" s="2559"/>
      <c r="H17" s="2387"/>
      <c r="I17" s="2390"/>
      <c r="J17" s="4887"/>
      <c r="K17" s="4888"/>
    </row>
    <row r="18" spans="1:97" s="1951" customFormat="1" ht="53.25" customHeight="1">
      <c r="A18" s="2384"/>
      <c r="B18" s="2385"/>
      <c r="C18" s="2385"/>
      <c r="D18" s="2388" t="s">
        <v>3256</v>
      </c>
      <c r="E18" s="2385"/>
      <c r="F18" s="2389"/>
      <c r="G18" s="2559"/>
      <c r="H18" s="2387"/>
      <c r="I18" s="2390"/>
      <c r="J18" s="4886"/>
      <c r="K18" s="4889"/>
    </row>
    <row r="19" spans="1:97" s="1951" customFormat="1" ht="13.5" customHeight="1">
      <c r="A19" s="2384"/>
      <c r="B19" s="2385"/>
      <c r="C19" s="2385"/>
      <c r="D19" s="2107" t="s">
        <v>1983</v>
      </c>
      <c r="E19" s="2385"/>
      <c r="F19" s="2386"/>
      <c r="G19" s="2559"/>
      <c r="H19" s="2387"/>
      <c r="I19" s="2390"/>
      <c r="J19" s="4886"/>
      <c r="K19" s="4889"/>
    </row>
    <row r="20" spans="1:97" s="1951" customFormat="1" ht="27" customHeight="1">
      <c r="A20" s="2384"/>
      <c r="B20" s="2385"/>
      <c r="C20" s="2385"/>
      <c r="D20" s="2107" t="s">
        <v>3257</v>
      </c>
      <c r="E20" s="2385"/>
      <c r="F20" s="2386"/>
      <c r="G20" s="2559"/>
      <c r="H20" s="2387"/>
      <c r="I20" s="2390"/>
    </row>
    <row r="21" spans="1:97" s="1952" customFormat="1" ht="13.5" customHeight="1">
      <c r="A21" s="2045">
        <v>3</v>
      </c>
      <c r="B21" s="2046">
        <v>751</v>
      </c>
      <c r="C21" s="2046" t="s">
        <v>3262</v>
      </c>
      <c r="D21" s="2046" t="s">
        <v>3263</v>
      </c>
      <c r="E21" s="2046" t="s">
        <v>205</v>
      </c>
      <c r="F21" s="2051">
        <f>F22</f>
        <v>4</v>
      </c>
      <c r="G21" s="2558"/>
      <c r="H21" s="2100">
        <f>F21*G21</f>
        <v>0</v>
      </c>
      <c r="I21" s="2047" t="s">
        <v>112</v>
      </c>
      <c r="J21" s="2020"/>
      <c r="K21" s="2050"/>
      <c r="L21" s="2050"/>
      <c r="M21" s="2050"/>
      <c r="N21" s="2050"/>
      <c r="O21" s="2050"/>
      <c r="P21" s="2050"/>
      <c r="Q21" s="1951"/>
      <c r="R21" s="1951"/>
      <c r="S21" s="1951"/>
      <c r="T21" s="1951"/>
      <c r="U21" s="1951"/>
      <c r="V21" s="1951"/>
      <c r="W21" s="1951"/>
      <c r="X21" s="1951"/>
      <c r="Y21" s="1951"/>
      <c r="Z21" s="1951"/>
      <c r="AA21" s="1951"/>
      <c r="AB21" s="1951"/>
      <c r="AC21" s="1951"/>
      <c r="AD21" s="1951"/>
      <c r="AE21" s="1951"/>
      <c r="AF21" s="1951"/>
      <c r="AG21" s="1951"/>
      <c r="AH21" s="1951"/>
      <c r="AI21" s="1951"/>
      <c r="AJ21" s="1951"/>
      <c r="AK21" s="1951"/>
      <c r="AL21" s="1951"/>
      <c r="AM21" s="1951"/>
      <c r="AN21" s="1951"/>
      <c r="AO21" s="1951"/>
      <c r="AP21" s="1951"/>
      <c r="AQ21" s="1951"/>
      <c r="AR21" s="1951"/>
      <c r="AS21" s="1951"/>
      <c r="AT21" s="1951"/>
      <c r="AU21" s="1951"/>
      <c r="AV21" s="1951"/>
      <c r="AW21" s="1951"/>
      <c r="AX21" s="1951"/>
      <c r="AY21" s="1951"/>
      <c r="AZ21" s="1951"/>
      <c r="BA21" s="1951"/>
      <c r="BB21" s="1951"/>
      <c r="BC21" s="1951"/>
      <c r="BD21" s="1951"/>
      <c r="BE21" s="1951"/>
      <c r="BF21" s="1951"/>
      <c r="BG21" s="1951"/>
      <c r="BH21" s="1951"/>
      <c r="BI21" s="1951"/>
      <c r="BJ21" s="1951"/>
      <c r="BK21" s="1951"/>
      <c r="BL21" s="1951"/>
      <c r="BM21" s="1951"/>
      <c r="BN21" s="1951"/>
      <c r="BO21" s="1951"/>
      <c r="BP21" s="1951"/>
      <c r="BQ21" s="1951"/>
      <c r="BR21" s="1951"/>
      <c r="BS21" s="1951"/>
      <c r="BT21" s="1951"/>
      <c r="BU21" s="1951"/>
      <c r="BV21" s="1951"/>
      <c r="BW21" s="1951"/>
      <c r="BX21" s="1951"/>
      <c r="BY21" s="1951"/>
      <c r="BZ21" s="1951"/>
      <c r="CA21" s="1951"/>
      <c r="CB21" s="1951"/>
      <c r="CC21" s="1951"/>
      <c r="CD21" s="1951"/>
      <c r="CE21" s="1951"/>
      <c r="CF21" s="1951"/>
      <c r="CG21" s="1951"/>
      <c r="CH21" s="1951"/>
      <c r="CI21" s="1951"/>
      <c r="CJ21" s="1951"/>
      <c r="CK21" s="1951"/>
      <c r="CL21" s="1951"/>
      <c r="CM21" s="1951"/>
      <c r="CN21" s="1951"/>
      <c r="CO21" s="1951"/>
      <c r="CP21" s="1951"/>
      <c r="CQ21" s="1951"/>
      <c r="CR21" s="1951"/>
      <c r="CS21" s="1951"/>
    </row>
    <row r="22" spans="1:97" s="1951" customFormat="1" ht="39.75" customHeight="1">
      <c r="A22" s="2384"/>
      <c r="B22" s="2385"/>
      <c r="C22" s="2385"/>
      <c r="D22" s="2107" t="s">
        <v>3264</v>
      </c>
      <c r="E22" s="2385"/>
      <c r="F22" s="2386">
        <v>4</v>
      </c>
      <c r="G22" s="2559"/>
      <c r="H22" s="2387"/>
      <c r="I22" s="2390"/>
      <c r="J22" s="4886"/>
    </row>
    <row r="23" spans="1:97" s="1951" customFormat="1" ht="59.25" customHeight="1">
      <c r="A23" s="2384"/>
      <c r="B23" s="2385"/>
      <c r="C23" s="2385"/>
      <c r="D23" s="2388" t="s">
        <v>3265</v>
      </c>
      <c r="E23" s="2385"/>
      <c r="F23" s="2389"/>
      <c r="G23" s="2559"/>
      <c r="H23" s="2387"/>
      <c r="I23" s="2390"/>
      <c r="J23" s="4887"/>
      <c r="K23" s="4888"/>
    </row>
    <row r="24" spans="1:97" s="1951" customFormat="1" ht="53.25" customHeight="1">
      <c r="A24" s="2384"/>
      <c r="B24" s="2385"/>
      <c r="C24" s="2385"/>
      <c r="D24" s="2388" t="s">
        <v>3256</v>
      </c>
      <c r="E24" s="2385"/>
      <c r="F24" s="2389"/>
      <c r="G24" s="2559"/>
      <c r="H24" s="2387"/>
      <c r="I24" s="2390"/>
      <c r="J24" s="4886"/>
      <c r="K24" s="4889"/>
    </row>
    <row r="25" spans="1:97" s="1951" customFormat="1" ht="13.5" customHeight="1">
      <c r="A25" s="2384"/>
      <c r="B25" s="2385"/>
      <c r="C25" s="2385"/>
      <c r="D25" s="2107" t="s">
        <v>1983</v>
      </c>
      <c r="E25" s="2385"/>
      <c r="F25" s="2386"/>
      <c r="G25" s="2559"/>
      <c r="H25" s="2387"/>
      <c r="I25" s="2390"/>
      <c r="J25" s="4886"/>
      <c r="K25" s="4889"/>
    </row>
    <row r="26" spans="1:97" s="1951" customFormat="1" ht="27" customHeight="1">
      <c r="A26" s="2384"/>
      <c r="B26" s="2385"/>
      <c r="C26" s="2385"/>
      <c r="D26" s="2107" t="s">
        <v>3257</v>
      </c>
      <c r="E26" s="2385"/>
      <c r="F26" s="2386"/>
      <c r="G26" s="2559"/>
      <c r="H26" s="2387"/>
      <c r="I26" s="2390"/>
    </row>
    <row r="27" spans="1:97" s="1952" customFormat="1" ht="13.5" customHeight="1">
      <c r="A27" s="4848">
        <v>4</v>
      </c>
      <c r="B27" s="2046">
        <v>751</v>
      </c>
      <c r="C27" s="2046" t="s">
        <v>3266</v>
      </c>
      <c r="D27" s="2046" t="s">
        <v>3267</v>
      </c>
      <c r="E27" s="2046" t="s">
        <v>205</v>
      </c>
      <c r="F27" s="4847">
        <f>F28</f>
        <v>3</v>
      </c>
      <c r="G27" s="2558"/>
      <c r="H27" s="2100">
        <f>F27*G27</f>
        <v>0</v>
      </c>
      <c r="I27" s="2047" t="s">
        <v>112</v>
      </c>
      <c r="J27" s="2020"/>
      <c r="K27" s="2050"/>
      <c r="L27" s="2050"/>
      <c r="M27" s="2050"/>
      <c r="N27" s="2050"/>
      <c r="O27" s="2050"/>
      <c r="P27" s="2050"/>
      <c r="Q27" s="1951"/>
      <c r="R27" s="1951"/>
      <c r="S27" s="1951"/>
      <c r="T27" s="1951"/>
      <c r="U27" s="1951"/>
      <c r="V27" s="1951"/>
      <c r="W27" s="1951"/>
      <c r="X27" s="1951"/>
      <c r="Y27" s="1951"/>
      <c r="Z27" s="1951"/>
      <c r="AA27" s="1951"/>
      <c r="AB27" s="1951"/>
      <c r="AC27" s="1951"/>
      <c r="AD27" s="1951"/>
      <c r="AE27" s="1951"/>
      <c r="AF27" s="1951"/>
      <c r="AG27" s="1951"/>
      <c r="AH27" s="1951"/>
      <c r="AI27" s="1951"/>
      <c r="AJ27" s="1951"/>
      <c r="AK27" s="1951"/>
      <c r="AL27" s="1951"/>
      <c r="AM27" s="1951"/>
      <c r="AN27" s="1951"/>
      <c r="AO27" s="1951"/>
      <c r="AP27" s="1951"/>
      <c r="AQ27" s="1951"/>
      <c r="AR27" s="1951"/>
      <c r="AS27" s="1951"/>
      <c r="AT27" s="1951"/>
      <c r="AU27" s="1951"/>
      <c r="AV27" s="1951"/>
      <c r="AW27" s="1951"/>
      <c r="AX27" s="1951"/>
      <c r="AY27" s="1951"/>
      <c r="AZ27" s="1951"/>
      <c r="BA27" s="1951"/>
      <c r="BB27" s="1951"/>
      <c r="BC27" s="1951"/>
      <c r="BD27" s="1951"/>
      <c r="BE27" s="1951"/>
      <c r="BF27" s="1951"/>
      <c r="BG27" s="1951"/>
      <c r="BH27" s="1951"/>
      <c r="BI27" s="1951"/>
      <c r="BJ27" s="1951"/>
      <c r="BK27" s="1951"/>
      <c r="BL27" s="1951"/>
      <c r="BM27" s="1951"/>
      <c r="BN27" s="1951"/>
      <c r="BO27" s="1951"/>
      <c r="BP27" s="1951"/>
      <c r="BQ27" s="1951"/>
      <c r="BR27" s="1951"/>
      <c r="BS27" s="1951"/>
      <c r="BT27" s="1951"/>
      <c r="BU27" s="1951"/>
      <c r="BV27" s="1951"/>
      <c r="BW27" s="1951"/>
      <c r="BX27" s="1951"/>
      <c r="BY27" s="1951"/>
      <c r="BZ27" s="1951"/>
      <c r="CA27" s="1951"/>
      <c r="CB27" s="1951"/>
      <c r="CC27" s="1951"/>
      <c r="CD27" s="1951"/>
      <c r="CE27" s="1951"/>
      <c r="CF27" s="1951"/>
      <c r="CG27" s="1951"/>
      <c r="CH27" s="1951"/>
      <c r="CI27" s="1951"/>
      <c r="CJ27" s="1951"/>
      <c r="CK27" s="1951"/>
      <c r="CL27" s="1951"/>
      <c r="CM27" s="1951"/>
      <c r="CN27" s="1951"/>
      <c r="CO27" s="1951"/>
      <c r="CP27" s="1951"/>
      <c r="CQ27" s="1951"/>
      <c r="CR27" s="1951"/>
      <c r="CS27" s="1951"/>
    </row>
    <row r="28" spans="1:97" s="1951" customFormat="1" ht="39.75" customHeight="1">
      <c r="A28" s="2384"/>
      <c r="B28" s="2385"/>
      <c r="C28" s="2385"/>
      <c r="D28" s="2107" t="s">
        <v>3268</v>
      </c>
      <c r="E28" s="2385"/>
      <c r="F28" s="267">
        <v>3</v>
      </c>
      <c r="G28" s="2559"/>
      <c r="H28" s="2387"/>
      <c r="I28" s="2387"/>
      <c r="J28" s="4886"/>
    </row>
    <row r="29" spans="1:97" s="1951" customFormat="1" ht="59.25" customHeight="1">
      <c r="A29" s="2384"/>
      <c r="B29" s="2385"/>
      <c r="C29" s="2385"/>
      <c r="D29" s="2388" t="s">
        <v>3269</v>
      </c>
      <c r="E29" s="2385"/>
      <c r="F29" s="2389"/>
      <c r="G29" s="2559"/>
      <c r="H29" s="2387"/>
      <c r="I29" s="2390"/>
      <c r="J29" s="4887"/>
      <c r="K29" s="4888"/>
    </row>
    <row r="30" spans="1:97" s="1951" customFormat="1" ht="53.25" customHeight="1">
      <c r="A30" s="2384"/>
      <c r="B30" s="2385"/>
      <c r="C30" s="2385"/>
      <c r="D30" s="2388" t="s">
        <v>3256</v>
      </c>
      <c r="E30" s="2385"/>
      <c r="F30" s="2389"/>
      <c r="G30" s="2559"/>
      <c r="H30" s="2387"/>
      <c r="I30" s="2390"/>
      <c r="J30" s="4886"/>
      <c r="K30" s="4889"/>
    </row>
    <row r="31" spans="1:97" s="1951" customFormat="1" ht="13.5" customHeight="1">
      <c r="A31" s="2384"/>
      <c r="B31" s="2385"/>
      <c r="C31" s="2385"/>
      <c r="D31" s="2107" t="s">
        <v>1983</v>
      </c>
      <c r="E31" s="2385"/>
      <c r="F31" s="2386"/>
      <c r="G31" s="2559"/>
      <c r="H31" s="2387"/>
      <c r="I31" s="2390"/>
      <c r="J31" s="4886"/>
      <c r="K31" s="4889"/>
    </row>
    <row r="32" spans="1:97" s="1951" customFormat="1" ht="27" customHeight="1">
      <c r="A32" s="2384"/>
      <c r="B32" s="2385"/>
      <c r="C32" s="2385"/>
      <c r="D32" s="2107" t="s">
        <v>3257</v>
      </c>
      <c r="E32" s="2385"/>
      <c r="F32" s="2386"/>
      <c r="G32" s="2559"/>
      <c r="H32" s="2387"/>
      <c r="I32" s="2390"/>
    </row>
    <row r="33" spans="1:97" s="1952" customFormat="1" ht="13.5" customHeight="1">
      <c r="A33" s="2045">
        <v>5</v>
      </c>
      <c r="B33" s="2046">
        <v>751</v>
      </c>
      <c r="C33" s="2046" t="s">
        <v>3270</v>
      </c>
      <c r="D33" s="2046" t="s">
        <v>3271</v>
      </c>
      <c r="E33" s="2046" t="s">
        <v>205</v>
      </c>
      <c r="F33" s="2051">
        <f>F34</f>
        <v>1</v>
      </c>
      <c r="G33" s="2558"/>
      <c r="H33" s="2100">
        <f>F33*G33</f>
        <v>0</v>
      </c>
      <c r="I33" s="2047" t="s">
        <v>112</v>
      </c>
      <c r="J33" s="2020"/>
      <c r="K33" s="2050"/>
      <c r="L33" s="2050"/>
      <c r="M33" s="2050"/>
      <c r="N33" s="2050"/>
      <c r="O33" s="2050"/>
      <c r="P33" s="2050"/>
      <c r="Q33" s="1951"/>
      <c r="R33" s="1951"/>
      <c r="S33" s="1951"/>
      <c r="T33" s="1951"/>
      <c r="U33" s="1951"/>
      <c r="V33" s="1951"/>
      <c r="W33" s="1951"/>
      <c r="X33" s="1951"/>
      <c r="Y33" s="1951"/>
      <c r="Z33" s="1951"/>
      <c r="AA33" s="1951"/>
      <c r="AB33" s="1951"/>
      <c r="AC33" s="1951"/>
      <c r="AD33" s="1951"/>
      <c r="AE33" s="1951"/>
      <c r="AF33" s="1951"/>
      <c r="AG33" s="1951"/>
      <c r="AH33" s="1951"/>
      <c r="AI33" s="1951"/>
      <c r="AJ33" s="1951"/>
      <c r="AK33" s="1951"/>
      <c r="AL33" s="1951"/>
      <c r="AM33" s="1951"/>
      <c r="AN33" s="1951"/>
      <c r="AO33" s="1951"/>
      <c r="AP33" s="1951"/>
      <c r="AQ33" s="1951"/>
      <c r="AR33" s="1951"/>
      <c r="AS33" s="1951"/>
      <c r="AT33" s="1951"/>
      <c r="AU33" s="1951"/>
      <c r="AV33" s="1951"/>
      <c r="AW33" s="1951"/>
      <c r="AX33" s="1951"/>
      <c r="AY33" s="1951"/>
      <c r="AZ33" s="1951"/>
      <c r="BA33" s="1951"/>
      <c r="BB33" s="1951"/>
      <c r="BC33" s="1951"/>
      <c r="BD33" s="1951"/>
      <c r="BE33" s="1951"/>
      <c r="BF33" s="1951"/>
      <c r="BG33" s="1951"/>
      <c r="BH33" s="1951"/>
      <c r="BI33" s="1951"/>
      <c r="BJ33" s="1951"/>
      <c r="BK33" s="1951"/>
      <c r="BL33" s="1951"/>
      <c r="BM33" s="1951"/>
      <c r="BN33" s="1951"/>
      <c r="BO33" s="1951"/>
      <c r="BP33" s="1951"/>
      <c r="BQ33" s="1951"/>
      <c r="BR33" s="1951"/>
      <c r="BS33" s="1951"/>
      <c r="BT33" s="1951"/>
      <c r="BU33" s="1951"/>
      <c r="BV33" s="1951"/>
      <c r="BW33" s="1951"/>
      <c r="BX33" s="1951"/>
      <c r="BY33" s="1951"/>
      <c r="BZ33" s="1951"/>
      <c r="CA33" s="1951"/>
      <c r="CB33" s="1951"/>
      <c r="CC33" s="1951"/>
      <c r="CD33" s="1951"/>
      <c r="CE33" s="1951"/>
      <c r="CF33" s="1951"/>
      <c r="CG33" s="1951"/>
      <c r="CH33" s="1951"/>
      <c r="CI33" s="1951"/>
      <c r="CJ33" s="1951"/>
      <c r="CK33" s="1951"/>
      <c r="CL33" s="1951"/>
      <c r="CM33" s="1951"/>
      <c r="CN33" s="1951"/>
      <c r="CO33" s="1951"/>
      <c r="CP33" s="1951"/>
      <c r="CQ33" s="1951"/>
      <c r="CR33" s="1951"/>
      <c r="CS33" s="1951"/>
    </row>
    <row r="34" spans="1:97" s="1951" customFormat="1" ht="39.75" customHeight="1">
      <c r="A34" s="2384"/>
      <c r="B34" s="2385"/>
      <c r="C34" s="2385"/>
      <c r="D34" s="2107" t="s">
        <v>3272</v>
      </c>
      <c r="E34" s="2385"/>
      <c r="F34" s="2386">
        <v>1</v>
      </c>
      <c r="G34" s="2559"/>
      <c r="H34" s="2387"/>
      <c r="I34" s="2387"/>
      <c r="J34" s="4886"/>
    </row>
    <row r="35" spans="1:97" s="1951" customFormat="1" ht="59.25" customHeight="1">
      <c r="A35" s="2384"/>
      <c r="B35" s="2385"/>
      <c r="C35" s="2385"/>
      <c r="D35" s="2388" t="s">
        <v>3273</v>
      </c>
      <c r="E35" s="2385"/>
      <c r="F35" s="2389"/>
      <c r="G35" s="2559"/>
      <c r="H35" s="2387"/>
      <c r="I35" s="2390"/>
      <c r="J35" s="4887"/>
      <c r="K35" s="4888"/>
    </row>
    <row r="36" spans="1:97" s="1951" customFormat="1" ht="53.25" customHeight="1">
      <c r="A36" s="2384"/>
      <c r="B36" s="2385"/>
      <c r="C36" s="2385"/>
      <c r="D36" s="2388" t="s">
        <v>3256</v>
      </c>
      <c r="E36" s="2385"/>
      <c r="F36" s="2389"/>
      <c r="G36" s="2559"/>
      <c r="H36" s="2387"/>
      <c r="I36" s="2390"/>
      <c r="J36" s="4886"/>
      <c r="K36" s="4889"/>
    </row>
    <row r="37" spans="1:97" s="1951" customFormat="1" ht="13.5" customHeight="1">
      <c r="A37" s="2384"/>
      <c r="B37" s="2385"/>
      <c r="C37" s="2385"/>
      <c r="D37" s="2107" t="s">
        <v>1983</v>
      </c>
      <c r="E37" s="2385"/>
      <c r="F37" s="2386"/>
      <c r="G37" s="2559"/>
      <c r="H37" s="2387"/>
      <c r="I37" s="2390"/>
      <c r="J37" s="4886"/>
      <c r="K37" s="4889"/>
    </row>
    <row r="38" spans="1:97" s="1951" customFormat="1" ht="27" customHeight="1">
      <c r="A38" s="2384"/>
      <c r="B38" s="2385"/>
      <c r="C38" s="2385"/>
      <c r="D38" s="2107" t="s">
        <v>3257</v>
      </c>
      <c r="E38" s="2385"/>
      <c r="F38" s="2386"/>
      <c r="G38" s="2559"/>
      <c r="H38" s="2387"/>
      <c r="I38" s="2390"/>
    </row>
    <row r="39" spans="1:97" s="251" customFormat="1" ht="13.5" customHeight="1">
      <c r="A39" s="2030">
        <v>6</v>
      </c>
      <c r="B39" s="2391" t="s">
        <v>1984</v>
      </c>
      <c r="C39" s="2046" t="s">
        <v>3274</v>
      </c>
      <c r="D39" s="2046" t="s">
        <v>3275</v>
      </c>
      <c r="E39" s="2046" t="s">
        <v>205</v>
      </c>
      <c r="F39" s="2051">
        <f>ROUND(SUM(F42),3)</f>
        <v>1</v>
      </c>
      <c r="G39" s="1993"/>
      <c r="H39" s="2231">
        <f t="shared" ref="H39" si="0">ROUND(F39*G39,2)</f>
        <v>0</v>
      </c>
      <c r="I39" s="2047" t="s">
        <v>111</v>
      </c>
      <c r="J39" s="1980"/>
      <c r="K39" s="482"/>
      <c r="L39" s="2050"/>
      <c r="M39" s="2050"/>
      <c r="N39" s="2050"/>
      <c r="O39" s="2050"/>
      <c r="P39" s="2050"/>
      <c r="Q39" s="2050"/>
      <c r="R39" s="4890"/>
      <c r="S39" s="4891"/>
    </row>
    <row r="40" spans="1:97" s="1951" customFormat="1" ht="13.5" customHeight="1">
      <c r="A40" s="2030"/>
      <c r="B40" s="2046"/>
      <c r="C40" s="2046"/>
      <c r="D40" s="145" t="s">
        <v>3276</v>
      </c>
      <c r="E40" s="2046"/>
      <c r="F40" s="2392"/>
      <c r="G40" s="1993"/>
      <c r="H40" s="1795"/>
      <c r="I40" s="2047"/>
      <c r="J40" s="1980"/>
      <c r="K40" s="1852"/>
      <c r="L40" s="2050"/>
      <c r="M40" s="2050"/>
      <c r="N40" s="2050"/>
      <c r="O40" s="2050"/>
      <c r="P40" s="2050"/>
      <c r="Q40" s="2050"/>
      <c r="R40" s="2050"/>
      <c r="S40" s="2050"/>
      <c r="W40" s="2106"/>
      <c r="X40" s="481"/>
    </row>
    <row r="41" spans="1:97" s="251" customFormat="1" ht="13.5" customHeight="1">
      <c r="A41" s="2030"/>
      <c r="B41" s="2391"/>
      <c r="C41" s="2046"/>
      <c r="D41" s="145" t="s">
        <v>3277</v>
      </c>
      <c r="E41" s="2046"/>
      <c r="F41" s="2052"/>
      <c r="G41" s="1993"/>
      <c r="H41" s="1795"/>
      <c r="I41" s="2047"/>
      <c r="J41" s="1980"/>
      <c r="K41" s="1852"/>
      <c r="L41" s="2050"/>
      <c r="M41" s="2050"/>
      <c r="N41" s="2050"/>
      <c r="O41" s="2050"/>
      <c r="P41" s="4892"/>
      <c r="Q41" s="2050"/>
      <c r="R41" s="2050"/>
      <c r="S41" s="2050"/>
      <c r="T41" s="2050"/>
    </row>
    <row r="42" spans="1:97" s="1951" customFormat="1" ht="13.5" customHeight="1">
      <c r="A42" s="2030"/>
      <c r="B42" s="2046"/>
      <c r="C42" s="2046"/>
      <c r="D42" s="145" t="s">
        <v>1169</v>
      </c>
      <c r="E42" s="2046"/>
      <c r="F42" s="2052">
        <v>1</v>
      </c>
      <c r="G42" s="1993"/>
      <c r="H42" s="1795"/>
      <c r="I42" s="2047"/>
      <c r="J42" s="1980"/>
      <c r="K42" s="2050"/>
      <c r="L42" s="2050"/>
      <c r="M42" s="2050"/>
      <c r="N42" s="2050"/>
      <c r="O42" s="2050"/>
      <c r="P42" s="2050"/>
      <c r="Q42" s="2050"/>
      <c r="R42" s="2050"/>
      <c r="S42" s="4893"/>
      <c r="T42" s="2050"/>
      <c r="U42" s="4891"/>
      <c r="V42" s="4892"/>
    </row>
    <row r="43" spans="1:97" s="1951" customFormat="1" ht="27" customHeight="1">
      <c r="A43" s="2030"/>
      <c r="B43" s="2046"/>
      <c r="C43" s="2046"/>
      <c r="D43" s="145" t="s">
        <v>3278</v>
      </c>
      <c r="E43" s="2046"/>
      <c r="F43" s="2392"/>
      <c r="G43" s="1993"/>
      <c r="H43" s="1795"/>
      <c r="I43" s="2393"/>
      <c r="O43" s="2050"/>
      <c r="P43" s="2050"/>
      <c r="Q43" s="2050"/>
      <c r="R43" s="2050"/>
      <c r="S43" s="2050"/>
      <c r="T43" s="2050"/>
      <c r="Y43" s="251"/>
    </row>
    <row r="44" spans="1:97" s="251" customFormat="1" ht="13.5" customHeight="1">
      <c r="A44" s="2030">
        <v>7</v>
      </c>
      <c r="B44" s="2391" t="s">
        <v>1984</v>
      </c>
      <c r="C44" s="2046" t="s">
        <v>3279</v>
      </c>
      <c r="D44" s="2046" t="s">
        <v>3280</v>
      </c>
      <c r="E44" s="2046" t="s">
        <v>205</v>
      </c>
      <c r="F44" s="2051">
        <f>ROUND(SUM(F47),3)</f>
        <v>1</v>
      </c>
      <c r="G44" s="1993"/>
      <c r="H44" s="2231">
        <f t="shared" ref="H44" si="1">ROUND(F44*G44,2)</f>
        <v>0</v>
      </c>
      <c r="I44" s="2047" t="s">
        <v>111</v>
      </c>
      <c r="J44" s="1980"/>
      <c r="K44" s="482"/>
      <c r="L44" s="2050"/>
      <c r="M44" s="2050"/>
      <c r="N44" s="2050"/>
      <c r="O44" s="2050"/>
      <c r="P44" s="2050"/>
      <c r="Q44" s="2050"/>
      <c r="R44" s="4890"/>
      <c r="S44" s="4891"/>
    </row>
    <row r="45" spans="1:97" s="1951" customFormat="1" ht="13.5" customHeight="1">
      <c r="A45" s="2030"/>
      <c r="B45" s="2046"/>
      <c r="C45" s="2046"/>
      <c r="D45" s="145" t="s">
        <v>3281</v>
      </c>
      <c r="E45" s="2046"/>
      <c r="F45" s="2392"/>
      <c r="G45" s="1993"/>
      <c r="H45" s="1795"/>
      <c r="I45" s="2047"/>
      <c r="J45" s="1980"/>
      <c r="K45" s="2050"/>
      <c r="L45" s="2050"/>
      <c r="M45" s="2050"/>
      <c r="N45" s="2050"/>
      <c r="O45" s="2050"/>
      <c r="P45" s="2050"/>
      <c r="Q45" s="2050"/>
      <c r="R45" s="2050"/>
      <c r="S45" s="2050"/>
      <c r="W45" s="2106"/>
      <c r="X45" s="481"/>
    </row>
    <row r="46" spans="1:97" s="251" customFormat="1" ht="13.5" customHeight="1">
      <c r="A46" s="2030"/>
      <c r="B46" s="2391"/>
      <c r="C46" s="2046"/>
      <c r="D46" s="145" t="s">
        <v>3282</v>
      </c>
      <c r="E46" s="2046"/>
      <c r="F46" s="2052"/>
      <c r="G46" s="1993"/>
      <c r="H46" s="1795"/>
      <c r="I46" s="2047"/>
      <c r="J46" s="1980"/>
      <c r="K46" s="1852"/>
      <c r="L46" s="2050"/>
      <c r="M46" s="2050"/>
      <c r="N46" s="2050"/>
      <c r="O46" s="2050"/>
      <c r="P46" s="4892"/>
      <c r="Q46" s="2050"/>
      <c r="R46" s="2050"/>
      <c r="S46" s="2050"/>
      <c r="T46" s="2050"/>
    </row>
    <row r="47" spans="1:97" s="1951" customFormat="1" ht="13.5" customHeight="1">
      <c r="A47" s="2030"/>
      <c r="B47" s="2046"/>
      <c r="C47" s="2046"/>
      <c r="D47" s="145" t="s">
        <v>1169</v>
      </c>
      <c r="E47" s="2046"/>
      <c r="F47" s="2052">
        <v>1</v>
      </c>
      <c r="G47" s="1993"/>
      <c r="H47" s="1795"/>
      <c r="I47" s="2047"/>
      <c r="J47" s="1980"/>
      <c r="K47" s="2050"/>
      <c r="L47" s="2050"/>
      <c r="M47" s="2050"/>
      <c r="N47" s="2050"/>
      <c r="O47" s="2050"/>
      <c r="P47" s="2050"/>
      <c r="Q47" s="2050"/>
      <c r="R47" s="2050"/>
      <c r="S47" s="4893"/>
      <c r="T47" s="2050"/>
      <c r="U47" s="4891"/>
      <c r="V47" s="4892"/>
    </row>
    <row r="48" spans="1:97" s="1951" customFormat="1" ht="27" customHeight="1">
      <c r="A48" s="2030"/>
      <c r="B48" s="2046"/>
      <c r="C48" s="2046"/>
      <c r="D48" s="145" t="s">
        <v>3278</v>
      </c>
      <c r="E48" s="2046"/>
      <c r="F48" s="2392"/>
      <c r="G48" s="1993"/>
      <c r="H48" s="1795"/>
      <c r="I48" s="2393"/>
      <c r="O48" s="2050"/>
      <c r="P48" s="2050"/>
      <c r="Q48" s="2050"/>
      <c r="R48" s="2050"/>
      <c r="S48" s="2050"/>
      <c r="T48" s="2050"/>
      <c r="Y48" s="251"/>
    </row>
    <row r="49" spans="1:25" s="251" customFormat="1" ht="13.5" customHeight="1">
      <c r="A49" s="2030">
        <v>8</v>
      </c>
      <c r="B49" s="2391" t="s">
        <v>1984</v>
      </c>
      <c r="C49" s="2046" t="s">
        <v>3283</v>
      </c>
      <c r="D49" s="2046" t="s">
        <v>3284</v>
      </c>
      <c r="E49" s="2046" t="s">
        <v>205</v>
      </c>
      <c r="F49" s="2051">
        <f>ROUND(SUM(F52),3)</f>
        <v>1</v>
      </c>
      <c r="G49" s="1993"/>
      <c r="H49" s="2231">
        <f t="shared" ref="H49" si="2">ROUND(F49*G49,2)</f>
        <v>0</v>
      </c>
      <c r="I49" s="2047" t="s">
        <v>111</v>
      </c>
      <c r="J49" s="1980"/>
      <c r="K49" s="482"/>
      <c r="L49" s="2050"/>
      <c r="M49" s="2050"/>
      <c r="N49" s="2050"/>
      <c r="O49" s="2050"/>
      <c r="P49" s="2050"/>
      <c r="Q49" s="2050"/>
      <c r="R49" s="4890"/>
      <c r="S49" s="4891"/>
    </row>
    <row r="50" spans="1:25" s="1951" customFormat="1" ht="13.5" customHeight="1">
      <c r="A50" s="2030"/>
      <c r="B50" s="2046"/>
      <c r="C50" s="2046"/>
      <c r="D50" s="145" t="s">
        <v>3276</v>
      </c>
      <c r="E50" s="2046"/>
      <c r="F50" s="2392"/>
      <c r="G50" s="1993"/>
      <c r="H50" s="1795"/>
      <c r="I50" s="2047"/>
      <c r="J50" s="1980"/>
      <c r="K50" s="1852"/>
      <c r="L50" s="2050"/>
      <c r="M50" s="2050"/>
      <c r="N50" s="2050"/>
      <c r="O50" s="2050"/>
      <c r="P50" s="2050"/>
      <c r="Q50" s="2050"/>
      <c r="R50" s="2050"/>
      <c r="S50" s="2050"/>
      <c r="W50" s="2106"/>
      <c r="X50" s="481"/>
    </row>
    <row r="51" spans="1:25" s="251" customFormat="1" ht="13.5" customHeight="1">
      <c r="A51" s="2030"/>
      <c r="B51" s="2391"/>
      <c r="C51" s="2046"/>
      <c r="D51" s="145" t="s">
        <v>3285</v>
      </c>
      <c r="E51" s="2046"/>
      <c r="F51" s="2052"/>
      <c r="G51" s="1993"/>
      <c r="H51" s="1795"/>
      <c r="I51" s="2047"/>
      <c r="J51" s="1980"/>
      <c r="K51" s="1852"/>
      <c r="L51" s="2050"/>
      <c r="M51" s="2050"/>
      <c r="N51" s="2050"/>
      <c r="O51" s="2050"/>
      <c r="P51" s="4892"/>
      <c r="Q51" s="2050"/>
      <c r="R51" s="2050"/>
      <c r="S51" s="2050"/>
      <c r="T51" s="2050"/>
    </row>
    <row r="52" spans="1:25" s="1951" customFormat="1" ht="13.5" customHeight="1">
      <c r="A52" s="2030"/>
      <c r="B52" s="2046"/>
      <c r="C52" s="2046"/>
      <c r="D52" s="145" t="s">
        <v>1169</v>
      </c>
      <c r="E52" s="2046"/>
      <c r="F52" s="2052">
        <v>1</v>
      </c>
      <c r="G52" s="1993"/>
      <c r="H52" s="1795"/>
      <c r="I52" s="2047"/>
      <c r="J52" s="1980"/>
      <c r="K52" s="2050"/>
      <c r="L52" s="2050"/>
      <c r="M52" s="2050"/>
      <c r="N52" s="2050"/>
      <c r="O52" s="2050"/>
      <c r="P52" s="2050"/>
      <c r="Q52" s="2050"/>
      <c r="R52" s="2050"/>
      <c r="S52" s="4893"/>
      <c r="T52" s="2050"/>
      <c r="U52" s="4891"/>
      <c r="V52" s="4892"/>
    </row>
    <row r="53" spans="1:25" s="1951" customFormat="1" ht="27" customHeight="1">
      <c r="A53" s="2030"/>
      <c r="B53" s="2046"/>
      <c r="C53" s="2046"/>
      <c r="D53" s="145" t="s">
        <v>3278</v>
      </c>
      <c r="E53" s="2046"/>
      <c r="F53" s="2392"/>
      <c r="G53" s="1993"/>
      <c r="H53" s="1795"/>
      <c r="I53" s="2393"/>
      <c r="O53" s="2050"/>
      <c r="P53" s="2050"/>
      <c r="Q53" s="2050"/>
      <c r="R53" s="2050"/>
      <c r="S53" s="2050"/>
      <c r="T53" s="2050"/>
      <c r="Y53" s="251"/>
    </row>
    <row r="54" spans="1:25" s="251" customFormat="1" ht="13.5" customHeight="1">
      <c r="A54" s="2030">
        <v>9</v>
      </c>
      <c r="B54" s="2391" t="s">
        <v>1984</v>
      </c>
      <c r="C54" s="2046" t="s">
        <v>3286</v>
      </c>
      <c r="D54" s="2046" t="s">
        <v>3287</v>
      </c>
      <c r="E54" s="2046" t="s">
        <v>205</v>
      </c>
      <c r="F54" s="2051">
        <f>ROUND(SUM(F57),3)</f>
        <v>1</v>
      </c>
      <c r="G54" s="1993"/>
      <c r="H54" s="2231">
        <f t="shared" ref="H54" si="3">ROUND(F54*G54,2)</f>
        <v>0</v>
      </c>
      <c r="I54" s="2047" t="s">
        <v>111</v>
      </c>
      <c r="J54" s="1980"/>
      <c r="K54" s="482"/>
      <c r="L54" s="2050"/>
      <c r="M54" s="2050"/>
      <c r="N54" s="2050"/>
      <c r="O54" s="2050"/>
      <c r="P54" s="2050"/>
      <c r="Q54" s="2050"/>
      <c r="R54" s="4890"/>
      <c r="S54" s="4891"/>
    </row>
    <row r="55" spans="1:25" s="1951" customFormat="1" ht="13.5" customHeight="1">
      <c r="A55" s="2030"/>
      <c r="B55" s="2046"/>
      <c r="C55" s="2046"/>
      <c r="D55" s="145" t="s">
        <v>3276</v>
      </c>
      <c r="E55" s="2046"/>
      <c r="F55" s="2392"/>
      <c r="G55" s="1993"/>
      <c r="H55" s="1795"/>
      <c r="I55" s="2047"/>
      <c r="J55" s="1980"/>
      <c r="K55" s="1852"/>
      <c r="L55" s="2050"/>
      <c r="M55" s="2050"/>
      <c r="N55" s="2050"/>
      <c r="O55" s="2050"/>
      <c r="P55" s="2050"/>
      <c r="Q55" s="2050"/>
      <c r="R55" s="2050"/>
      <c r="S55" s="2050"/>
      <c r="W55" s="2106"/>
      <c r="X55" s="481"/>
    </row>
    <row r="56" spans="1:25" s="251" customFormat="1" ht="13.5" customHeight="1">
      <c r="A56" s="2030"/>
      <c r="B56" s="2391"/>
      <c r="C56" s="2046"/>
      <c r="D56" s="145" t="s">
        <v>3288</v>
      </c>
      <c r="E56" s="2046"/>
      <c r="F56" s="2052"/>
      <c r="G56" s="1993"/>
      <c r="H56" s="1795"/>
      <c r="I56" s="2047"/>
      <c r="J56" s="1980"/>
      <c r="K56" s="1852"/>
      <c r="L56" s="2050"/>
      <c r="M56" s="2050"/>
      <c r="N56" s="2050"/>
      <c r="O56" s="2050"/>
      <c r="P56" s="4892"/>
      <c r="Q56" s="2050"/>
      <c r="R56" s="2050"/>
      <c r="S56" s="2050"/>
      <c r="T56" s="2050"/>
    </row>
    <row r="57" spans="1:25" s="1951" customFormat="1" ht="13.5" customHeight="1">
      <c r="A57" s="2030"/>
      <c r="B57" s="2046"/>
      <c r="C57" s="2046"/>
      <c r="D57" s="145" t="s">
        <v>1169</v>
      </c>
      <c r="E57" s="2046"/>
      <c r="F57" s="2052">
        <v>1</v>
      </c>
      <c r="G57" s="1993"/>
      <c r="H57" s="1795"/>
      <c r="I57" s="2047"/>
      <c r="J57" s="1980"/>
      <c r="K57" s="2050"/>
      <c r="L57" s="2050"/>
      <c r="M57" s="2050"/>
      <c r="N57" s="2050"/>
      <c r="O57" s="2050"/>
      <c r="P57" s="2050"/>
      <c r="Q57" s="2050"/>
      <c r="R57" s="2050"/>
      <c r="S57" s="4893"/>
      <c r="T57" s="2050"/>
      <c r="U57" s="4891"/>
      <c r="V57" s="4892"/>
    </row>
    <row r="58" spans="1:25" s="1951" customFormat="1" ht="27" customHeight="1">
      <c r="A58" s="2030"/>
      <c r="B58" s="2046"/>
      <c r="C58" s="2046"/>
      <c r="D58" s="145" t="s">
        <v>3278</v>
      </c>
      <c r="E58" s="2046"/>
      <c r="F58" s="2392"/>
      <c r="G58" s="1993"/>
      <c r="H58" s="1795"/>
      <c r="I58" s="2393"/>
      <c r="O58" s="2050"/>
      <c r="P58" s="2050"/>
      <c r="Q58" s="2050"/>
      <c r="R58" s="2050"/>
      <c r="S58" s="2050"/>
      <c r="T58" s="2050"/>
      <c r="Y58" s="251"/>
    </row>
    <row r="59" spans="1:25" s="251" customFormat="1" ht="13.5" customHeight="1">
      <c r="A59" s="2030">
        <v>10</v>
      </c>
      <c r="B59" s="2391" t="s">
        <v>1984</v>
      </c>
      <c r="C59" s="2046" t="s">
        <v>3289</v>
      </c>
      <c r="D59" s="2046" t="s">
        <v>3290</v>
      </c>
      <c r="E59" s="2046" t="s">
        <v>205</v>
      </c>
      <c r="F59" s="2051">
        <f>ROUND(SUM(F62),3)</f>
        <v>1</v>
      </c>
      <c r="G59" s="1993"/>
      <c r="H59" s="2231">
        <f t="shared" ref="H59" si="4">ROUND(F59*G59,2)</f>
        <v>0</v>
      </c>
      <c r="I59" s="2047" t="s">
        <v>111</v>
      </c>
      <c r="J59" s="1980"/>
      <c r="K59" s="482"/>
      <c r="L59" s="2050"/>
      <c r="M59" s="2050"/>
      <c r="N59" s="2050"/>
      <c r="O59" s="2050"/>
      <c r="P59" s="2050"/>
      <c r="Q59" s="2050"/>
      <c r="R59" s="4890"/>
      <c r="S59" s="4891"/>
    </row>
    <row r="60" spans="1:25" s="1951" customFormat="1" ht="13.5" customHeight="1">
      <c r="A60" s="2030"/>
      <c r="B60" s="2046"/>
      <c r="C60" s="2046"/>
      <c r="D60" s="145" t="s">
        <v>3276</v>
      </c>
      <c r="E60" s="2046"/>
      <c r="F60" s="2392"/>
      <c r="G60" s="1993"/>
      <c r="H60" s="1795"/>
      <c r="I60" s="2047"/>
      <c r="J60" s="1980"/>
      <c r="K60" s="1852"/>
      <c r="L60" s="2050"/>
      <c r="M60" s="2050"/>
      <c r="N60" s="2050"/>
      <c r="O60" s="2050"/>
      <c r="P60" s="2050"/>
      <c r="Q60" s="2050"/>
      <c r="R60" s="2050"/>
      <c r="S60" s="2050"/>
      <c r="W60" s="2106"/>
      <c r="X60" s="481"/>
    </row>
    <row r="61" spans="1:25" s="251" customFormat="1" ht="13.5" customHeight="1">
      <c r="A61" s="2030"/>
      <c r="B61" s="2391"/>
      <c r="C61" s="2046"/>
      <c r="D61" s="145" t="s">
        <v>3277</v>
      </c>
      <c r="E61" s="2046"/>
      <c r="F61" s="2052"/>
      <c r="G61" s="1993"/>
      <c r="H61" s="1795"/>
      <c r="I61" s="2047"/>
      <c r="J61" s="1980"/>
      <c r="K61" s="1852"/>
      <c r="L61" s="2050"/>
      <c r="M61" s="2050"/>
      <c r="N61" s="2050"/>
      <c r="O61" s="2050"/>
      <c r="P61" s="4892"/>
      <c r="Q61" s="2050"/>
      <c r="R61" s="2050"/>
      <c r="S61" s="2050"/>
      <c r="T61" s="2050"/>
    </row>
    <row r="62" spans="1:25" s="1951" customFormat="1" ht="13.5" customHeight="1">
      <c r="A62" s="2030"/>
      <c r="B62" s="2046"/>
      <c r="C62" s="2046"/>
      <c r="D62" s="145" t="s">
        <v>1169</v>
      </c>
      <c r="E62" s="2046"/>
      <c r="F62" s="2052">
        <v>1</v>
      </c>
      <c r="G62" s="1993"/>
      <c r="H62" s="1795"/>
      <c r="I62" s="2047"/>
      <c r="J62" s="1980"/>
      <c r="K62" s="2050"/>
      <c r="L62" s="2050"/>
      <c r="M62" s="2050"/>
      <c r="N62" s="2050"/>
      <c r="O62" s="2050"/>
      <c r="P62" s="2050"/>
      <c r="Q62" s="2050"/>
      <c r="R62" s="2050"/>
      <c r="S62" s="4893"/>
      <c r="T62" s="2050"/>
      <c r="U62" s="4891"/>
      <c r="V62" s="4892"/>
    </row>
    <row r="63" spans="1:25" s="1951" customFormat="1" ht="27" customHeight="1">
      <c r="A63" s="2030"/>
      <c r="B63" s="2046"/>
      <c r="C63" s="2046"/>
      <c r="D63" s="145" t="s">
        <v>3278</v>
      </c>
      <c r="E63" s="2046"/>
      <c r="F63" s="2392"/>
      <c r="G63" s="1993"/>
      <c r="H63" s="1795"/>
      <c r="I63" s="2393"/>
      <c r="O63" s="2050"/>
      <c r="P63" s="2050"/>
      <c r="Q63" s="2050"/>
      <c r="R63" s="2050"/>
      <c r="S63" s="2050"/>
      <c r="T63" s="2050"/>
      <c r="Y63" s="251"/>
    </row>
    <row r="64" spans="1:25" s="251" customFormat="1" ht="13.5" customHeight="1">
      <c r="A64" s="2030">
        <v>11</v>
      </c>
      <c r="B64" s="2391" t="s">
        <v>1984</v>
      </c>
      <c r="C64" s="2046" t="s">
        <v>3291</v>
      </c>
      <c r="D64" s="2046" t="s">
        <v>3292</v>
      </c>
      <c r="E64" s="2046" t="s">
        <v>205</v>
      </c>
      <c r="F64" s="2051">
        <f>F65</f>
        <v>1</v>
      </c>
      <c r="G64" s="1993"/>
      <c r="H64" s="2231">
        <f t="shared" ref="H64" si="5">ROUND(F64*G64,2)</f>
        <v>0</v>
      </c>
      <c r="I64" s="2047" t="s">
        <v>111</v>
      </c>
      <c r="J64" s="4894"/>
      <c r="K64" s="482"/>
      <c r="L64" s="2050"/>
      <c r="M64" s="2050"/>
      <c r="N64" s="2050"/>
      <c r="O64" s="2050"/>
      <c r="P64" s="2050"/>
      <c r="Q64" s="2050"/>
      <c r="R64" s="4890"/>
      <c r="S64" s="4891"/>
    </row>
    <row r="65" spans="1:25" s="1951" customFormat="1" ht="13.5" customHeight="1">
      <c r="A65" s="2030"/>
      <c r="B65" s="2046"/>
      <c r="C65" s="2046"/>
      <c r="D65" s="145" t="s">
        <v>3293</v>
      </c>
      <c r="E65" s="2046"/>
      <c r="F65" s="2052">
        <v>1</v>
      </c>
      <c r="G65" s="1993"/>
      <c r="H65" s="1795"/>
      <c r="I65" s="2047"/>
      <c r="J65" s="4886"/>
      <c r="K65" s="1852"/>
      <c r="L65" s="2050"/>
      <c r="M65" s="2050"/>
      <c r="N65" s="2050"/>
      <c r="O65" s="2050"/>
      <c r="P65" s="2050"/>
      <c r="Q65" s="2050"/>
      <c r="R65" s="2050"/>
      <c r="S65" s="2050"/>
      <c r="W65" s="2106"/>
      <c r="X65" s="481"/>
    </row>
    <row r="66" spans="1:25" s="1951" customFormat="1" ht="13.5" customHeight="1">
      <c r="A66" s="2030"/>
      <c r="B66" s="2046"/>
      <c r="C66" s="2046"/>
      <c r="D66" s="145" t="s">
        <v>3294</v>
      </c>
      <c r="E66" s="2046"/>
      <c r="F66" s="2392"/>
      <c r="G66" s="1993"/>
      <c r="H66" s="1795"/>
      <c r="I66" s="2393"/>
      <c r="J66" s="4887"/>
      <c r="O66" s="2050"/>
      <c r="P66" s="2050"/>
      <c r="Q66" s="2050"/>
      <c r="R66" s="2050"/>
      <c r="S66" s="2050"/>
      <c r="T66" s="2050"/>
      <c r="Y66" s="251"/>
    </row>
    <row r="67" spans="1:25" s="251" customFormat="1" ht="13.5" customHeight="1">
      <c r="A67" s="2030">
        <v>12</v>
      </c>
      <c r="B67" s="2391" t="s">
        <v>1984</v>
      </c>
      <c r="C67" s="2046" t="s">
        <v>3295</v>
      </c>
      <c r="D67" s="2046" t="s">
        <v>3296</v>
      </c>
      <c r="E67" s="2046" t="s">
        <v>205</v>
      </c>
      <c r="F67" s="2051">
        <f>F68</f>
        <v>1</v>
      </c>
      <c r="G67" s="1993"/>
      <c r="H67" s="2231">
        <f t="shared" ref="H67" si="6">ROUND(F67*G67,2)</f>
        <v>0</v>
      </c>
      <c r="I67" s="2047" t="s">
        <v>111</v>
      </c>
      <c r="J67" s="4894"/>
      <c r="K67" s="482"/>
      <c r="L67" s="2050"/>
      <c r="M67" s="2050"/>
      <c r="N67" s="2050"/>
      <c r="O67" s="2050"/>
      <c r="P67" s="2050"/>
      <c r="Q67" s="2050"/>
      <c r="R67" s="4890"/>
      <c r="S67" s="4891"/>
    </row>
    <row r="68" spans="1:25" s="1951" customFormat="1" ht="13.5" customHeight="1">
      <c r="A68" s="2030"/>
      <c r="B68" s="2046"/>
      <c r="C68" s="2046"/>
      <c r="D68" s="145" t="s">
        <v>3297</v>
      </c>
      <c r="E68" s="2046"/>
      <c r="F68" s="2052">
        <v>1</v>
      </c>
      <c r="G68" s="1993"/>
      <c r="H68" s="1795"/>
      <c r="I68" s="2047"/>
      <c r="J68" s="4886"/>
      <c r="K68" s="1852"/>
      <c r="L68" s="2050"/>
      <c r="M68" s="2050"/>
      <c r="N68" s="2050"/>
      <c r="O68" s="2050"/>
      <c r="P68" s="2050"/>
      <c r="Q68" s="2050"/>
      <c r="R68" s="2050"/>
      <c r="S68" s="2050"/>
      <c r="W68" s="2106"/>
      <c r="X68" s="481"/>
    </row>
    <row r="69" spans="1:25" s="1951" customFormat="1" ht="13.5" customHeight="1">
      <c r="A69" s="2030"/>
      <c r="B69" s="2046"/>
      <c r="C69" s="2046"/>
      <c r="D69" s="145" t="s">
        <v>3294</v>
      </c>
      <c r="E69" s="2046"/>
      <c r="F69" s="2392"/>
      <c r="G69" s="1993"/>
      <c r="H69" s="1795"/>
      <c r="I69" s="2393"/>
      <c r="J69" s="4887"/>
      <c r="O69" s="2050"/>
      <c r="P69" s="2050"/>
      <c r="Q69" s="2050"/>
      <c r="R69" s="2050"/>
      <c r="S69" s="2050"/>
      <c r="T69" s="2050"/>
      <c r="Y69" s="251"/>
    </row>
    <row r="70" spans="1:25" s="251" customFormat="1" ht="13.5" customHeight="1">
      <c r="A70" s="2030">
        <v>13</v>
      </c>
      <c r="B70" s="2391" t="s">
        <v>1984</v>
      </c>
      <c r="C70" s="2046" t="s">
        <v>3298</v>
      </c>
      <c r="D70" s="2046" t="s">
        <v>3299</v>
      </c>
      <c r="E70" s="2046" t="s">
        <v>205</v>
      </c>
      <c r="F70" s="2051">
        <f>F71</f>
        <v>1</v>
      </c>
      <c r="G70" s="1993"/>
      <c r="H70" s="2231">
        <f t="shared" ref="H70" si="7">ROUND(F70*G70,2)</f>
        <v>0</v>
      </c>
      <c r="I70" s="2047" t="s">
        <v>111</v>
      </c>
      <c r="J70" s="4894"/>
      <c r="K70" s="482"/>
      <c r="L70" s="2050"/>
      <c r="M70" s="2050"/>
      <c r="N70" s="2050"/>
      <c r="O70" s="2050"/>
      <c r="P70" s="2050"/>
      <c r="Q70" s="2050"/>
      <c r="R70" s="4890"/>
      <c r="S70" s="4891"/>
    </row>
    <row r="71" spans="1:25" s="1951" customFormat="1" ht="13.5" customHeight="1">
      <c r="A71" s="2030"/>
      <c r="B71" s="2046"/>
      <c r="C71" s="2046"/>
      <c r="D71" s="145" t="s">
        <v>3300</v>
      </c>
      <c r="E71" s="2046"/>
      <c r="F71" s="2052">
        <v>1</v>
      </c>
      <c r="G71" s="1993"/>
      <c r="H71" s="1795"/>
      <c r="I71" s="2047"/>
      <c r="J71" s="4886"/>
      <c r="K71" s="1852"/>
      <c r="L71" s="2050"/>
      <c r="M71" s="2050"/>
      <c r="N71" s="2050"/>
      <c r="O71" s="2050"/>
      <c r="P71" s="2050"/>
      <c r="Q71" s="2050"/>
      <c r="R71" s="2050"/>
      <c r="S71" s="2050"/>
      <c r="W71" s="2106"/>
      <c r="X71" s="481"/>
    </row>
    <row r="72" spans="1:25" s="1951" customFormat="1" ht="13.5" customHeight="1">
      <c r="A72" s="2030"/>
      <c r="B72" s="2046"/>
      <c r="C72" s="2046"/>
      <c r="D72" s="145" t="s">
        <v>3294</v>
      </c>
      <c r="E72" s="2046"/>
      <c r="F72" s="2392"/>
      <c r="G72" s="1993"/>
      <c r="H72" s="1795"/>
      <c r="I72" s="2393"/>
      <c r="J72" s="4887"/>
      <c r="O72" s="2050"/>
      <c r="P72" s="2050"/>
      <c r="Q72" s="2050"/>
      <c r="R72" s="2050"/>
      <c r="S72" s="2050"/>
      <c r="T72" s="2050"/>
      <c r="Y72" s="251"/>
    </row>
    <row r="73" spans="1:25" s="251" customFormat="1" ht="13.5" customHeight="1">
      <c r="A73" s="2030">
        <v>14</v>
      </c>
      <c r="B73" s="2391" t="s">
        <v>1984</v>
      </c>
      <c r="C73" s="2046" t="s">
        <v>3301</v>
      </c>
      <c r="D73" s="2046" t="s">
        <v>3302</v>
      </c>
      <c r="E73" s="2046" t="s">
        <v>205</v>
      </c>
      <c r="F73" s="2051">
        <f>F74</f>
        <v>1</v>
      </c>
      <c r="G73" s="1993"/>
      <c r="H73" s="2231">
        <f t="shared" ref="H73" si="8">ROUND(F73*G73,2)</f>
        <v>0</v>
      </c>
      <c r="I73" s="2047" t="s">
        <v>111</v>
      </c>
      <c r="J73" s="4894"/>
      <c r="K73" s="482"/>
      <c r="L73" s="2050"/>
      <c r="M73" s="2050"/>
      <c r="N73" s="2050"/>
      <c r="O73" s="2050"/>
      <c r="P73" s="2050"/>
      <c r="Q73" s="2050"/>
      <c r="R73" s="4890"/>
      <c r="S73" s="4891"/>
    </row>
    <row r="74" spans="1:25" s="1951" customFormat="1" ht="13.5" customHeight="1">
      <c r="A74" s="2030"/>
      <c r="B74" s="2046"/>
      <c r="C74" s="2046"/>
      <c r="D74" s="145" t="s">
        <v>3303</v>
      </c>
      <c r="E74" s="2046"/>
      <c r="F74" s="2052">
        <v>1</v>
      </c>
      <c r="G74" s="1993"/>
      <c r="H74" s="1795"/>
      <c r="I74" s="2047"/>
      <c r="J74" s="4886"/>
      <c r="K74" s="1852"/>
      <c r="L74" s="2050"/>
      <c r="M74" s="2050"/>
      <c r="N74" s="2050"/>
      <c r="O74" s="2050"/>
      <c r="P74" s="2050"/>
      <c r="Q74" s="2050"/>
      <c r="R74" s="2050"/>
      <c r="S74" s="2050"/>
      <c r="W74" s="2106"/>
      <c r="X74" s="481"/>
    </row>
    <row r="75" spans="1:25" s="1951" customFormat="1" ht="13.5" customHeight="1">
      <c r="A75" s="2030"/>
      <c r="B75" s="2046"/>
      <c r="C75" s="2046"/>
      <c r="D75" s="145" t="s">
        <v>3294</v>
      </c>
      <c r="E75" s="2046"/>
      <c r="F75" s="2392"/>
      <c r="G75" s="1993"/>
      <c r="H75" s="1795"/>
      <c r="I75" s="2393"/>
      <c r="J75" s="4887"/>
      <c r="O75" s="2050"/>
      <c r="P75" s="2050"/>
      <c r="Q75" s="2050"/>
      <c r="R75" s="2050"/>
      <c r="S75" s="2050"/>
      <c r="T75" s="2050"/>
      <c r="Y75" s="251"/>
    </row>
    <row r="76" spans="1:25" s="251" customFormat="1" ht="13.5" customHeight="1">
      <c r="A76" s="2030">
        <v>15</v>
      </c>
      <c r="B76" s="2391" t="s">
        <v>1984</v>
      </c>
      <c r="C76" s="2046" t="s">
        <v>3304</v>
      </c>
      <c r="D76" s="2046" t="s">
        <v>3305</v>
      </c>
      <c r="E76" s="2046" t="s">
        <v>205</v>
      </c>
      <c r="F76" s="2051">
        <f>F77</f>
        <v>1</v>
      </c>
      <c r="G76" s="1993"/>
      <c r="H76" s="2231">
        <f t="shared" ref="H76" si="9">ROUND(F76*G76,2)</f>
        <v>0</v>
      </c>
      <c r="I76" s="2047" t="s">
        <v>111</v>
      </c>
      <c r="J76" s="4894"/>
      <c r="K76" s="482"/>
      <c r="L76" s="2050"/>
      <c r="M76" s="2050"/>
      <c r="N76" s="2050"/>
      <c r="O76" s="2050"/>
      <c r="P76" s="2050"/>
      <c r="Q76" s="2050"/>
      <c r="R76" s="4890"/>
      <c r="S76" s="4891"/>
    </row>
    <row r="77" spans="1:25" s="1951" customFormat="1" ht="13.5" customHeight="1">
      <c r="A77" s="2030"/>
      <c r="B77" s="2046"/>
      <c r="C77" s="2046"/>
      <c r="D77" s="145" t="s">
        <v>3306</v>
      </c>
      <c r="E77" s="2046"/>
      <c r="F77" s="2052">
        <v>1</v>
      </c>
      <c r="G77" s="1993"/>
      <c r="H77" s="1795"/>
      <c r="I77" s="2047"/>
      <c r="J77" s="4886"/>
      <c r="K77" s="1852"/>
      <c r="L77" s="2050"/>
      <c r="M77" s="2050"/>
      <c r="N77" s="2050"/>
      <c r="O77" s="2050"/>
      <c r="P77" s="2050"/>
      <c r="Q77" s="2050"/>
      <c r="R77" s="2050"/>
      <c r="S77" s="2050"/>
      <c r="W77" s="2106"/>
      <c r="X77" s="481"/>
    </row>
    <row r="78" spans="1:25" s="1951" customFormat="1" ht="13.5" customHeight="1">
      <c r="A78" s="2030"/>
      <c r="B78" s="2046"/>
      <c r="C78" s="2046"/>
      <c r="D78" s="145" t="s">
        <v>3294</v>
      </c>
      <c r="E78" s="2046"/>
      <c r="F78" s="2392"/>
      <c r="G78" s="1993"/>
      <c r="H78" s="1795"/>
      <c r="I78" s="2393"/>
      <c r="J78" s="4887"/>
      <c r="O78" s="2050"/>
      <c r="P78" s="2050"/>
      <c r="Q78" s="2050"/>
      <c r="R78" s="2050"/>
      <c r="S78" s="2050"/>
      <c r="T78" s="2050"/>
      <c r="Y78" s="251"/>
    </row>
    <row r="79" spans="1:25" s="1951" customFormat="1" ht="13.5" customHeight="1">
      <c r="A79" s="2384">
        <v>16</v>
      </c>
      <c r="B79" s="2385">
        <v>751</v>
      </c>
      <c r="C79" s="2385" t="s">
        <v>1985</v>
      </c>
      <c r="D79" s="2385" t="s">
        <v>3307</v>
      </c>
      <c r="E79" s="2385" t="s">
        <v>49</v>
      </c>
      <c r="F79" s="2394">
        <f>F80</f>
        <v>1</v>
      </c>
      <c r="G79" s="2559"/>
      <c r="H79" s="2387">
        <f>F79*G79</f>
        <v>0</v>
      </c>
      <c r="I79" s="2390" t="s">
        <v>112</v>
      </c>
      <c r="M79" s="4877"/>
      <c r="N79" s="4878"/>
      <c r="O79" s="4878"/>
      <c r="P79" s="4878"/>
      <c r="Q79" s="4878"/>
      <c r="R79" s="4878"/>
      <c r="S79" s="4878"/>
      <c r="T79" s="4878"/>
      <c r="U79" s="4878"/>
      <c r="V79" s="4878"/>
      <c r="W79" s="4878"/>
    </row>
    <row r="80" spans="1:25" s="1951" customFormat="1" ht="27" customHeight="1">
      <c r="A80" s="2384"/>
      <c r="B80" s="2385"/>
      <c r="C80" s="2385"/>
      <c r="D80" s="2107" t="s">
        <v>1986</v>
      </c>
      <c r="E80" s="2385"/>
      <c r="F80" s="2386">
        <v>1</v>
      </c>
      <c r="G80" s="2559"/>
      <c r="H80" s="2387"/>
      <c r="I80" s="2390"/>
      <c r="M80" s="4877"/>
      <c r="N80" s="4878"/>
      <c r="O80" s="4878"/>
      <c r="P80" s="4878"/>
      <c r="Q80" s="4878"/>
      <c r="R80" s="4878"/>
      <c r="S80" s="4878"/>
      <c r="T80" s="4878"/>
      <c r="U80" s="4878"/>
      <c r="V80" s="4878"/>
      <c r="W80" s="4878"/>
    </row>
    <row r="81" spans="1:30" s="1951" customFormat="1" ht="13.5" customHeight="1">
      <c r="A81" s="2384"/>
      <c r="B81" s="2385"/>
      <c r="C81" s="2385"/>
      <c r="D81" s="2107" t="s">
        <v>1987</v>
      </c>
      <c r="E81" s="2385"/>
      <c r="F81" s="2386"/>
      <c r="G81" s="2559"/>
      <c r="H81" s="2387"/>
      <c r="I81" s="2390"/>
      <c r="J81" s="4886"/>
      <c r="K81" s="4889"/>
    </row>
    <row r="82" spans="1:30" s="251" customFormat="1" ht="13.5" customHeight="1">
      <c r="A82" s="2384">
        <v>17</v>
      </c>
      <c r="B82" s="2395" t="s">
        <v>1984</v>
      </c>
      <c r="C82" s="2385">
        <v>998751201</v>
      </c>
      <c r="D82" s="2385" t="s">
        <v>1988</v>
      </c>
      <c r="E82" s="2385" t="s">
        <v>10</v>
      </c>
      <c r="F82" s="2394">
        <v>0.28999999999999998</v>
      </c>
      <c r="G82" s="2559"/>
      <c r="H82" s="2387">
        <f>F82*G82</f>
        <v>0</v>
      </c>
      <c r="I82" s="2390" t="s">
        <v>137</v>
      </c>
      <c r="J82" s="4895"/>
      <c r="M82" s="4877"/>
      <c r="N82" s="4878"/>
      <c r="O82" s="4878"/>
      <c r="P82" s="4878"/>
      <c r="Q82" s="4878"/>
      <c r="R82" s="4878"/>
      <c r="S82" s="4878"/>
      <c r="T82" s="4878"/>
      <c r="U82" s="4878"/>
      <c r="V82" s="4878"/>
      <c r="W82" s="4878"/>
    </row>
    <row r="83" spans="1:30" s="1951" customFormat="1" ht="13.5" customHeight="1">
      <c r="A83" s="2384">
        <v>18</v>
      </c>
      <c r="B83" s="2385" t="s">
        <v>362</v>
      </c>
      <c r="C83" s="2385" t="s">
        <v>1989</v>
      </c>
      <c r="D83" s="2385" t="s">
        <v>1990</v>
      </c>
      <c r="E83" s="2385" t="s">
        <v>69</v>
      </c>
      <c r="F83" s="2394">
        <f>F84</f>
        <v>25</v>
      </c>
      <c r="G83" s="2559"/>
      <c r="H83" s="2387">
        <f>F83*G83</f>
        <v>0</v>
      </c>
      <c r="I83" s="2390" t="s">
        <v>137</v>
      </c>
      <c r="M83" s="4877"/>
      <c r="N83" s="4878"/>
      <c r="O83" s="4878"/>
      <c r="P83" s="4878"/>
      <c r="Q83" s="4878"/>
      <c r="R83" s="4878"/>
      <c r="S83" s="4878"/>
      <c r="T83" s="4878"/>
      <c r="U83" s="4878"/>
      <c r="V83" s="4878"/>
      <c r="W83" s="4878"/>
    </row>
    <row r="84" spans="1:30" s="1951" customFormat="1" ht="13.5" customHeight="1">
      <c r="A84" s="2384"/>
      <c r="B84" s="2385"/>
      <c r="C84" s="2385"/>
      <c r="D84" s="2107" t="s">
        <v>1991</v>
      </c>
      <c r="E84" s="2385"/>
      <c r="F84" s="2386">
        <v>25</v>
      </c>
      <c r="G84" s="2559"/>
      <c r="H84" s="2387"/>
      <c r="I84" s="2390"/>
      <c r="M84" s="4877"/>
      <c r="N84" s="4878"/>
      <c r="O84" s="4878"/>
      <c r="P84" s="4878"/>
      <c r="Q84" s="4878"/>
      <c r="R84" s="4878"/>
      <c r="S84" s="4878"/>
      <c r="T84" s="4878"/>
      <c r="U84" s="4878"/>
      <c r="V84" s="4878"/>
      <c r="W84" s="4878"/>
    </row>
    <row r="85" spans="1:30" s="1951" customFormat="1" ht="27" customHeight="1">
      <c r="A85" s="2384"/>
      <c r="B85" s="2385"/>
      <c r="C85" s="2385"/>
      <c r="D85" s="2396" t="s">
        <v>1992</v>
      </c>
      <c r="E85" s="2385"/>
      <c r="F85" s="2394"/>
      <c r="G85" s="2559"/>
      <c r="H85" s="2387"/>
      <c r="I85" s="2390"/>
      <c r="M85" s="4877"/>
      <c r="N85" s="4878"/>
      <c r="O85" s="4878"/>
      <c r="P85" s="4878"/>
      <c r="Q85" s="4878"/>
      <c r="R85" s="4878"/>
      <c r="S85" s="4878"/>
      <c r="T85" s="4878"/>
      <c r="U85" s="4878"/>
      <c r="V85" s="4878"/>
      <c r="W85" s="4878"/>
    </row>
    <row r="86" spans="1:30" s="251" customFormat="1" ht="13.5" customHeight="1">
      <c r="A86" s="2378"/>
      <c r="B86" s="2379"/>
      <c r="C86" s="2379">
        <v>751</v>
      </c>
      <c r="D86" s="2379" t="s">
        <v>1993</v>
      </c>
      <c r="E86" s="2379"/>
      <c r="F86" s="2397"/>
      <c r="G86" s="2381"/>
      <c r="H86" s="2381">
        <f>SUM(H87:H89,H94:H98,H103:H107,H112:H116,H121:H125,H130:H134,H139:H143,H148:H152,H157:H161,H166:H170,H175:H179,H184:H188,H193:H197,H202:H207,H212:H217,H222:H227,H232:H237,H242:H247,H252:H257,H262:H267,H272:H277,H282:H287,H292:H297,H302:H307,H312:H317,H322:H327,H332:H337,H342:H347,H352:H357,H362:H367,H372:H377,H382:H387,H392:H397,H402:H407,H412:H417,H422:H427,,H432:H437,H442:H447,H452:H457,H462:H467,H472:H477,H482:H487,H492:H497,H502:H507,H512:H517,H522:H557)</f>
        <v>0</v>
      </c>
      <c r="I86" s="2382"/>
      <c r="J86" s="4896"/>
      <c r="M86" s="4877"/>
      <c r="N86" s="4883"/>
      <c r="O86" s="4878"/>
      <c r="P86" s="4878"/>
      <c r="Q86" s="4878"/>
      <c r="R86" s="4878"/>
      <c r="S86" s="4878"/>
      <c r="T86" s="4878"/>
      <c r="U86" s="4878"/>
      <c r="V86" s="4878"/>
      <c r="W86" s="4878"/>
    </row>
    <row r="87" spans="1:30" s="2399" customFormat="1" ht="13.5" customHeight="1">
      <c r="A87" s="4857">
        <v>19</v>
      </c>
      <c r="B87" s="2346">
        <v>751</v>
      </c>
      <c r="C87" s="2346" t="s">
        <v>3308</v>
      </c>
      <c r="D87" s="2346" t="s">
        <v>3309</v>
      </c>
      <c r="E87" s="2346" t="s">
        <v>141</v>
      </c>
      <c r="F87" s="4859">
        <f>F94</f>
        <v>9.8000000000000007</v>
      </c>
      <c r="G87" s="1641">
        <f>ROUND(SUM(H90:H93)/F87,2)</f>
        <v>0</v>
      </c>
      <c r="H87" s="2231">
        <f t="shared" ref="H87" si="10">ROUND(F87*G87,2)</f>
        <v>0</v>
      </c>
      <c r="I87" s="2352" t="s">
        <v>111</v>
      </c>
      <c r="J87" s="4897"/>
    </row>
    <row r="88" spans="1:30" s="2399" customFormat="1" ht="13.5" customHeight="1">
      <c r="A88" s="2398"/>
      <c r="B88" s="2346"/>
      <c r="C88" s="2346"/>
      <c r="D88" s="2400" t="s">
        <v>3310</v>
      </c>
      <c r="E88" s="2346"/>
      <c r="F88" s="2281"/>
      <c r="G88" s="4860"/>
      <c r="H88" s="2401"/>
      <c r="I88" s="2352"/>
      <c r="J88" s="4898"/>
      <c r="K88" s="147"/>
      <c r="L88" s="147"/>
      <c r="M88" s="4899"/>
      <c r="N88" s="4899"/>
      <c r="O88" s="4899"/>
      <c r="P88" s="4900"/>
      <c r="S88" s="4901"/>
    </row>
    <row r="89" spans="1:30" s="2399" customFormat="1" ht="27" customHeight="1">
      <c r="A89" s="2402"/>
      <c r="B89" s="2403"/>
      <c r="C89" s="2404"/>
      <c r="D89" s="2400" t="s">
        <v>3311</v>
      </c>
      <c r="E89" s="2346"/>
      <c r="F89" s="2405"/>
      <c r="G89" s="4861"/>
      <c r="H89" s="2406"/>
      <c r="I89" s="2407"/>
      <c r="J89" s="4902"/>
      <c r="K89" s="147"/>
      <c r="L89" s="1791"/>
      <c r="M89" s="1791"/>
      <c r="N89" s="251"/>
      <c r="O89" s="251"/>
      <c r="P89" s="4900"/>
      <c r="Q89" s="4903"/>
      <c r="R89" s="4904"/>
      <c r="S89" s="4901"/>
      <c r="T89" s="4899"/>
      <c r="U89" s="4905"/>
      <c r="V89" s="4906"/>
      <c r="W89" s="4906"/>
      <c r="X89" s="4900"/>
      <c r="Y89" s="251"/>
    </row>
    <row r="90" spans="1:30" s="251" customFormat="1" ht="27" customHeight="1">
      <c r="A90" s="4862" t="s">
        <v>5255</v>
      </c>
      <c r="B90" s="4863"/>
      <c r="C90" s="4864" t="s">
        <v>6566</v>
      </c>
      <c r="D90" s="4864" t="s">
        <v>6567</v>
      </c>
      <c r="E90" s="4864" t="s">
        <v>141</v>
      </c>
      <c r="F90" s="4865">
        <f>F87</f>
        <v>9.8000000000000007</v>
      </c>
      <c r="G90" s="4873"/>
      <c r="H90" s="4866">
        <f t="shared" ref="H90:H93" si="11">ROUND(F90*G90,2)</f>
        <v>0</v>
      </c>
      <c r="I90" s="4697" t="s">
        <v>112</v>
      </c>
      <c r="J90" s="4907"/>
      <c r="K90" s="4908"/>
      <c r="L90" s="4909"/>
      <c r="M90" s="4910"/>
      <c r="N90" s="4910"/>
      <c r="O90" s="4910"/>
      <c r="P90" s="4911"/>
      <c r="Q90" s="4912"/>
      <c r="R90" s="4912"/>
      <c r="S90" s="4907"/>
      <c r="T90" s="593"/>
      <c r="U90" s="4913"/>
      <c r="W90" s="4914"/>
      <c r="X90" s="4915"/>
      <c r="Y90" s="4916"/>
      <c r="Z90" s="1785"/>
      <c r="AA90" s="1785"/>
      <c r="AB90" s="1785"/>
      <c r="AC90" s="1785"/>
      <c r="AD90" s="1785"/>
    </row>
    <row r="91" spans="1:30" s="251" customFormat="1" ht="27" customHeight="1">
      <c r="A91" s="4862" t="s">
        <v>5256</v>
      </c>
      <c r="B91" s="4863"/>
      <c r="C91" s="4864" t="s">
        <v>6568</v>
      </c>
      <c r="D91" s="4864" t="s">
        <v>6569</v>
      </c>
      <c r="E91" s="4864" t="s">
        <v>141</v>
      </c>
      <c r="F91" s="4865">
        <f>(9.8)*1.05</f>
        <v>10.290000000000001</v>
      </c>
      <c r="G91" s="4873"/>
      <c r="H91" s="4866">
        <f t="shared" si="11"/>
        <v>0</v>
      </c>
      <c r="I91" s="4697" t="s">
        <v>112</v>
      </c>
      <c r="J91" s="4907"/>
      <c r="K91" s="4908"/>
      <c r="L91" s="4909"/>
      <c r="M91" s="1785"/>
      <c r="N91" s="1785"/>
      <c r="O91" s="1785"/>
      <c r="P91" s="1785"/>
      <c r="Q91" s="1785"/>
      <c r="R91" s="2091"/>
      <c r="S91" s="4907"/>
      <c r="T91" s="593"/>
      <c r="U91" s="4913"/>
      <c r="W91" s="4914"/>
      <c r="X91" s="4915"/>
      <c r="Y91" s="4916"/>
      <c r="Z91" s="1785"/>
      <c r="AA91" s="1785"/>
      <c r="AB91" s="1785"/>
      <c r="AC91" s="1785"/>
      <c r="AD91" s="1785"/>
    </row>
    <row r="92" spans="1:30" s="251" customFormat="1" ht="27" customHeight="1">
      <c r="A92" s="4862" t="s">
        <v>5257</v>
      </c>
      <c r="B92" s="4863"/>
      <c r="C92" s="4864">
        <v>713411121</v>
      </c>
      <c r="D92" s="4864" t="s">
        <v>6570</v>
      </c>
      <c r="E92" s="4864" t="s">
        <v>163</v>
      </c>
      <c r="F92" s="4865">
        <f>(9.8)*0.566</f>
        <v>5.5468000000000002</v>
      </c>
      <c r="G92" s="4873"/>
      <c r="H92" s="4866">
        <f t="shared" si="11"/>
        <v>0</v>
      </c>
      <c r="I92" s="4697" t="s">
        <v>137</v>
      </c>
      <c r="J92" s="4907"/>
      <c r="K92" s="4908"/>
      <c r="L92" s="4909"/>
      <c r="M92" s="1791"/>
      <c r="P92" s="4911"/>
      <c r="Q92" s="4917"/>
      <c r="R92" s="4918"/>
      <c r="S92" s="4907"/>
      <c r="T92" s="4907"/>
      <c r="U92" s="4913"/>
      <c r="W92" s="4914"/>
      <c r="X92" s="4915"/>
      <c r="Y92" s="4916"/>
      <c r="Z92" s="1785"/>
      <c r="AA92" s="1785"/>
      <c r="AB92" s="1785"/>
      <c r="AC92" s="1785"/>
      <c r="AD92" s="1785"/>
    </row>
    <row r="93" spans="1:30" s="251" customFormat="1" ht="27" customHeight="1">
      <c r="A93" s="4862" t="s">
        <v>5258</v>
      </c>
      <c r="B93" s="4863"/>
      <c r="C93" s="4867" t="s">
        <v>6571</v>
      </c>
      <c r="D93" s="4867" t="s">
        <v>6572</v>
      </c>
      <c r="E93" s="4867" t="s">
        <v>163</v>
      </c>
      <c r="F93" s="4868">
        <f>((9.8)*0.566)*1.1</f>
        <v>6.1014800000000005</v>
      </c>
      <c r="G93" s="4874"/>
      <c r="H93" s="4869">
        <f t="shared" si="11"/>
        <v>0</v>
      </c>
      <c r="I93" s="4870" t="s">
        <v>112</v>
      </c>
      <c r="J93" s="4907"/>
      <c r="K93" s="4908"/>
      <c r="L93" s="4909"/>
      <c r="S93" s="4907"/>
      <c r="AA93" s="1785"/>
      <c r="AB93" s="1785"/>
      <c r="AC93" s="1785"/>
      <c r="AD93" s="1785"/>
    </row>
    <row r="94" spans="1:30" ht="13.5" customHeight="1">
      <c r="A94" s="2408"/>
      <c r="B94" s="2346"/>
      <c r="C94" s="2346"/>
      <c r="D94" s="2400" t="s">
        <v>3312</v>
      </c>
      <c r="E94" s="2346"/>
      <c r="F94" s="2409">
        <v>9.8000000000000007</v>
      </c>
      <c r="G94" s="2387"/>
      <c r="H94" s="2387"/>
      <c r="I94" s="2352"/>
      <c r="J94" s="4919"/>
      <c r="K94" s="4920"/>
      <c r="L94" s="4920"/>
      <c r="M94" s="4920"/>
      <c r="N94" s="4920"/>
      <c r="O94" s="4921"/>
      <c r="P94" s="4921"/>
      <c r="Q94" s="4921"/>
      <c r="R94" s="4921"/>
      <c r="S94" s="4921"/>
      <c r="T94" s="4921"/>
      <c r="U94" s="4921"/>
      <c r="V94" s="122"/>
      <c r="W94" s="4921"/>
      <c r="X94" s="1975"/>
      <c r="Y94" s="1975"/>
      <c r="Z94" s="1951"/>
    </row>
    <row r="95" spans="1:30" s="2399" customFormat="1" ht="27" customHeight="1">
      <c r="A95" s="2402"/>
      <c r="B95" s="2403"/>
      <c r="C95" s="2410"/>
      <c r="D95" s="2400" t="s">
        <v>1994</v>
      </c>
      <c r="E95" s="2346"/>
      <c r="F95" s="2405"/>
      <c r="G95" s="4861"/>
      <c r="H95" s="2406"/>
      <c r="I95" s="2411"/>
      <c r="T95" s="4899"/>
      <c r="U95" s="4905"/>
      <c r="V95" s="4906"/>
      <c r="W95" s="4906"/>
      <c r="X95" s="4900"/>
      <c r="Y95" s="251"/>
    </row>
    <row r="96" spans="1:30" s="2399" customFormat="1" ht="13.5" customHeight="1">
      <c r="A96" s="4857">
        <v>20</v>
      </c>
      <c r="B96" s="2346">
        <v>751</v>
      </c>
      <c r="C96" s="2346" t="s">
        <v>3313</v>
      </c>
      <c r="D96" s="2346" t="s">
        <v>3314</v>
      </c>
      <c r="E96" s="2346" t="s">
        <v>141</v>
      </c>
      <c r="F96" s="4859">
        <f>F103</f>
        <v>46.8</v>
      </c>
      <c r="G96" s="1641">
        <f>ROUND(SUM(H99:H102)/F96,2)</f>
        <v>0</v>
      </c>
      <c r="H96" s="2231">
        <f t="shared" ref="H96" si="12">ROUND(F96*G96,2)</f>
        <v>0</v>
      </c>
      <c r="I96" s="2352" t="s">
        <v>111</v>
      </c>
      <c r="J96" s="4897"/>
    </row>
    <row r="97" spans="1:30" s="2399" customFormat="1" ht="13.5" customHeight="1">
      <c r="A97" s="2398"/>
      <c r="B97" s="2346"/>
      <c r="C97" s="2346"/>
      <c r="D97" s="2400" t="s">
        <v>3315</v>
      </c>
      <c r="E97" s="2346"/>
      <c r="F97" s="2281"/>
      <c r="G97" s="4860"/>
      <c r="H97" s="2401"/>
      <c r="I97" s="2352"/>
      <c r="J97" s="4898"/>
      <c r="K97" s="147"/>
      <c r="L97" s="147"/>
      <c r="M97" s="4899"/>
      <c r="N97" s="4899"/>
      <c r="O97" s="4899"/>
      <c r="P97" s="4900"/>
      <c r="S97" s="4901"/>
    </row>
    <row r="98" spans="1:30" s="2399" customFormat="1" ht="27" customHeight="1">
      <c r="A98" s="2402"/>
      <c r="B98" s="2403"/>
      <c r="C98" s="2404"/>
      <c r="D98" s="2400" t="s">
        <v>3311</v>
      </c>
      <c r="E98" s="2346"/>
      <c r="F98" s="2405"/>
      <c r="G98" s="4861"/>
      <c r="H98" s="2406"/>
      <c r="I98" s="2407"/>
      <c r="J98" s="4898"/>
      <c r="K98" s="147"/>
      <c r="L98" s="1791"/>
      <c r="M98" s="1791"/>
      <c r="N98" s="251"/>
      <c r="O98" s="251"/>
      <c r="P98" s="4900"/>
      <c r="Q98" s="4903"/>
      <c r="R98" s="4904"/>
      <c r="S98" s="4901"/>
      <c r="T98" s="4899"/>
      <c r="U98" s="4905"/>
      <c r="V98" s="4906"/>
      <c r="W98" s="4906"/>
      <c r="X98" s="4900"/>
      <c r="Y98" s="251"/>
    </row>
    <row r="99" spans="1:30" s="251" customFormat="1" ht="27" customHeight="1">
      <c r="A99" s="4862" t="s">
        <v>5262</v>
      </c>
      <c r="B99" s="4863"/>
      <c r="C99" s="4864" t="s">
        <v>6573</v>
      </c>
      <c r="D99" s="4864" t="s">
        <v>6574</v>
      </c>
      <c r="E99" s="4864" t="s">
        <v>141</v>
      </c>
      <c r="F99" s="4865">
        <f>F96</f>
        <v>46.8</v>
      </c>
      <c r="G99" s="4873"/>
      <c r="H99" s="4866">
        <f t="shared" ref="H99:H102" si="13">ROUND(F99*G99,2)</f>
        <v>0</v>
      </c>
      <c r="I99" s="4697" t="s">
        <v>112</v>
      </c>
      <c r="J99" s="4908"/>
      <c r="K99" s="4909"/>
      <c r="L99" s="4909"/>
      <c r="M99" s="4910"/>
      <c r="N99" s="4910"/>
      <c r="O99" s="4910"/>
      <c r="P99" s="4911"/>
      <c r="Q99" s="4912"/>
      <c r="R99" s="4912"/>
      <c r="T99" s="4907"/>
      <c r="U99" s="4913"/>
      <c r="W99" s="4914"/>
      <c r="X99" s="4915"/>
      <c r="Y99" s="4916"/>
      <c r="Z99" s="1785"/>
      <c r="AA99" s="1785"/>
      <c r="AB99" s="1785"/>
      <c r="AC99" s="1785"/>
      <c r="AD99" s="1785"/>
    </row>
    <row r="100" spans="1:30" s="251" customFormat="1" ht="27" customHeight="1">
      <c r="A100" s="4862" t="s">
        <v>5263</v>
      </c>
      <c r="B100" s="4863"/>
      <c r="C100" s="4864" t="s">
        <v>6575</v>
      </c>
      <c r="D100" s="4864" t="s">
        <v>6576</v>
      </c>
      <c r="E100" s="4864" t="s">
        <v>141</v>
      </c>
      <c r="F100" s="4865">
        <f>(46.8)*1.05</f>
        <v>49.14</v>
      </c>
      <c r="G100" s="4873"/>
      <c r="H100" s="4866">
        <f t="shared" si="13"/>
        <v>0</v>
      </c>
      <c r="I100" s="4697" t="s">
        <v>112</v>
      </c>
      <c r="J100" s="4908"/>
      <c r="K100" s="4909"/>
      <c r="L100" s="1785"/>
      <c r="M100" s="1785"/>
      <c r="N100" s="1785"/>
      <c r="O100" s="1785"/>
      <c r="P100" s="1785"/>
      <c r="Q100" s="1785"/>
      <c r="R100" s="2091"/>
      <c r="T100" s="4907"/>
      <c r="U100" s="4913"/>
      <c r="W100" s="4914"/>
      <c r="X100" s="4915"/>
      <c r="Y100" s="4916"/>
      <c r="Z100" s="1785"/>
      <c r="AA100" s="1785"/>
      <c r="AB100" s="1785"/>
      <c r="AC100" s="1785"/>
      <c r="AD100" s="1785"/>
    </row>
    <row r="101" spans="1:30" s="251" customFormat="1" ht="27" customHeight="1">
      <c r="A101" s="4862" t="s">
        <v>5264</v>
      </c>
      <c r="B101" s="4863"/>
      <c r="C101" s="4864">
        <v>713411121</v>
      </c>
      <c r="D101" s="4864" t="s">
        <v>6577</v>
      </c>
      <c r="E101" s="4864" t="s">
        <v>163</v>
      </c>
      <c r="F101" s="4865">
        <f>(46.8)*0.645</f>
        <v>30.186</v>
      </c>
      <c r="G101" s="4873"/>
      <c r="H101" s="4866">
        <f t="shared" si="13"/>
        <v>0</v>
      </c>
      <c r="I101" s="4697" t="s">
        <v>137</v>
      </c>
      <c r="J101" s="4908"/>
      <c r="K101" s="4909"/>
      <c r="L101" s="1791"/>
      <c r="M101" s="1791"/>
      <c r="P101" s="4911"/>
      <c r="Q101" s="4917"/>
      <c r="R101" s="4918"/>
      <c r="T101" s="4907"/>
      <c r="U101" s="4913"/>
      <c r="W101" s="4914"/>
      <c r="X101" s="4915"/>
      <c r="Y101" s="4916"/>
      <c r="Z101" s="1785"/>
      <c r="AA101" s="1785"/>
      <c r="AB101" s="1785"/>
      <c r="AC101" s="1785"/>
      <c r="AD101" s="1785"/>
    </row>
    <row r="102" spans="1:30" s="251" customFormat="1" ht="27" customHeight="1">
      <c r="A102" s="4862" t="s">
        <v>5265</v>
      </c>
      <c r="B102" s="4863"/>
      <c r="C102" s="4867" t="s">
        <v>6571</v>
      </c>
      <c r="D102" s="4867" t="s">
        <v>6578</v>
      </c>
      <c r="E102" s="4867" t="s">
        <v>163</v>
      </c>
      <c r="F102" s="4868">
        <f>((46.8)*0.645)*1.1</f>
        <v>33.204599999999999</v>
      </c>
      <c r="G102" s="4874"/>
      <c r="H102" s="4869">
        <f t="shared" si="13"/>
        <v>0</v>
      </c>
      <c r="I102" s="4870" t="s">
        <v>112</v>
      </c>
      <c r="J102" s="4908"/>
      <c r="K102" s="4909"/>
      <c r="T102" s="4907"/>
      <c r="AA102" s="1785"/>
      <c r="AB102" s="1785"/>
      <c r="AC102" s="1785"/>
      <c r="AD102" s="1785"/>
    </row>
    <row r="103" spans="1:30" ht="13.5" customHeight="1">
      <c r="A103" s="2408"/>
      <c r="B103" s="2346"/>
      <c r="C103" s="2346"/>
      <c r="D103" s="2400" t="s">
        <v>3316</v>
      </c>
      <c r="E103" s="2346"/>
      <c r="F103" s="2409">
        <v>46.8</v>
      </c>
      <c r="G103" s="2387"/>
      <c r="H103" s="2387"/>
      <c r="I103" s="2352"/>
      <c r="J103" s="4919"/>
      <c r="K103" s="4920"/>
      <c r="L103" s="4920"/>
      <c r="M103" s="4920"/>
      <c r="N103" s="4920"/>
      <c r="O103" s="4921"/>
      <c r="P103" s="4921"/>
      <c r="Q103" s="4921"/>
      <c r="R103" s="4921"/>
      <c r="S103" s="4921"/>
      <c r="T103" s="4921"/>
      <c r="U103" s="4921"/>
      <c r="V103" s="122"/>
      <c r="W103" s="4921"/>
      <c r="X103" s="1975"/>
      <c r="Y103" s="1975"/>
      <c r="Z103" s="1951"/>
    </row>
    <row r="104" spans="1:30" s="2399" customFormat="1" ht="27" customHeight="1">
      <c r="A104" s="2402"/>
      <c r="B104" s="2403"/>
      <c r="C104" s="2410"/>
      <c r="D104" s="2400" t="s">
        <v>1994</v>
      </c>
      <c r="E104" s="2346"/>
      <c r="F104" s="2405"/>
      <c r="G104" s="4861"/>
      <c r="H104" s="2406"/>
      <c r="I104" s="2411"/>
      <c r="T104" s="4899"/>
      <c r="U104" s="4905"/>
      <c r="V104" s="4906"/>
      <c r="W104" s="4906"/>
      <c r="X104" s="4900"/>
      <c r="Y104" s="251"/>
    </row>
    <row r="105" spans="1:30" s="2399" customFormat="1" ht="13.5" customHeight="1">
      <c r="A105" s="4857">
        <v>21</v>
      </c>
      <c r="B105" s="2346">
        <v>751</v>
      </c>
      <c r="C105" s="2346" t="s">
        <v>3317</v>
      </c>
      <c r="D105" s="2346" t="s">
        <v>3318</v>
      </c>
      <c r="E105" s="2346" t="s">
        <v>141</v>
      </c>
      <c r="F105" s="4859">
        <f>F112</f>
        <v>68.5</v>
      </c>
      <c r="G105" s="1641">
        <f>ROUND(SUM(H108:H111)/F105,2)</f>
        <v>0</v>
      </c>
      <c r="H105" s="2231">
        <f t="shared" ref="H105" si="14">ROUND(F105*G105,2)</f>
        <v>0</v>
      </c>
      <c r="I105" s="2352" t="s">
        <v>111</v>
      </c>
      <c r="J105" s="4897"/>
    </row>
    <row r="106" spans="1:30" s="2399" customFormat="1" ht="13.5" customHeight="1">
      <c r="A106" s="2398"/>
      <c r="B106" s="2346"/>
      <c r="C106" s="2346"/>
      <c r="D106" s="2400" t="s">
        <v>3319</v>
      </c>
      <c r="E106" s="2346"/>
      <c r="F106" s="2281"/>
      <c r="G106" s="4860"/>
      <c r="H106" s="2401"/>
      <c r="I106" s="2352"/>
      <c r="J106" s="4898"/>
      <c r="K106" s="147"/>
      <c r="L106" s="147"/>
      <c r="M106" s="4899"/>
      <c r="N106" s="4899"/>
      <c r="O106" s="4899"/>
      <c r="P106" s="4900"/>
      <c r="S106" s="4901"/>
    </row>
    <row r="107" spans="1:30" s="2399" customFormat="1" ht="27" customHeight="1">
      <c r="A107" s="2402"/>
      <c r="B107" s="2403"/>
      <c r="C107" s="2404"/>
      <c r="D107" s="2400" t="s">
        <v>3311</v>
      </c>
      <c r="E107" s="2346"/>
      <c r="F107" s="2405"/>
      <c r="G107" s="4861"/>
      <c r="H107" s="2406"/>
      <c r="I107" s="2407"/>
      <c r="J107" s="4898"/>
      <c r="K107" s="147"/>
      <c r="L107" s="1791"/>
      <c r="M107" s="1791"/>
      <c r="N107" s="251"/>
      <c r="O107" s="251"/>
      <c r="P107" s="4900"/>
      <c r="Q107" s="4903"/>
      <c r="R107" s="4904"/>
      <c r="S107" s="4901"/>
      <c r="T107" s="4899"/>
      <c r="U107" s="4905"/>
      <c r="V107" s="4906"/>
      <c r="W107" s="4906"/>
      <c r="X107" s="4900"/>
      <c r="Y107" s="251"/>
    </row>
    <row r="108" spans="1:30" s="251" customFormat="1" ht="27" customHeight="1">
      <c r="A108" s="4862" t="s">
        <v>4236</v>
      </c>
      <c r="B108" s="4863"/>
      <c r="C108" s="4864" t="s">
        <v>6573</v>
      </c>
      <c r="D108" s="4864" t="s">
        <v>6579</v>
      </c>
      <c r="E108" s="4864" t="s">
        <v>141</v>
      </c>
      <c r="F108" s="4865">
        <f>F105</f>
        <v>68.5</v>
      </c>
      <c r="G108" s="4873"/>
      <c r="H108" s="4866">
        <f t="shared" ref="H108:H111" si="15">ROUND(F108*G108,2)</f>
        <v>0</v>
      </c>
      <c r="I108" s="4697" t="s">
        <v>112</v>
      </c>
      <c r="J108" s="4908"/>
      <c r="K108" s="4909"/>
      <c r="L108" s="4909"/>
      <c r="M108" s="4910"/>
      <c r="N108" s="4910"/>
      <c r="O108" s="4910"/>
      <c r="P108" s="4911"/>
      <c r="Q108" s="4912"/>
      <c r="R108" s="4912"/>
      <c r="S108" s="4907"/>
      <c r="T108" s="593"/>
      <c r="U108" s="4913"/>
      <c r="W108" s="4914"/>
      <c r="X108" s="4915"/>
      <c r="Y108" s="4916"/>
      <c r="Z108" s="1785"/>
      <c r="AA108" s="1785"/>
      <c r="AB108" s="1785"/>
      <c r="AC108" s="1785"/>
      <c r="AD108" s="1785"/>
    </row>
    <row r="109" spans="1:30" s="251" customFormat="1" ht="27" customHeight="1">
      <c r="A109" s="4862" t="s">
        <v>4237</v>
      </c>
      <c r="B109" s="4863"/>
      <c r="C109" s="4864" t="s">
        <v>6575</v>
      </c>
      <c r="D109" s="4864" t="s">
        <v>6580</v>
      </c>
      <c r="E109" s="4864" t="s">
        <v>141</v>
      </c>
      <c r="F109" s="4865">
        <f xml:space="preserve"> (68.5)*1.05</f>
        <v>71.924999999999997</v>
      </c>
      <c r="G109" s="4873"/>
      <c r="H109" s="4866">
        <f t="shared" si="15"/>
        <v>0</v>
      </c>
      <c r="I109" s="4697" t="s">
        <v>112</v>
      </c>
      <c r="J109" s="4908"/>
      <c r="K109" s="4909"/>
      <c r="L109" s="1785"/>
      <c r="M109" s="1785"/>
      <c r="N109" s="1785"/>
      <c r="O109" s="1785"/>
      <c r="P109" s="1785"/>
      <c r="Q109" s="1785"/>
      <c r="R109" s="2091"/>
      <c r="S109" s="4907"/>
      <c r="T109" s="593"/>
      <c r="U109" s="4913"/>
      <c r="W109" s="4914"/>
      <c r="X109" s="4915"/>
      <c r="Y109" s="4916"/>
      <c r="Z109" s="1785"/>
      <c r="AA109" s="1785"/>
      <c r="AB109" s="1785"/>
      <c r="AC109" s="1785"/>
      <c r="AD109" s="1785"/>
    </row>
    <row r="110" spans="1:30" s="251" customFormat="1" ht="27" customHeight="1">
      <c r="A110" s="4862" t="s">
        <v>4238</v>
      </c>
      <c r="B110" s="4863"/>
      <c r="C110" s="4864">
        <v>713411121</v>
      </c>
      <c r="D110" s="4864" t="s">
        <v>6581</v>
      </c>
      <c r="E110" s="4864" t="s">
        <v>163</v>
      </c>
      <c r="F110" s="4865">
        <f>(68.5)*0.754</f>
        <v>51.649000000000001</v>
      </c>
      <c r="G110" s="4873"/>
      <c r="H110" s="4866">
        <f t="shared" si="15"/>
        <v>0</v>
      </c>
      <c r="I110" s="4697" t="s">
        <v>137</v>
      </c>
      <c r="J110" s="4908"/>
      <c r="K110" s="4909"/>
      <c r="L110" s="1791"/>
      <c r="M110" s="1791"/>
      <c r="P110" s="4911"/>
      <c r="Q110" s="4917"/>
      <c r="R110" s="4918"/>
      <c r="S110" s="4907"/>
      <c r="T110" s="4907"/>
      <c r="U110" s="4913"/>
      <c r="W110" s="4914"/>
      <c r="X110" s="4915"/>
      <c r="Y110" s="4916"/>
      <c r="Z110" s="1785"/>
      <c r="AA110" s="1785"/>
      <c r="AB110" s="1785"/>
      <c r="AC110" s="1785"/>
      <c r="AD110" s="1785"/>
    </row>
    <row r="111" spans="1:30" s="251" customFormat="1" ht="27" customHeight="1">
      <c r="A111" s="4862" t="s">
        <v>4239</v>
      </c>
      <c r="B111" s="4863"/>
      <c r="C111" s="4867" t="s">
        <v>6571</v>
      </c>
      <c r="D111" s="4867" t="s">
        <v>6582</v>
      </c>
      <c r="E111" s="4867" t="s">
        <v>163</v>
      </c>
      <c r="F111" s="4868">
        <f>((68.5)*0.754)*1.1</f>
        <v>56.813900000000004</v>
      </c>
      <c r="G111" s="4874"/>
      <c r="H111" s="4869">
        <f t="shared" si="15"/>
        <v>0</v>
      </c>
      <c r="I111" s="4870" t="s">
        <v>112</v>
      </c>
      <c r="J111" s="4908"/>
      <c r="K111" s="4909"/>
      <c r="S111" s="4907"/>
      <c r="AA111" s="1785"/>
      <c r="AB111" s="1785"/>
      <c r="AC111" s="1785"/>
      <c r="AD111" s="1785"/>
    </row>
    <row r="112" spans="1:30" ht="13.5" customHeight="1">
      <c r="A112" s="2408"/>
      <c r="B112" s="2346"/>
      <c r="C112" s="2346"/>
      <c r="D112" s="2400" t="s">
        <v>3320</v>
      </c>
      <c r="E112" s="2346"/>
      <c r="F112" s="2409">
        <v>68.5</v>
      </c>
      <c r="G112" s="2387"/>
      <c r="H112" s="2387"/>
      <c r="I112" s="2352"/>
      <c r="J112" s="4919"/>
      <c r="K112" s="4920"/>
      <c r="L112" s="4920"/>
      <c r="M112" s="4920"/>
      <c r="N112" s="4920"/>
      <c r="O112" s="4921"/>
      <c r="P112" s="4921"/>
      <c r="Q112" s="4921"/>
      <c r="R112" s="4921"/>
      <c r="S112" s="4921"/>
      <c r="T112" s="4921"/>
      <c r="U112" s="4921"/>
      <c r="V112" s="122"/>
      <c r="W112" s="4921"/>
      <c r="X112" s="1975"/>
      <c r="Y112" s="1975"/>
      <c r="Z112" s="1951"/>
    </row>
    <row r="113" spans="1:30" s="2399" customFormat="1" ht="27" customHeight="1">
      <c r="A113" s="2402"/>
      <c r="B113" s="2403"/>
      <c r="C113" s="2410"/>
      <c r="D113" s="2400" t="s">
        <v>1994</v>
      </c>
      <c r="E113" s="2346"/>
      <c r="F113" s="2405"/>
      <c r="G113" s="4861"/>
      <c r="H113" s="2406"/>
      <c r="I113" s="2411"/>
      <c r="T113" s="4899"/>
      <c r="U113" s="4905"/>
      <c r="V113" s="4906"/>
      <c r="W113" s="4906"/>
      <c r="X113" s="4900"/>
      <c r="Y113" s="251"/>
    </row>
    <row r="114" spans="1:30" s="2399" customFormat="1" ht="13.5" customHeight="1">
      <c r="A114" s="4857">
        <v>22</v>
      </c>
      <c r="B114" s="2346">
        <v>751</v>
      </c>
      <c r="C114" s="2346" t="s">
        <v>3321</v>
      </c>
      <c r="D114" s="2346" t="s">
        <v>3322</v>
      </c>
      <c r="E114" s="2346" t="s">
        <v>141</v>
      </c>
      <c r="F114" s="4859">
        <f>F121</f>
        <v>201.3</v>
      </c>
      <c r="G114" s="1641">
        <f>ROUND(SUM(H117:H120)/F114,2)</f>
        <v>0</v>
      </c>
      <c r="H114" s="2231">
        <f t="shared" ref="H114" si="16">ROUND(F114*G114,2)</f>
        <v>0</v>
      </c>
      <c r="I114" s="2352" t="s">
        <v>111</v>
      </c>
      <c r="J114" s="4897"/>
    </row>
    <row r="115" spans="1:30" s="2399" customFormat="1" ht="13.5" customHeight="1">
      <c r="A115" s="2398"/>
      <c r="B115" s="2346"/>
      <c r="C115" s="2346"/>
      <c r="D115" s="2400" t="s">
        <v>3323</v>
      </c>
      <c r="E115" s="2346"/>
      <c r="F115" s="2281"/>
      <c r="G115" s="4860"/>
      <c r="H115" s="2401"/>
      <c r="I115" s="2352"/>
      <c r="J115" s="4898"/>
      <c r="K115" s="147"/>
      <c r="L115" s="147"/>
      <c r="M115" s="4899"/>
      <c r="N115" s="4899"/>
      <c r="O115" s="4899"/>
      <c r="P115" s="4900"/>
      <c r="S115" s="4901"/>
    </row>
    <row r="116" spans="1:30" s="2399" customFormat="1" ht="27" customHeight="1">
      <c r="A116" s="2402"/>
      <c r="B116" s="2403"/>
      <c r="C116" s="2404"/>
      <c r="D116" s="2400" t="s">
        <v>3311</v>
      </c>
      <c r="E116" s="2346"/>
      <c r="F116" s="2405"/>
      <c r="G116" s="4861"/>
      <c r="H116" s="2406"/>
      <c r="I116" s="2407"/>
      <c r="J116" s="4898"/>
      <c r="K116" s="147"/>
      <c r="L116" s="1791"/>
      <c r="M116" s="1791"/>
      <c r="N116" s="251"/>
      <c r="O116" s="251"/>
      <c r="P116" s="4900"/>
      <c r="Q116" s="4903"/>
      <c r="R116" s="4904"/>
      <c r="S116" s="4901"/>
      <c r="T116" s="4899"/>
      <c r="U116" s="4905"/>
      <c r="V116" s="4906"/>
      <c r="W116" s="4906"/>
      <c r="X116" s="4900"/>
      <c r="Y116" s="251"/>
    </row>
    <row r="117" spans="1:30" s="251" customFormat="1" ht="27" customHeight="1">
      <c r="A117" s="4862" t="s">
        <v>6583</v>
      </c>
      <c r="B117" s="4863"/>
      <c r="C117" s="4864" t="s">
        <v>6573</v>
      </c>
      <c r="D117" s="4864" t="s">
        <v>6584</v>
      </c>
      <c r="E117" s="4864" t="s">
        <v>141</v>
      </c>
      <c r="F117" s="4865">
        <f>F114</f>
        <v>201.3</v>
      </c>
      <c r="G117" s="4873"/>
      <c r="H117" s="4866">
        <f t="shared" ref="H117:H120" si="17">ROUND(F117*G117,2)</f>
        <v>0</v>
      </c>
      <c r="I117" s="4697" t="s">
        <v>112</v>
      </c>
      <c r="J117" s="4908"/>
      <c r="K117" s="4909"/>
      <c r="L117" s="4909"/>
      <c r="M117" s="4910"/>
      <c r="N117" s="4910"/>
      <c r="O117" s="4910"/>
      <c r="P117" s="4911"/>
      <c r="Q117" s="4912"/>
      <c r="R117" s="4912"/>
      <c r="S117" s="4907"/>
      <c r="T117" s="593"/>
      <c r="U117" s="4913"/>
      <c r="W117" s="4914"/>
      <c r="X117" s="4915"/>
      <c r="Y117" s="4916"/>
      <c r="Z117" s="1785"/>
      <c r="AA117" s="1785"/>
      <c r="AB117" s="1785"/>
      <c r="AC117" s="1785"/>
      <c r="AD117" s="1785"/>
    </row>
    <row r="118" spans="1:30" s="251" customFormat="1" ht="27" customHeight="1">
      <c r="A118" s="4862" t="s">
        <v>6585</v>
      </c>
      <c r="B118" s="4863"/>
      <c r="C118" s="4864" t="s">
        <v>6575</v>
      </c>
      <c r="D118" s="4864" t="s">
        <v>6586</v>
      </c>
      <c r="E118" s="4864" t="s">
        <v>141</v>
      </c>
      <c r="F118" s="4865">
        <f>(201.3)*1.05</f>
        <v>211.36500000000001</v>
      </c>
      <c r="G118" s="4873"/>
      <c r="H118" s="4866">
        <f t="shared" si="17"/>
        <v>0</v>
      </c>
      <c r="I118" s="4697" t="s">
        <v>112</v>
      </c>
      <c r="J118" s="4908"/>
      <c r="K118" s="4909"/>
      <c r="L118" s="1785"/>
      <c r="M118" s="1785"/>
      <c r="N118" s="1785"/>
      <c r="O118" s="1785"/>
      <c r="P118" s="1785"/>
      <c r="Q118" s="1785"/>
      <c r="R118" s="2091"/>
      <c r="S118" s="4907"/>
      <c r="T118" s="593"/>
      <c r="U118" s="4913"/>
      <c r="W118" s="4914"/>
      <c r="X118" s="4915"/>
      <c r="Y118" s="4916"/>
      <c r="Z118" s="1785"/>
      <c r="AA118" s="1785"/>
      <c r="AB118" s="1785"/>
      <c r="AC118" s="1785"/>
      <c r="AD118" s="1785"/>
    </row>
    <row r="119" spans="1:30" s="251" customFormat="1" ht="27" customHeight="1">
      <c r="A119" s="4862" t="s">
        <v>6587</v>
      </c>
      <c r="B119" s="4863"/>
      <c r="C119" s="4864">
        <v>713411121</v>
      </c>
      <c r="D119" s="4864" t="s">
        <v>6588</v>
      </c>
      <c r="E119" s="4864" t="s">
        <v>163</v>
      </c>
      <c r="F119" s="4865">
        <f>(201.3)*0.88</f>
        <v>177.14400000000001</v>
      </c>
      <c r="G119" s="4873"/>
      <c r="H119" s="4866">
        <f t="shared" si="17"/>
        <v>0</v>
      </c>
      <c r="I119" s="4697" t="s">
        <v>137</v>
      </c>
      <c r="J119" s="4908"/>
      <c r="K119" s="4909"/>
      <c r="L119" s="1791"/>
      <c r="M119" s="1791"/>
      <c r="P119" s="4911"/>
      <c r="Q119" s="4917"/>
      <c r="R119" s="4918"/>
      <c r="S119" s="4907"/>
      <c r="T119" s="4907"/>
      <c r="U119" s="4913"/>
      <c r="W119" s="4914"/>
      <c r="X119" s="4915"/>
      <c r="Y119" s="4916"/>
      <c r="Z119" s="1785"/>
      <c r="AA119" s="1785"/>
      <c r="AB119" s="1785"/>
      <c r="AC119" s="1785"/>
      <c r="AD119" s="1785"/>
    </row>
    <row r="120" spans="1:30" s="251" customFormat="1" ht="27" customHeight="1">
      <c r="A120" s="4862" t="s">
        <v>6589</v>
      </c>
      <c r="B120" s="4863"/>
      <c r="C120" s="4867" t="s">
        <v>6571</v>
      </c>
      <c r="D120" s="4867" t="s">
        <v>6590</v>
      </c>
      <c r="E120" s="4867" t="s">
        <v>163</v>
      </c>
      <c r="F120" s="4868">
        <f>((201.3)*0.88)*1.1</f>
        <v>194.85840000000002</v>
      </c>
      <c r="G120" s="4874"/>
      <c r="H120" s="4869">
        <f t="shared" si="17"/>
        <v>0</v>
      </c>
      <c r="I120" s="4870" t="s">
        <v>112</v>
      </c>
      <c r="J120" s="4908"/>
      <c r="K120" s="4909"/>
      <c r="S120" s="4907"/>
      <c r="AA120" s="1785"/>
      <c r="AB120" s="1785"/>
      <c r="AC120" s="1785"/>
      <c r="AD120" s="1785"/>
    </row>
    <row r="121" spans="1:30" ht="13.5" customHeight="1">
      <c r="A121" s="2408"/>
      <c r="B121" s="2346"/>
      <c r="C121" s="2346"/>
      <c r="D121" s="2400" t="s">
        <v>3324</v>
      </c>
      <c r="E121" s="2346"/>
      <c r="F121" s="2409">
        <v>201.3</v>
      </c>
      <c r="G121" s="2387"/>
      <c r="H121" s="2387"/>
      <c r="I121" s="2352"/>
      <c r="J121" s="4919"/>
      <c r="K121" s="4920"/>
      <c r="L121" s="4920"/>
      <c r="M121" s="4920"/>
      <c r="N121" s="4920"/>
      <c r="O121" s="4921"/>
      <c r="P121" s="4921"/>
      <c r="Q121" s="4921"/>
      <c r="R121" s="4921"/>
      <c r="S121" s="4921"/>
      <c r="T121" s="4921"/>
      <c r="U121" s="4921"/>
      <c r="V121" s="122"/>
      <c r="W121" s="4921"/>
      <c r="X121" s="1975"/>
      <c r="Y121" s="1975"/>
      <c r="Z121" s="1951"/>
    </row>
    <row r="122" spans="1:30" s="2399" customFormat="1" ht="27" customHeight="1">
      <c r="A122" s="2402"/>
      <c r="B122" s="2403"/>
      <c r="C122" s="2410"/>
      <c r="D122" s="2400" t="s">
        <v>1994</v>
      </c>
      <c r="E122" s="2346"/>
      <c r="F122" s="2405"/>
      <c r="G122" s="4861"/>
      <c r="H122" s="2406"/>
      <c r="I122" s="2411"/>
      <c r="T122" s="4899"/>
      <c r="U122" s="4905"/>
      <c r="V122" s="4906"/>
      <c r="W122" s="4906"/>
      <c r="X122" s="4900"/>
      <c r="Y122" s="251"/>
    </row>
    <row r="123" spans="1:30" s="2399" customFormat="1" ht="13.5" customHeight="1">
      <c r="A123" s="4857">
        <v>23</v>
      </c>
      <c r="B123" s="2346">
        <v>751</v>
      </c>
      <c r="C123" s="2346" t="s">
        <v>3325</v>
      </c>
      <c r="D123" s="2346" t="s">
        <v>3326</v>
      </c>
      <c r="E123" s="2346" t="s">
        <v>141</v>
      </c>
      <c r="F123" s="4859">
        <f>F130</f>
        <v>13.4</v>
      </c>
      <c r="G123" s="1641">
        <f>ROUND(SUM(H126:H129)/F123,2)</f>
        <v>0</v>
      </c>
      <c r="H123" s="2231">
        <f t="shared" ref="H123" si="18">ROUND(F123*G123,2)</f>
        <v>0</v>
      </c>
      <c r="I123" s="2352" t="s">
        <v>111</v>
      </c>
      <c r="J123" s="4897"/>
    </row>
    <row r="124" spans="1:30" s="2399" customFormat="1" ht="13.5" customHeight="1">
      <c r="A124" s="2398"/>
      <c r="B124" s="2346"/>
      <c r="C124" s="2346"/>
      <c r="D124" s="2400" t="s">
        <v>3327</v>
      </c>
      <c r="E124" s="2346"/>
      <c r="F124" s="2281"/>
      <c r="G124" s="4860"/>
      <c r="H124" s="2401"/>
      <c r="I124" s="2352"/>
      <c r="J124" s="4898"/>
      <c r="K124" s="147"/>
      <c r="L124" s="147"/>
      <c r="M124" s="4899"/>
      <c r="N124" s="4899"/>
      <c r="O124" s="4899"/>
      <c r="P124" s="4900"/>
      <c r="S124" s="4901"/>
    </row>
    <row r="125" spans="1:30" s="2399" customFormat="1" ht="27" customHeight="1">
      <c r="A125" s="2402"/>
      <c r="B125" s="2403"/>
      <c r="C125" s="2404"/>
      <c r="D125" s="2400" t="s">
        <v>3311</v>
      </c>
      <c r="E125" s="2346"/>
      <c r="F125" s="2405"/>
      <c r="G125" s="4861"/>
      <c r="H125" s="2406"/>
      <c r="I125" s="2407"/>
      <c r="J125" s="4898"/>
      <c r="K125" s="147"/>
      <c r="L125" s="1791"/>
      <c r="M125" s="1791"/>
      <c r="N125" s="251"/>
      <c r="O125" s="251"/>
      <c r="P125" s="4900"/>
      <c r="Q125" s="4903"/>
      <c r="R125" s="4904"/>
      <c r="S125" s="4901"/>
      <c r="T125" s="4899"/>
      <c r="U125" s="4905"/>
      <c r="V125" s="4906"/>
      <c r="W125" s="4906"/>
      <c r="X125" s="4900"/>
      <c r="Y125" s="251"/>
    </row>
    <row r="126" spans="1:30" s="251" customFormat="1" ht="27" customHeight="1">
      <c r="A126" s="4862" t="s">
        <v>4787</v>
      </c>
      <c r="B126" s="4863"/>
      <c r="C126" s="4864" t="s">
        <v>6591</v>
      </c>
      <c r="D126" s="4864" t="s">
        <v>6592</v>
      </c>
      <c r="E126" s="4864" t="s">
        <v>141</v>
      </c>
      <c r="F126" s="4865">
        <f>F123</f>
        <v>13.4</v>
      </c>
      <c r="G126" s="4873"/>
      <c r="H126" s="4866">
        <f t="shared" ref="H126:H129" si="19">ROUND(F126*G126,2)</f>
        <v>0</v>
      </c>
      <c r="I126" s="4697" t="s">
        <v>112</v>
      </c>
      <c r="J126" s="4908"/>
      <c r="K126" s="4909"/>
      <c r="L126" s="4909"/>
      <c r="M126" s="4910"/>
      <c r="N126" s="4910"/>
      <c r="O126" s="4910"/>
      <c r="P126" s="4911"/>
      <c r="Q126" s="4912"/>
      <c r="R126" s="4912"/>
      <c r="S126" s="4907"/>
      <c r="T126" s="593"/>
      <c r="U126" s="4913"/>
      <c r="W126" s="4914"/>
      <c r="X126" s="4915"/>
      <c r="Y126" s="4916"/>
      <c r="Z126" s="1785"/>
      <c r="AA126" s="1785"/>
      <c r="AB126" s="1785"/>
      <c r="AC126" s="1785"/>
      <c r="AD126" s="1785"/>
    </row>
    <row r="127" spans="1:30" s="251" customFormat="1" ht="27" customHeight="1">
      <c r="A127" s="4862" t="s">
        <v>4788</v>
      </c>
      <c r="B127" s="4863"/>
      <c r="C127" s="4864" t="s">
        <v>6593</v>
      </c>
      <c r="D127" s="4864" t="s">
        <v>6594</v>
      </c>
      <c r="E127" s="4864" t="s">
        <v>141</v>
      </c>
      <c r="F127" s="4865">
        <f>(13.4)*1.05</f>
        <v>14.07</v>
      </c>
      <c r="G127" s="4873"/>
      <c r="H127" s="4866">
        <f t="shared" si="19"/>
        <v>0</v>
      </c>
      <c r="I127" s="4697" t="s">
        <v>112</v>
      </c>
      <c r="J127" s="4908"/>
      <c r="K127" s="4909"/>
      <c r="L127" s="1785"/>
      <c r="M127" s="1785"/>
      <c r="N127" s="1785"/>
      <c r="O127" s="1785"/>
      <c r="P127" s="1785"/>
      <c r="Q127" s="1785"/>
      <c r="R127" s="2091"/>
      <c r="S127" s="4907"/>
      <c r="T127" s="593"/>
      <c r="U127" s="4913"/>
      <c r="W127" s="4914"/>
      <c r="X127" s="4915"/>
      <c r="Y127" s="4916"/>
      <c r="Z127" s="1785"/>
      <c r="AA127" s="1785"/>
      <c r="AB127" s="1785"/>
      <c r="AC127" s="1785"/>
      <c r="AD127" s="1785"/>
    </row>
    <row r="128" spans="1:30" s="251" customFormat="1" ht="27" customHeight="1">
      <c r="A128" s="4862" t="s">
        <v>4790</v>
      </c>
      <c r="B128" s="4863"/>
      <c r="C128" s="4864">
        <v>713411121</v>
      </c>
      <c r="D128" s="4864" t="s">
        <v>6595</v>
      </c>
      <c r="E128" s="4864" t="s">
        <v>163</v>
      </c>
      <c r="F128" s="4865">
        <f>(13.4)*1.037</f>
        <v>13.895799999999999</v>
      </c>
      <c r="G128" s="4873"/>
      <c r="H128" s="4866">
        <f t="shared" si="19"/>
        <v>0</v>
      </c>
      <c r="I128" s="4697" t="s">
        <v>137</v>
      </c>
      <c r="J128" s="4908"/>
      <c r="K128" s="4909"/>
      <c r="L128" s="1791"/>
      <c r="M128" s="1791"/>
      <c r="P128" s="4911"/>
      <c r="Q128" s="4917"/>
      <c r="R128" s="4918"/>
      <c r="S128" s="4907"/>
      <c r="T128" s="4907"/>
      <c r="U128" s="4913"/>
      <c r="W128" s="4914"/>
      <c r="X128" s="4915"/>
      <c r="Y128" s="4916"/>
      <c r="Z128" s="1785"/>
      <c r="AA128" s="1785"/>
      <c r="AB128" s="1785"/>
      <c r="AC128" s="1785"/>
      <c r="AD128" s="1785"/>
    </row>
    <row r="129" spans="1:30" s="251" customFormat="1" ht="27" customHeight="1">
      <c r="A129" s="4862" t="s">
        <v>4792</v>
      </c>
      <c r="B129" s="4863"/>
      <c r="C129" s="4867" t="s">
        <v>6571</v>
      </c>
      <c r="D129" s="4867" t="s">
        <v>6596</v>
      </c>
      <c r="E129" s="4867" t="s">
        <v>163</v>
      </c>
      <c r="F129" s="4868">
        <f>((13.4)*1.037)*1.1</f>
        <v>15.28538</v>
      </c>
      <c r="G129" s="4874"/>
      <c r="H129" s="4869">
        <f t="shared" si="19"/>
        <v>0</v>
      </c>
      <c r="I129" s="4870" t="s">
        <v>112</v>
      </c>
      <c r="J129" s="4908"/>
      <c r="K129" s="4909"/>
      <c r="S129" s="4907"/>
      <c r="AA129" s="1785"/>
      <c r="AB129" s="1785"/>
      <c r="AC129" s="1785"/>
      <c r="AD129" s="1785"/>
    </row>
    <row r="130" spans="1:30" ht="13.5" customHeight="1">
      <c r="A130" s="2408"/>
      <c r="B130" s="2346"/>
      <c r="C130" s="2346"/>
      <c r="D130" s="2400" t="s">
        <v>3328</v>
      </c>
      <c r="E130" s="2346"/>
      <c r="F130" s="2409">
        <v>13.4</v>
      </c>
      <c r="G130" s="2387"/>
      <c r="H130" s="2387"/>
      <c r="I130" s="2352"/>
      <c r="J130" s="4919"/>
      <c r="K130" s="4920"/>
      <c r="L130" s="4920"/>
      <c r="M130" s="4920"/>
      <c r="N130" s="4920"/>
      <c r="O130" s="4921"/>
      <c r="P130" s="4921"/>
      <c r="Q130" s="4921"/>
      <c r="R130" s="4921"/>
      <c r="S130" s="4921"/>
      <c r="T130" s="4921"/>
      <c r="U130" s="4921"/>
      <c r="V130" s="122"/>
      <c r="W130" s="4921"/>
      <c r="X130" s="1975"/>
      <c r="Y130" s="1975"/>
      <c r="Z130" s="1951"/>
    </row>
    <row r="131" spans="1:30" s="2399" customFormat="1" ht="27" customHeight="1">
      <c r="A131" s="2402"/>
      <c r="B131" s="2403"/>
      <c r="C131" s="2410"/>
      <c r="D131" s="2400" t="s">
        <v>1994</v>
      </c>
      <c r="E131" s="2346"/>
      <c r="F131" s="2405"/>
      <c r="G131" s="4861"/>
      <c r="H131" s="2406"/>
      <c r="I131" s="2411"/>
      <c r="T131" s="4899"/>
      <c r="U131" s="4905"/>
      <c r="V131" s="4906"/>
      <c r="W131" s="4906"/>
      <c r="X131" s="4900"/>
      <c r="Y131" s="251"/>
    </row>
    <row r="132" spans="1:30" s="2399" customFormat="1" ht="13.5" customHeight="1">
      <c r="A132" s="4857">
        <v>24</v>
      </c>
      <c r="B132" s="2346">
        <v>751</v>
      </c>
      <c r="C132" s="2346" t="s">
        <v>3329</v>
      </c>
      <c r="D132" s="2346" t="s">
        <v>3330</v>
      </c>
      <c r="E132" s="2346" t="s">
        <v>141</v>
      </c>
      <c r="F132" s="4859">
        <f>F139</f>
        <v>5.9</v>
      </c>
      <c r="G132" s="1641">
        <f>ROUND(SUM(H135:H138)/F132,2)</f>
        <v>0</v>
      </c>
      <c r="H132" s="2231">
        <f t="shared" ref="H132" si="20">ROUND(F132*G132,2)</f>
        <v>0</v>
      </c>
      <c r="I132" s="2352" t="s">
        <v>111</v>
      </c>
      <c r="J132" s="4897"/>
    </row>
    <row r="133" spans="1:30" s="2399" customFormat="1" ht="13.5" customHeight="1">
      <c r="A133" s="2398"/>
      <c r="B133" s="2346"/>
      <c r="C133" s="2346"/>
      <c r="D133" s="2400" t="s">
        <v>3331</v>
      </c>
      <c r="E133" s="2346"/>
      <c r="F133" s="2281"/>
      <c r="G133" s="4860"/>
      <c r="H133" s="2401"/>
      <c r="I133" s="2352"/>
      <c r="J133" s="4898"/>
      <c r="K133" s="147"/>
      <c r="L133" s="147"/>
      <c r="M133" s="4899"/>
      <c r="N133" s="4899"/>
      <c r="O133" s="4899"/>
      <c r="P133" s="4900"/>
      <c r="S133" s="4901"/>
    </row>
    <row r="134" spans="1:30" s="2399" customFormat="1" ht="27" customHeight="1">
      <c r="A134" s="2402"/>
      <c r="B134" s="2403"/>
      <c r="C134" s="2404"/>
      <c r="D134" s="2400" t="s">
        <v>3311</v>
      </c>
      <c r="E134" s="2346"/>
      <c r="F134" s="2405"/>
      <c r="G134" s="4861"/>
      <c r="H134" s="2406"/>
      <c r="I134" s="2407"/>
      <c r="J134" s="4898"/>
      <c r="K134" s="147"/>
      <c r="L134" s="1791"/>
      <c r="M134" s="1791"/>
      <c r="N134" s="251"/>
      <c r="O134" s="251"/>
      <c r="P134" s="4900"/>
      <c r="Q134" s="4903"/>
      <c r="R134" s="4904"/>
      <c r="S134" s="4901"/>
      <c r="T134" s="4899"/>
      <c r="U134" s="4905"/>
      <c r="V134" s="4906"/>
      <c r="W134" s="4906"/>
      <c r="X134" s="4900"/>
      <c r="Y134" s="251"/>
    </row>
    <row r="135" spans="1:30" s="251" customFormat="1" ht="27" customHeight="1">
      <c r="A135" s="4862" t="s">
        <v>4804</v>
      </c>
      <c r="B135" s="4863"/>
      <c r="C135" s="4864" t="s">
        <v>6597</v>
      </c>
      <c r="D135" s="4864" t="s">
        <v>6598</v>
      </c>
      <c r="E135" s="4864" t="s">
        <v>141</v>
      </c>
      <c r="F135" s="4865">
        <f>F132</f>
        <v>5.9</v>
      </c>
      <c r="G135" s="4873"/>
      <c r="H135" s="4866">
        <f t="shared" ref="H135:H138" si="21">ROUND(F135*G135,2)</f>
        <v>0</v>
      </c>
      <c r="I135" s="4697" t="s">
        <v>112</v>
      </c>
      <c r="J135" s="4908"/>
      <c r="K135" s="4909"/>
      <c r="L135" s="4909"/>
      <c r="M135" s="4910"/>
      <c r="N135" s="4910"/>
      <c r="O135" s="4910"/>
      <c r="P135" s="4911"/>
      <c r="Q135" s="4912"/>
      <c r="R135" s="4912"/>
      <c r="T135" s="4907"/>
      <c r="U135" s="4913"/>
      <c r="W135" s="4914"/>
      <c r="X135" s="4915"/>
      <c r="Y135" s="4916"/>
      <c r="Z135" s="1785"/>
      <c r="AA135" s="1785"/>
      <c r="AB135" s="1785"/>
      <c r="AC135" s="1785"/>
      <c r="AD135" s="1785"/>
    </row>
    <row r="136" spans="1:30" s="251" customFormat="1" ht="27" customHeight="1">
      <c r="A136" s="4862" t="s">
        <v>4805</v>
      </c>
      <c r="B136" s="4863"/>
      <c r="C136" s="4864" t="s">
        <v>6599</v>
      </c>
      <c r="D136" s="4864" t="s">
        <v>6600</v>
      </c>
      <c r="E136" s="4864" t="s">
        <v>141</v>
      </c>
      <c r="F136" s="4865">
        <f>(5.9)*1.05</f>
        <v>6.1950000000000003</v>
      </c>
      <c r="G136" s="4873"/>
      <c r="H136" s="4866">
        <f t="shared" si="21"/>
        <v>0</v>
      </c>
      <c r="I136" s="4697" t="s">
        <v>112</v>
      </c>
      <c r="J136" s="4908"/>
      <c r="K136" s="4909"/>
      <c r="L136" s="1785"/>
      <c r="M136" s="1785"/>
      <c r="N136" s="1785"/>
      <c r="O136" s="1785"/>
      <c r="P136" s="1785"/>
      <c r="Q136" s="1785"/>
      <c r="R136" s="2091"/>
      <c r="T136" s="4907"/>
      <c r="U136" s="4913"/>
      <c r="W136" s="4914"/>
      <c r="X136" s="4915"/>
      <c r="Y136" s="4916"/>
      <c r="Z136" s="1785"/>
      <c r="AA136" s="1785"/>
      <c r="AB136" s="1785"/>
      <c r="AC136" s="1785"/>
      <c r="AD136" s="1785"/>
    </row>
    <row r="137" spans="1:30" s="251" customFormat="1" ht="27" customHeight="1">
      <c r="A137" s="4862" t="s">
        <v>4806</v>
      </c>
      <c r="B137" s="4863"/>
      <c r="C137" s="4864">
        <v>713411121</v>
      </c>
      <c r="D137" s="4864" t="s">
        <v>6601</v>
      </c>
      <c r="E137" s="4864" t="s">
        <v>163</v>
      </c>
      <c r="F137" s="4865">
        <f>(5.9)*0.76</f>
        <v>4.484</v>
      </c>
      <c r="G137" s="4873"/>
      <c r="H137" s="4866">
        <f t="shared" si="21"/>
        <v>0</v>
      </c>
      <c r="I137" s="4697" t="s">
        <v>137</v>
      </c>
      <c r="J137" s="4908"/>
      <c r="K137" s="4909"/>
      <c r="L137" s="1791"/>
      <c r="M137" s="1791"/>
      <c r="P137" s="4911"/>
      <c r="Q137" s="4917"/>
      <c r="R137" s="4918"/>
      <c r="T137" s="4907"/>
      <c r="U137" s="4913"/>
      <c r="W137" s="4914"/>
      <c r="X137" s="4915"/>
      <c r="Y137" s="4916"/>
      <c r="Z137" s="1785"/>
      <c r="AA137" s="1785"/>
      <c r="AB137" s="1785"/>
      <c r="AC137" s="1785"/>
      <c r="AD137" s="1785"/>
    </row>
    <row r="138" spans="1:30" s="251" customFormat="1" ht="27" customHeight="1">
      <c r="A138" s="4862" t="s">
        <v>4807</v>
      </c>
      <c r="B138" s="4863"/>
      <c r="C138" s="4867" t="s">
        <v>6571</v>
      </c>
      <c r="D138" s="4867" t="s">
        <v>6602</v>
      </c>
      <c r="E138" s="4867" t="s">
        <v>163</v>
      </c>
      <c r="F138" s="4868">
        <f xml:space="preserve"> ((5.9)*0.76)*1.1</f>
        <v>4.9324000000000003</v>
      </c>
      <c r="G138" s="4874"/>
      <c r="H138" s="4869">
        <f t="shared" si="21"/>
        <v>0</v>
      </c>
      <c r="I138" s="4870" t="s">
        <v>112</v>
      </c>
      <c r="J138" s="4908"/>
      <c r="K138" s="4909"/>
      <c r="T138" s="4907"/>
      <c r="AA138" s="1785"/>
      <c r="AB138" s="1785"/>
      <c r="AC138" s="1785"/>
      <c r="AD138" s="1785"/>
    </row>
    <row r="139" spans="1:30" ht="13.5" customHeight="1">
      <c r="A139" s="2408"/>
      <c r="B139" s="2346"/>
      <c r="C139" s="2346"/>
      <c r="D139" s="2400" t="s">
        <v>3332</v>
      </c>
      <c r="E139" s="2346"/>
      <c r="F139" s="2409">
        <v>5.9</v>
      </c>
      <c r="G139" s="2387"/>
      <c r="H139" s="2387"/>
      <c r="I139" s="2352"/>
      <c r="J139" s="4919"/>
      <c r="K139" s="4920"/>
      <c r="L139" s="4920"/>
      <c r="M139" s="4920"/>
      <c r="N139" s="4920"/>
      <c r="O139" s="4921"/>
      <c r="P139" s="4921"/>
      <c r="Q139" s="4921"/>
      <c r="R139" s="4921"/>
      <c r="S139" s="4921"/>
      <c r="T139" s="4921"/>
      <c r="U139" s="4921"/>
      <c r="V139" s="122"/>
      <c r="W139" s="4921"/>
      <c r="X139" s="1975"/>
      <c r="Y139" s="1975"/>
      <c r="Z139" s="1951"/>
    </row>
    <row r="140" spans="1:30" s="2399" customFormat="1" ht="27" customHeight="1">
      <c r="A140" s="2402"/>
      <c r="B140" s="2403"/>
      <c r="C140" s="2410"/>
      <c r="D140" s="2400" t="s">
        <v>1994</v>
      </c>
      <c r="E140" s="2346"/>
      <c r="F140" s="2405"/>
      <c r="G140" s="4861"/>
      <c r="H140" s="2406"/>
      <c r="I140" s="2411"/>
      <c r="T140" s="4899"/>
      <c r="U140" s="4905"/>
      <c r="V140" s="4906"/>
      <c r="W140" s="4906"/>
      <c r="X140" s="4900"/>
      <c r="Y140" s="251"/>
    </row>
    <row r="141" spans="1:30" s="2399" customFormat="1" ht="13.5" customHeight="1">
      <c r="A141" s="4857">
        <v>25</v>
      </c>
      <c r="B141" s="2346">
        <v>751</v>
      </c>
      <c r="C141" s="2346" t="s">
        <v>3333</v>
      </c>
      <c r="D141" s="2346" t="s">
        <v>3334</v>
      </c>
      <c r="E141" s="2346" t="s">
        <v>141</v>
      </c>
      <c r="F141" s="4859">
        <f>F148</f>
        <v>1.5</v>
      </c>
      <c r="G141" s="1641">
        <f>ROUND(SUM(H144:H147)/F141,2)</f>
        <v>0</v>
      </c>
      <c r="H141" s="2231">
        <f t="shared" ref="H141" si="22">ROUND(F141*G141,2)</f>
        <v>0</v>
      </c>
      <c r="I141" s="2352" t="s">
        <v>111</v>
      </c>
      <c r="J141" s="4897"/>
    </row>
    <row r="142" spans="1:30" s="2399" customFormat="1" ht="13.5" customHeight="1">
      <c r="A142" s="2398"/>
      <c r="B142" s="2346"/>
      <c r="C142" s="2346"/>
      <c r="D142" s="2400" t="s">
        <v>3335</v>
      </c>
      <c r="E142" s="2346"/>
      <c r="F142" s="2281"/>
      <c r="G142" s="4860"/>
      <c r="H142" s="2401"/>
      <c r="I142" s="2352"/>
      <c r="J142" s="4898"/>
      <c r="K142" s="147"/>
      <c r="L142" s="147"/>
      <c r="M142" s="4899"/>
      <c r="N142" s="4899"/>
      <c r="O142" s="4899"/>
      <c r="P142" s="4900"/>
      <c r="S142" s="4901"/>
    </row>
    <row r="143" spans="1:30" s="2399" customFormat="1" ht="27" customHeight="1">
      <c r="A143" s="2402"/>
      <c r="B143" s="2403"/>
      <c r="C143" s="2404"/>
      <c r="D143" s="2400" t="s">
        <v>3311</v>
      </c>
      <c r="E143" s="2346"/>
      <c r="F143" s="2405"/>
      <c r="G143" s="4861"/>
      <c r="H143" s="2406"/>
      <c r="I143" s="2407"/>
      <c r="J143" s="4898"/>
      <c r="K143" s="147"/>
      <c r="L143" s="1791"/>
      <c r="M143" s="1791"/>
      <c r="N143" s="251"/>
      <c r="O143" s="251"/>
      <c r="P143" s="4900"/>
      <c r="Q143" s="4903"/>
      <c r="R143" s="4904"/>
      <c r="S143" s="4901"/>
      <c r="T143" s="4899"/>
      <c r="U143" s="4905"/>
      <c r="V143" s="4906"/>
      <c r="W143" s="4906"/>
      <c r="X143" s="4900"/>
      <c r="Y143" s="251"/>
    </row>
    <row r="144" spans="1:30" s="251" customFormat="1" ht="27" customHeight="1">
      <c r="A144" s="4862" t="s">
        <v>4814</v>
      </c>
      <c r="B144" s="4863"/>
      <c r="C144" s="4864" t="s">
        <v>6603</v>
      </c>
      <c r="D144" s="4864" t="s">
        <v>6604</v>
      </c>
      <c r="E144" s="4864" t="s">
        <v>141</v>
      </c>
      <c r="F144" s="4865">
        <f>F141</f>
        <v>1.5</v>
      </c>
      <c r="G144" s="4873"/>
      <c r="H144" s="4866">
        <f t="shared" ref="H144:H147" si="23">ROUND(F144*G144,2)</f>
        <v>0</v>
      </c>
      <c r="I144" s="4697" t="s">
        <v>112</v>
      </c>
      <c r="J144" s="4908"/>
      <c r="K144" s="4909"/>
      <c r="L144" s="4909"/>
      <c r="M144" s="4910"/>
      <c r="N144" s="4910"/>
      <c r="O144" s="4910"/>
      <c r="P144" s="4911"/>
      <c r="Q144" s="4912"/>
      <c r="R144" s="4912"/>
      <c r="T144" s="4907"/>
      <c r="U144" s="4913"/>
      <c r="W144" s="4914"/>
      <c r="X144" s="4915"/>
      <c r="Y144" s="4916"/>
      <c r="Z144" s="1785"/>
      <c r="AA144" s="1785"/>
      <c r="AB144" s="1785"/>
      <c r="AC144" s="1785"/>
      <c r="AD144" s="1785"/>
    </row>
    <row r="145" spans="1:30" s="251" customFormat="1" ht="27" customHeight="1">
      <c r="A145" s="4862" t="s">
        <v>4815</v>
      </c>
      <c r="B145" s="4863"/>
      <c r="C145" s="4864" t="s">
        <v>6605</v>
      </c>
      <c r="D145" s="4864" t="s">
        <v>6606</v>
      </c>
      <c r="E145" s="4864" t="s">
        <v>141</v>
      </c>
      <c r="F145" s="4865">
        <f>(1.5)*1.05</f>
        <v>1.5750000000000002</v>
      </c>
      <c r="G145" s="4873"/>
      <c r="H145" s="4866">
        <f t="shared" si="23"/>
        <v>0</v>
      </c>
      <c r="I145" s="4697" t="s">
        <v>112</v>
      </c>
      <c r="J145" s="4908"/>
      <c r="K145" s="4909"/>
      <c r="L145" s="1785"/>
      <c r="M145" s="1785"/>
      <c r="N145" s="1785"/>
      <c r="O145" s="1785"/>
      <c r="P145" s="1785"/>
      <c r="Q145" s="1785"/>
      <c r="R145" s="2091"/>
      <c r="T145" s="4907"/>
      <c r="U145" s="4913"/>
      <c r="W145" s="4914"/>
      <c r="X145" s="4915"/>
      <c r="Y145" s="4916"/>
      <c r="Z145" s="1785"/>
      <c r="AA145" s="1785"/>
      <c r="AB145" s="1785"/>
      <c r="AC145" s="1785"/>
      <c r="AD145" s="1785"/>
    </row>
    <row r="146" spans="1:30" s="251" customFormat="1" ht="27" customHeight="1">
      <c r="A146" s="4862" t="s">
        <v>4816</v>
      </c>
      <c r="B146" s="4863"/>
      <c r="C146" s="4864">
        <v>713411121</v>
      </c>
      <c r="D146" s="4864" t="s">
        <v>6607</v>
      </c>
      <c r="E146" s="4864" t="s">
        <v>163</v>
      </c>
      <c r="F146" s="4865">
        <f>(1.5)*1.06</f>
        <v>1.59</v>
      </c>
      <c r="G146" s="4873"/>
      <c r="H146" s="4866">
        <f t="shared" si="23"/>
        <v>0</v>
      </c>
      <c r="I146" s="4697" t="s">
        <v>137</v>
      </c>
      <c r="J146" s="4908"/>
      <c r="K146" s="4909"/>
      <c r="L146" s="1791"/>
      <c r="M146" s="1791"/>
      <c r="P146" s="4911"/>
      <c r="Q146" s="4917"/>
      <c r="R146" s="4918"/>
      <c r="T146" s="4907"/>
      <c r="U146" s="4913"/>
      <c r="W146" s="4914"/>
      <c r="X146" s="4915"/>
      <c r="Y146" s="4916"/>
      <c r="Z146" s="1785"/>
      <c r="AA146" s="1785"/>
      <c r="AB146" s="1785"/>
      <c r="AC146" s="1785"/>
      <c r="AD146" s="1785"/>
    </row>
    <row r="147" spans="1:30" s="251" customFormat="1" ht="27" customHeight="1">
      <c r="A147" s="4862" t="s">
        <v>4817</v>
      </c>
      <c r="B147" s="4863"/>
      <c r="C147" s="4867" t="s">
        <v>6571</v>
      </c>
      <c r="D147" s="4867" t="s">
        <v>6608</v>
      </c>
      <c r="E147" s="4867" t="s">
        <v>163</v>
      </c>
      <c r="F147" s="4868">
        <f>((1.5)*1.06)*1.1</f>
        <v>1.7490000000000003</v>
      </c>
      <c r="G147" s="4874"/>
      <c r="H147" s="4869">
        <f t="shared" si="23"/>
        <v>0</v>
      </c>
      <c r="I147" s="4870" t="s">
        <v>112</v>
      </c>
      <c r="J147" s="4908"/>
      <c r="K147" s="4909"/>
      <c r="T147" s="4907"/>
      <c r="AA147" s="1785"/>
      <c r="AB147" s="1785"/>
      <c r="AC147" s="1785"/>
      <c r="AD147" s="1785"/>
    </row>
    <row r="148" spans="1:30" ht="13.5" customHeight="1">
      <c r="A148" s="2408"/>
      <c r="B148" s="2346"/>
      <c r="C148" s="2346"/>
      <c r="D148" s="2400" t="s">
        <v>3336</v>
      </c>
      <c r="E148" s="2346"/>
      <c r="F148" s="2409">
        <v>1.5</v>
      </c>
      <c r="G148" s="2387"/>
      <c r="H148" s="2387"/>
      <c r="I148" s="2352"/>
      <c r="J148" s="4919"/>
      <c r="K148" s="4920"/>
      <c r="L148" s="4920"/>
      <c r="M148" s="4920"/>
      <c r="N148" s="4920"/>
      <c r="O148" s="4921"/>
      <c r="P148" s="4921"/>
      <c r="Q148" s="4921"/>
      <c r="R148" s="4921"/>
      <c r="S148" s="4921"/>
      <c r="T148" s="4921"/>
      <c r="U148" s="4921"/>
      <c r="V148" s="122"/>
      <c r="W148" s="4921"/>
      <c r="X148" s="1975"/>
      <c r="Y148" s="1975"/>
      <c r="Z148" s="1951"/>
    </row>
    <row r="149" spans="1:30" s="2399" customFormat="1" ht="27" customHeight="1">
      <c r="A149" s="2402"/>
      <c r="B149" s="2403"/>
      <c r="C149" s="2410"/>
      <c r="D149" s="2400" t="s">
        <v>1994</v>
      </c>
      <c r="E149" s="2346"/>
      <c r="F149" s="2405"/>
      <c r="G149" s="4861"/>
      <c r="H149" s="2406"/>
      <c r="I149" s="2411"/>
      <c r="T149" s="4899"/>
      <c r="U149" s="4905"/>
      <c r="V149" s="4906"/>
      <c r="W149" s="4906"/>
      <c r="X149" s="4900"/>
      <c r="Y149" s="251"/>
    </row>
    <row r="150" spans="1:30" s="2399" customFormat="1" ht="13.5" customHeight="1">
      <c r="A150" s="4857">
        <v>26</v>
      </c>
      <c r="B150" s="2346">
        <v>751</v>
      </c>
      <c r="C150" s="2346" t="s">
        <v>3337</v>
      </c>
      <c r="D150" s="2346" t="s">
        <v>3338</v>
      </c>
      <c r="E150" s="2346" t="s">
        <v>141</v>
      </c>
      <c r="F150" s="2443">
        <f>F157</f>
        <v>6.6</v>
      </c>
      <c r="G150" s="1641">
        <f>ROUND(SUM(H153:H156)/F150,2)</f>
        <v>0</v>
      </c>
      <c r="H150" s="2231">
        <f t="shared" ref="H150" si="24">ROUND(F150*G150,2)</f>
        <v>0</v>
      </c>
      <c r="I150" s="2352" t="s">
        <v>111</v>
      </c>
      <c r="J150" s="4897"/>
    </row>
    <row r="151" spans="1:30" s="2399" customFormat="1" ht="13.5" customHeight="1">
      <c r="A151" s="2398"/>
      <c r="B151" s="2346"/>
      <c r="C151" s="2346"/>
      <c r="D151" s="2400" t="s">
        <v>3339</v>
      </c>
      <c r="E151" s="2346"/>
      <c r="F151" s="2281"/>
      <c r="G151" s="4860"/>
      <c r="H151" s="2401"/>
      <c r="I151" s="2352"/>
      <c r="J151" s="4898"/>
      <c r="K151" s="147"/>
      <c r="L151" s="147"/>
      <c r="M151" s="4899"/>
      <c r="N151" s="4899"/>
      <c r="O151" s="4899"/>
      <c r="P151" s="4900"/>
      <c r="S151" s="4901"/>
    </row>
    <row r="152" spans="1:30" s="2399" customFormat="1" ht="27" customHeight="1">
      <c r="A152" s="2402"/>
      <c r="B152" s="2403"/>
      <c r="C152" s="2404"/>
      <c r="D152" s="2400" t="s">
        <v>3311</v>
      </c>
      <c r="E152" s="2346"/>
      <c r="F152" s="2405"/>
      <c r="G152" s="4861"/>
      <c r="H152" s="2406"/>
      <c r="I152" s="2407"/>
      <c r="J152" s="4898"/>
      <c r="K152" s="147"/>
      <c r="L152" s="1791"/>
      <c r="M152" s="1791"/>
      <c r="N152" s="251"/>
      <c r="O152" s="251"/>
      <c r="P152" s="4900"/>
      <c r="Q152" s="4903"/>
      <c r="R152" s="4904"/>
      <c r="S152" s="4901"/>
      <c r="T152" s="4899"/>
      <c r="U152" s="4905"/>
      <c r="V152" s="4906"/>
      <c r="W152" s="4906"/>
      <c r="X152" s="4900"/>
      <c r="Y152" s="251"/>
    </row>
    <row r="153" spans="1:30" s="251" customFormat="1" ht="27" customHeight="1">
      <c r="A153" s="4862" t="s">
        <v>6609</v>
      </c>
      <c r="B153" s="4863"/>
      <c r="C153" s="4864" t="s">
        <v>6603</v>
      </c>
      <c r="D153" s="4864" t="s">
        <v>6610</v>
      </c>
      <c r="E153" s="4864" t="s">
        <v>141</v>
      </c>
      <c r="F153" s="4865">
        <f>F150</f>
        <v>6.6</v>
      </c>
      <c r="G153" s="4873"/>
      <c r="H153" s="4866">
        <f t="shared" ref="H153:H156" si="25">ROUND(F153*G153,2)</f>
        <v>0</v>
      </c>
      <c r="I153" s="4697" t="s">
        <v>112</v>
      </c>
      <c r="J153" s="4908"/>
      <c r="K153" s="4909"/>
      <c r="L153" s="4909"/>
      <c r="M153" s="4910"/>
      <c r="N153" s="4910"/>
      <c r="O153" s="4910"/>
      <c r="P153" s="4911"/>
      <c r="Q153" s="4912"/>
      <c r="R153" s="4912"/>
      <c r="T153" s="4907"/>
      <c r="U153" s="4913"/>
      <c r="W153" s="4914"/>
      <c r="X153" s="4915"/>
      <c r="Y153" s="4916"/>
      <c r="Z153" s="1785"/>
      <c r="AA153" s="1785"/>
      <c r="AB153" s="1785"/>
      <c r="AC153" s="1785"/>
      <c r="AD153" s="1785"/>
    </row>
    <row r="154" spans="1:30" s="251" customFormat="1" ht="27" customHeight="1">
      <c r="A154" s="4862" t="s">
        <v>6611</v>
      </c>
      <c r="B154" s="4863"/>
      <c r="C154" s="4864" t="s">
        <v>6605</v>
      </c>
      <c r="D154" s="4864" t="s">
        <v>6612</v>
      </c>
      <c r="E154" s="4864" t="s">
        <v>141</v>
      </c>
      <c r="F154" s="4865">
        <f>(6.6)*1.05</f>
        <v>6.93</v>
      </c>
      <c r="G154" s="4873"/>
      <c r="H154" s="4866">
        <f t="shared" si="25"/>
        <v>0</v>
      </c>
      <c r="I154" s="4697" t="s">
        <v>112</v>
      </c>
      <c r="J154" s="4908"/>
      <c r="K154" s="4909"/>
      <c r="L154" s="1785"/>
      <c r="M154" s="1785"/>
      <c r="N154" s="1785"/>
      <c r="O154" s="1785"/>
      <c r="P154" s="1785"/>
      <c r="Q154" s="1785"/>
      <c r="R154" s="2091"/>
      <c r="T154" s="4907"/>
      <c r="U154" s="4913"/>
      <c r="W154" s="4914"/>
      <c r="X154" s="4915"/>
      <c r="Y154" s="4916"/>
      <c r="Z154" s="1785"/>
      <c r="AA154" s="1785"/>
      <c r="AB154" s="1785"/>
      <c r="AC154" s="1785"/>
      <c r="AD154" s="1785"/>
    </row>
    <row r="155" spans="1:30" s="251" customFormat="1" ht="27" customHeight="1">
      <c r="A155" s="4862" t="s">
        <v>6613</v>
      </c>
      <c r="B155" s="4863"/>
      <c r="C155" s="4864">
        <v>713411121</v>
      </c>
      <c r="D155" s="4864" t="s">
        <v>6614</v>
      </c>
      <c r="E155" s="4864" t="s">
        <v>163</v>
      </c>
      <c r="F155" s="4865">
        <f xml:space="preserve"> (6.6)*1.16</f>
        <v>7.6559999999999988</v>
      </c>
      <c r="G155" s="4873"/>
      <c r="H155" s="4866">
        <f t="shared" si="25"/>
        <v>0</v>
      </c>
      <c r="I155" s="4697" t="s">
        <v>137</v>
      </c>
      <c r="J155" s="4908"/>
      <c r="K155" s="4909"/>
      <c r="L155" s="1791"/>
      <c r="M155" s="1791"/>
      <c r="P155" s="4911"/>
      <c r="Q155" s="4917"/>
      <c r="R155" s="4918"/>
      <c r="T155" s="4907"/>
      <c r="U155" s="4913"/>
      <c r="W155" s="4914"/>
      <c r="X155" s="4915"/>
      <c r="Y155" s="4916"/>
      <c r="Z155" s="1785"/>
      <c r="AA155" s="1785"/>
      <c r="AB155" s="1785"/>
      <c r="AC155" s="1785"/>
      <c r="AD155" s="1785"/>
    </row>
    <row r="156" spans="1:30" s="251" customFormat="1" ht="27" customHeight="1">
      <c r="A156" s="4862" t="s">
        <v>6615</v>
      </c>
      <c r="B156" s="4863"/>
      <c r="C156" s="4867" t="s">
        <v>6571</v>
      </c>
      <c r="D156" s="4867" t="s">
        <v>6616</v>
      </c>
      <c r="E156" s="4867" t="s">
        <v>163</v>
      </c>
      <c r="F156" s="4868">
        <f>((6.6)*1.16)*1.1</f>
        <v>8.4215999999999998</v>
      </c>
      <c r="G156" s="4874"/>
      <c r="H156" s="4869">
        <f t="shared" si="25"/>
        <v>0</v>
      </c>
      <c r="I156" s="4870" t="s">
        <v>112</v>
      </c>
      <c r="J156" s="4908"/>
      <c r="K156" s="4909"/>
      <c r="T156" s="4907"/>
      <c r="AA156" s="1785"/>
      <c r="AB156" s="1785"/>
      <c r="AC156" s="1785"/>
      <c r="AD156" s="1785"/>
    </row>
    <row r="157" spans="1:30" ht="13.5" customHeight="1">
      <c r="A157" s="2408"/>
      <c r="B157" s="2346"/>
      <c r="C157" s="2346"/>
      <c r="D157" s="2400" t="s">
        <v>6617</v>
      </c>
      <c r="E157" s="2346"/>
      <c r="F157" s="4858">
        <f>(6.6)</f>
        <v>6.6</v>
      </c>
      <c r="G157" s="2387"/>
      <c r="H157" s="2387"/>
      <c r="I157" s="2352"/>
      <c r="J157" s="4919"/>
      <c r="K157" s="4920"/>
      <c r="L157" s="4920"/>
      <c r="M157" s="4920"/>
      <c r="N157" s="4920"/>
      <c r="O157" s="4921"/>
      <c r="P157" s="4921"/>
      <c r="Q157" s="4921"/>
      <c r="R157" s="4921"/>
      <c r="S157" s="4921"/>
      <c r="T157" s="4921"/>
      <c r="U157" s="4921"/>
      <c r="V157" s="122"/>
      <c r="W157" s="4921"/>
      <c r="X157" s="1975"/>
      <c r="Y157" s="1975"/>
      <c r="Z157" s="1951"/>
    </row>
    <row r="158" spans="1:30" s="2399" customFormat="1" ht="27" customHeight="1">
      <c r="A158" s="2402"/>
      <c r="B158" s="2403"/>
      <c r="C158" s="2410"/>
      <c r="D158" s="2400" t="s">
        <v>1994</v>
      </c>
      <c r="E158" s="2346"/>
      <c r="F158" s="2405"/>
      <c r="G158" s="4861"/>
      <c r="H158" s="2406"/>
      <c r="I158" s="2411"/>
      <c r="T158" s="4899"/>
      <c r="U158" s="4905"/>
      <c r="V158" s="4906"/>
      <c r="W158" s="4906"/>
      <c r="X158" s="4900"/>
      <c r="Y158" s="251"/>
    </row>
    <row r="159" spans="1:30" s="2399" customFormat="1" ht="13.5" customHeight="1">
      <c r="A159" s="4857">
        <v>27</v>
      </c>
      <c r="B159" s="2346">
        <v>751</v>
      </c>
      <c r="C159" s="2346" t="s">
        <v>3340</v>
      </c>
      <c r="D159" s="2346" t="s">
        <v>3341</v>
      </c>
      <c r="E159" s="2346" t="s">
        <v>141</v>
      </c>
      <c r="F159" s="4859">
        <f>F166</f>
        <v>1.7</v>
      </c>
      <c r="G159" s="1641">
        <f>ROUND(SUM(H162:H165)/F159,2)</f>
        <v>0</v>
      </c>
      <c r="H159" s="2231">
        <f t="shared" ref="H159" si="26">ROUND(F159*G159,2)</f>
        <v>0</v>
      </c>
      <c r="I159" s="2352" t="s">
        <v>111</v>
      </c>
      <c r="J159" s="4897"/>
    </row>
    <row r="160" spans="1:30" s="2399" customFormat="1" ht="13.5" customHeight="1">
      <c r="A160" s="2398"/>
      <c r="B160" s="2346"/>
      <c r="C160" s="2346"/>
      <c r="D160" s="2400" t="s">
        <v>3342</v>
      </c>
      <c r="E160" s="2346"/>
      <c r="F160" s="2281"/>
      <c r="G160" s="4860"/>
      <c r="H160" s="2401"/>
      <c r="I160" s="2352"/>
      <c r="J160" s="4898"/>
      <c r="K160" s="147"/>
      <c r="L160" s="147"/>
      <c r="M160" s="4899"/>
      <c r="N160" s="4899"/>
      <c r="O160" s="4899"/>
      <c r="P160" s="4900"/>
      <c r="S160" s="4901"/>
    </row>
    <row r="161" spans="1:30" s="2399" customFormat="1" ht="27" customHeight="1">
      <c r="A161" s="2402"/>
      <c r="B161" s="2403"/>
      <c r="C161" s="2404"/>
      <c r="D161" s="2400" t="s">
        <v>3311</v>
      </c>
      <c r="E161" s="2346"/>
      <c r="F161" s="2405"/>
      <c r="G161" s="4861"/>
      <c r="H161" s="2406"/>
      <c r="I161" s="2407"/>
      <c r="J161" s="4898"/>
      <c r="K161" s="147"/>
      <c r="L161" s="1791"/>
      <c r="M161" s="1791"/>
      <c r="N161" s="251"/>
      <c r="O161" s="251"/>
      <c r="P161" s="4900"/>
      <c r="Q161" s="4903"/>
      <c r="R161" s="4904"/>
      <c r="S161" s="4901"/>
      <c r="T161" s="4899"/>
      <c r="U161" s="4905"/>
      <c r="V161" s="4906"/>
      <c r="W161" s="4906"/>
      <c r="X161" s="4900"/>
      <c r="Y161" s="251"/>
    </row>
    <row r="162" spans="1:30" s="251" customFormat="1" ht="27" customHeight="1">
      <c r="A162" s="4862" t="s">
        <v>6370</v>
      </c>
      <c r="B162" s="4863"/>
      <c r="C162" s="4864" t="s">
        <v>6603</v>
      </c>
      <c r="D162" s="4864" t="s">
        <v>6618</v>
      </c>
      <c r="E162" s="4864" t="s">
        <v>141</v>
      </c>
      <c r="F162" s="4865">
        <f>F159</f>
        <v>1.7</v>
      </c>
      <c r="G162" s="4873"/>
      <c r="H162" s="4866">
        <f t="shared" ref="H162:H165" si="27">ROUND(F162*G162,2)</f>
        <v>0</v>
      </c>
      <c r="I162" s="4697" t="s">
        <v>112</v>
      </c>
      <c r="J162" s="4908"/>
      <c r="K162" s="4909"/>
      <c r="L162" s="4909"/>
      <c r="M162" s="4910"/>
      <c r="N162" s="4910"/>
      <c r="O162" s="4910"/>
      <c r="P162" s="4911"/>
      <c r="Q162" s="4912"/>
      <c r="R162" s="4912"/>
      <c r="T162" s="4907"/>
      <c r="U162" s="4913"/>
      <c r="W162" s="4914"/>
      <c r="X162" s="4915"/>
      <c r="Y162" s="4916"/>
      <c r="Z162" s="1785"/>
      <c r="AA162" s="1785"/>
      <c r="AB162" s="1785"/>
      <c r="AC162" s="1785"/>
      <c r="AD162" s="1785"/>
    </row>
    <row r="163" spans="1:30" s="251" customFormat="1" ht="27" customHeight="1">
      <c r="A163" s="4862" t="s">
        <v>6619</v>
      </c>
      <c r="B163" s="4863"/>
      <c r="C163" s="4864" t="s">
        <v>6605</v>
      </c>
      <c r="D163" s="4864" t="s">
        <v>6620</v>
      </c>
      <c r="E163" s="4864" t="s">
        <v>141</v>
      </c>
      <c r="F163" s="4865">
        <f>(1.7)*1.05</f>
        <v>1.7849999999999999</v>
      </c>
      <c r="G163" s="4873"/>
      <c r="H163" s="4866">
        <f t="shared" si="27"/>
        <v>0</v>
      </c>
      <c r="I163" s="4697" t="s">
        <v>112</v>
      </c>
      <c r="J163" s="4908"/>
      <c r="K163" s="4909"/>
      <c r="L163" s="1785"/>
      <c r="M163" s="1785"/>
      <c r="N163" s="1785"/>
      <c r="O163" s="1785"/>
      <c r="P163" s="1785"/>
      <c r="Q163" s="1785"/>
      <c r="R163" s="2091"/>
      <c r="T163" s="4907"/>
      <c r="U163" s="4913"/>
      <c r="W163" s="4914"/>
      <c r="X163" s="4915"/>
      <c r="Y163" s="4916"/>
      <c r="Z163" s="1785"/>
      <c r="AA163" s="1785"/>
      <c r="AB163" s="1785"/>
      <c r="AC163" s="1785"/>
      <c r="AD163" s="1785"/>
    </row>
    <row r="164" spans="1:30" s="251" customFormat="1" ht="27" customHeight="1">
      <c r="A164" s="4862" t="s">
        <v>6621</v>
      </c>
      <c r="B164" s="4863"/>
      <c r="C164" s="4864">
        <v>713411121</v>
      </c>
      <c r="D164" s="4864" t="s">
        <v>6622</v>
      </c>
      <c r="E164" s="4864" t="s">
        <v>163</v>
      </c>
      <c r="F164" s="4865">
        <f>(1.7)*0.96</f>
        <v>1.6319999999999999</v>
      </c>
      <c r="G164" s="4873"/>
      <c r="H164" s="4866">
        <f t="shared" si="27"/>
        <v>0</v>
      </c>
      <c r="I164" s="4697" t="s">
        <v>137</v>
      </c>
      <c r="J164" s="4908"/>
      <c r="K164" s="4909"/>
      <c r="L164" s="1791"/>
      <c r="M164" s="1791"/>
      <c r="P164" s="4911"/>
      <c r="Q164" s="4917"/>
      <c r="R164" s="4918"/>
      <c r="T164" s="4907"/>
      <c r="U164" s="4913"/>
      <c r="W164" s="4914"/>
      <c r="X164" s="4915"/>
      <c r="Y164" s="4916"/>
      <c r="Z164" s="1785"/>
      <c r="AA164" s="1785"/>
      <c r="AB164" s="1785"/>
      <c r="AC164" s="1785"/>
      <c r="AD164" s="1785"/>
    </row>
    <row r="165" spans="1:30" s="251" customFormat="1" ht="27" customHeight="1">
      <c r="A165" s="4862" t="s">
        <v>6623</v>
      </c>
      <c r="B165" s="4863"/>
      <c r="C165" s="4867" t="s">
        <v>6571</v>
      </c>
      <c r="D165" s="4867" t="s">
        <v>6624</v>
      </c>
      <c r="E165" s="4867" t="s">
        <v>163</v>
      </c>
      <c r="F165" s="4868">
        <f>((1.7)*0.96)*1.1</f>
        <v>1.7952000000000001</v>
      </c>
      <c r="G165" s="4874"/>
      <c r="H165" s="4869">
        <f t="shared" si="27"/>
        <v>0</v>
      </c>
      <c r="I165" s="4870" t="s">
        <v>112</v>
      </c>
      <c r="J165" s="4908"/>
      <c r="K165" s="4909"/>
      <c r="T165" s="4907"/>
      <c r="AA165" s="1785"/>
      <c r="AB165" s="1785"/>
      <c r="AC165" s="1785"/>
      <c r="AD165" s="1785"/>
    </row>
    <row r="166" spans="1:30" ht="13.5" customHeight="1">
      <c r="A166" s="2408"/>
      <c r="B166" s="2346"/>
      <c r="C166" s="2346"/>
      <c r="D166" s="2400" t="s">
        <v>3343</v>
      </c>
      <c r="E166" s="2346"/>
      <c r="F166" s="2409">
        <v>1.7</v>
      </c>
      <c r="G166" s="2387"/>
      <c r="H166" s="2387"/>
      <c r="I166" s="2352"/>
      <c r="J166" s="4919"/>
      <c r="K166" s="4920"/>
      <c r="L166" s="4920"/>
      <c r="M166" s="4920"/>
      <c r="N166" s="4920"/>
      <c r="O166" s="4921"/>
      <c r="P166" s="4921"/>
      <c r="Q166" s="4921"/>
      <c r="R166" s="4921"/>
      <c r="S166" s="4921"/>
      <c r="T166" s="4921"/>
      <c r="U166" s="4921"/>
      <c r="V166" s="122"/>
      <c r="W166" s="4921"/>
      <c r="X166" s="1975"/>
      <c r="Y166" s="1975"/>
      <c r="Z166" s="1951"/>
    </row>
    <row r="167" spans="1:30" s="2399" customFormat="1" ht="27" customHeight="1">
      <c r="A167" s="2402"/>
      <c r="B167" s="2403"/>
      <c r="C167" s="2410"/>
      <c r="D167" s="2400" t="s">
        <v>1994</v>
      </c>
      <c r="E167" s="2346"/>
      <c r="F167" s="2405"/>
      <c r="G167" s="4861"/>
      <c r="H167" s="2406"/>
      <c r="I167" s="2411"/>
      <c r="T167" s="4899"/>
      <c r="U167" s="4905"/>
      <c r="V167" s="4906"/>
      <c r="W167" s="4906"/>
      <c r="X167" s="4900"/>
      <c r="Y167" s="251"/>
    </row>
    <row r="168" spans="1:30" s="2399" customFormat="1" ht="13.5" customHeight="1">
      <c r="A168" s="4857">
        <v>28</v>
      </c>
      <c r="B168" s="2346">
        <v>751</v>
      </c>
      <c r="C168" s="2346" t="s">
        <v>3344</v>
      </c>
      <c r="D168" s="2346" t="s">
        <v>3345</v>
      </c>
      <c r="E168" s="2346" t="s">
        <v>141</v>
      </c>
      <c r="F168" s="4859">
        <f>F175</f>
        <v>2.2000000000000002</v>
      </c>
      <c r="G168" s="1641">
        <f>ROUND(SUM(H171:H174)/F168,2)</f>
        <v>0</v>
      </c>
      <c r="H168" s="2231">
        <f t="shared" ref="H168" si="28">ROUND(F168*G168,2)</f>
        <v>0</v>
      </c>
      <c r="I168" s="2352" t="s">
        <v>111</v>
      </c>
      <c r="J168" s="4897"/>
    </row>
    <row r="169" spans="1:30" s="2399" customFormat="1" ht="13.5" customHeight="1">
      <c r="A169" s="2398"/>
      <c r="B169" s="2346"/>
      <c r="C169" s="2346"/>
      <c r="D169" s="2400" t="s">
        <v>3346</v>
      </c>
      <c r="E169" s="2346"/>
      <c r="F169" s="2281"/>
      <c r="G169" s="4860"/>
      <c r="H169" s="2401"/>
      <c r="I169" s="2352"/>
      <c r="J169" s="4898"/>
      <c r="K169" s="147"/>
      <c r="L169" s="147"/>
      <c r="M169" s="4899"/>
      <c r="N169" s="4899"/>
      <c r="O169" s="4899"/>
      <c r="P169" s="4900"/>
      <c r="S169" s="4901"/>
    </row>
    <row r="170" spans="1:30" s="2399" customFormat="1" ht="27" customHeight="1">
      <c r="A170" s="2402"/>
      <c r="B170" s="2403"/>
      <c r="C170" s="2404"/>
      <c r="D170" s="2400" t="s">
        <v>3311</v>
      </c>
      <c r="E170" s="2346"/>
      <c r="F170" s="2405"/>
      <c r="G170" s="4861"/>
      <c r="H170" s="2406"/>
      <c r="I170" s="2407"/>
      <c r="J170" s="4898"/>
      <c r="K170" s="147"/>
      <c r="L170" s="1791"/>
      <c r="M170" s="1791"/>
      <c r="N170" s="251"/>
      <c r="O170" s="251"/>
      <c r="P170" s="4900"/>
      <c r="Q170" s="4903"/>
      <c r="R170" s="4904"/>
      <c r="S170" s="4901"/>
      <c r="T170" s="4899"/>
      <c r="U170" s="4905"/>
      <c r="V170" s="4906"/>
      <c r="W170" s="4906"/>
      <c r="X170" s="4900"/>
      <c r="Y170" s="251"/>
    </row>
    <row r="171" spans="1:30" s="251" customFormat="1" ht="27" customHeight="1">
      <c r="A171" s="4862" t="s">
        <v>5527</v>
      </c>
      <c r="B171" s="4863"/>
      <c r="C171" s="4864" t="s">
        <v>6625</v>
      </c>
      <c r="D171" s="4864" t="s">
        <v>6626</v>
      </c>
      <c r="E171" s="4864" t="s">
        <v>141</v>
      </c>
      <c r="F171" s="4865">
        <f>F168</f>
        <v>2.2000000000000002</v>
      </c>
      <c r="G171" s="4873"/>
      <c r="H171" s="4866">
        <f t="shared" ref="H171:H174" si="29">ROUND(F171*G171,2)</f>
        <v>0</v>
      </c>
      <c r="I171" s="4697" t="s">
        <v>112</v>
      </c>
      <c r="J171" s="4922"/>
      <c r="K171" s="4909"/>
      <c r="L171" s="4909"/>
      <c r="M171" s="4910"/>
      <c r="N171" s="4910"/>
      <c r="O171" s="4910"/>
      <c r="P171" s="4911"/>
      <c r="Q171" s="4912"/>
      <c r="R171" s="4912"/>
      <c r="T171" s="4907"/>
      <c r="U171" s="4913"/>
      <c r="W171" s="4914"/>
      <c r="X171" s="4915"/>
      <c r="Y171" s="4916"/>
      <c r="Z171" s="1785"/>
      <c r="AA171" s="1785"/>
      <c r="AB171" s="1785"/>
      <c r="AC171" s="1785"/>
      <c r="AD171" s="1785"/>
    </row>
    <row r="172" spans="1:30" s="251" customFormat="1" ht="27" customHeight="1">
      <c r="A172" s="4862" t="s">
        <v>5530</v>
      </c>
      <c r="B172" s="4863"/>
      <c r="C172" s="4864" t="s">
        <v>6627</v>
      </c>
      <c r="D172" s="4864" t="s">
        <v>6628</v>
      </c>
      <c r="E172" s="4864" t="s">
        <v>141</v>
      </c>
      <c r="F172" s="4865">
        <f>(2.2)*1.05</f>
        <v>2.3100000000000005</v>
      </c>
      <c r="G172" s="4873"/>
      <c r="H172" s="4866">
        <f t="shared" si="29"/>
        <v>0</v>
      </c>
      <c r="I172" s="4697" t="s">
        <v>112</v>
      </c>
      <c r="J172" s="4922"/>
      <c r="K172" s="4909"/>
      <c r="L172" s="1785"/>
      <c r="M172" s="1785"/>
      <c r="N172" s="1785"/>
      <c r="O172" s="1785"/>
      <c r="P172" s="1785"/>
      <c r="Q172" s="1785"/>
      <c r="R172" s="2091"/>
      <c r="T172" s="4907"/>
      <c r="U172" s="4913"/>
      <c r="W172" s="4914"/>
      <c r="X172" s="4915"/>
      <c r="Y172" s="4916"/>
      <c r="Z172" s="1785"/>
      <c r="AA172" s="1785"/>
      <c r="AB172" s="1785"/>
      <c r="AC172" s="1785"/>
      <c r="AD172" s="1785"/>
    </row>
    <row r="173" spans="1:30" s="251" customFormat="1" ht="27" customHeight="1">
      <c r="A173" s="4862" t="s">
        <v>5535</v>
      </c>
      <c r="B173" s="4863"/>
      <c r="C173" s="4864">
        <v>713411121</v>
      </c>
      <c r="D173" s="4864" t="s">
        <v>6629</v>
      </c>
      <c r="E173" s="4864" t="s">
        <v>163</v>
      </c>
      <c r="F173" s="4865">
        <f>(2.2)*1.36</f>
        <v>2.9920000000000004</v>
      </c>
      <c r="G173" s="4873"/>
      <c r="H173" s="4866">
        <f t="shared" si="29"/>
        <v>0</v>
      </c>
      <c r="I173" s="4697" t="s">
        <v>137</v>
      </c>
      <c r="J173" s="4922"/>
      <c r="K173" s="4909"/>
      <c r="L173" s="1791"/>
      <c r="M173" s="1791"/>
      <c r="P173" s="4911"/>
      <c r="Q173" s="4917"/>
      <c r="R173" s="4918"/>
      <c r="T173" s="4907"/>
      <c r="U173" s="4913"/>
      <c r="W173" s="4914"/>
      <c r="X173" s="4915"/>
      <c r="Y173" s="4916"/>
      <c r="Z173" s="1785"/>
      <c r="AA173" s="1785"/>
      <c r="AB173" s="1785"/>
      <c r="AC173" s="1785"/>
      <c r="AD173" s="1785"/>
    </row>
    <row r="174" spans="1:30" s="251" customFormat="1" ht="27" customHeight="1">
      <c r="A174" s="4862" t="s">
        <v>6630</v>
      </c>
      <c r="B174" s="4863"/>
      <c r="C174" s="4867" t="s">
        <v>6571</v>
      </c>
      <c r="D174" s="4867" t="s">
        <v>6631</v>
      </c>
      <c r="E174" s="4867" t="s">
        <v>163</v>
      </c>
      <c r="F174" s="4868">
        <f>((2.2)*1.36)*1.1</f>
        <v>3.2912000000000008</v>
      </c>
      <c r="G174" s="4874"/>
      <c r="H174" s="4869">
        <f t="shared" si="29"/>
        <v>0</v>
      </c>
      <c r="I174" s="4870" t="s">
        <v>112</v>
      </c>
      <c r="J174" s="4922"/>
      <c r="K174" s="4909"/>
      <c r="T174" s="4907"/>
      <c r="AA174" s="1785"/>
      <c r="AB174" s="1785"/>
      <c r="AC174" s="1785"/>
      <c r="AD174" s="1785"/>
    </row>
    <row r="175" spans="1:30" ht="13.5" customHeight="1">
      <c r="A175" s="2408"/>
      <c r="B175" s="2346"/>
      <c r="C175" s="2346"/>
      <c r="D175" s="2400" t="s">
        <v>3347</v>
      </c>
      <c r="E175" s="2346"/>
      <c r="F175" s="2409">
        <v>2.2000000000000002</v>
      </c>
      <c r="G175" s="2387"/>
      <c r="H175" s="2387"/>
      <c r="I175" s="2352"/>
      <c r="J175" s="4919"/>
      <c r="K175" s="4920"/>
      <c r="L175" s="4920"/>
      <c r="M175" s="4920"/>
      <c r="N175" s="4920"/>
      <c r="O175" s="4921"/>
      <c r="P175" s="4921"/>
      <c r="Q175" s="4921"/>
      <c r="R175" s="4921"/>
      <c r="S175" s="4921"/>
      <c r="T175" s="4921"/>
      <c r="U175" s="4921"/>
      <c r="V175" s="122"/>
      <c r="W175" s="4921"/>
      <c r="X175" s="1975"/>
      <c r="Y175" s="1975"/>
      <c r="Z175" s="1951"/>
    </row>
    <row r="176" spans="1:30" s="2399" customFormat="1" ht="27" customHeight="1">
      <c r="A176" s="2402"/>
      <c r="B176" s="2403"/>
      <c r="C176" s="2410"/>
      <c r="D176" s="2400" t="s">
        <v>1994</v>
      </c>
      <c r="E176" s="2346"/>
      <c r="F176" s="2405"/>
      <c r="G176" s="4861"/>
      <c r="H176" s="2406"/>
      <c r="I176" s="2411"/>
      <c r="T176" s="4899"/>
      <c r="U176" s="4905"/>
      <c r="V176" s="4906"/>
      <c r="W176" s="4906"/>
      <c r="X176" s="4900"/>
      <c r="Y176" s="251"/>
    </row>
    <row r="177" spans="1:30" s="2399" customFormat="1" ht="13.5" customHeight="1">
      <c r="A177" s="4857">
        <v>29</v>
      </c>
      <c r="B177" s="2346">
        <v>751</v>
      </c>
      <c r="C177" s="2346" t="s">
        <v>3348</v>
      </c>
      <c r="D177" s="2346" t="s">
        <v>3349</v>
      </c>
      <c r="E177" s="2346" t="s">
        <v>141</v>
      </c>
      <c r="F177" s="4859">
        <f>F184</f>
        <v>1.3</v>
      </c>
      <c r="G177" s="1641">
        <f>ROUND(SUM(H180:H183)/F177,2)</f>
        <v>0</v>
      </c>
      <c r="H177" s="2231">
        <f t="shared" ref="H177" si="30">ROUND(F177*G177,2)</f>
        <v>0</v>
      </c>
      <c r="I177" s="2352" t="s">
        <v>111</v>
      </c>
      <c r="J177" s="4897"/>
    </row>
    <row r="178" spans="1:30" s="2399" customFormat="1" ht="13.5" customHeight="1">
      <c r="A178" s="2398"/>
      <c r="B178" s="2346"/>
      <c r="C178" s="2346"/>
      <c r="D178" s="2400" t="s">
        <v>3350</v>
      </c>
      <c r="E178" s="2346"/>
      <c r="F178" s="2281"/>
      <c r="G178" s="4860"/>
      <c r="H178" s="2401"/>
      <c r="I178" s="2352"/>
      <c r="J178" s="4898"/>
      <c r="K178" s="147"/>
      <c r="L178" s="147"/>
      <c r="M178" s="4899"/>
      <c r="N178" s="4899"/>
      <c r="O178" s="4899"/>
      <c r="P178" s="4900"/>
      <c r="S178" s="4901"/>
    </row>
    <row r="179" spans="1:30" s="2399" customFormat="1" ht="27" customHeight="1">
      <c r="A179" s="2402"/>
      <c r="B179" s="2403"/>
      <c r="C179" s="2404"/>
      <c r="D179" s="2400" t="s">
        <v>3311</v>
      </c>
      <c r="E179" s="2346"/>
      <c r="F179" s="2405"/>
      <c r="G179" s="4861"/>
      <c r="H179" s="2406"/>
      <c r="I179" s="2407"/>
      <c r="J179" s="4898"/>
      <c r="K179" s="147"/>
      <c r="L179" s="1791"/>
      <c r="M179" s="1791"/>
      <c r="N179" s="251"/>
      <c r="O179" s="251"/>
      <c r="P179" s="4900"/>
      <c r="Q179" s="4903"/>
      <c r="R179" s="4904"/>
      <c r="S179" s="4901"/>
      <c r="T179" s="4899"/>
      <c r="U179" s="4905"/>
      <c r="V179" s="4906"/>
      <c r="W179" s="4906"/>
      <c r="X179" s="4900"/>
      <c r="Y179" s="251"/>
    </row>
    <row r="180" spans="1:30" s="251" customFormat="1" ht="27" customHeight="1">
      <c r="A180" s="4862" t="s">
        <v>5543</v>
      </c>
      <c r="B180" s="4863"/>
      <c r="C180" s="4864" t="s">
        <v>6632</v>
      </c>
      <c r="D180" s="4864" t="s">
        <v>6633</v>
      </c>
      <c r="E180" s="4864" t="s">
        <v>141</v>
      </c>
      <c r="F180" s="4865">
        <f>F177</f>
        <v>1.3</v>
      </c>
      <c r="G180" s="4873"/>
      <c r="H180" s="4866">
        <f t="shared" ref="H180:H183" si="31">ROUND(F180*G180,2)</f>
        <v>0</v>
      </c>
      <c r="I180" s="4697" t="s">
        <v>112</v>
      </c>
      <c r="J180" s="4908"/>
      <c r="K180" s="4909"/>
      <c r="L180" s="4909"/>
      <c r="M180" s="4910"/>
      <c r="N180" s="4910"/>
      <c r="O180" s="4910"/>
      <c r="P180" s="4911"/>
      <c r="Q180" s="4912"/>
      <c r="R180" s="4912"/>
      <c r="T180" s="4907"/>
      <c r="U180" s="4913"/>
      <c r="W180" s="4914"/>
      <c r="X180" s="4915"/>
      <c r="Y180" s="4916"/>
      <c r="Z180" s="1785"/>
      <c r="AA180" s="1785"/>
      <c r="AB180" s="1785"/>
      <c r="AC180" s="1785"/>
      <c r="AD180" s="1785"/>
    </row>
    <row r="181" spans="1:30" s="251" customFormat="1" ht="27" customHeight="1">
      <c r="A181" s="4862" t="s">
        <v>5546</v>
      </c>
      <c r="B181" s="4863"/>
      <c r="C181" s="4864" t="s">
        <v>6634</v>
      </c>
      <c r="D181" s="4864" t="s">
        <v>6635</v>
      </c>
      <c r="E181" s="4864" t="s">
        <v>141</v>
      </c>
      <c r="F181" s="4865">
        <f>(1.3)*1.05</f>
        <v>1.3650000000000002</v>
      </c>
      <c r="G181" s="4873"/>
      <c r="H181" s="4866">
        <f t="shared" si="31"/>
        <v>0</v>
      </c>
      <c r="I181" s="4697" t="s">
        <v>112</v>
      </c>
      <c r="J181" s="4908"/>
      <c r="K181" s="4909"/>
      <c r="L181" s="1785"/>
      <c r="M181" s="1785"/>
      <c r="N181" s="1785"/>
      <c r="O181" s="1785"/>
      <c r="P181" s="1785"/>
      <c r="Q181" s="1785"/>
      <c r="R181" s="2091"/>
      <c r="T181" s="4907"/>
      <c r="U181" s="4913"/>
      <c r="W181" s="4914"/>
      <c r="X181" s="4915"/>
      <c r="Y181" s="4916"/>
      <c r="Z181" s="1785"/>
      <c r="AA181" s="1785"/>
      <c r="AB181" s="1785"/>
      <c r="AC181" s="1785"/>
      <c r="AD181" s="1785"/>
    </row>
    <row r="182" spans="1:30" s="251" customFormat="1" ht="27" customHeight="1">
      <c r="A182" s="4862" t="s">
        <v>5549</v>
      </c>
      <c r="B182" s="4863"/>
      <c r="C182" s="4864">
        <v>713411121</v>
      </c>
      <c r="D182" s="4864" t="s">
        <v>6636</v>
      </c>
      <c r="E182" s="4864" t="s">
        <v>163</v>
      </c>
      <c r="F182" s="4865">
        <f>(1.3)*2.76</f>
        <v>3.5879999999999996</v>
      </c>
      <c r="G182" s="4873"/>
      <c r="H182" s="4866">
        <f t="shared" si="31"/>
        <v>0</v>
      </c>
      <c r="I182" s="4697" t="s">
        <v>137</v>
      </c>
      <c r="J182" s="4908"/>
      <c r="K182" s="4909"/>
      <c r="L182" s="1791"/>
      <c r="M182" s="1791"/>
      <c r="P182" s="4911"/>
      <c r="Q182" s="4917"/>
      <c r="R182" s="4918"/>
      <c r="T182" s="4907"/>
      <c r="U182" s="4913"/>
      <c r="W182" s="4914"/>
      <c r="X182" s="4915"/>
      <c r="Y182" s="4916"/>
      <c r="Z182" s="1785"/>
      <c r="AA182" s="1785"/>
      <c r="AB182" s="1785"/>
      <c r="AC182" s="1785"/>
      <c r="AD182" s="1785"/>
    </row>
    <row r="183" spans="1:30" s="251" customFormat="1" ht="27" customHeight="1">
      <c r="A183" s="4862" t="s">
        <v>6637</v>
      </c>
      <c r="B183" s="4863"/>
      <c r="C183" s="4867" t="s">
        <v>6571</v>
      </c>
      <c r="D183" s="4867" t="s">
        <v>6638</v>
      </c>
      <c r="E183" s="4867" t="s">
        <v>163</v>
      </c>
      <c r="F183" s="4868">
        <f>((1.3)*2.76)*1.1</f>
        <v>3.9468000000000001</v>
      </c>
      <c r="G183" s="4874"/>
      <c r="H183" s="4869">
        <f t="shared" si="31"/>
        <v>0</v>
      </c>
      <c r="I183" s="4870" t="s">
        <v>112</v>
      </c>
      <c r="J183" s="4908"/>
      <c r="K183" s="4909"/>
      <c r="T183" s="4907"/>
      <c r="AA183" s="1785"/>
      <c r="AB183" s="1785"/>
      <c r="AC183" s="1785"/>
      <c r="AD183" s="1785"/>
    </row>
    <row r="184" spans="1:30" ht="13.5" customHeight="1">
      <c r="A184" s="2408"/>
      <c r="B184" s="2346"/>
      <c r="C184" s="2346"/>
      <c r="D184" s="2400" t="s">
        <v>3351</v>
      </c>
      <c r="E184" s="2346"/>
      <c r="F184" s="2409">
        <v>1.3</v>
      </c>
      <c r="G184" s="2387"/>
      <c r="H184" s="2387"/>
      <c r="I184" s="2352"/>
      <c r="J184" s="4919"/>
      <c r="K184" s="4920"/>
      <c r="L184" s="4920"/>
      <c r="M184" s="4920"/>
      <c r="N184" s="4920"/>
      <c r="O184" s="4921"/>
      <c r="P184" s="4921"/>
      <c r="Q184" s="4921"/>
      <c r="R184" s="4921"/>
      <c r="S184" s="4921"/>
      <c r="T184" s="4921"/>
      <c r="U184" s="4921"/>
      <c r="V184" s="122"/>
      <c r="W184" s="4921"/>
      <c r="X184" s="1975"/>
      <c r="Y184" s="1975"/>
      <c r="Z184" s="1951"/>
    </row>
    <row r="185" spans="1:30" s="2399" customFormat="1" ht="27" customHeight="1">
      <c r="A185" s="2402"/>
      <c r="B185" s="2403"/>
      <c r="C185" s="2410"/>
      <c r="D185" s="2400" t="s">
        <v>1994</v>
      </c>
      <c r="E185" s="2346"/>
      <c r="F185" s="2405"/>
      <c r="G185" s="4861"/>
      <c r="H185" s="2406"/>
      <c r="I185" s="2411"/>
      <c r="T185" s="4899"/>
      <c r="U185" s="4905"/>
      <c r="V185" s="4906"/>
      <c r="W185" s="4906"/>
      <c r="X185" s="4900"/>
      <c r="Y185" s="251"/>
    </row>
    <row r="186" spans="1:30" s="2399" customFormat="1" ht="13.5" customHeight="1">
      <c r="A186" s="4857">
        <v>30</v>
      </c>
      <c r="B186" s="2346">
        <v>751</v>
      </c>
      <c r="C186" s="2346" t="s">
        <v>3352</v>
      </c>
      <c r="D186" s="2346" t="s">
        <v>3353</v>
      </c>
      <c r="E186" s="2346" t="s">
        <v>141</v>
      </c>
      <c r="F186" s="4859">
        <f>F193</f>
        <v>11</v>
      </c>
      <c r="G186" s="1641">
        <f>ROUND(SUM(H189:H192)/F186,2)</f>
        <v>0</v>
      </c>
      <c r="H186" s="2231">
        <f t="shared" ref="H186" si="32">ROUND(F186*G186,2)</f>
        <v>0</v>
      </c>
      <c r="I186" s="2352" t="s">
        <v>111</v>
      </c>
      <c r="J186" s="4897"/>
    </row>
    <row r="187" spans="1:30" s="2399" customFormat="1" ht="13.5" customHeight="1">
      <c r="A187" s="2398"/>
      <c r="B187" s="2346"/>
      <c r="C187" s="2346"/>
      <c r="D187" s="2400" t="s">
        <v>3354</v>
      </c>
      <c r="E187" s="2346"/>
      <c r="F187" s="2281"/>
      <c r="G187" s="4860"/>
      <c r="H187" s="2401"/>
      <c r="I187" s="2352"/>
      <c r="J187" s="4898"/>
      <c r="K187" s="147"/>
      <c r="L187" s="147"/>
      <c r="M187" s="4899"/>
      <c r="N187" s="4899"/>
      <c r="O187" s="4899"/>
      <c r="P187" s="4900"/>
      <c r="S187" s="4901"/>
    </row>
    <row r="188" spans="1:30" s="2399" customFormat="1" ht="27" customHeight="1">
      <c r="A188" s="2402"/>
      <c r="B188" s="2403"/>
      <c r="C188" s="2404"/>
      <c r="D188" s="2400" t="s">
        <v>3311</v>
      </c>
      <c r="E188" s="2346"/>
      <c r="F188" s="2405"/>
      <c r="G188" s="4861"/>
      <c r="H188" s="2406"/>
      <c r="I188" s="2407"/>
      <c r="J188" s="4898"/>
      <c r="K188" s="147"/>
      <c r="L188" s="1791"/>
      <c r="M188" s="1791"/>
      <c r="N188" s="251"/>
      <c r="O188" s="251"/>
      <c r="P188" s="4900"/>
      <c r="Q188" s="4903"/>
      <c r="R188" s="4904"/>
      <c r="S188" s="4901"/>
      <c r="T188" s="4899"/>
      <c r="U188" s="4905"/>
      <c r="V188" s="4906"/>
      <c r="W188" s="4906"/>
      <c r="X188" s="4900"/>
      <c r="Y188" s="251"/>
    </row>
    <row r="189" spans="1:30" s="251" customFormat="1" ht="27" customHeight="1">
      <c r="A189" s="4862" t="s">
        <v>5555</v>
      </c>
      <c r="B189" s="4863"/>
      <c r="C189" s="4864" t="s">
        <v>6625</v>
      </c>
      <c r="D189" s="4864" t="s">
        <v>6639</v>
      </c>
      <c r="E189" s="4864" t="s">
        <v>141</v>
      </c>
      <c r="F189" s="4865">
        <f>F186</f>
        <v>11</v>
      </c>
      <c r="G189" s="4873"/>
      <c r="H189" s="4866">
        <f t="shared" ref="H189:H192" si="33">ROUND(F189*G189,2)</f>
        <v>0</v>
      </c>
      <c r="I189" s="4697" t="s">
        <v>112</v>
      </c>
      <c r="J189" s="4908"/>
      <c r="K189" s="4909"/>
      <c r="L189" s="4909"/>
      <c r="M189" s="4910"/>
      <c r="N189" s="4910"/>
      <c r="O189" s="4910"/>
      <c r="P189" s="4911"/>
      <c r="Q189" s="4912"/>
      <c r="R189" s="4912"/>
      <c r="T189" s="4907"/>
      <c r="U189" s="4913"/>
      <c r="W189" s="4914"/>
      <c r="X189" s="4915"/>
      <c r="Y189" s="4916"/>
      <c r="Z189" s="1785"/>
      <c r="AA189" s="1785"/>
      <c r="AB189" s="1785"/>
      <c r="AC189" s="1785"/>
      <c r="AD189" s="1785"/>
    </row>
    <row r="190" spans="1:30" s="251" customFormat="1" ht="27" customHeight="1">
      <c r="A190" s="4862" t="s">
        <v>5558</v>
      </c>
      <c r="B190" s="4863"/>
      <c r="C190" s="4864" t="s">
        <v>6627</v>
      </c>
      <c r="D190" s="4864" t="s">
        <v>6640</v>
      </c>
      <c r="E190" s="4864" t="s">
        <v>141</v>
      </c>
      <c r="F190" s="4865">
        <f>(11)*1.05</f>
        <v>11.55</v>
      </c>
      <c r="G190" s="4873"/>
      <c r="H190" s="4866">
        <f t="shared" si="33"/>
        <v>0</v>
      </c>
      <c r="I190" s="4697" t="s">
        <v>112</v>
      </c>
      <c r="J190" s="4908"/>
      <c r="K190" s="4909"/>
      <c r="L190" s="1785"/>
      <c r="M190" s="1785"/>
      <c r="N190" s="1785"/>
      <c r="O190" s="1785"/>
      <c r="P190" s="1785"/>
      <c r="Q190" s="1785"/>
      <c r="R190" s="2091"/>
      <c r="T190" s="4907"/>
      <c r="U190" s="4913"/>
      <c r="W190" s="4914"/>
      <c r="X190" s="4915"/>
      <c r="Y190" s="4916"/>
      <c r="Z190" s="1785"/>
      <c r="AA190" s="1785"/>
      <c r="AB190" s="1785"/>
      <c r="AC190" s="1785"/>
      <c r="AD190" s="1785"/>
    </row>
    <row r="191" spans="1:30" s="251" customFormat="1" ht="27" customHeight="1">
      <c r="A191" s="4862" t="s">
        <v>5562</v>
      </c>
      <c r="B191" s="4863"/>
      <c r="C191" s="4864">
        <v>713411121</v>
      </c>
      <c r="D191" s="4864" t="s">
        <v>6641</v>
      </c>
      <c r="E191" s="4864" t="s">
        <v>163</v>
      </c>
      <c r="F191" s="4865">
        <f>(11)*1.82</f>
        <v>20.02</v>
      </c>
      <c r="G191" s="4873"/>
      <c r="H191" s="4866">
        <f t="shared" si="33"/>
        <v>0</v>
      </c>
      <c r="I191" s="4697" t="s">
        <v>137</v>
      </c>
      <c r="J191" s="4908"/>
      <c r="K191" s="4909"/>
      <c r="L191" s="1791"/>
      <c r="M191" s="1791"/>
      <c r="P191" s="4911"/>
      <c r="Q191" s="4917"/>
      <c r="R191" s="4918"/>
      <c r="T191" s="4907"/>
      <c r="U191" s="4913"/>
      <c r="W191" s="4914"/>
      <c r="X191" s="4915"/>
      <c r="Y191" s="4916"/>
      <c r="Z191" s="1785"/>
      <c r="AA191" s="1785"/>
      <c r="AB191" s="1785"/>
      <c r="AC191" s="1785"/>
      <c r="AD191" s="1785"/>
    </row>
    <row r="192" spans="1:30" s="251" customFormat="1" ht="27" customHeight="1">
      <c r="A192" s="4862" t="s">
        <v>6642</v>
      </c>
      <c r="B192" s="4863"/>
      <c r="C192" s="4867" t="s">
        <v>6571</v>
      </c>
      <c r="D192" s="4867" t="s">
        <v>6643</v>
      </c>
      <c r="E192" s="4867" t="s">
        <v>163</v>
      </c>
      <c r="F192" s="4868">
        <f xml:space="preserve"> ((11)*1.82)*1.1</f>
        <v>22.022000000000002</v>
      </c>
      <c r="G192" s="4874"/>
      <c r="H192" s="4869">
        <f t="shared" si="33"/>
        <v>0</v>
      </c>
      <c r="I192" s="4870" t="s">
        <v>112</v>
      </c>
      <c r="J192" s="4908"/>
      <c r="K192" s="4909"/>
      <c r="T192" s="4907"/>
      <c r="AA192" s="1785"/>
      <c r="AB192" s="1785"/>
      <c r="AC192" s="1785"/>
      <c r="AD192" s="1785"/>
    </row>
    <row r="193" spans="1:30" ht="13.5" customHeight="1">
      <c r="A193" s="2408"/>
      <c r="B193" s="2346"/>
      <c r="C193" s="2346"/>
      <c r="D193" s="2400" t="s">
        <v>3355</v>
      </c>
      <c r="E193" s="2346"/>
      <c r="F193" s="2409">
        <v>11</v>
      </c>
      <c r="G193" s="2387"/>
      <c r="H193" s="2387"/>
      <c r="I193" s="2352"/>
      <c r="J193" s="4919"/>
      <c r="K193" s="4920"/>
      <c r="L193" s="4920"/>
      <c r="M193" s="4920"/>
      <c r="N193" s="4920"/>
      <c r="O193" s="4921"/>
      <c r="P193" s="4921"/>
      <c r="Q193" s="4921"/>
      <c r="R193" s="4921"/>
      <c r="S193" s="4921"/>
      <c r="T193" s="4921"/>
      <c r="U193" s="4921"/>
      <c r="V193" s="122"/>
      <c r="W193" s="4921"/>
      <c r="X193" s="1975"/>
      <c r="Y193" s="1975"/>
      <c r="Z193" s="1951"/>
    </row>
    <row r="194" spans="1:30" s="2399" customFormat="1" ht="27" customHeight="1">
      <c r="A194" s="2402"/>
      <c r="B194" s="2403"/>
      <c r="C194" s="2410"/>
      <c r="D194" s="2400" t="s">
        <v>1994</v>
      </c>
      <c r="E194" s="2346"/>
      <c r="F194" s="2405"/>
      <c r="G194" s="4861"/>
      <c r="H194" s="2406"/>
      <c r="I194" s="2411"/>
      <c r="T194" s="4899"/>
      <c r="U194" s="4905"/>
      <c r="V194" s="4906"/>
      <c r="W194" s="4906"/>
      <c r="X194" s="4900"/>
      <c r="Y194" s="251"/>
    </row>
    <row r="195" spans="1:30" s="2399" customFormat="1" ht="27" customHeight="1">
      <c r="A195" s="4857">
        <v>31</v>
      </c>
      <c r="B195" s="2346">
        <v>751</v>
      </c>
      <c r="C195" s="2346" t="s">
        <v>3356</v>
      </c>
      <c r="D195" s="2346" t="s">
        <v>3357</v>
      </c>
      <c r="E195" s="2346" t="s">
        <v>141</v>
      </c>
      <c r="F195" s="4859">
        <f>F202</f>
        <v>11.1</v>
      </c>
      <c r="G195" s="1641">
        <f>ROUND(SUM(H198:H201)/F195,2)</f>
        <v>0</v>
      </c>
      <c r="H195" s="2231">
        <f t="shared" ref="H195" si="34">ROUND(F195*G195,2)</f>
        <v>0</v>
      </c>
      <c r="I195" s="2352" t="s">
        <v>111</v>
      </c>
      <c r="J195" s="4923"/>
    </row>
    <row r="196" spans="1:30" s="2399" customFormat="1" ht="13.5" customHeight="1">
      <c r="A196" s="2398"/>
      <c r="B196" s="2346"/>
      <c r="C196" s="2346"/>
      <c r="D196" s="2400" t="s">
        <v>3358</v>
      </c>
      <c r="E196" s="2346"/>
      <c r="F196" s="2281"/>
      <c r="G196" s="4860"/>
      <c r="H196" s="2401"/>
      <c r="I196" s="2352"/>
      <c r="J196" s="4898"/>
      <c r="K196" s="147"/>
      <c r="L196" s="147"/>
      <c r="M196" s="4899"/>
      <c r="N196" s="4899"/>
      <c r="O196" s="4899"/>
      <c r="P196" s="4900"/>
      <c r="S196" s="4901"/>
    </row>
    <row r="197" spans="1:30" s="2399" customFormat="1" ht="27" customHeight="1">
      <c r="A197" s="2402"/>
      <c r="B197" s="2403"/>
      <c r="C197" s="2404"/>
      <c r="D197" s="2400" t="s">
        <v>3311</v>
      </c>
      <c r="E197" s="2346"/>
      <c r="F197" s="2405"/>
      <c r="G197" s="4861"/>
      <c r="H197" s="2406"/>
      <c r="I197" s="2407"/>
      <c r="J197" s="4898"/>
      <c r="K197" s="147"/>
      <c r="L197" s="1791"/>
      <c r="M197" s="1791"/>
      <c r="N197" s="251"/>
      <c r="O197" s="251"/>
      <c r="P197" s="4900"/>
      <c r="Q197" s="4903"/>
      <c r="R197" s="4904"/>
      <c r="S197" s="4901"/>
      <c r="T197" s="4899"/>
      <c r="U197" s="4905"/>
      <c r="V197" s="4906"/>
      <c r="W197" s="4906"/>
      <c r="X197" s="4900"/>
      <c r="Y197" s="251"/>
    </row>
    <row r="198" spans="1:30" s="251" customFormat="1" ht="27" customHeight="1">
      <c r="A198" s="4862" t="s">
        <v>5568</v>
      </c>
      <c r="B198" s="4863"/>
      <c r="C198" s="4864" t="s">
        <v>6566</v>
      </c>
      <c r="D198" s="4864" t="s">
        <v>6644</v>
      </c>
      <c r="E198" s="4864" t="s">
        <v>141</v>
      </c>
      <c r="F198" s="4865">
        <f>F195</f>
        <v>11.1</v>
      </c>
      <c r="G198" s="4873"/>
      <c r="H198" s="4866">
        <f t="shared" ref="H198:H201" si="35">ROUND(F198*G198,2)</f>
        <v>0</v>
      </c>
      <c r="I198" s="4697" t="s">
        <v>112</v>
      </c>
      <c r="J198" s="4907"/>
      <c r="K198" s="4908"/>
      <c r="L198" s="4909"/>
      <c r="M198" s="4910"/>
      <c r="N198" s="4910"/>
      <c r="O198" s="4910"/>
      <c r="P198" s="4911"/>
      <c r="Q198" s="4912"/>
      <c r="R198" s="4912"/>
      <c r="S198" s="4907"/>
      <c r="T198" s="593"/>
      <c r="U198" s="4913"/>
      <c r="W198" s="4914"/>
      <c r="X198" s="4915"/>
      <c r="Y198" s="4916"/>
      <c r="Z198" s="1785"/>
      <c r="AA198" s="1785"/>
      <c r="AB198" s="1785"/>
      <c r="AC198" s="1785"/>
      <c r="AD198" s="1785"/>
    </row>
    <row r="199" spans="1:30" s="251" customFormat="1" ht="27" customHeight="1">
      <c r="A199" s="4862" t="s">
        <v>5571</v>
      </c>
      <c r="B199" s="4863"/>
      <c r="C199" s="4864" t="s">
        <v>6568</v>
      </c>
      <c r="D199" s="4864" t="s">
        <v>6645</v>
      </c>
      <c r="E199" s="4864" t="s">
        <v>141</v>
      </c>
      <c r="F199" s="4865">
        <f xml:space="preserve"> (11.1)*1.05</f>
        <v>11.654999999999999</v>
      </c>
      <c r="G199" s="4873"/>
      <c r="H199" s="4866">
        <f t="shared" si="35"/>
        <v>0</v>
      </c>
      <c r="I199" s="4697" t="s">
        <v>112</v>
      </c>
      <c r="J199" s="4924"/>
      <c r="K199" s="4925"/>
      <c r="L199" s="4925"/>
      <c r="M199" s="1785"/>
      <c r="N199" s="4908"/>
      <c r="O199" s="1785"/>
      <c r="P199" s="1785"/>
      <c r="Q199" s="1785"/>
      <c r="R199" s="2091"/>
      <c r="S199" s="4907"/>
      <c r="T199" s="593"/>
      <c r="U199" s="4913"/>
      <c r="W199" s="4914"/>
      <c r="X199" s="4915"/>
      <c r="Y199" s="4916"/>
      <c r="Z199" s="1785"/>
      <c r="AA199" s="1785"/>
      <c r="AB199" s="1785"/>
      <c r="AC199" s="1785"/>
      <c r="AD199" s="1785"/>
    </row>
    <row r="200" spans="1:30" s="251" customFormat="1" ht="27" customHeight="1">
      <c r="A200" s="4862" t="s">
        <v>5574</v>
      </c>
      <c r="B200" s="4863"/>
      <c r="C200" s="4864">
        <v>713411121</v>
      </c>
      <c r="D200" s="4864" t="s">
        <v>6646</v>
      </c>
      <c r="E200" s="4864" t="s">
        <v>163</v>
      </c>
      <c r="F200" s="4865">
        <f>(11.1)*0.566</f>
        <v>6.2825999999999995</v>
      </c>
      <c r="G200" s="4873"/>
      <c r="H200" s="4866">
        <f t="shared" si="35"/>
        <v>0</v>
      </c>
      <c r="I200" s="4697" t="s">
        <v>137</v>
      </c>
      <c r="J200" s="4907"/>
      <c r="K200" s="4908"/>
      <c r="L200" s="4909"/>
      <c r="M200" s="1791"/>
      <c r="P200" s="4911"/>
      <c r="Q200" s="4917"/>
      <c r="R200" s="4918"/>
      <c r="S200" s="4907"/>
      <c r="T200" s="4907"/>
      <c r="U200" s="4913"/>
      <c r="W200" s="4914"/>
      <c r="X200" s="4915"/>
      <c r="Y200" s="4916"/>
      <c r="Z200" s="1785"/>
      <c r="AA200" s="1785"/>
      <c r="AB200" s="1785"/>
      <c r="AC200" s="1785"/>
      <c r="AD200" s="1785"/>
    </row>
    <row r="201" spans="1:30" s="251" customFormat="1" ht="27" customHeight="1">
      <c r="A201" s="4862" t="s">
        <v>6647</v>
      </c>
      <c r="B201" s="4863"/>
      <c r="C201" s="4867" t="s">
        <v>6571</v>
      </c>
      <c r="D201" s="4867" t="s">
        <v>6648</v>
      </c>
      <c r="E201" s="4867" t="s">
        <v>163</v>
      </c>
      <c r="F201" s="4868">
        <f>((11.1)*0.566)*1.1</f>
        <v>6.9108600000000004</v>
      </c>
      <c r="G201" s="4874"/>
      <c r="H201" s="4869">
        <f t="shared" si="35"/>
        <v>0</v>
      </c>
      <c r="I201" s="4870" t="s">
        <v>112</v>
      </c>
      <c r="J201" s="4907"/>
      <c r="K201" s="4908"/>
      <c r="L201" s="4909"/>
      <c r="S201" s="4907"/>
      <c r="AA201" s="1785"/>
      <c r="AB201" s="1785"/>
      <c r="AC201" s="1785"/>
      <c r="AD201" s="1785"/>
    </row>
    <row r="202" spans="1:30" ht="13.5" customHeight="1">
      <c r="A202" s="2408"/>
      <c r="B202" s="2346"/>
      <c r="C202" s="2346"/>
      <c r="D202" s="2400" t="s">
        <v>3359</v>
      </c>
      <c r="E202" s="2346"/>
      <c r="F202" s="2409">
        <f>(9.5+1.6)</f>
        <v>11.1</v>
      </c>
      <c r="G202" s="2387"/>
      <c r="H202" s="2387"/>
      <c r="I202" s="2352"/>
      <c r="J202" s="4919"/>
      <c r="K202" s="4920"/>
      <c r="L202" s="4920"/>
      <c r="M202" s="4920"/>
      <c r="N202" s="4920"/>
      <c r="O202" s="4921"/>
      <c r="P202" s="4921"/>
      <c r="Q202" s="4921"/>
      <c r="R202" s="4921"/>
      <c r="S202" s="4921"/>
      <c r="T202" s="4921"/>
      <c r="U202" s="4921"/>
      <c r="V202" s="122"/>
      <c r="W202" s="4921"/>
      <c r="X202" s="1975"/>
      <c r="Y202" s="1975"/>
      <c r="Z202" s="1951"/>
    </row>
    <row r="203" spans="1:30" s="2399" customFormat="1" ht="27" customHeight="1">
      <c r="A203" s="2402"/>
      <c r="B203" s="2403"/>
      <c r="C203" s="2410"/>
      <c r="D203" s="2400" t="s">
        <v>1994</v>
      </c>
      <c r="E203" s="2346"/>
      <c r="F203" s="2405"/>
      <c r="G203" s="4861"/>
      <c r="H203" s="2406"/>
      <c r="I203" s="2411"/>
      <c r="T203" s="4899"/>
      <c r="U203" s="4905"/>
      <c r="V203" s="4906"/>
      <c r="W203" s="4906"/>
      <c r="X203" s="4900"/>
      <c r="Y203" s="251"/>
    </row>
    <row r="204" spans="1:30" s="2399" customFormat="1" ht="13.5" customHeight="1">
      <c r="A204" s="4849"/>
      <c r="B204" s="4850"/>
      <c r="C204" s="4851"/>
      <c r="D204" s="4856" t="s">
        <v>6565</v>
      </c>
      <c r="E204" s="4852"/>
      <c r="F204" s="4853"/>
      <c r="G204" s="4871"/>
      <c r="H204" s="4854"/>
      <c r="I204" s="4855"/>
      <c r="T204" s="4899"/>
      <c r="U204" s="4905"/>
      <c r="V204" s="4906"/>
      <c r="W204" s="4906"/>
      <c r="X204" s="4900"/>
      <c r="Y204" s="251"/>
    </row>
    <row r="205" spans="1:30" s="2399" customFormat="1" ht="27" customHeight="1">
      <c r="A205" s="4857">
        <v>32</v>
      </c>
      <c r="B205" s="2346">
        <v>751</v>
      </c>
      <c r="C205" s="2346" t="s">
        <v>3360</v>
      </c>
      <c r="D205" s="2346" t="s">
        <v>3361</v>
      </c>
      <c r="E205" s="2346" t="s">
        <v>141</v>
      </c>
      <c r="F205" s="4859">
        <f>F212</f>
        <v>4.5</v>
      </c>
      <c r="G205" s="1641">
        <f>ROUND(SUM(H208:H211)/F205,2)</f>
        <v>0</v>
      </c>
      <c r="H205" s="2231">
        <f t="shared" ref="H205" si="36">ROUND(F205*G205,2)</f>
        <v>0</v>
      </c>
      <c r="I205" s="2352" t="s">
        <v>111</v>
      </c>
      <c r="J205" s="4897"/>
    </row>
    <row r="206" spans="1:30" s="2399" customFormat="1" ht="13.5" customHeight="1">
      <c r="A206" s="2398"/>
      <c r="B206" s="2346"/>
      <c r="C206" s="2346"/>
      <c r="D206" s="2400" t="s">
        <v>3362</v>
      </c>
      <c r="E206" s="2346"/>
      <c r="F206" s="2281"/>
      <c r="G206" s="4860"/>
      <c r="H206" s="2401"/>
      <c r="I206" s="2352"/>
      <c r="J206" s="4898"/>
      <c r="K206" s="147"/>
      <c r="L206" s="147"/>
      <c r="M206" s="4899"/>
      <c r="N206" s="4899"/>
      <c r="O206" s="4899"/>
      <c r="P206" s="4900"/>
      <c r="S206" s="4901"/>
    </row>
    <row r="207" spans="1:30" s="2399" customFormat="1" ht="27" customHeight="1">
      <c r="A207" s="2402"/>
      <c r="B207" s="2403"/>
      <c r="C207" s="2404"/>
      <c r="D207" s="2400" t="s">
        <v>3311</v>
      </c>
      <c r="E207" s="2346"/>
      <c r="F207" s="2405"/>
      <c r="G207" s="4861"/>
      <c r="H207" s="2406"/>
      <c r="I207" s="2407"/>
      <c r="J207" s="4898"/>
      <c r="K207" s="147"/>
      <c r="L207" s="1791"/>
      <c r="M207" s="1791"/>
      <c r="N207" s="251"/>
      <c r="O207" s="251"/>
      <c r="P207" s="4900"/>
      <c r="Q207" s="4903"/>
      <c r="R207" s="4904"/>
      <c r="S207" s="4901"/>
      <c r="T207" s="4899"/>
      <c r="U207" s="4905"/>
      <c r="V207" s="4906"/>
      <c r="W207" s="4906"/>
      <c r="X207" s="4900"/>
      <c r="Y207" s="251"/>
    </row>
    <row r="208" spans="1:30" s="251" customFormat="1" ht="27" customHeight="1">
      <c r="A208" s="4862" t="s">
        <v>5579</v>
      </c>
      <c r="B208" s="4863"/>
      <c r="C208" s="4864" t="s">
        <v>6573</v>
      </c>
      <c r="D208" s="4864" t="s">
        <v>6649</v>
      </c>
      <c r="E208" s="4864" t="s">
        <v>141</v>
      </c>
      <c r="F208" s="4865">
        <f>F205</f>
        <v>4.5</v>
      </c>
      <c r="G208" s="4873"/>
      <c r="H208" s="4866">
        <f t="shared" ref="H208:H211" si="37">ROUND(F208*G208,2)</f>
        <v>0</v>
      </c>
      <c r="I208" s="4697" t="s">
        <v>112</v>
      </c>
      <c r="J208" s="4908"/>
      <c r="K208" s="4909"/>
      <c r="L208" s="4909"/>
      <c r="M208" s="4910"/>
      <c r="N208" s="4910"/>
      <c r="O208" s="4910"/>
      <c r="P208" s="4911"/>
      <c r="Q208" s="4912"/>
      <c r="R208" s="4912"/>
      <c r="T208" s="4907"/>
      <c r="U208" s="4913"/>
      <c r="W208" s="4914"/>
      <c r="X208" s="4915"/>
      <c r="Y208" s="4916"/>
      <c r="Z208" s="1785"/>
      <c r="AA208" s="1785"/>
      <c r="AB208" s="1785"/>
      <c r="AC208" s="1785"/>
      <c r="AD208" s="1785"/>
    </row>
    <row r="209" spans="1:30" s="251" customFormat="1" ht="27" customHeight="1">
      <c r="A209" s="4862" t="s">
        <v>5582</v>
      </c>
      <c r="B209" s="4863"/>
      <c r="C209" s="4864" t="s">
        <v>6575</v>
      </c>
      <c r="D209" s="4864" t="s">
        <v>6650</v>
      </c>
      <c r="E209" s="4864" t="s">
        <v>141</v>
      </c>
      <c r="F209" s="4865">
        <f>(4.5)*1.05</f>
        <v>4.7250000000000005</v>
      </c>
      <c r="G209" s="4873"/>
      <c r="H209" s="4866">
        <f t="shared" si="37"/>
        <v>0</v>
      </c>
      <c r="I209" s="4697" t="s">
        <v>112</v>
      </c>
      <c r="J209" s="4924"/>
      <c r="K209" s="4925"/>
      <c r="L209" s="4925"/>
      <c r="M209" s="1785"/>
      <c r="N209" s="4908"/>
      <c r="O209" s="1785"/>
      <c r="P209" s="1785"/>
      <c r="Q209" s="1785"/>
      <c r="R209" s="2091"/>
      <c r="T209" s="4907"/>
      <c r="U209" s="4913"/>
      <c r="W209" s="4914"/>
      <c r="X209" s="4915"/>
      <c r="Y209" s="4916"/>
      <c r="Z209" s="1785"/>
      <c r="AA209" s="1785"/>
      <c r="AB209" s="1785"/>
      <c r="AC209" s="1785"/>
      <c r="AD209" s="1785"/>
    </row>
    <row r="210" spans="1:30" s="251" customFormat="1" ht="27" customHeight="1">
      <c r="A210" s="4862" t="s">
        <v>5972</v>
      </c>
      <c r="B210" s="4863"/>
      <c r="C210" s="4864">
        <v>713411121</v>
      </c>
      <c r="D210" s="4864" t="s">
        <v>6651</v>
      </c>
      <c r="E210" s="4864" t="s">
        <v>163</v>
      </c>
      <c r="F210" s="4865">
        <f>(4.5)*0.645</f>
        <v>2.9024999999999999</v>
      </c>
      <c r="G210" s="4873"/>
      <c r="H210" s="4866">
        <f t="shared" si="37"/>
        <v>0</v>
      </c>
      <c r="I210" s="4697" t="s">
        <v>137</v>
      </c>
      <c r="J210" s="4908"/>
      <c r="K210" s="4909"/>
      <c r="L210" s="1791"/>
      <c r="M210" s="1791"/>
      <c r="P210" s="4911"/>
      <c r="Q210" s="4917"/>
      <c r="R210" s="4918"/>
      <c r="T210" s="4907"/>
      <c r="U210" s="4913"/>
      <c r="W210" s="4914"/>
      <c r="X210" s="4915"/>
      <c r="Y210" s="4916"/>
      <c r="Z210" s="1785"/>
      <c r="AA210" s="1785"/>
      <c r="AB210" s="1785"/>
      <c r="AC210" s="1785"/>
      <c r="AD210" s="1785"/>
    </row>
    <row r="211" spans="1:30" s="251" customFormat="1" ht="27" customHeight="1">
      <c r="A211" s="4862" t="s">
        <v>5973</v>
      </c>
      <c r="B211" s="4863"/>
      <c r="C211" s="4867" t="s">
        <v>6571</v>
      </c>
      <c r="D211" s="4867" t="s">
        <v>6652</v>
      </c>
      <c r="E211" s="4867" t="s">
        <v>163</v>
      </c>
      <c r="F211" s="4868">
        <f xml:space="preserve"> ((4.5)*0.645)*1.1</f>
        <v>3.1927500000000002</v>
      </c>
      <c r="G211" s="4874"/>
      <c r="H211" s="4869">
        <f t="shared" si="37"/>
        <v>0</v>
      </c>
      <c r="I211" s="4870" t="s">
        <v>112</v>
      </c>
      <c r="J211" s="4908"/>
      <c r="K211" s="4909"/>
      <c r="T211" s="4907"/>
      <c r="AA211" s="1785"/>
      <c r="AB211" s="1785"/>
      <c r="AC211" s="1785"/>
      <c r="AD211" s="1785"/>
    </row>
    <row r="212" spans="1:30" ht="13.5" customHeight="1">
      <c r="A212" s="2408"/>
      <c r="B212" s="2346"/>
      <c r="C212" s="2346"/>
      <c r="D212" s="2400" t="s">
        <v>3363</v>
      </c>
      <c r="E212" s="2346"/>
      <c r="F212" s="2409">
        <f>(1.5+3)</f>
        <v>4.5</v>
      </c>
      <c r="G212" s="2387"/>
      <c r="H212" s="2387"/>
      <c r="I212" s="2352"/>
      <c r="J212" s="4919"/>
      <c r="K212" s="4920"/>
      <c r="L212" s="4920"/>
      <c r="M212" s="4920"/>
      <c r="N212" s="4920"/>
      <c r="O212" s="4921"/>
      <c r="P212" s="4921"/>
      <c r="Q212" s="4921"/>
      <c r="R212" s="4921"/>
      <c r="S212" s="4921"/>
      <c r="T212" s="4921"/>
      <c r="U212" s="4921"/>
      <c r="V212" s="122"/>
      <c r="W212" s="4921"/>
      <c r="X212" s="1975"/>
      <c r="Y212" s="1975"/>
      <c r="Z212" s="1951"/>
    </row>
    <row r="213" spans="1:30" s="2399" customFormat="1" ht="27" customHeight="1">
      <c r="A213" s="2402"/>
      <c r="B213" s="2403"/>
      <c r="C213" s="2410"/>
      <c r="D213" s="2400" t="s">
        <v>1994</v>
      </c>
      <c r="E213" s="2346"/>
      <c r="F213" s="2405"/>
      <c r="G213" s="4861"/>
      <c r="H213" s="2406"/>
      <c r="I213" s="2411"/>
      <c r="T213" s="4899"/>
      <c r="U213" s="4905"/>
      <c r="V213" s="4906"/>
      <c r="W213" s="4906"/>
      <c r="X213" s="4900"/>
      <c r="Y213" s="251"/>
    </row>
    <row r="214" spans="1:30" s="2399" customFormat="1" ht="13.5" customHeight="1">
      <c r="A214" s="4849"/>
      <c r="B214" s="4850"/>
      <c r="C214" s="4851"/>
      <c r="D214" s="4856" t="s">
        <v>6565</v>
      </c>
      <c r="E214" s="4852"/>
      <c r="F214" s="4853"/>
      <c r="G214" s="4871"/>
      <c r="H214" s="4854"/>
      <c r="I214" s="4855"/>
      <c r="T214" s="4899"/>
      <c r="U214" s="4905"/>
      <c r="V214" s="4906"/>
      <c r="W214" s="4906"/>
      <c r="X214" s="4900"/>
      <c r="Y214" s="251"/>
    </row>
    <row r="215" spans="1:30" s="2399" customFormat="1" ht="27" customHeight="1">
      <c r="A215" s="4857">
        <v>33</v>
      </c>
      <c r="B215" s="2346">
        <v>751</v>
      </c>
      <c r="C215" s="2346" t="s">
        <v>3364</v>
      </c>
      <c r="D215" s="2346" t="s">
        <v>3365</v>
      </c>
      <c r="E215" s="2346" t="s">
        <v>141</v>
      </c>
      <c r="F215" s="4859">
        <f>F222</f>
        <v>20.700000000000003</v>
      </c>
      <c r="G215" s="1641">
        <f>ROUND(SUM(H218:H221)/F215,2)</f>
        <v>0</v>
      </c>
      <c r="H215" s="2231">
        <f t="shared" ref="H215" si="38">ROUND(F215*G215,2)</f>
        <v>0</v>
      </c>
      <c r="I215" s="2352" t="s">
        <v>111</v>
      </c>
      <c r="J215" s="4897"/>
    </row>
    <row r="216" spans="1:30" s="2399" customFormat="1" ht="13.5" customHeight="1">
      <c r="A216" s="2398"/>
      <c r="B216" s="2346"/>
      <c r="C216" s="2346"/>
      <c r="D216" s="2400" t="s">
        <v>3366</v>
      </c>
      <c r="E216" s="2346"/>
      <c r="F216" s="2281"/>
      <c r="G216" s="4860"/>
      <c r="H216" s="2401"/>
      <c r="I216" s="2352"/>
      <c r="J216" s="4898"/>
      <c r="K216" s="147"/>
      <c r="L216" s="147"/>
      <c r="M216" s="4899"/>
      <c r="N216" s="4899"/>
      <c r="O216" s="4899"/>
      <c r="P216" s="4900"/>
      <c r="S216" s="4901"/>
    </row>
    <row r="217" spans="1:30" s="2399" customFormat="1" ht="27" customHeight="1">
      <c r="A217" s="2402"/>
      <c r="B217" s="2403"/>
      <c r="C217" s="2404"/>
      <c r="D217" s="2400" t="s">
        <v>3311</v>
      </c>
      <c r="E217" s="2346"/>
      <c r="F217" s="2405"/>
      <c r="G217" s="4861"/>
      <c r="H217" s="2406"/>
      <c r="I217" s="2407"/>
      <c r="J217" s="4898"/>
      <c r="K217" s="147"/>
      <c r="L217" s="1791"/>
      <c r="M217" s="1791"/>
      <c r="N217" s="251"/>
      <c r="O217" s="251"/>
      <c r="P217" s="4900"/>
      <c r="Q217" s="4903"/>
      <c r="R217" s="4904"/>
      <c r="S217" s="4901"/>
      <c r="T217" s="4899"/>
      <c r="U217" s="4905"/>
      <c r="V217" s="4906"/>
      <c r="W217" s="4906"/>
      <c r="X217" s="4900"/>
      <c r="Y217" s="251"/>
    </row>
    <row r="218" spans="1:30" s="251" customFormat="1" ht="27" customHeight="1">
      <c r="A218" s="4862" t="s">
        <v>5587</v>
      </c>
      <c r="B218" s="4863"/>
      <c r="C218" s="4864" t="s">
        <v>6573</v>
      </c>
      <c r="D218" s="4864" t="s">
        <v>6653</v>
      </c>
      <c r="E218" s="4864" t="s">
        <v>141</v>
      </c>
      <c r="F218" s="4865">
        <f>F215</f>
        <v>20.700000000000003</v>
      </c>
      <c r="G218" s="4873"/>
      <c r="H218" s="4866">
        <f t="shared" ref="H218:H221" si="39">ROUND(F218*G218,2)</f>
        <v>0</v>
      </c>
      <c r="I218" s="4697" t="s">
        <v>112</v>
      </c>
      <c r="J218" s="4908"/>
      <c r="K218" s="4909"/>
      <c r="L218" s="4909"/>
      <c r="M218" s="4910"/>
      <c r="N218" s="4910"/>
      <c r="O218" s="4910"/>
      <c r="P218" s="4911"/>
      <c r="Q218" s="4912"/>
      <c r="R218" s="4912"/>
      <c r="S218" s="4907"/>
      <c r="T218" s="593"/>
      <c r="U218" s="4913"/>
      <c r="W218" s="4914"/>
      <c r="X218" s="4915"/>
      <c r="Y218" s="4916"/>
      <c r="Z218" s="1785"/>
      <c r="AA218" s="1785"/>
      <c r="AB218" s="1785"/>
      <c r="AC218" s="1785"/>
      <c r="AD218" s="1785"/>
    </row>
    <row r="219" spans="1:30" s="251" customFormat="1" ht="27" customHeight="1">
      <c r="A219" s="4862" t="s">
        <v>5976</v>
      </c>
      <c r="B219" s="4863"/>
      <c r="C219" s="4864" t="s">
        <v>6575</v>
      </c>
      <c r="D219" s="4864" t="s">
        <v>6654</v>
      </c>
      <c r="E219" s="4864" t="s">
        <v>141</v>
      </c>
      <c r="F219" s="4865">
        <f>(20.7)*1.05</f>
        <v>21.734999999999999</v>
      </c>
      <c r="G219" s="4873"/>
      <c r="H219" s="4866">
        <f t="shared" si="39"/>
        <v>0</v>
      </c>
      <c r="I219" s="4697" t="s">
        <v>112</v>
      </c>
      <c r="J219" s="4924"/>
      <c r="K219" s="4925"/>
      <c r="L219" s="4925"/>
      <c r="M219" s="1785"/>
      <c r="N219" s="4908"/>
      <c r="O219" s="1785"/>
      <c r="P219" s="1785"/>
      <c r="Q219" s="1785"/>
      <c r="R219" s="2091"/>
      <c r="S219" s="4907"/>
      <c r="T219" s="593"/>
      <c r="U219" s="4913"/>
      <c r="W219" s="4914"/>
      <c r="X219" s="4915"/>
      <c r="Y219" s="4916"/>
      <c r="Z219" s="1785"/>
      <c r="AA219" s="1785"/>
      <c r="AB219" s="1785"/>
      <c r="AC219" s="1785"/>
      <c r="AD219" s="1785"/>
    </row>
    <row r="220" spans="1:30" s="251" customFormat="1" ht="27" customHeight="1">
      <c r="A220" s="4862" t="s">
        <v>5977</v>
      </c>
      <c r="B220" s="4863"/>
      <c r="C220" s="4864">
        <v>713411121</v>
      </c>
      <c r="D220" s="4864" t="s">
        <v>6655</v>
      </c>
      <c r="E220" s="4864" t="s">
        <v>163</v>
      </c>
      <c r="F220" s="4865">
        <f>(20.7)*0.754</f>
        <v>15.607799999999999</v>
      </c>
      <c r="G220" s="4873"/>
      <c r="H220" s="4866">
        <f t="shared" si="39"/>
        <v>0</v>
      </c>
      <c r="I220" s="4697" t="s">
        <v>137</v>
      </c>
      <c r="J220" s="4908"/>
      <c r="K220" s="4909"/>
      <c r="L220" s="1791"/>
      <c r="M220" s="1791"/>
      <c r="P220" s="4911"/>
      <c r="Q220" s="4917"/>
      <c r="R220" s="4918"/>
      <c r="S220" s="4907"/>
      <c r="T220" s="4907"/>
      <c r="U220" s="4913"/>
      <c r="W220" s="4914"/>
      <c r="X220" s="4915"/>
      <c r="Y220" s="4916"/>
      <c r="Z220" s="1785"/>
      <c r="AA220" s="1785"/>
      <c r="AB220" s="1785"/>
      <c r="AC220" s="1785"/>
      <c r="AD220" s="1785"/>
    </row>
    <row r="221" spans="1:30" s="251" customFormat="1" ht="27" customHeight="1">
      <c r="A221" s="4862" t="s">
        <v>6656</v>
      </c>
      <c r="B221" s="4863"/>
      <c r="C221" s="4867" t="s">
        <v>6571</v>
      </c>
      <c r="D221" s="4867" t="s">
        <v>6657</v>
      </c>
      <c r="E221" s="4867" t="s">
        <v>163</v>
      </c>
      <c r="F221" s="4868">
        <f>((20.7)*0.754)*1.1</f>
        <v>17.168580000000002</v>
      </c>
      <c r="G221" s="4874"/>
      <c r="H221" s="4869">
        <f t="shared" si="39"/>
        <v>0</v>
      </c>
      <c r="I221" s="4870" t="s">
        <v>112</v>
      </c>
      <c r="J221" s="4908"/>
      <c r="K221" s="4909"/>
      <c r="S221" s="4907"/>
      <c r="AA221" s="1785"/>
      <c r="AB221" s="1785"/>
      <c r="AC221" s="1785"/>
      <c r="AD221" s="1785"/>
    </row>
    <row r="222" spans="1:30" ht="13.5" customHeight="1">
      <c r="A222" s="2408"/>
      <c r="B222" s="2346"/>
      <c r="C222" s="2346"/>
      <c r="D222" s="2400" t="s">
        <v>3367</v>
      </c>
      <c r="E222" s="2346"/>
      <c r="F222" s="2409">
        <f>(7.9+12.8)</f>
        <v>20.700000000000003</v>
      </c>
      <c r="G222" s="2387"/>
      <c r="H222" s="2387"/>
      <c r="I222" s="2352"/>
      <c r="J222" s="4919"/>
      <c r="K222" s="4920"/>
      <c r="L222" s="4920"/>
      <c r="M222" s="4920"/>
      <c r="N222" s="4920"/>
      <c r="O222" s="4921"/>
      <c r="P222" s="4921"/>
      <c r="Q222" s="4921"/>
      <c r="R222" s="4921"/>
      <c r="S222" s="4921"/>
      <c r="T222" s="4921"/>
      <c r="U222" s="4921"/>
      <c r="V222" s="122"/>
      <c r="W222" s="4921"/>
      <c r="X222" s="1975"/>
      <c r="Y222" s="1975"/>
      <c r="Z222" s="1951"/>
    </row>
    <row r="223" spans="1:30" s="2399" customFormat="1" ht="27" customHeight="1">
      <c r="A223" s="2402"/>
      <c r="B223" s="2403"/>
      <c r="C223" s="2410"/>
      <c r="D223" s="2400" t="s">
        <v>1994</v>
      </c>
      <c r="E223" s="2346"/>
      <c r="F223" s="2405"/>
      <c r="G223" s="4861"/>
      <c r="H223" s="2406"/>
      <c r="I223" s="2411"/>
      <c r="T223" s="4899"/>
      <c r="U223" s="4905"/>
      <c r="V223" s="4906"/>
      <c r="W223" s="4906"/>
      <c r="X223" s="4900"/>
      <c r="Y223" s="251"/>
    </row>
    <row r="224" spans="1:30" s="2399" customFormat="1" ht="13.5" customHeight="1">
      <c r="A224" s="4849"/>
      <c r="B224" s="4850"/>
      <c r="C224" s="4851"/>
      <c r="D224" s="4856" t="s">
        <v>6565</v>
      </c>
      <c r="E224" s="4852"/>
      <c r="F224" s="4853"/>
      <c r="G224" s="4871"/>
      <c r="H224" s="4854"/>
      <c r="I224" s="4855"/>
      <c r="T224" s="4899"/>
      <c r="U224" s="4905"/>
      <c r="V224" s="4906"/>
      <c r="W224" s="4906"/>
      <c r="X224" s="4900"/>
      <c r="Y224" s="251"/>
    </row>
    <row r="225" spans="1:30" s="2399" customFormat="1" ht="27" customHeight="1">
      <c r="A225" s="4857">
        <v>34</v>
      </c>
      <c r="B225" s="2346">
        <v>751</v>
      </c>
      <c r="C225" s="2346" t="s">
        <v>3368</v>
      </c>
      <c r="D225" s="2346" t="s">
        <v>3369</v>
      </c>
      <c r="E225" s="2346" t="s">
        <v>141</v>
      </c>
      <c r="F225" s="4859">
        <f>F232</f>
        <v>31.6</v>
      </c>
      <c r="G225" s="1641">
        <f>ROUND(SUM(H228:H231)/F225,2)</f>
        <v>0</v>
      </c>
      <c r="H225" s="2231">
        <f t="shared" ref="H225" si="40">ROUND(F225*G225,2)</f>
        <v>0</v>
      </c>
      <c r="I225" s="2352" t="s">
        <v>111</v>
      </c>
      <c r="J225" s="4897"/>
    </row>
    <row r="226" spans="1:30" s="2399" customFormat="1" ht="13.5" customHeight="1">
      <c r="A226" s="2398"/>
      <c r="B226" s="2346"/>
      <c r="C226" s="2346"/>
      <c r="D226" s="2400" t="s">
        <v>3370</v>
      </c>
      <c r="E226" s="2346"/>
      <c r="F226" s="2281"/>
      <c r="G226" s="4860"/>
      <c r="H226" s="2401"/>
      <c r="I226" s="2352"/>
      <c r="J226" s="4898"/>
      <c r="K226" s="147"/>
      <c r="L226" s="147"/>
      <c r="M226" s="4899"/>
      <c r="N226" s="4899"/>
      <c r="O226" s="4899"/>
      <c r="P226" s="4900"/>
      <c r="S226" s="4901"/>
    </row>
    <row r="227" spans="1:30" s="2399" customFormat="1" ht="27" customHeight="1">
      <c r="A227" s="2402"/>
      <c r="B227" s="2403"/>
      <c r="C227" s="2404"/>
      <c r="D227" s="2400" t="s">
        <v>3311</v>
      </c>
      <c r="E227" s="2346"/>
      <c r="F227" s="2405"/>
      <c r="G227" s="4861"/>
      <c r="H227" s="2406"/>
      <c r="I227" s="2407"/>
      <c r="J227" s="4898"/>
      <c r="K227" s="147"/>
      <c r="L227" s="1791"/>
      <c r="M227" s="1791"/>
      <c r="N227" s="251"/>
      <c r="O227" s="251"/>
      <c r="P227" s="4900"/>
      <c r="Q227" s="4903"/>
      <c r="R227" s="4904"/>
      <c r="S227" s="4901"/>
      <c r="T227" s="4899"/>
      <c r="U227" s="4905"/>
      <c r="V227" s="4906"/>
      <c r="W227" s="4906"/>
      <c r="X227" s="4900"/>
      <c r="Y227" s="251"/>
    </row>
    <row r="228" spans="1:30" s="251" customFormat="1" ht="27" customHeight="1">
      <c r="A228" s="4862" t="s">
        <v>5592</v>
      </c>
      <c r="B228" s="4863"/>
      <c r="C228" s="4864" t="s">
        <v>6573</v>
      </c>
      <c r="D228" s="4864" t="s">
        <v>6658</v>
      </c>
      <c r="E228" s="4864" t="s">
        <v>141</v>
      </c>
      <c r="F228" s="4865">
        <f>F225</f>
        <v>31.6</v>
      </c>
      <c r="G228" s="4873"/>
      <c r="H228" s="4866">
        <f t="shared" ref="H228:H231" si="41">ROUND(F228*G228,2)</f>
        <v>0</v>
      </c>
      <c r="I228" s="4697" t="s">
        <v>112</v>
      </c>
      <c r="J228" s="4908"/>
      <c r="K228" s="4909"/>
      <c r="L228" s="4909"/>
      <c r="M228" s="4910"/>
      <c r="N228" s="4910"/>
      <c r="O228" s="4910"/>
      <c r="P228" s="4911"/>
      <c r="Q228" s="4912"/>
      <c r="R228" s="4912"/>
      <c r="S228" s="4907"/>
      <c r="T228" s="593"/>
      <c r="U228" s="4913"/>
      <c r="W228" s="4914"/>
      <c r="X228" s="4915"/>
      <c r="Y228" s="4916"/>
      <c r="Z228" s="1785"/>
      <c r="AA228" s="1785"/>
      <c r="AB228" s="1785"/>
      <c r="AC228" s="1785"/>
      <c r="AD228" s="1785"/>
    </row>
    <row r="229" spans="1:30" s="251" customFormat="1" ht="27" customHeight="1">
      <c r="A229" s="4862" t="s">
        <v>5980</v>
      </c>
      <c r="B229" s="4863"/>
      <c r="C229" s="4864" t="s">
        <v>6575</v>
      </c>
      <c r="D229" s="4864" t="s">
        <v>6659</v>
      </c>
      <c r="E229" s="4864" t="s">
        <v>141</v>
      </c>
      <c r="F229" s="4865">
        <f>(31.6)*1.05</f>
        <v>33.18</v>
      </c>
      <c r="G229" s="4873"/>
      <c r="H229" s="4866">
        <f t="shared" si="41"/>
        <v>0</v>
      </c>
      <c r="I229" s="4697" t="s">
        <v>112</v>
      </c>
      <c r="J229" s="4924"/>
      <c r="K229" s="4925"/>
      <c r="L229" s="4925"/>
      <c r="M229" s="1785"/>
      <c r="N229" s="4908"/>
      <c r="O229" s="1785"/>
      <c r="P229" s="1785"/>
      <c r="Q229" s="1785"/>
      <c r="R229" s="2091"/>
      <c r="S229" s="4907"/>
      <c r="T229" s="593"/>
      <c r="U229" s="4913"/>
      <c r="W229" s="4914"/>
      <c r="X229" s="4915"/>
      <c r="Y229" s="4916"/>
      <c r="Z229" s="1785"/>
      <c r="AA229" s="1785"/>
      <c r="AB229" s="1785"/>
      <c r="AC229" s="1785"/>
      <c r="AD229" s="1785"/>
    </row>
    <row r="230" spans="1:30" s="251" customFormat="1" ht="27" customHeight="1">
      <c r="A230" s="4862" t="s">
        <v>5981</v>
      </c>
      <c r="B230" s="4863"/>
      <c r="C230" s="4864">
        <v>713411121</v>
      </c>
      <c r="D230" s="4864" t="s">
        <v>6660</v>
      </c>
      <c r="E230" s="4864" t="s">
        <v>163</v>
      </c>
      <c r="F230" s="4865">
        <f>(31.6)*0.88</f>
        <v>27.808</v>
      </c>
      <c r="G230" s="4873"/>
      <c r="H230" s="4866">
        <f t="shared" si="41"/>
        <v>0</v>
      </c>
      <c r="I230" s="4697" t="s">
        <v>137</v>
      </c>
      <c r="J230" s="4908"/>
      <c r="K230" s="4909"/>
      <c r="L230" s="1791"/>
      <c r="M230" s="1791"/>
      <c r="P230" s="4911"/>
      <c r="Q230" s="4917"/>
      <c r="R230" s="4918"/>
      <c r="S230" s="4907"/>
      <c r="T230" s="4907"/>
      <c r="U230" s="4913"/>
      <c r="W230" s="4914"/>
      <c r="X230" s="4915"/>
      <c r="Y230" s="4916"/>
      <c r="Z230" s="1785"/>
      <c r="AA230" s="1785"/>
      <c r="AB230" s="1785"/>
      <c r="AC230" s="1785"/>
      <c r="AD230" s="1785"/>
    </row>
    <row r="231" spans="1:30" s="251" customFormat="1" ht="27" customHeight="1">
      <c r="A231" s="4862" t="s">
        <v>5982</v>
      </c>
      <c r="B231" s="4863"/>
      <c r="C231" s="4867" t="s">
        <v>6571</v>
      </c>
      <c r="D231" s="4867" t="s">
        <v>6661</v>
      </c>
      <c r="E231" s="4867" t="s">
        <v>163</v>
      </c>
      <c r="F231" s="4868">
        <f>((31.6)*0.88)*1.1</f>
        <v>30.588800000000003</v>
      </c>
      <c r="G231" s="4874"/>
      <c r="H231" s="4869">
        <f t="shared" si="41"/>
        <v>0</v>
      </c>
      <c r="I231" s="4870" t="s">
        <v>112</v>
      </c>
      <c r="J231" s="4908"/>
      <c r="K231" s="4909"/>
      <c r="S231" s="4907"/>
      <c r="AA231" s="1785"/>
      <c r="AB231" s="1785"/>
      <c r="AC231" s="1785"/>
      <c r="AD231" s="1785"/>
    </row>
    <row r="232" spans="1:30" ht="13.5" customHeight="1">
      <c r="A232" s="2408"/>
      <c r="B232" s="2346"/>
      <c r="C232" s="2346"/>
      <c r="D232" s="2400" t="s">
        <v>3371</v>
      </c>
      <c r="E232" s="2346"/>
      <c r="F232" s="2409">
        <f>(20.1+11.5)</f>
        <v>31.6</v>
      </c>
      <c r="G232" s="2387"/>
      <c r="H232" s="2387"/>
      <c r="I232" s="2352"/>
      <c r="J232" s="4919"/>
      <c r="K232" s="4920"/>
      <c r="L232" s="4920"/>
      <c r="M232" s="4920"/>
      <c r="N232" s="4920"/>
      <c r="O232" s="4921"/>
      <c r="P232" s="4921"/>
      <c r="Q232" s="4921"/>
      <c r="R232" s="4921"/>
      <c r="S232" s="4921"/>
      <c r="T232" s="4921"/>
      <c r="U232" s="4921"/>
      <c r="V232" s="122"/>
      <c r="W232" s="4921"/>
      <c r="X232" s="1975"/>
      <c r="Y232" s="1975"/>
      <c r="Z232" s="1951"/>
    </row>
    <row r="233" spans="1:30" s="2399" customFormat="1" ht="27" customHeight="1">
      <c r="A233" s="2402"/>
      <c r="B233" s="2403"/>
      <c r="C233" s="2410"/>
      <c r="D233" s="2400" t="s">
        <v>1994</v>
      </c>
      <c r="E233" s="2346"/>
      <c r="F233" s="2405"/>
      <c r="G233" s="4861"/>
      <c r="H233" s="2406"/>
      <c r="I233" s="2411"/>
      <c r="T233" s="4899"/>
      <c r="U233" s="4905"/>
      <c r="V233" s="4906"/>
      <c r="W233" s="4906"/>
      <c r="X233" s="4900"/>
      <c r="Y233" s="251"/>
    </row>
    <row r="234" spans="1:30" s="2399" customFormat="1" ht="13.5" customHeight="1">
      <c r="A234" s="4849"/>
      <c r="B234" s="4850"/>
      <c r="C234" s="4851"/>
      <c r="D234" s="4856" t="s">
        <v>6565</v>
      </c>
      <c r="E234" s="4852"/>
      <c r="F234" s="4853"/>
      <c r="G234" s="4871"/>
      <c r="H234" s="4854"/>
      <c r="I234" s="4855"/>
      <c r="T234" s="4899"/>
      <c r="U234" s="4905"/>
      <c r="V234" s="4906"/>
      <c r="W234" s="4906"/>
      <c r="X234" s="4900"/>
      <c r="Y234" s="251"/>
    </row>
    <row r="235" spans="1:30" s="2399" customFormat="1" ht="27" customHeight="1">
      <c r="A235" s="4857">
        <v>35</v>
      </c>
      <c r="B235" s="2346">
        <v>751</v>
      </c>
      <c r="C235" s="2346" t="s">
        <v>3372</v>
      </c>
      <c r="D235" s="2346" t="s">
        <v>3373</v>
      </c>
      <c r="E235" s="2346" t="s">
        <v>141</v>
      </c>
      <c r="F235" s="4859">
        <f>F242</f>
        <v>3.9</v>
      </c>
      <c r="G235" s="1641">
        <f>ROUND(SUM(H238:H241)/F235,2)</f>
        <v>0</v>
      </c>
      <c r="H235" s="2231">
        <f t="shared" ref="H235" si="42">ROUND(F235*G235,2)</f>
        <v>0</v>
      </c>
      <c r="I235" s="2352" t="s">
        <v>111</v>
      </c>
      <c r="J235" s="4897"/>
    </row>
    <row r="236" spans="1:30" s="2399" customFormat="1" ht="13.5" customHeight="1">
      <c r="A236" s="2398"/>
      <c r="B236" s="2346"/>
      <c r="C236" s="2346"/>
      <c r="D236" s="2400" t="s">
        <v>3374</v>
      </c>
      <c r="E236" s="2346"/>
      <c r="F236" s="2281"/>
      <c r="G236" s="4860"/>
      <c r="H236" s="2401"/>
      <c r="I236" s="2352"/>
      <c r="J236" s="4898"/>
      <c r="K236" s="147"/>
      <c r="L236" s="147"/>
      <c r="M236" s="4899"/>
      <c r="N236" s="4899"/>
      <c r="O236" s="4899"/>
      <c r="P236" s="4900"/>
      <c r="S236" s="4901"/>
    </row>
    <row r="237" spans="1:30" s="2399" customFormat="1" ht="27" customHeight="1">
      <c r="A237" s="2402"/>
      <c r="B237" s="2403"/>
      <c r="C237" s="2404"/>
      <c r="D237" s="2400" t="s">
        <v>3311</v>
      </c>
      <c r="E237" s="2346"/>
      <c r="F237" s="2405"/>
      <c r="G237" s="4861"/>
      <c r="H237" s="2406"/>
      <c r="I237" s="2407"/>
      <c r="J237" s="4898"/>
      <c r="K237" s="147"/>
      <c r="L237" s="1791"/>
      <c r="M237" s="1791"/>
      <c r="N237" s="251"/>
      <c r="O237" s="251"/>
      <c r="P237" s="4900"/>
      <c r="Q237" s="4903"/>
      <c r="R237" s="4904"/>
      <c r="S237" s="4901"/>
      <c r="T237" s="4899"/>
      <c r="U237" s="4905"/>
      <c r="V237" s="4906"/>
      <c r="W237" s="4906"/>
      <c r="X237" s="4900"/>
      <c r="Y237" s="251"/>
    </row>
    <row r="238" spans="1:30" s="251" customFormat="1" ht="27" customHeight="1">
      <c r="A238" s="4862" t="s">
        <v>5598</v>
      </c>
      <c r="B238" s="4863"/>
      <c r="C238" s="4864" t="s">
        <v>6591</v>
      </c>
      <c r="D238" s="4864" t="s">
        <v>6662</v>
      </c>
      <c r="E238" s="4864" t="s">
        <v>141</v>
      </c>
      <c r="F238" s="4865">
        <f>F235</f>
        <v>3.9</v>
      </c>
      <c r="G238" s="4873"/>
      <c r="H238" s="4866">
        <f t="shared" ref="H238:H241" si="43">ROUND(F238*G238,2)</f>
        <v>0</v>
      </c>
      <c r="I238" s="4697" t="s">
        <v>112</v>
      </c>
      <c r="J238" s="4908"/>
      <c r="K238" s="4909"/>
      <c r="L238" s="4909"/>
      <c r="M238" s="4910"/>
      <c r="N238" s="4910"/>
      <c r="O238" s="4910"/>
      <c r="P238" s="4911"/>
      <c r="Q238" s="4912"/>
      <c r="R238" s="4912"/>
      <c r="S238" s="4907"/>
      <c r="T238" s="593"/>
      <c r="U238" s="4913"/>
      <c r="W238" s="4914"/>
      <c r="X238" s="4915"/>
      <c r="Y238" s="4916"/>
      <c r="Z238" s="1785"/>
      <c r="AA238" s="1785"/>
      <c r="AB238" s="1785"/>
      <c r="AC238" s="1785"/>
      <c r="AD238" s="1785"/>
    </row>
    <row r="239" spans="1:30" s="251" customFormat="1" ht="27" customHeight="1">
      <c r="A239" s="4862" t="s">
        <v>5601</v>
      </c>
      <c r="B239" s="4863"/>
      <c r="C239" s="4864" t="s">
        <v>6593</v>
      </c>
      <c r="D239" s="4864" t="s">
        <v>6663</v>
      </c>
      <c r="E239" s="4864" t="s">
        <v>141</v>
      </c>
      <c r="F239" s="4865">
        <f>(3.9)*1.05</f>
        <v>4.0949999999999998</v>
      </c>
      <c r="G239" s="4873"/>
      <c r="H239" s="4866">
        <f t="shared" si="43"/>
        <v>0</v>
      </c>
      <c r="I239" s="4697" t="s">
        <v>112</v>
      </c>
      <c r="J239" s="4924"/>
      <c r="K239" s="4925"/>
      <c r="L239" s="4925"/>
      <c r="M239" s="1785"/>
      <c r="N239" s="4908"/>
      <c r="O239" s="1785"/>
      <c r="P239" s="1785"/>
      <c r="Q239" s="1785"/>
      <c r="R239" s="2091"/>
      <c r="S239" s="4907"/>
      <c r="T239" s="593"/>
      <c r="U239" s="4913"/>
      <c r="W239" s="4914"/>
      <c r="X239" s="4915"/>
      <c r="Y239" s="4916"/>
      <c r="Z239" s="1785"/>
      <c r="AA239" s="1785"/>
      <c r="AB239" s="1785"/>
      <c r="AC239" s="1785"/>
      <c r="AD239" s="1785"/>
    </row>
    <row r="240" spans="1:30" s="251" customFormat="1" ht="27" customHeight="1">
      <c r="A240" s="4862" t="s">
        <v>5603</v>
      </c>
      <c r="B240" s="4863"/>
      <c r="C240" s="4864">
        <v>713411121</v>
      </c>
      <c r="D240" s="4864" t="s">
        <v>6664</v>
      </c>
      <c r="E240" s="4864" t="s">
        <v>163</v>
      </c>
      <c r="F240" s="4865">
        <f>(3.9)*1.13</f>
        <v>4.4069999999999991</v>
      </c>
      <c r="G240" s="4873"/>
      <c r="H240" s="4866">
        <f t="shared" si="43"/>
        <v>0</v>
      </c>
      <c r="I240" s="4697" t="s">
        <v>137</v>
      </c>
      <c r="J240" s="4908"/>
      <c r="K240" s="4909"/>
      <c r="L240" s="1791"/>
      <c r="M240" s="1791"/>
      <c r="P240" s="4911"/>
      <c r="Q240" s="4917"/>
      <c r="R240" s="4918"/>
      <c r="S240" s="4907"/>
      <c r="T240" s="4907"/>
      <c r="U240" s="4913"/>
      <c r="W240" s="4914"/>
      <c r="X240" s="4915"/>
      <c r="Y240" s="4916"/>
      <c r="Z240" s="1785"/>
      <c r="AA240" s="1785"/>
      <c r="AB240" s="1785"/>
      <c r="AC240" s="1785"/>
      <c r="AD240" s="1785"/>
    </row>
    <row r="241" spans="1:30" s="251" customFormat="1" ht="27" customHeight="1">
      <c r="A241" s="4862" t="s">
        <v>5606</v>
      </c>
      <c r="B241" s="4863"/>
      <c r="C241" s="4867" t="s">
        <v>6571</v>
      </c>
      <c r="D241" s="4867" t="s">
        <v>6665</v>
      </c>
      <c r="E241" s="4867" t="s">
        <v>163</v>
      </c>
      <c r="F241" s="4868">
        <f>((3.9)*1.13)*1.1</f>
        <v>4.8476999999999997</v>
      </c>
      <c r="G241" s="4874"/>
      <c r="H241" s="4869">
        <f t="shared" si="43"/>
        <v>0</v>
      </c>
      <c r="I241" s="4870" t="s">
        <v>112</v>
      </c>
      <c r="J241" s="4908"/>
      <c r="K241" s="4909"/>
      <c r="S241" s="4907"/>
      <c r="AA241" s="1785"/>
      <c r="AB241" s="1785"/>
      <c r="AC241" s="1785"/>
      <c r="AD241" s="1785"/>
    </row>
    <row r="242" spans="1:30" ht="13.5" customHeight="1">
      <c r="A242" s="2408"/>
      <c r="B242" s="2346"/>
      <c r="C242" s="2346"/>
      <c r="D242" s="2400" t="s">
        <v>3375</v>
      </c>
      <c r="E242" s="2346"/>
      <c r="F242" s="2409">
        <f>(2.3+1.6)</f>
        <v>3.9</v>
      </c>
      <c r="G242" s="2387"/>
      <c r="H242" s="2387"/>
      <c r="I242" s="2352"/>
      <c r="J242" s="4919"/>
      <c r="K242" s="4920"/>
      <c r="L242" s="4920"/>
      <c r="M242" s="4920"/>
      <c r="N242" s="4920"/>
      <c r="O242" s="4921"/>
      <c r="P242" s="4921"/>
      <c r="Q242" s="4921"/>
      <c r="R242" s="4921"/>
      <c r="S242" s="4921"/>
      <c r="T242" s="4921"/>
      <c r="U242" s="4921"/>
      <c r="V242" s="122"/>
      <c r="W242" s="4921"/>
      <c r="X242" s="1975"/>
      <c r="Y242" s="1975"/>
      <c r="Z242" s="1951"/>
    </row>
    <row r="243" spans="1:30" s="2399" customFormat="1" ht="27" customHeight="1">
      <c r="A243" s="2402"/>
      <c r="B243" s="2403"/>
      <c r="C243" s="2410"/>
      <c r="D243" s="2400" t="s">
        <v>1994</v>
      </c>
      <c r="E243" s="2346"/>
      <c r="F243" s="2405"/>
      <c r="G243" s="4861"/>
      <c r="H243" s="2406"/>
      <c r="I243" s="2411"/>
      <c r="T243" s="4899"/>
      <c r="U243" s="4905"/>
      <c r="V243" s="4906"/>
      <c r="W243" s="4906"/>
      <c r="X243" s="4900"/>
      <c r="Y243" s="251"/>
    </row>
    <row r="244" spans="1:30" s="2399" customFormat="1" ht="13.5" customHeight="1">
      <c r="A244" s="4849"/>
      <c r="B244" s="4850"/>
      <c r="C244" s="4851"/>
      <c r="D244" s="4856" t="s">
        <v>6565</v>
      </c>
      <c r="E244" s="4852"/>
      <c r="F244" s="4853"/>
      <c r="G244" s="4871"/>
      <c r="H244" s="4854"/>
      <c r="I244" s="4855"/>
      <c r="T244" s="4899"/>
      <c r="U244" s="4905"/>
      <c r="V244" s="4906"/>
      <c r="W244" s="4906"/>
      <c r="X244" s="4900"/>
      <c r="Y244" s="251"/>
    </row>
    <row r="245" spans="1:30" s="2399" customFormat="1" ht="27" customHeight="1">
      <c r="A245" s="4857">
        <v>36</v>
      </c>
      <c r="B245" s="2346">
        <v>751</v>
      </c>
      <c r="C245" s="2346" t="s">
        <v>3376</v>
      </c>
      <c r="D245" s="2346" t="s">
        <v>3377</v>
      </c>
      <c r="E245" s="2346" t="s">
        <v>141</v>
      </c>
      <c r="F245" s="4859">
        <f>F252</f>
        <v>9.1</v>
      </c>
      <c r="G245" s="1641">
        <f>ROUND(SUM(H248:H251)/F245,2)</f>
        <v>0</v>
      </c>
      <c r="H245" s="2231">
        <f t="shared" ref="H245" si="44">ROUND(F245*G245,2)</f>
        <v>0</v>
      </c>
      <c r="I245" s="2352" t="s">
        <v>111</v>
      </c>
      <c r="J245" s="4897"/>
    </row>
    <row r="246" spans="1:30" s="2399" customFormat="1" ht="13.5" customHeight="1">
      <c r="A246" s="2398"/>
      <c r="B246" s="2346"/>
      <c r="C246" s="2346"/>
      <c r="D246" s="2400" t="s">
        <v>3378</v>
      </c>
      <c r="E246" s="2346"/>
      <c r="F246" s="2281"/>
      <c r="G246" s="4860"/>
      <c r="H246" s="2401"/>
      <c r="I246" s="2352"/>
      <c r="J246" s="4898"/>
      <c r="K246" s="147"/>
      <c r="L246" s="147"/>
      <c r="M246" s="4899"/>
      <c r="N246" s="4899"/>
      <c r="O246" s="4899"/>
      <c r="P246" s="4900"/>
      <c r="S246" s="4901"/>
    </row>
    <row r="247" spans="1:30" s="2399" customFormat="1" ht="27" customHeight="1">
      <c r="A247" s="2402"/>
      <c r="B247" s="2403"/>
      <c r="C247" s="2404"/>
      <c r="D247" s="2400" t="s">
        <v>3311</v>
      </c>
      <c r="E247" s="2346"/>
      <c r="F247" s="2405"/>
      <c r="G247" s="4861"/>
      <c r="H247" s="2406"/>
      <c r="I247" s="2407"/>
      <c r="J247" s="4898"/>
      <c r="K247" s="147"/>
      <c r="L247" s="1791"/>
      <c r="M247" s="1791"/>
      <c r="N247" s="251"/>
      <c r="O247" s="251"/>
      <c r="P247" s="4900"/>
      <c r="Q247" s="4903"/>
      <c r="R247" s="4904"/>
      <c r="S247" s="4901"/>
      <c r="T247" s="4899"/>
      <c r="U247" s="4905"/>
      <c r="V247" s="4906"/>
      <c r="W247" s="4906"/>
      <c r="X247" s="4900"/>
      <c r="Y247" s="251"/>
    </row>
    <row r="248" spans="1:30" s="251" customFormat="1" ht="27" customHeight="1">
      <c r="A248" s="4862" t="s">
        <v>5613</v>
      </c>
      <c r="B248" s="4863"/>
      <c r="C248" s="4864" t="s">
        <v>6666</v>
      </c>
      <c r="D248" s="4864" t="s">
        <v>6667</v>
      </c>
      <c r="E248" s="4864" t="s">
        <v>141</v>
      </c>
      <c r="F248" s="4865">
        <f>F245</f>
        <v>9.1</v>
      </c>
      <c r="G248" s="4873"/>
      <c r="H248" s="4866">
        <f t="shared" ref="H248:H251" si="45">ROUND(F248*G248,2)</f>
        <v>0</v>
      </c>
      <c r="I248" s="4697" t="s">
        <v>112</v>
      </c>
      <c r="J248" s="4908"/>
      <c r="K248" s="4909"/>
      <c r="L248" s="4909"/>
      <c r="M248" s="4910"/>
      <c r="N248" s="4910"/>
      <c r="O248" s="4910"/>
      <c r="P248" s="4911"/>
      <c r="Q248" s="4912"/>
      <c r="R248" s="4912"/>
      <c r="S248" s="4907"/>
      <c r="T248" s="593"/>
      <c r="U248" s="4913"/>
      <c r="W248" s="4914"/>
      <c r="X248" s="4915"/>
      <c r="Y248" s="4916"/>
      <c r="Z248" s="1785"/>
      <c r="AA248" s="1785"/>
      <c r="AB248" s="1785"/>
      <c r="AC248" s="1785"/>
      <c r="AD248" s="1785"/>
    </row>
    <row r="249" spans="1:30" s="251" customFormat="1" ht="27" customHeight="1">
      <c r="A249" s="4862" t="s">
        <v>6668</v>
      </c>
      <c r="B249" s="4863"/>
      <c r="C249" s="4864" t="s">
        <v>6669</v>
      </c>
      <c r="D249" s="4864" t="s">
        <v>6670</v>
      </c>
      <c r="E249" s="4864" t="s">
        <v>141</v>
      </c>
      <c r="F249" s="4865">
        <f xml:space="preserve"> (9.1)*1.05</f>
        <v>9.5549999999999997</v>
      </c>
      <c r="G249" s="4873"/>
      <c r="H249" s="4866">
        <f t="shared" si="45"/>
        <v>0</v>
      </c>
      <c r="I249" s="4697" t="s">
        <v>112</v>
      </c>
      <c r="J249" s="4924"/>
      <c r="K249" s="4925"/>
      <c r="L249" s="4925"/>
      <c r="M249" s="1785"/>
      <c r="N249" s="4908"/>
      <c r="O249" s="1785"/>
      <c r="P249" s="1785"/>
      <c r="Q249" s="1785"/>
      <c r="R249" s="2091"/>
      <c r="S249" s="4907"/>
      <c r="T249" s="593"/>
      <c r="U249" s="4913"/>
      <c r="W249" s="4914"/>
      <c r="X249" s="4915"/>
      <c r="Y249" s="4916"/>
      <c r="Z249" s="1785"/>
      <c r="AA249" s="1785"/>
      <c r="AB249" s="1785"/>
      <c r="AC249" s="1785"/>
      <c r="AD249" s="1785"/>
    </row>
    <row r="250" spans="1:30" s="251" customFormat="1" ht="27" customHeight="1">
      <c r="A250" s="4862" t="s">
        <v>6671</v>
      </c>
      <c r="B250" s="4863"/>
      <c r="C250" s="4864">
        <v>713411121</v>
      </c>
      <c r="D250" s="4864" t="s">
        <v>6672</v>
      </c>
      <c r="E250" s="4864" t="s">
        <v>163</v>
      </c>
      <c r="F250" s="4865">
        <f>(9.1)*1.241</f>
        <v>11.293100000000001</v>
      </c>
      <c r="G250" s="4873"/>
      <c r="H250" s="4866">
        <f t="shared" si="45"/>
        <v>0</v>
      </c>
      <c r="I250" s="4697" t="s">
        <v>137</v>
      </c>
      <c r="J250" s="4908"/>
      <c r="K250" s="4909"/>
      <c r="L250" s="1791"/>
      <c r="M250" s="1791"/>
      <c r="P250" s="4911"/>
      <c r="Q250" s="4917"/>
      <c r="R250" s="4918"/>
      <c r="S250" s="4907"/>
      <c r="T250" s="4907"/>
      <c r="U250" s="4913"/>
      <c r="W250" s="4914"/>
      <c r="X250" s="4915"/>
      <c r="Y250" s="4916"/>
      <c r="Z250" s="1785"/>
      <c r="AA250" s="1785"/>
      <c r="AB250" s="1785"/>
      <c r="AC250" s="1785"/>
      <c r="AD250" s="1785"/>
    </row>
    <row r="251" spans="1:30" s="251" customFormat="1" ht="27" customHeight="1">
      <c r="A251" s="4862" t="s">
        <v>6673</v>
      </c>
      <c r="B251" s="4863"/>
      <c r="C251" s="4867" t="s">
        <v>6571</v>
      </c>
      <c r="D251" s="4867" t="s">
        <v>6674</v>
      </c>
      <c r="E251" s="4867" t="s">
        <v>163</v>
      </c>
      <c r="F251" s="4868">
        <f xml:space="preserve"> ((9.1)*1.241)*1.1</f>
        <v>12.422410000000001</v>
      </c>
      <c r="G251" s="4874"/>
      <c r="H251" s="4869">
        <f t="shared" si="45"/>
        <v>0</v>
      </c>
      <c r="I251" s="4870" t="s">
        <v>112</v>
      </c>
      <c r="J251" s="4908"/>
      <c r="K251" s="4909"/>
      <c r="S251" s="4907"/>
      <c r="AA251" s="1785"/>
      <c r="AB251" s="1785"/>
      <c r="AC251" s="1785"/>
      <c r="AD251" s="1785"/>
    </row>
    <row r="252" spans="1:30" ht="13.5" customHeight="1">
      <c r="A252" s="2408"/>
      <c r="B252" s="2346"/>
      <c r="C252" s="2346"/>
      <c r="D252" s="2400" t="s">
        <v>3379</v>
      </c>
      <c r="E252" s="2346"/>
      <c r="F252" s="2409">
        <f>(6.2+2.9)</f>
        <v>9.1</v>
      </c>
      <c r="G252" s="2387"/>
      <c r="H252" s="2387"/>
      <c r="I252" s="2352"/>
      <c r="J252" s="4919"/>
      <c r="K252" s="4920"/>
      <c r="L252" s="4920"/>
      <c r="M252" s="4920"/>
      <c r="N252" s="4920"/>
      <c r="O252" s="4921"/>
      <c r="P252" s="4921"/>
      <c r="Q252" s="4921"/>
      <c r="R252" s="4921"/>
      <c r="S252" s="4921"/>
      <c r="T252" s="4921"/>
      <c r="U252" s="4921"/>
      <c r="V252" s="122"/>
      <c r="W252" s="4921"/>
      <c r="X252" s="1975"/>
      <c r="Y252" s="1975"/>
      <c r="Z252" s="1951"/>
    </row>
    <row r="253" spans="1:30" s="2399" customFormat="1" ht="27" customHeight="1">
      <c r="A253" s="2402"/>
      <c r="B253" s="2403"/>
      <c r="C253" s="2410"/>
      <c r="D253" s="2400" t="s">
        <v>1994</v>
      </c>
      <c r="E253" s="2346"/>
      <c r="F253" s="2405"/>
      <c r="G253" s="4861"/>
      <c r="H253" s="2406"/>
      <c r="I253" s="2411"/>
      <c r="T253" s="4899"/>
      <c r="U253" s="4905"/>
      <c r="V253" s="4906"/>
      <c r="W253" s="4906"/>
      <c r="X253" s="4900"/>
      <c r="Y253" s="251"/>
    </row>
    <row r="254" spans="1:30" s="2399" customFormat="1" ht="13.5" customHeight="1">
      <c r="A254" s="4849"/>
      <c r="B254" s="4850"/>
      <c r="C254" s="4851"/>
      <c r="D254" s="4856" t="s">
        <v>6565</v>
      </c>
      <c r="E254" s="4852"/>
      <c r="F254" s="4853"/>
      <c r="G254" s="4871"/>
      <c r="H254" s="4854"/>
      <c r="I254" s="4855"/>
      <c r="T254" s="4899"/>
      <c r="U254" s="4905"/>
      <c r="V254" s="4906"/>
      <c r="W254" s="4906"/>
      <c r="X254" s="4900"/>
      <c r="Y254" s="251"/>
    </row>
    <row r="255" spans="1:30" s="2399" customFormat="1" ht="27" customHeight="1">
      <c r="A255" s="4857">
        <v>37</v>
      </c>
      <c r="B255" s="2346">
        <v>751</v>
      </c>
      <c r="C255" s="2346" t="s">
        <v>3380</v>
      </c>
      <c r="D255" s="2346" t="s">
        <v>3381</v>
      </c>
      <c r="E255" s="2346" t="s">
        <v>141</v>
      </c>
      <c r="F255" s="4859">
        <f>F262</f>
        <v>4</v>
      </c>
      <c r="G255" s="1641">
        <f>ROUND(SUM(H258:H261)/F255,2)</f>
        <v>0</v>
      </c>
      <c r="H255" s="2231">
        <f t="shared" ref="H255" si="46">ROUND(F255*G255,2)</f>
        <v>0</v>
      </c>
      <c r="I255" s="2352" t="s">
        <v>111</v>
      </c>
      <c r="J255" s="4897"/>
    </row>
    <row r="256" spans="1:30" s="2399" customFormat="1" ht="13.5" customHeight="1">
      <c r="A256" s="2398"/>
      <c r="B256" s="2346"/>
      <c r="C256" s="2346"/>
      <c r="D256" s="2400" t="s">
        <v>3382</v>
      </c>
      <c r="E256" s="2346"/>
      <c r="F256" s="2281"/>
      <c r="G256" s="4860"/>
      <c r="H256" s="2401"/>
      <c r="I256" s="2352"/>
      <c r="J256" s="4898"/>
      <c r="K256" s="147"/>
      <c r="L256" s="147"/>
      <c r="M256" s="4899"/>
      <c r="N256" s="4899"/>
      <c r="O256" s="4899"/>
      <c r="P256" s="4900"/>
      <c r="S256" s="4901"/>
    </row>
    <row r="257" spans="1:30" s="2399" customFormat="1" ht="27" customHeight="1">
      <c r="A257" s="2402"/>
      <c r="B257" s="2403"/>
      <c r="C257" s="2404"/>
      <c r="D257" s="2400" t="s">
        <v>3311</v>
      </c>
      <c r="E257" s="2346"/>
      <c r="F257" s="2405"/>
      <c r="G257" s="4861"/>
      <c r="H257" s="2406"/>
      <c r="I257" s="2407"/>
      <c r="J257" s="4898"/>
      <c r="K257" s="147"/>
      <c r="L257" s="1791"/>
      <c r="M257" s="1791"/>
      <c r="N257" s="251"/>
      <c r="O257" s="251"/>
      <c r="P257" s="4900"/>
      <c r="Q257" s="4903"/>
      <c r="R257" s="4904"/>
      <c r="S257" s="4901"/>
      <c r="T257" s="4899"/>
      <c r="U257" s="4905"/>
      <c r="V257" s="4906"/>
      <c r="W257" s="4906"/>
      <c r="X257" s="4900"/>
      <c r="Y257" s="251"/>
    </row>
    <row r="258" spans="1:30" s="251" customFormat="1" ht="27" customHeight="1">
      <c r="A258" s="4862" t="s">
        <v>6386</v>
      </c>
      <c r="B258" s="4863"/>
      <c r="C258" s="4864" t="s">
        <v>6666</v>
      </c>
      <c r="D258" s="4864" t="s">
        <v>6675</v>
      </c>
      <c r="E258" s="4864" t="s">
        <v>141</v>
      </c>
      <c r="F258" s="4865">
        <f>F255</f>
        <v>4</v>
      </c>
      <c r="G258" s="4873"/>
      <c r="H258" s="4866">
        <f t="shared" ref="H258:H261" si="47">ROUND(F258*G258,2)</f>
        <v>0</v>
      </c>
      <c r="I258" s="4697" t="s">
        <v>112</v>
      </c>
      <c r="J258" s="4908"/>
      <c r="K258" s="4909"/>
      <c r="L258" s="4909"/>
      <c r="M258" s="4910"/>
      <c r="N258" s="4910"/>
      <c r="O258" s="4910"/>
      <c r="P258" s="4911"/>
      <c r="Q258" s="4912"/>
      <c r="R258" s="4912"/>
      <c r="S258" s="4907"/>
      <c r="T258" s="593"/>
      <c r="U258" s="4913"/>
      <c r="W258" s="4914"/>
      <c r="X258" s="4915"/>
      <c r="Y258" s="4916"/>
      <c r="Z258" s="1785"/>
      <c r="AA258" s="1785"/>
      <c r="AB258" s="1785"/>
      <c r="AC258" s="1785"/>
      <c r="AD258" s="1785"/>
    </row>
    <row r="259" spans="1:30" s="251" customFormat="1" ht="27" customHeight="1">
      <c r="A259" s="4862" t="s">
        <v>6676</v>
      </c>
      <c r="B259" s="4863"/>
      <c r="C259" s="4864" t="s">
        <v>6669</v>
      </c>
      <c r="D259" s="4864" t="s">
        <v>6677</v>
      </c>
      <c r="E259" s="4864" t="s">
        <v>141</v>
      </c>
      <c r="F259" s="4865">
        <f>(4)*1.05</f>
        <v>4.2</v>
      </c>
      <c r="G259" s="4873"/>
      <c r="H259" s="4866">
        <f t="shared" si="47"/>
        <v>0</v>
      </c>
      <c r="I259" s="4697" t="s">
        <v>112</v>
      </c>
      <c r="J259" s="4924"/>
      <c r="K259" s="4925"/>
      <c r="L259" s="4925"/>
      <c r="M259" s="1785"/>
      <c r="N259" s="4908"/>
      <c r="O259" s="1785"/>
      <c r="P259" s="4924"/>
      <c r="Q259" s="4908"/>
      <c r="R259" s="2091"/>
      <c r="S259" s="4907"/>
      <c r="T259" s="593"/>
      <c r="U259" s="4913"/>
      <c r="W259" s="4914"/>
      <c r="X259" s="4915"/>
      <c r="Y259" s="4916"/>
      <c r="Z259" s="1785"/>
      <c r="AA259" s="1785"/>
      <c r="AB259" s="1785"/>
      <c r="AC259" s="1785"/>
      <c r="AD259" s="1785"/>
    </row>
    <row r="260" spans="1:30" s="251" customFormat="1" ht="27" customHeight="1">
      <c r="A260" s="4862" t="s">
        <v>6678</v>
      </c>
      <c r="B260" s="4863"/>
      <c r="C260" s="4864">
        <v>713411121</v>
      </c>
      <c r="D260" s="4864" t="s">
        <v>6679</v>
      </c>
      <c r="E260" s="4864" t="s">
        <v>163</v>
      </c>
      <c r="F260" s="4865">
        <f>(4)*1.508</f>
        <v>6.032</v>
      </c>
      <c r="G260" s="4873"/>
      <c r="H260" s="4866">
        <f t="shared" si="47"/>
        <v>0</v>
      </c>
      <c r="I260" s="4697" t="s">
        <v>137</v>
      </c>
      <c r="J260" s="4908"/>
      <c r="K260" s="4909"/>
      <c r="L260" s="1791"/>
      <c r="M260" s="1791"/>
      <c r="P260" s="4911"/>
      <c r="Q260" s="4917"/>
      <c r="R260" s="4918"/>
      <c r="S260" s="4907"/>
      <c r="T260" s="4907"/>
      <c r="U260" s="4913"/>
      <c r="W260" s="4914"/>
      <c r="X260" s="4915"/>
      <c r="Y260" s="4916"/>
      <c r="Z260" s="1785"/>
      <c r="AA260" s="1785"/>
      <c r="AB260" s="1785"/>
      <c r="AC260" s="1785"/>
      <c r="AD260" s="1785"/>
    </row>
    <row r="261" spans="1:30" s="251" customFormat="1" ht="27" customHeight="1">
      <c r="A261" s="4862" t="s">
        <v>6680</v>
      </c>
      <c r="B261" s="4863"/>
      <c r="C261" s="4867" t="s">
        <v>6571</v>
      </c>
      <c r="D261" s="4867" t="s">
        <v>6681</v>
      </c>
      <c r="E261" s="4867" t="s">
        <v>163</v>
      </c>
      <c r="F261" s="4868">
        <f>((4)*1.508)*1.1</f>
        <v>6.6352000000000002</v>
      </c>
      <c r="G261" s="4874"/>
      <c r="H261" s="4869">
        <f t="shared" si="47"/>
        <v>0</v>
      </c>
      <c r="I261" s="4870" t="s">
        <v>112</v>
      </c>
      <c r="J261" s="4908"/>
      <c r="K261" s="4909"/>
      <c r="S261" s="4907"/>
      <c r="AA261" s="1785"/>
      <c r="AB261" s="1785"/>
      <c r="AC261" s="1785"/>
      <c r="AD261" s="1785"/>
    </row>
    <row r="262" spans="1:30" ht="13.5" customHeight="1">
      <c r="A262" s="2408"/>
      <c r="B262" s="2346"/>
      <c r="C262" s="2346"/>
      <c r="D262" s="2400" t="s">
        <v>3383</v>
      </c>
      <c r="E262" s="2346"/>
      <c r="F262" s="2409">
        <f>(2+2)</f>
        <v>4</v>
      </c>
      <c r="G262" s="2387"/>
      <c r="H262" s="2387"/>
      <c r="I262" s="2352"/>
      <c r="J262" s="4919"/>
      <c r="K262" s="4920"/>
      <c r="L262" s="4920"/>
      <c r="M262" s="4920"/>
      <c r="N262" s="4920"/>
      <c r="O262" s="4921"/>
      <c r="P262" s="4921"/>
      <c r="Q262" s="4921"/>
      <c r="R262" s="4921"/>
      <c r="S262" s="4921"/>
      <c r="T262" s="4921"/>
      <c r="U262" s="4921"/>
      <c r="V262" s="122"/>
      <c r="W262" s="4921"/>
      <c r="X262" s="1975"/>
      <c r="Y262" s="1975"/>
      <c r="Z262" s="1951"/>
    </row>
    <row r="263" spans="1:30" s="2399" customFormat="1" ht="27" customHeight="1">
      <c r="A263" s="2402"/>
      <c r="B263" s="2403"/>
      <c r="C263" s="2410"/>
      <c r="D263" s="2400" t="s">
        <v>1994</v>
      </c>
      <c r="E263" s="2346"/>
      <c r="F263" s="2405"/>
      <c r="G263" s="4861"/>
      <c r="H263" s="2406"/>
      <c r="I263" s="2411"/>
      <c r="T263" s="4899"/>
      <c r="U263" s="4905"/>
      <c r="V263" s="4906"/>
      <c r="W263" s="4906"/>
      <c r="X263" s="4900"/>
      <c r="Y263" s="251"/>
    </row>
    <row r="264" spans="1:30" s="2399" customFormat="1" ht="13.5" customHeight="1">
      <c r="A264" s="4849"/>
      <c r="B264" s="4850"/>
      <c r="C264" s="4851"/>
      <c r="D264" s="4856" t="s">
        <v>6565</v>
      </c>
      <c r="E264" s="4852"/>
      <c r="F264" s="4853"/>
      <c r="G264" s="4871"/>
      <c r="H264" s="4854"/>
      <c r="I264" s="4855"/>
      <c r="T264" s="4899"/>
      <c r="U264" s="4905"/>
      <c r="V264" s="4906"/>
      <c r="W264" s="4906"/>
      <c r="X264" s="4900"/>
      <c r="Y264" s="251"/>
    </row>
    <row r="265" spans="1:30" s="2399" customFormat="1" ht="13.5" customHeight="1">
      <c r="A265" s="4857">
        <v>38</v>
      </c>
      <c r="B265" s="2346">
        <v>751</v>
      </c>
      <c r="C265" s="2346" t="s">
        <v>3384</v>
      </c>
      <c r="D265" s="2346" t="s">
        <v>3385</v>
      </c>
      <c r="E265" s="2346" t="s">
        <v>141</v>
      </c>
      <c r="F265" s="4859">
        <f>F272</f>
        <v>10.6</v>
      </c>
      <c r="G265" s="1641">
        <f>ROUND(SUM(H268:H271)/F265,2)</f>
        <v>0</v>
      </c>
      <c r="H265" s="2231">
        <f t="shared" ref="H265" si="48">ROUND(F265*G265,2)</f>
        <v>0</v>
      </c>
      <c r="I265" s="2352" t="s">
        <v>111</v>
      </c>
      <c r="J265" s="4897"/>
    </row>
    <row r="266" spans="1:30" s="2399" customFormat="1" ht="13.5" customHeight="1">
      <c r="A266" s="2398"/>
      <c r="B266" s="2346"/>
      <c r="C266" s="2346"/>
      <c r="D266" s="2400" t="s">
        <v>3386</v>
      </c>
      <c r="E266" s="2346"/>
      <c r="F266" s="2281"/>
      <c r="G266" s="4860"/>
      <c r="H266" s="2401"/>
      <c r="I266" s="2352"/>
      <c r="J266" s="4898"/>
      <c r="K266" s="147"/>
      <c r="L266" s="147"/>
      <c r="M266" s="4899"/>
      <c r="N266" s="4899"/>
      <c r="O266" s="4899"/>
      <c r="P266" s="4900"/>
      <c r="S266" s="4901"/>
    </row>
    <row r="267" spans="1:30" s="2399" customFormat="1" ht="27" customHeight="1">
      <c r="A267" s="2402"/>
      <c r="B267" s="2403"/>
      <c r="C267" s="2404"/>
      <c r="D267" s="2400" t="s">
        <v>3311</v>
      </c>
      <c r="E267" s="2346"/>
      <c r="F267" s="2405"/>
      <c r="G267" s="4861"/>
      <c r="H267" s="2406"/>
      <c r="I267" s="2407"/>
      <c r="J267" s="4898"/>
      <c r="K267" s="147"/>
      <c r="L267" s="1791"/>
      <c r="M267" s="1791"/>
      <c r="N267" s="251"/>
      <c r="O267" s="251"/>
      <c r="P267" s="4900"/>
      <c r="Q267" s="4903"/>
      <c r="R267" s="4904"/>
      <c r="S267" s="4901"/>
      <c r="T267" s="4899"/>
      <c r="U267" s="4905"/>
      <c r="V267" s="4906"/>
      <c r="W267" s="4906"/>
      <c r="X267" s="4900"/>
      <c r="Y267" s="251"/>
    </row>
    <row r="268" spans="1:30" s="251" customFormat="1" ht="27" customHeight="1">
      <c r="A268" s="4862" t="s">
        <v>6421</v>
      </c>
      <c r="B268" s="4863"/>
      <c r="C268" s="4864" t="s">
        <v>6603</v>
      </c>
      <c r="D268" s="4864" t="s">
        <v>6682</v>
      </c>
      <c r="E268" s="4864" t="s">
        <v>141</v>
      </c>
      <c r="F268" s="4865">
        <f>F265</f>
        <v>10.6</v>
      </c>
      <c r="G268" s="4873"/>
      <c r="H268" s="4866">
        <f t="shared" ref="H268:H271" si="49">ROUND(F268*G268,2)</f>
        <v>0</v>
      </c>
      <c r="I268" s="4697" t="s">
        <v>112</v>
      </c>
      <c r="J268" s="4922"/>
      <c r="K268" s="4909"/>
      <c r="L268" s="4909"/>
      <c r="M268" s="4910"/>
      <c r="N268" s="4910"/>
      <c r="O268" s="4910"/>
      <c r="P268" s="4911"/>
      <c r="Q268" s="4912"/>
      <c r="R268" s="4912"/>
      <c r="T268" s="4907"/>
      <c r="U268" s="4913"/>
      <c r="W268" s="4914"/>
      <c r="X268" s="4915"/>
      <c r="Y268" s="4916"/>
      <c r="Z268" s="1785"/>
      <c r="AA268" s="1785"/>
      <c r="AB268" s="1785"/>
      <c r="AC268" s="1785"/>
      <c r="AD268" s="1785"/>
    </row>
    <row r="269" spans="1:30" s="251" customFormat="1" ht="27" customHeight="1">
      <c r="A269" s="4862" t="s">
        <v>6683</v>
      </c>
      <c r="B269" s="4863"/>
      <c r="C269" s="4864" t="s">
        <v>6605</v>
      </c>
      <c r="D269" s="4864" t="s">
        <v>6684</v>
      </c>
      <c r="E269" s="4864" t="s">
        <v>141</v>
      </c>
      <c r="F269" s="4865">
        <f>(10.6)*1.05</f>
        <v>11.13</v>
      </c>
      <c r="G269" s="4873"/>
      <c r="H269" s="4866">
        <f t="shared" si="49"/>
        <v>0</v>
      </c>
      <c r="I269" s="4697" t="s">
        <v>112</v>
      </c>
      <c r="J269" s="4926"/>
      <c r="K269" s="4925"/>
      <c r="L269" s="4925"/>
      <c r="M269" s="1785"/>
      <c r="N269" s="4908"/>
      <c r="O269" s="1785"/>
      <c r="P269" s="1785"/>
      <c r="Q269" s="1785"/>
      <c r="R269" s="2091"/>
      <c r="T269" s="4907"/>
      <c r="U269" s="4913"/>
      <c r="W269" s="4914"/>
      <c r="X269" s="4915"/>
      <c r="Y269" s="4916"/>
      <c r="Z269" s="1785"/>
      <c r="AA269" s="1785"/>
      <c r="AB269" s="1785"/>
      <c r="AC269" s="1785"/>
      <c r="AD269" s="1785"/>
    </row>
    <row r="270" spans="1:30" s="251" customFormat="1" ht="27" customHeight="1">
      <c r="A270" s="4862" t="s">
        <v>6685</v>
      </c>
      <c r="B270" s="4863"/>
      <c r="C270" s="4864">
        <v>713411121</v>
      </c>
      <c r="D270" s="4864" t="s">
        <v>6686</v>
      </c>
      <c r="E270" s="4864" t="s">
        <v>163</v>
      </c>
      <c r="F270" s="4865">
        <f>(10.6)*0.96</f>
        <v>10.176</v>
      </c>
      <c r="G270" s="4873"/>
      <c r="H270" s="4866">
        <f t="shared" si="49"/>
        <v>0</v>
      </c>
      <c r="I270" s="4697" t="s">
        <v>137</v>
      </c>
      <c r="J270" s="4922"/>
      <c r="K270" s="4909"/>
      <c r="L270" s="1791"/>
      <c r="M270" s="1791"/>
      <c r="P270" s="4911"/>
      <c r="Q270" s="4917"/>
      <c r="R270" s="4918"/>
      <c r="T270" s="4907"/>
      <c r="U270" s="4913"/>
      <c r="W270" s="4914"/>
      <c r="X270" s="4915"/>
      <c r="Y270" s="4916"/>
      <c r="Z270" s="1785"/>
      <c r="AA270" s="1785"/>
      <c r="AB270" s="1785"/>
      <c r="AC270" s="1785"/>
      <c r="AD270" s="1785"/>
    </row>
    <row r="271" spans="1:30" s="251" customFormat="1" ht="27" customHeight="1">
      <c r="A271" s="4862" t="s">
        <v>6687</v>
      </c>
      <c r="B271" s="4863"/>
      <c r="C271" s="4867" t="s">
        <v>6571</v>
      </c>
      <c r="D271" s="4867" t="s">
        <v>6688</v>
      </c>
      <c r="E271" s="4867" t="s">
        <v>163</v>
      </c>
      <c r="F271" s="4868">
        <f>((10.6)*0.96)*1.1</f>
        <v>11.193600000000002</v>
      </c>
      <c r="G271" s="4874"/>
      <c r="H271" s="4869">
        <f t="shared" si="49"/>
        <v>0</v>
      </c>
      <c r="I271" s="4870" t="s">
        <v>112</v>
      </c>
      <c r="J271" s="4922"/>
      <c r="K271" s="4909"/>
      <c r="T271" s="4907"/>
      <c r="AA271" s="1785"/>
      <c r="AB271" s="1785"/>
      <c r="AC271" s="1785"/>
      <c r="AD271" s="1785"/>
    </row>
    <row r="272" spans="1:30" ht="13.5" customHeight="1">
      <c r="A272" s="2408"/>
      <c r="B272" s="2346"/>
      <c r="C272" s="2346"/>
      <c r="D272" s="2400" t="s">
        <v>3387</v>
      </c>
      <c r="E272" s="2346"/>
      <c r="F272" s="2409">
        <f>(9.1+1.5)</f>
        <v>10.6</v>
      </c>
      <c r="G272" s="2387"/>
      <c r="H272" s="2387"/>
      <c r="I272" s="2352"/>
      <c r="J272" s="4919"/>
      <c r="K272" s="4920"/>
      <c r="L272" s="4920"/>
      <c r="M272" s="4920"/>
      <c r="N272" s="4920"/>
      <c r="O272" s="4921"/>
      <c r="P272" s="4921"/>
      <c r="Q272" s="4921"/>
      <c r="R272" s="4921"/>
      <c r="S272" s="4921"/>
      <c r="T272" s="4921"/>
      <c r="U272" s="4921"/>
      <c r="V272" s="122"/>
      <c r="W272" s="4921"/>
      <c r="X272" s="1975"/>
      <c r="Y272" s="1975"/>
      <c r="Z272" s="1951"/>
    </row>
    <row r="273" spans="1:30" s="2399" customFormat="1" ht="27" customHeight="1">
      <c r="A273" s="2402"/>
      <c r="B273" s="2403"/>
      <c r="C273" s="2410"/>
      <c r="D273" s="2400" t="s">
        <v>1994</v>
      </c>
      <c r="E273" s="2346"/>
      <c r="F273" s="2405"/>
      <c r="G273" s="4861"/>
      <c r="H273" s="2406"/>
      <c r="I273" s="2411"/>
      <c r="T273" s="4899"/>
      <c r="U273" s="4905"/>
      <c r="V273" s="4906"/>
      <c r="W273" s="4906"/>
      <c r="X273" s="4900"/>
      <c r="Y273" s="251"/>
    </row>
    <row r="274" spans="1:30" s="2399" customFormat="1" ht="13.5" customHeight="1">
      <c r="A274" s="4849"/>
      <c r="B274" s="4850"/>
      <c r="C274" s="4851"/>
      <c r="D274" s="4856" t="s">
        <v>6565</v>
      </c>
      <c r="E274" s="4852"/>
      <c r="F274" s="4853"/>
      <c r="G274" s="4871"/>
      <c r="H274" s="4854"/>
      <c r="I274" s="4855"/>
      <c r="T274" s="4899"/>
      <c r="U274" s="4905"/>
      <c r="V274" s="4906"/>
      <c r="W274" s="4906"/>
      <c r="X274" s="4900"/>
      <c r="Y274" s="251"/>
    </row>
    <row r="275" spans="1:30" s="2399" customFormat="1" ht="13.5" customHeight="1">
      <c r="A275" s="4857">
        <v>39</v>
      </c>
      <c r="B275" s="2346">
        <v>751</v>
      </c>
      <c r="C275" s="2346" t="s">
        <v>3388</v>
      </c>
      <c r="D275" s="2346" t="s">
        <v>3389</v>
      </c>
      <c r="E275" s="2346" t="s">
        <v>141</v>
      </c>
      <c r="F275" s="4859">
        <f>F282</f>
        <v>1.5</v>
      </c>
      <c r="G275" s="1641">
        <f>ROUND(SUM(H278:H281)/F275,2)</f>
        <v>0</v>
      </c>
      <c r="H275" s="2231">
        <f t="shared" ref="H275" si="50">ROUND(F275*G275,2)</f>
        <v>0</v>
      </c>
      <c r="I275" s="2352" t="s">
        <v>111</v>
      </c>
      <c r="J275" s="4897"/>
    </row>
    <row r="276" spans="1:30" s="2399" customFormat="1" ht="13.5" customHeight="1">
      <c r="A276" s="2398"/>
      <c r="B276" s="2346"/>
      <c r="C276" s="2346"/>
      <c r="D276" s="2400" t="s">
        <v>3390</v>
      </c>
      <c r="E276" s="2346"/>
      <c r="F276" s="2281"/>
      <c r="G276" s="4860"/>
      <c r="H276" s="2401"/>
      <c r="I276" s="2352"/>
      <c r="J276" s="4898"/>
      <c r="K276" s="147"/>
      <c r="L276" s="147"/>
      <c r="M276" s="4899"/>
      <c r="N276" s="4899"/>
      <c r="O276" s="4899"/>
      <c r="P276" s="4900"/>
      <c r="S276" s="4901"/>
    </row>
    <row r="277" spans="1:30" s="2399" customFormat="1" ht="27" customHeight="1">
      <c r="A277" s="2402"/>
      <c r="B277" s="2403"/>
      <c r="C277" s="2404"/>
      <c r="D277" s="2400" t="s">
        <v>3311</v>
      </c>
      <c r="E277" s="2346"/>
      <c r="F277" s="2405"/>
      <c r="G277" s="4861"/>
      <c r="H277" s="2406"/>
      <c r="I277" s="2407"/>
      <c r="J277" s="4898"/>
      <c r="K277" s="147"/>
      <c r="L277" s="1791"/>
      <c r="M277" s="1791"/>
      <c r="N277" s="251"/>
      <c r="O277" s="251"/>
      <c r="P277" s="4900"/>
      <c r="Q277" s="4903"/>
      <c r="R277" s="4904"/>
      <c r="S277" s="4901"/>
      <c r="T277" s="4899"/>
      <c r="U277" s="4905"/>
      <c r="V277" s="4906"/>
      <c r="W277" s="4906"/>
      <c r="X277" s="4900"/>
      <c r="Y277" s="251"/>
    </row>
    <row r="278" spans="1:30" s="251" customFormat="1" ht="27" customHeight="1">
      <c r="A278" s="4862" t="s">
        <v>5879</v>
      </c>
      <c r="B278" s="4863"/>
      <c r="C278" s="4864" t="s">
        <v>6603</v>
      </c>
      <c r="D278" s="4864" t="s">
        <v>6604</v>
      </c>
      <c r="E278" s="4864" t="s">
        <v>141</v>
      </c>
      <c r="F278" s="4865">
        <f>F275</f>
        <v>1.5</v>
      </c>
      <c r="G278" s="4873"/>
      <c r="H278" s="4866">
        <f t="shared" ref="H278:H281" si="51">ROUND(F278*G278,2)</f>
        <v>0</v>
      </c>
      <c r="I278" s="4697" t="s">
        <v>112</v>
      </c>
      <c r="J278" s="4908"/>
      <c r="K278" s="4909"/>
      <c r="L278" s="4909"/>
      <c r="M278" s="4910"/>
      <c r="N278" s="4910"/>
      <c r="O278" s="4910"/>
      <c r="P278" s="4911"/>
      <c r="Q278" s="4912"/>
      <c r="R278" s="4912"/>
      <c r="T278" s="4907"/>
      <c r="U278" s="4913"/>
      <c r="W278" s="4914"/>
      <c r="X278" s="4915"/>
      <c r="Y278" s="4916"/>
      <c r="Z278" s="1785"/>
      <c r="AA278" s="1785"/>
      <c r="AB278" s="1785"/>
      <c r="AC278" s="1785"/>
      <c r="AD278" s="1785"/>
    </row>
    <row r="279" spans="1:30" s="251" customFormat="1" ht="27" customHeight="1">
      <c r="A279" s="4862" t="s">
        <v>5881</v>
      </c>
      <c r="B279" s="4863"/>
      <c r="C279" s="4864" t="s">
        <v>6605</v>
      </c>
      <c r="D279" s="4864" t="s">
        <v>6689</v>
      </c>
      <c r="E279" s="4864" t="s">
        <v>141</v>
      </c>
      <c r="F279" s="4865">
        <f xml:space="preserve"> (1.5)*1.05</f>
        <v>1.5750000000000002</v>
      </c>
      <c r="G279" s="4873"/>
      <c r="H279" s="4866">
        <f t="shared" si="51"/>
        <v>0</v>
      </c>
      <c r="I279" s="4697" t="s">
        <v>112</v>
      </c>
      <c r="J279" s="4924"/>
      <c r="K279" s="4925"/>
      <c r="L279" s="4925"/>
      <c r="M279" s="1785"/>
      <c r="N279" s="4908"/>
      <c r="O279" s="1785"/>
      <c r="P279" s="1785"/>
      <c r="Q279" s="1785"/>
      <c r="R279" s="2091"/>
      <c r="T279" s="4907"/>
      <c r="U279" s="4913"/>
      <c r="W279" s="4914"/>
      <c r="X279" s="4915"/>
      <c r="Y279" s="4916"/>
      <c r="Z279" s="1785"/>
      <c r="AA279" s="1785"/>
      <c r="AB279" s="1785"/>
      <c r="AC279" s="1785"/>
      <c r="AD279" s="1785"/>
    </row>
    <row r="280" spans="1:30" s="251" customFormat="1" ht="27" customHeight="1">
      <c r="A280" s="4862" t="s">
        <v>5883</v>
      </c>
      <c r="B280" s="4863"/>
      <c r="C280" s="4864">
        <v>713411121</v>
      </c>
      <c r="D280" s="4864" t="s">
        <v>6686</v>
      </c>
      <c r="E280" s="4864" t="s">
        <v>163</v>
      </c>
      <c r="F280" s="4865">
        <f>(10.6)*0.96</f>
        <v>10.176</v>
      </c>
      <c r="G280" s="4873"/>
      <c r="H280" s="4866">
        <f t="shared" si="51"/>
        <v>0</v>
      </c>
      <c r="I280" s="4697" t="s">
        <v>137</v>
      </c>
      <c r="J280" s="4908"/>
      <c r="K280" s="4909"/>
      <c r="L280" s="1791"/>
      <c r="M280" s="1791"/>
      <c r="P280" s="4911"/>
      <c r="Q280" s="4917"/>
      <c r="R280" s="4918"/>
      <c r="T280" s="4907"/>
      <c r="U280" s="4913"/>
      <c r="W280" s="4914"/>
      <c r="X280" s="4915"/>
      <c r="Y280" s="4916"/>
      <c r="Z280" s="1785"/>
      <c r="AA280" s="1785"/>
      <c r="AB280" s="1785"/>
      <c r="AC280" s="1785"/>
      <c r="AD280" s="1785"/>
    </row>
    <row r="281" spans="1:30" s="251" customFormat="1" ht="27" customHeight="1">
      <c r="A281" s="4862" t="s">
        <v>5885</v>
      </c>
      <c r="B281" s="4863"/>
      <c r="C281" s="4867" t="s">
        <v>6571</v>
      </c>
      <c r="D281" s="4867" t="s">
        <v>6688</v>
      </c>
      <c r="E281" s="4867" t="s">
        <v>163</v>
      </c>
      <c r="F281" s="4868">
        <f>((10.6)*0.96)*1.1</f>
        <v>11.193600000000002</v>
      </c>
      <c r="G281" s="4874"/>
      <c r="H281" s="4869">
        <f t="shared" si="51"/>
        <v>0</v>
      </c>
      <c r="I281" s="4870" t="s">
        <v>112</v>
      </c>
      <c r="J281" s="4908"/>
      <c r="K281" s="4909"/>
      <c r="T281" s="4907"/>
      <c r="AA281" s="1785"/>
      <c r="AB281" s="1785"/>
      <c r="AC281" s="1785"/>
      <c r="AD281" s="1785"/>
    </row>
    <row r="282" spans="1:30" ht="13.5" customHeight="1">
      <c r="A282" s="2408"/>
      <c r="B282" s="2346"/>
      <c r="C282" s="2346"/>
      <c r="D282" s="2400" t="s">
        <v>3391</v>
      </c>
      <c r="E282" s="2346"/>
      <c r="F282" s="2409">
        <v>1.5</v>
      </c>
      <c r="G282" s="2387"/>
      <c r="H282" s="2387"/>
      <c r="I282" s="2352"/>
      <c r="J282" s="4919"/>
      <c r="K282" s="4920"/>
      <c r="L282" s="4920"/>
      <c r="M282" s="4920"/>
      <c r="N282" s="4920"/>
      <c r="O282" s="4921"/>
      <c r="P282" s="4921"/>
      <c r="Q282" s="4921"/>
      <c r="R282" s="4921"/>
      <c r="S282" s="4921"/>
      <c r="T282" s="4921"/>
      <c r="U282" s="4921"/>
      <c r="V282" s="122"/>
      <c r="W282" s="4921"/>
      <c r="X282" s="1975"/>
      <c r="Y282" s="1975"/>
      <c r="Z282" s="1951"/>
    </row>
    <row r="283" spans="1:30" s="2399" customFormat="1" ht="27" customHeight="1">
      <c r="A283" s="2402"/>
      <c r="B283" s="2403"/>
      <c r="C283" s="2410"/>
      <c r="D283" s="2400" t="s">
        <v>1994</v>
      </c>
      <c r="E283" s="2346"/>
      <c r="F283" s="2405"/>
      <c r="G283" s="4861"/>
      <c r="H283" s="2406"/>
      <c r="I283" s="2411"/>
      <c r="T283" s="4899"/>
      <c r="U283" s="4905"/>
      <c r="V283" s="4906"/>
      <c r="W283" s="4906"/>
      <c r="X283" s="4900"/>
      <c r="Y283" s="251"/>
    </row>
    <row r="284" spans="1:30" s="2399" customFormat="1" ht="13.5" customHeight="1">
      <c r="A284" s="4849"/>
      <c r="B284" s="4850"/>
      <c r="C284" s="4851"/>
      <c r="D284" s="4856" t="s">
        <v>6565</v>
      </c>
      <c r="E284" s="4852"/>
      <c r="F284" s="4853"/>
      <c r="G284" s="4871"/>
      <c r="H284" s="4854"/>
      <c r="I284" s="4855"/>
      <c r="T284" s="4899"/>
      <c r="U284" s="4905"/>
      <c r="V284" s="4906"/>
      <c r="W284" s="4906"/>
      <c r="X284" s="4900"/>
      <c r="Y284" s="251"/>
    </row>
    <row r="285" spans="1:30" s="2399" customFormat="1" ht="13.5" customHeight="1">
      <c r="A285" s="4857">
        <v>40</v>
      </c>
      <c r="B285" s="2346">
        <v>751</v>
      </c>
      <c r="C285" s="2346" t="s">
        <v>3392</v>
      </c>
      <c r="D285" s="2346" t="s">
        <v>3393</v>
      </c>
      <c r="E285" s="2346" t="s">
        <v>141</v>
      </c>
      <c r="F285" s="4859">
        <f>F292</f>
        <v>1.8</v>
      </c>
      <c r="G285" s="1641">
        <f>ROUND(SUM(H288:H291)/F285,2)</f>
        <v>0</v>
      </c>
      <c r="H285" s="2231">
        <f t="shared" ref="H285" si="52">ROUND(F285*G285,2)</f>
        <v>0</v>
      </c>
      <c r="I285" s="2352" t="s">
        <v>111</v>
      </c>
      <c r="J285" s="4897"/>
    </row>
    <row r="286" spans="1:30" s="2399" customFormat="1" ht="13.5" customHeight="1">
      <c r="A286" s="2398"/>
      <c r="B286" s="2346"/>
      <c r="C286" s="2346"/>
      <c r="D286" s="2400" t="s">
        <v>3394</v>
      </c>
      <c r="E286" s="2346"/>
      <c r="F286" s="2281"/>
      <c r="G286" s="4860"/>
      <c r="H286" s="2401"/>
      <c r="I286" s="2352"/>
      <c r="J286" s="4898"/>
      <c r="K286" s="147"/>
      <c r="L286" s="147"/>
      <c r="M286" s="4899"/>
      <c r="N286" s="4899"/>
      <c r="O286" s="4899"/>
      <c r="P286" s="4900"/>
      <c r="S286" s="4901"/>
    </row>
    <row r="287" spans="1:30" s="2399" customFormat="1" ht="27" customHeight="1">
      <c r="A287" s="2402"/>
      <c r="B287" s="2403"/>
      <c r="C287" s="2404"/>
      <c r="D287" s="2400" t="s">
        <v>3311</v>
      </c>
      <c r="E287" s="2346"/>
      <c r="F287" s="2405"/>
      <c r="G287" s="4861"/>
      <c r="H287" s="2406"/>
      <c r="I287" s="2407"/>
      <c r="J287" s="4898"/>
      <c r="K287" s="147"/>
      <c r="L287" s="1791"/>
      <c r="M287" s="1791"/>
      <c r="N287" s="251"/>
      <c r="O287" s="251"/>
      <c r="P287" s="4900"/>
      <c r="Q287" s="4903"/>
      <c r="R287" s="4904"/>
      <c r="S287" s="4901"/>
      <c r="T287" s="4899"/>
      <c r="U287" s="4905"/>
      <c r="V287" s="4906"/>
      <c r="W287" s="4906"/>
      <c r="X287" s="4900"/>
      <c r="Y287" s="251"/>
    </row>
    <row r="288" spans="1:30" s="251" customFormat="1" ht="27" customHeight="1">
      <c r="A288" s="4862" t="s">
        <v>5890</v>
      </c>
      <c r="B288" s="4863"/>
      <c r="C288" s="4864" t="s">
        <v>6690</v>
      </c>
      <c r="D288" s="4864" t="s">
        <v>6691</v>
      </c>
      <c r="E288" s="4864" t="s">
        <v>141</v>
      </c>
      <c r="F288" s="4865">
        <f>F285</f>
        <v>1.8</v>
      </c>
      <c r="G288" s="4873"/>
      <c r="H288" s="4866">
        <f t="shared" ref="H288:H291" si="53">ROUND(F288*G288,2)</f>
        <v>0</v>
      </c>
      <c r="I288" s="4697" t="s">
        <v>112</v>
      </c>
      <c r="J288" s="4908"/>
      <c r="K288" s="4909"/>
      <c r="L288" s="4909"/>
      <c r="M288" s="4910"/>
      <c r="N288" s="4910"/>
      <c r="O288" s="4910"/>
      <c r="P288" s="4911"/>
      <c r="Q288" s="4912"/>
      <c r="R288" s="4912"/>
      <c r="T288" s="4907"/>
      <c r="U288" s="4913"/>
      <c r="W288" s="4914"/>
      <c r="X288" s="4915"/>
      <c r="Y288" s="4916"/>
      <c r="Z288" s="1785"/>
      <c r="AA288" s="1785"/>
      <c r="AB288" s="1785"/>
      <c r="AC288" s="1785"/>
      <c r="AD288" s="1785"/>
    </row>
    <row r="289" spans="1:30" s="251" customFormat="1" ht="27" customHeight="1">
      <c r="A289" s="4862" t="s">
        <v>5891</v>
      </c>
      <c r="B289" s="4863"/>
      <c r="C289" s="4864" t="s">
        <v>6692</v>
      </c>
      <c r="D289" s="4864" t="s">
        <v>6693</v>
      </c>
      <c r="E289" s="4864" t="s">
        <v>141</v>
      </c>
      <c r="F289" s="4865">
        <f>(1.8)*1.05</f>
        <v>1.8900000000000001</v>
      </c>
      <c r="G289" s="4873"/>
      <c r="H289" s="4866">
        <f t="shared" si="53"/>
        <v>0</v>
      </c>
      <c r="I289" s="4697" t="s">
        <v>112</v>
      </c>
      <c r="J289" s="4924"/>
      <c r="K289" s="4925"/>
      <c r="L289" s="4925"/>
      <c r="M289" s="1785"/>
      <c r="N289" s="4908"/>
      <c r="O289" s="1785"/>
      <c r="P289" s="1785"/>
      <c r="Q289" s="1785"/>
      <c r="R289" s="2091"/>
      <c r="T289" s="4907"/>
      <c r="U289" s="4913"/>
      <c r="W289" s="4914"/>
      <c r="X289" s="4915"/>
      <c r="Y289" s="4916"/>
      <c r="Z289" s="1785"/>
      <c r="AA289" s="1785"/>
      <c r="AB289" s="1785"/>
      <c r="AC289" s="1785"/>
      <c r="AD289" s="1785"/>
    </row>
    <row r="290" spans="1:30" s="251" customFormat="1" ht="27" customHeight="1">
      <c r="A290" s="4862" t="s">
        <v>5892</v>
      </c>
      <c r="B290" s="4863"/>
      <c r="C290" s="4864">
        <v>713411121</v>
      </c>
      <c r="D290" s="4864" t="s">
        <v>6694</v>
      </c>
      <c r="E290" s="4864" t="s">
        <v>163</v>
      </c>
      <c r="F290" s="4865">
        <f>(1.8)*2.76</f>
        <v>4.968</v>
      </c>
      <c r="G290" s="4873"/>
      <c r="H290" s="4866">
        <f t="shared" si="53"/>
        <v>0</v>
      </c>
      <c r="I290" s="4697" t="s">
        <v>137</v>
      </c>
      <c r="J290" s="4908"/>
      <c r="K290" s="4909"/>
      <c r="L290" s="1791"/>
      <c r="M290" s="1791"/>
      <c r="P290" s="4911"/>
      <c r="Q290" s="4917"/>
      <c r="R290" s="4918"/>
      <c r="T290" s="4907"/>
      <c r="U290" s="4913"/>
      <c r="W290" s="4914"/>
      <c r="X290" s="4915"/>
      <c r="Y290" s="4916"/>
      <c r="Z290" s="1785"/>
      <c r="AA290" s="1785"/>
      <c r="AB290" s="1785"/>
      <c r="AC290" s="1785"/>
      <c r="AD290" s="1785"/>
    </row>
    <row r="291" spans="1:30" s="251" customFormat="1" ht="27" customHeight="1">
      <c r="A291" s="4862" t="s">
        <v>6695</v>
      </c>
      <c r="B291" s="4863"/>
      <c r="C291" s="4867" t="s">
        <v>6571</v>
      </c>
      <c r="D291" s="4867" t="s">
        <v>6696</v>
      </c>
      <c r="E291" s="4867" t="s">
        <v>163</v>
      </c>
      <c r="F291" s="4868">
        <f>((1.8)*2.76)*1.1</f>
        <v>5.4648000000000003</v>
      </c>
      <c r="G291" s="4874"/>
      <c r="H291" s="4869">
        <f t="shared" si="53"/>
        <v>0</v>
      </c>
      <c r="I291" s="4870" t="s">
        <v>112</v>
      </c>
      <c r="J291" s="4908"/>
      <c r="K291" s="4909"/>
      <c r="T291" s="4907"/>
      <c r="AA291" s="1785"/>
      <c r="AB291" s="1785"/>
      <c r="AC291" s="1785"/>
      <c r="AD291" s="1785"/>
    </row>
    <row r="292" spans="1:30" ht="13.5" customHeight="1">
      <c r="A292" s="2408"/>
      <c r="B292" s="2346"/>
      <c r="C292" s="2346"/>
      <c r="D292" s="2400" t="s">
        <v>3395</v>
      </c>
      <c r="E292" s="2346"/>
      <c r="F292" s="2409">
        <v>1.8</v>
      </c>
      <c r="G292" s="2387"/>
      <c r="H292" s="2387"/>
      <c r="I292" s="2352"/>
      <c r="J292" s="4919"/>
      <c r="K292" s="4920"/>
      <c r="L292" s="4920"/>
      <c r="M292" s="4920"/>
      <c r="N292" s="4920"/>
      <c r="O292" s="4921"/>
      <c r="P292" s="4921"/>
      <c r="Q292" s="4921"/>
      <c r="R292" s="4921"/>
      <c r="S292" s="4921"/>
      <c r="T292" s="4921"/>
      <c r="U292" s="4921"/>
      <c r="V292" s="122"/>
      <c r="W292" s="4921"/>
      <c r="X292" s="1975"/>
      <c r="Y292" s="1975"/>
      <c r="Z292" s="1951"/>
    </row>
    <row r="293" spans="1:30" s="2399" customFormat="1" ht="27" customHeight="1">
      <c r="A293" s="2402"/>
      <c r="B293" s="2403"/>
      <c r="C293" s="2410"/>
      <c r="D293" s="2400" t="s">
        <v>1994</v>
      </c>
      <c r="E293" s="2346"/>
      <c r="F293" s="2405"/>
      <c r="G293" s="4861"/>
      <c r="H293" s="2406"/>
      <c r="I293" s="2411"/>
      <c r="T293" s="4899"/>
      <c r="U293" s="4905"/>
      <c r="V293" s="4906"/>
      <c r="W293" s="4906"/>
      <c r="X293" s="4900"/>
      <c r="Y293" s="251"/>
    </row>
    <row r="294" spans="1:30" s="2399" customFormat="1" ht="13.5" customHeight="1">
      <c r="A294" s="4849"/>
      <c r="B294" s="4850"/>
      <c r="C294" s="4851"/>
      <c r="D294" s="4856" t="s">
        <v>6565</v>
      </c>
      <c r="E294" s="4852"/>
      <c r="F294" s="4853"/>
      <c r="G294" s="4871"/>
      <c r="H294" s="4854"/>
      <c r="I294" s="4855"/>
      <c r="T294" s="4899"/>
      <c r="U294" s="4905"/>
      <c r="V294" s="4906"/>
      <c r="W294" s="4906"/>
      <c r="X294" s="4900"/>
      <c r="Y294" s="251"/>
    </row>
    <row r="295" spans="1:30" s="2399" customFormat="1" ht="13.5" customHeight="1">
      <c r="A295" s="4857">
        <v>41</v>
      </c>
      <c r="B295" s="2346">
        <v>751</v>
      </c>
      <c r="C295" s="2346" t="s">
        <v>3396</v>
      </c>
      <c r="D295" s="2346" t="s">
        <v>3397</v>
      </c>
      <c r="E295" s="2346" t="s">
        <v>141</v>
      </c>
      <c r="F295" s="4859">
        <f>F302</f>
        <v>9</v>
      </c>
      <c r="G295" s="1641">
        <f>ROUND(SUM(H298:H301)/F295,2)</f>
        <v>0</v>
      </c>
      <c r="H295" s="2231">
        <f t="shared" ref="H295" si="54">ROUND(F295*G295,2)</f>
        <v>0</v>
      </c>
      <c r="I295" s="2352" t="s">
        <v>111</v>
      </c>
      <c r="J295" s="4897"/>
    </row>
    <row r="296" spans="1:30" s="2399" customFormat="1" ht="13.5" customHeight="1">
      <c r="A296" s="2398"/>
      <c r="B296" s="2346"/>
      <c r="C296" s="2346"/>
      <c r="D296" s="2400" t="s">
        <v>3398</v>
      </c>
      <c r="E296" s="2346"/>
      <c r="F296" s="2281"/>
      <c r="G296" s="4860"/>
      <c r="H296" s="2401"/>
      <c r="I296" s="2352"/>
      <c r="J296" s="4898"/>
      <c r="K296" s="147"/>
      <c r="L296" s="147"/>
      <c r="M296" s="4899"/>
      <c r="N296" s="4899"/>
      <c r="O296" s="4899"/>
      <c r="P296" s="4900"/>
      <c r="S296" s="4901"/>
    </row>
    <row r="297" spans="1:30" s="2399" customFormat="1" ht="27" customHeight="1">
      <c r="A297" s="2402"/>
      <c r="B297" s="2403"/>
      <c r="C297" s="2404"/>
      <c r="D297" s="2400" t="s">
        <v>3311</v>
      </c>
      <c r="E297" s="2346"/>
      <c r="F297" s="2405"/>
      <c r="G297" s="4861"/>
      <c r="H297" s="2406"/>
      <c r="I297" s="2407"/>
      <c r="J297" s="4898"/>
      <c r="K297" s="147"/>
      <c r="L297" s="1791"/>
      <c r="M297" s="1791"/>
      <c r="N297" s="251"/>
      <c r="O297" s="251"/>
      <c r="P297" s="4900"/>
      <c r="Q297" s="4903"/>
      <c r="R297" s="4904"/>
      <c r="S297" s="4901"/>
      <c r="T297" s="4899"/>
      <c r="U297" s="4905"/>
      <c r="V297" s="4906"/>
      <c r="W297" s="4906"/>
      <c r="X297" s="4900"/>
      <c r="Y297" s="251"/>
    </row>
    <row r="298" spans="1:30" s="251" customFormat="1" ht="27" customHeight="1">
      <c r="A298" s="4862" t="s">
        <v>4076</v>
      </c>
      <c r="B298" s="4863"/>
      <c r="C298" s="4864" t="s">
        <v>6603</v>
      </c>
      <c r="D298" s="4864" t="s">
        <v>6697</v>
      </c>
      <c r="E298" s="4864" t="s">
        <v>141</v>
      </c>
      <c r="F298" s="4865">
        <f>F295</f>
        <v>9</v>
      </c>
      <c r="G298" s="4873"/>
      <c r="H298" s="4866">
        <f t="shared" ref="H298:H301" si="55">ROUND(F298*G298,2)</f>
        <v>0</v>
      </c>
      <c r="I298" s="4697" t="s">
        <v>112</v>
      </c>
      <c r="J298" s="4908"/>
      <c r="K298" s="4909"/>
      <c r="L298" s="4909"/>
      <c r="M298" s="4910"/>
      <c r="N298" s="4910"/>
      <c r="O298" s="4910"/>
      <c r="P298" s="4911"/>
      <c r="Q298" s="4912"/>
      <c r="R298" s="4912"/>
      <c r="T298" s="4907"/>
      <c r="U298" s="4913"/>
      <c r="W298" s="4914"/>
      <c r="X298" s="4915"/>
      <c r="Y298" s="4916"/>
      <c r="Z298" s="1785"/>
      <c r="AA298" s="1785"/>
      <c r="AB298" s="1785"/>
      <c r="AC298" s="1785"/>
      <c r="AD298" s="1785"/>
    </row>
    <row r="299" spans="1:30" s="251" customFormat="1" ht="27" customHeight="1">
      <c r="A299" s="4862" t="s">
        <v>4080</v>
      </c>
      <c r="B299" s="4863"/>
      <c r="C299" s="4864" t="s">
        <v>6605</v>
      </c>
      <c r="D299" s="4864" t="s">
        <v>6698</v>
      </c>
      <c r="E299" s="4864" t="s">
        <v>141</v>
      </c>
      <c r="F299" s="4865">
        <f>(9)*1.05</f>
        <v>9.4500000000000011</v>
      </c>
      <c r="G299" s="4873"/>
      <c r="H299" s="4866">
        <f t="shared" si="55"/>
        <v>0</v>
      </c>
      <c r="I299" s="4697" t="s">
        <v>112</v>
      </c>
      <c r="J299" s="4924"/>
      <c r="K299" s="4925"/>
      <c r="L299" s="4925"/>
      <c r="M299" s="1785"/>
      <c r="N299" s="4908"/>
      <c r="O299" s="1785"/>
      <c r="P299" s="1785"/>
      <c r="Q299" s="1785"/>
      <c r="R299" s="2091"/>
      <c r="T299" s="4907"/>
      <c r="U299" s="4913"/>
      <c r="W299" s="4914"/>
      <c r="X299" s="4915"/>
      <c r="Y299" s="4916"/>
      <c r="Z299" s="1785"/>
      <c r="AA299" s="1785"/>
      <c r="AB299" s="1785"/>
      <c r="AC299" s="1785"/>
      <c r="AD299" s="1785"/>
    </row>
    <row r="300" spans="1:30" s="251" customFormat="1" ht="27" customHeight="1">
      <c r="A300" s="4862" t="s">
        <v>5898</v>
      </c>
      <c r="B300" s="4863"/>
      <c r="C300" s="4864">
        <v>713411121</v>
      </c>
      <c r="D300" s="4864" t="s">
        <v>6699</v>
      </c>
      <c r="E300" s="4864" t="s">
        <v>163</v>
      </c>
      <c r="F300" s="4865">
        <f>(9)*1.19</f>
        <v>10.709999999999999</v>
      </c>
      <c r="G300" s="4873"/>
      <c r="H300" s="4866">
        <f t="shared" si="55"/>
        <v>0</v>
      </c>
      <c r="I300" s="4697" t="s">
        <v>137</v>
      </c>
      <c r="J300" s="4908"/>
      <c r="K300" s="4909"/>
      <c r="L300" s="1791"/>
      <c r="M300" s="1791"/>
      <c r="P300" s="4911"/>
      <c r="Q300" s="4917"/>
      <c r="R300" s="4918"/>
      <c r="T300" s="4907"/>
      <c r="U300" s="4913"/>
      <c r="W300" s="4914"/>
      <c r="X300" s="4915"/>
      <c r="Y300" s="4916"/>
      <c r="Z300" s="1785"/>
      <c r="AA300" s="1785"/>
      <c r="AB300" s="1785"/>
      <c r="AC300" s="1785"/>
      <c r="AD300" s="1785"/>
    </row>
    <row r="301" spans="1:30" s="251" customFormat="1" ht="27" customHeight="1">
      <c r="A301" s="4862" t="s">
        <v>5899</v>
      </c>
      <c r="B301" s="4863"/>
      <c r="C301" s="4867" t="s">
        <v>6571</v>
      </c>
      <c r="D301" s="4867" t="s">
        <v>6700</v>
      </c>
      <c r="E301" s="4867" t="s">
        <v>163</v>
      </c>
      <c r="F301" s="4868">
        <f xml:space="preserve"> ((9)*1.19)*1.1</f>
        <v>11.781000000000001</v>
      </c>
      <c r="G301" s="4874"/>
      <c r="H301" s="4869">
        <f t="shared" si="55"/>
        <v>0</v>
      </c>
      <c r="I301" s="4870" t="s">
        <v>112</v>
      </c>
      <c r="J301" s="4908"/>
      <c r="K301" s="4909"/>
      <c r="T301" s="4907"/>
      <c r="AA301" s="1785"/>
      <c r="AB301" s="1785"/>
      <c r="AC301" s="1785"/>
      <c r="AD301" s="1785"/>
    </row>
    <row r="302" spans="1:30" ht="13.5" customHeight="1">
      <c r="A302" s="2408"/>
      <c r="B302" s="2346"/>
      <c r="C302" s="2346"/>
      <c r="D302" s="2400" t="s">
        <v>3399</v>
      </c>
      <c r="E302" s="2346"/>
      <c r="F302" s="2409">
        <v>9</v>
      </c>
      <c r="G302" s="2387"/>
      <c r="H302" s="2387"/>
      <c r="I302" s="2352"/>
      <c r="J302" s="4919"/>
      <c r="K302" s="4920"/>
      <c r="L302" s="4920"/>
      <c r="M302" s="4920"/>
      <c r="N302" s="4920"/>
      <c r="O302" s="4921"/>
      <c r="P302" s="4921"/>
      <c r="Q302" s="4921"/>
      <c r="R302" s="4921"/>
      <c r="S302" s="4921"/>
      <c r="T302" s="4921"/>
      <c r="U302" s="4921"/>
      <c r="V302" s="122"/>
      <c r="W302" s="4921"/>
      <c r="X302" s="1975"/>
      <c r="Y302" s="1975"/>
      <c r="Z302" s="1951"/>
    </row>
    <row r="303" spans="1:30" s="2399" customFormat="1" ht="27" customHeight="1">
      <c r="A303" s="2402"/>
      <c r="B303" s="2403"/>
      <c r="C303" s="2410"/>
      <c r="D303" s="2400" t="s">
        <v>1994</v>
      </c>
      <c r="E303" s="2346"/>
      <c r="F303" s="2405"/>
      <c r="G303" s="4861"/>
      <c r="H303" s="2406"/>
      <c r="I303" s="2411"/>
      <c r="T303" s="4899"/>
      <c r="U303" s="4905"/>
      <c r="V303" s="4906"/>
      <c r="W303" s="4906"/>
      <c r="X303" s="4900"/>
      <c r="Y303" s="251"/>
    </row>
    <row r="304" spans="1:30" s="2399" customFormat="1" ht="13.5" customHeight="1">
      <c r="A304" s="4849"/>
      <c r="B304" s="4850"/>
      <c r="C304" s="4851"/>
      <c r="D304" s="4856" t="s">
        <v>6565</v>
      </c>
      <c r="E304" s="4852"/>
      <c r="F304" s="4853"/>
      <c r="G304" s="4871"/>
      <c r="H304" s="4854"/>
      <c r="I304" s="4855"/>
      <c r="T304" s="4899"/>
      <c r="U304" s="4905"/>
      <c r="V304" s="4906"/>
      <c r="W304" s="4906"/>
      <c r="X304" s="4900"/>
      <c r="Y304" s="251"/>
    </row>
    <row r="305" spans="1:30" s="2399" customFormat="1" ht="13.5" customHeight="1">
      <c r="A305" s="4857">
        <v>42</v>
      </c>
      <c r="B305" s="2346">
        <v>751</v>
      </c>
      <c r="C305" s="2346" t="s">
        <v>3400</v>
      </c>
      <c r="D305" s="2346" t="s">
        <v>3401</v>
      </c>
      <c r="E305" s="2346" t="s">
        <v>141</v>
      </c>
      <c r="F305" s="4859">
        <f>F312</f>
        <v>21.1</v>
      </c>
      <c r="G305" s="1641">
        <f>ROUND(SUM(H308:H311)/F305,2)</f>
        <v>0</v>
      </c>
      <c r="H305" s="2231">
        <f t="shared" ref="H305" si="56">ROUND(F305*G305,2)</f>
        <v>0</v>
      </c>
      <c r="I305" s="2352" t="s">
        <v>111</v>
      </c>
      <c r="J305" s="4897"/>
    </row>
    <row r="306" spans="1:30" s="2399" customFormat="1" ht="13.5" customHeight="1">
      <c r="A306" s="2398"/>
      <c r="B306" s="2346"/>
      <c r="C306" s="2346"/>
      <c r="D306" s="2400" t="s">
        <v>3402</v>
      </c>
      <c r="E306" s="2346"/>
      <c r="F306" s="2281"/>
      <c r="G306" s="4860"/>
      <c r="H306" s="2401"/>
      <c r="I306" s="2352"/>
      <c r="J306" s="4898"/>
      <c r="K306" s="147"/>
      <c r="L306" s="147"/>
      <c r="M306" s="4899"/>
      <c r="N306" s="4899"/>
      <c r="O306" s="4899"/>
      <c r="P306" s="4900"/>
      <c r="S306" s="4901"/>
    </row>
    <row r="307" spans="1:30" s="2399" customFormat="1" ht="27" customHeight="1">
      <c r="A307" s="2402"/>
      <c r="B307" s="2403"/>
      <c r="C307" s="2404"/>
      <c r="D307" s="2400" t="s">
        <v>3311</v>
      </c>
      <c r="E307" s="2346"/>
      <c r="F307" s="2405"/>
      <c r="G307" s="4861"/>
      <c r="H307" s="2406"/>
      <c r="I307" s="2407"/>
      <c r="J307" s="4898"/>
      <c r="K307" s="147"/>
      <c r="L307" s="1791"/>
      <c r="M307" s="1791"/>
      <c r="N307" s="251"/>
      <c r="O307" s="251"/>
      <c r="P307" s="4900"/>
      <c r="Q307" s="4903"/>
      <c r="R307" s="4904"/>
      <c r="S307" s="4901"/>
      <c r="T307" s="4899"/>
      <c r="U307" s="4905"/>
      <c r="V307" s="4906"/>
      <c r="W307" s="4906"/>
      <c r="X307" s="4900"/>
      <c r="Y307" s="251"/>
    </row>
    <row r="308" spans="1:30" s="251" customFormat="1" ht="27" customHeight="1">
      <c r="A308" s="4862" t="s">
        <v>6701</v>
      </c>
      <c r="B308" s="4863"/>
      <c r="C308" s="4864" t="s">
        <v>6625</v>
      </c>
      <c r="D308" s="4864" t="s">
        <v>6702</v>
      </c>
      <c r="E308" s="4864" t="s">
        <v>141</v>
      </c>
      <c r="F308" s="4865">
        <f>F305</f>
        <v>21.1</v>
      </c>
      <c r="G308" s="4873"/>
      <c r="H308" s="4866">
        <f t="shared" ref="H308:H311" si="57">ROUND(F308*G308,2)</f>
        <v>0</v>
      </c>
      <c r="I308" s="4697" t="s">
        <v>112</v>
      </c>
      <c r="J308" s="4908"/>
      <c r="K308" s="4909"/>
      <c r="L308" s="4909"/>
      <c r="M308" s="4910"/>
      <c r="N308" s="4910"/>
      <c r="O308" s="4910"/>
      <c r="P308" s="4911"/>
      <c r="Q308" s="4912"/>
      <c r="R308" s="4912"/>
      <c r="T308" s="4907"/>
      <c r="U308" s="4913"/>
      <c r="W308" s="4914"/>
      <c r="X308" s="4915"/>
      <c r="Y308" s="4916"/>
      <c r="Z308" s="1785"/>
      <c r="AA308" s="1785"/>
      <c r="AB308" s="1785"/>
      <c r="AC308" s="1785"/>
      <c r="AD308" s="1785"/>
    </row>
    <row r="309" spans="1:30" s="251" customFormat="1" ht="27" customHeight="1">
      <c r="A309" s="4862" t="s">
        <v>6703</v>
      </c>
      <c r="B309" s="4863"/>
      <c r="C309" s="4864" t="s">
        <v>6627</v>
      </c>
      <c r="D309" s="4864" t="s">
        <v>6704</v>
      </c>
      <c r="E309" s="4864" t="s">
        <v>141</v>
      </c>
      <c r="F309" s="4865">
        <f xml:space="preserve"> (21.1)*1.05</f>
        <v>22.155000000000001</v>
      </c>
      <c r="G309" s="4873"/>
      <c r="H309" s="4866">
        <f t="shared" si="57"/>
        <v>0</v>
      </c>
      <c r="I309" s="4697" t="s">
        <v>112</v>
      </c>
      <c r="J309" s="4924"/>
      <c r="K309" s="4925"/>
      <c r="L309" s="4925"/>
      <c r="M309" s="1785"/>
      <c r="N309" s="4908"/>
      <c r="O309" s="1785"/>
      <c r="P309" s="1785"/>
      <c r="Q309" s="1785"/>
      <c r="R309" s="2091"/>
      <c r="T309" s="4907"/>
      <c r="U309" s="4913"/>
      <c r="W309" s="4914"/>
      <c r="X309" s="4915"/>
      <c r="Y309" s="4916"/>
      <c r="Z309" s="1785"/>
      <c r="AA309" s="1785"/>
      <c r="AB309" s="1785"/>
      <c r="AC309" s="1785"/>
      <c r="AD309" s="1785"/>
    </row>
    <row r="310" spans="1:30" s="251" customFormat="1" ht="27" customHeight="1">
      <c r="A310" s="4862" t="s">
        <v>6705</v>
      </c>
      <c r="B310" s="4863"/>
      <c r="C310" s="4864">
        <v>713411121</v>
      </c>
      <c r="D310" s="4864" t="s">
        <v>6706</v>
      </c>
      <c r="E310" s="4864" t="s">
        <v>163</v>
      </c>
      <c r="F310" s="4865">
        <f>(21.1)*1.27</f>
        <v>26.797000000000001</v>
      </c>
      <c r="G310" s="4873"/>
      <c r="H310" s="4866">
        <f t="shared" si="57"/>
        <v>0</v>
      </c>
      <c r="I310" s="4697" t="s">
        <v>137</v>
      </c>
      <c r="J310" s="4908"/>
      <c r="K310" s="4909"/>
      <c r="L310" s="1791"/>
      <c r="M310" s="1791"/>
      <c r="P310" s="4911"/>
      <c r="Q310" s="4917"/>
      <c r="R310" s="4918"/>
      <c r="T310" s="4907"/>
      <c r="U310" s="4913"/>
      <c r="W310" s="4914"/>
      <c r="X310" s="4915"/>
      <c r="Y310" s="4916"/>
      <c r="Z310" s="1785"/>
      <c r="AA310" s="1785"/>
      <c r="AB310" s="1785"/>
      <c r="AC310" s="1785"/>
      <c r="AD310" s="1785"/>
    </row>
    <row r="311" spans="1:30" s="251" customFormat="1" ht="27" customHeight="1">
      <c r="A311" s="4862" t="s">
        <v>6707</v>
      </c>
      <c r="B311" s="4863"/>
      <c r="C311" s="4867" t="s">
        <v>6571</v>
      </c>
      <c r="D311" s="4867" t="s">
        <v>6708</v>
      </c>
      <c r="E311" s="4867" t="s">
        <v>163</v>
      </c>
      <c r="F311" s="4868">
        <f>((21.1)*1.27)*1.1</f>
        <v>29.476700000000005</v>
      </c>
      <c r="G311" s="4874"/>
      <c r="H311" s="4869">
        <f t="shared" si="57"/>
        <v>0</v>
      </c>
      <c r="I311" s="4870" t="s">
        <v>112</v>
      </c>
      <c r="J311" s="4908"/>
      <c r="K311" s="4909"/>
      <c r="T311" s="4907"/>
      <c r="AA311" s="1785"/>
      <c r="AB311" s="1785"/>
      <c r="AC311" s="1785"/>
      <c r="AD311" s="1785"/>
    </row>
    <row r="312" spans="1:30" ht="13.5" customHeight="1">
      <c r="A312" s="2408"/>
      <c r="B312" s="2346"/>
      <c r="C312" s="2346"/>
      <c r="D312" s="2400" t="s">
        <v>3403</v>
      </c>
      <c r="E312" s="2346"/>
      <c r="F312" s="2409">
        <v>21.1</v>
      </c>
      <c r="G312" s="2387"/>
      <c r="H312" s="2387"/>
      <c r="I312" s="2352"/>
      <c r="J312" s="4919"/>
      <c r="K312" s="4920"/>
      <c r="L312" s="4920"/>
      <c r="M312" s="4920"/>
      <c r="N312" s="4920"/>
      <c r="O312" s="4921"/>
      <c r="P312" s="4921"/>
      <c r="Q312" s="4921"/>
      <c r="R312" s="4921"/>
      <c r="S312" s="4921"/>
      <c r="T312" s="4921"/>
      <c r="U312" s="4921"/>
      <c r="V312" s="122"/>
      <c r="W312" s="4921"/>
      <c r="X312" s="1975"/>
      <c r="Y312" s="1975"/>
      <c r="Z312" s="1951"/>
    </row>
    <row r="313" spans="1:30" s="2399" customFormat="1" ht="27" customHeight="1">
      <c r="A313" s="2402"/>
      <c r="B313" s="2403"/>
      <c r="C313" s="2410"/>
      <c r="D313" s="2400" t="s">
        <v>1994</v>
      </c>
      <c r="E313" s="2346"/>
      <c r="F313" s="2405"/>
      <c r="G313" s="4861"/>
      <c r="H313" s="2406"/>
      <c r="I313" s="2411"/>
      <c r="T313" s="4899"/>
      <c r="U313" s="4905"/>
      <c r="V313" s="4906"/>
      <c r="W313" s="4906"/>
      <c r="X313" s="4900"/>
      <c r="Y313" s="251"/>
    </row>
    <row r="314" spans="1:30" s="2399" customFormat="1" ht="13.5" customHeight="1">
      <c r="A314" s="4849"/>
      <c r="B314" s="4850"/>
      <c r="C314" s="4851"/>
      <c r="D314" s="4856" t="s">
        <v>6565</v>
      </c>
      <c r="E314" s="4852"/>
      <c r="F314" s="4853"/>
      <c r="G314" s="4871"/>
      <c r="H314" s="4854"/>
      <c r="I314" s="4855"/>
      <c r="T314" s="4899"/>
      <c r="U314" s="4905"/>
      <c r="V314" s="4906"/>
      <c r="W314" s="4906"/>
      <c r="X314" s="4900"/>
      <c r="Y314" s="251"/>
    </row>
    <row r="315" spans="1:30" s="2399" customFormat="1" ht="13.5" customHeight="1">
      <c r="A315" s="4857">
        <v>43</v>
      </c>
      <c r="B315" s="2346">
        <v>751</v>
      </c>
      <c r="C315" s="2346" t="s">
        <v>3404</v>
      </c>
      <c r="D315" s="2346" t="s">
        <v>3405</v>
      </c>
      <c r="E315" s="2346" t="s">
        <v>141</v>
      </c>
      <c r="F315" s="4859">
        <f>F322</f>
        <v>1.5</v>
      </c>
      <c r="G315" s="1641">
        <f>ROUND(SUM(H318:H321)/F315,2)</f>
        <v>0</v>
      </c>
      <c r="H315" s="2231">
        <f t="shared" ref="H315" si="58">ROUND(F315*G315,2)</f>
        <v>0</v>
      </c>
      <c r="I315" s="2352" t="s">
        <v>111</v>
      </c>
      <c r="J315" s="4897"/>
    </row>
    <row r="316" spans="1:30" s="2399" customFormat="1" ht="13.5" customHeight="1">
      <c r="A316" s="2398"/>
      <c r="B316" s="2346"/>
      <c r="C316" s="2346"/>
      <c r="D316" s="2400" t="s">
        <v>3406</v>
      </c>
      <c r="E316" s="2346"/>
      <c r="F316" s="2281"/>
      <c r="G316" s="4860"/>
      <c r="H316" s="2401"/>
      <c r="I316" s="2352"/>
      <c r="J316" s="4898"/>
      <c r="K316" s="147"/>
      <c r="L316" s="147"/>
      <c r="M316" s="4899"/>
      <c r="N316" s="4899"/>
      <c r="O316" s="4899"/>
      <c r="P316" s="4900"/>
      <c r="S316" s="4901"/>
    </row>
    <row r="317" spans="1:30" s="2399" customFormat="1" ht="27" customHeight="1">
      <c r="A317" s="2402"/>
      <c r="B317" s="2403"/>
      <c r="C317" s="2404"/>
      <c r="D317" s="2400" t="s">
        <v>3311</v>
      </c>
      <c r="E317" s="2346"/>
      <c r="F317" s="2405"/>
      <c r="G317" s="4861"/>
      <c r="H317" s="2406"/>
      <c r="I317" s="2407"/>
      <c r="J317" s="4898"/>
      <c r="K317" s="147"/>
      <c r="L317" s="1791"/>
      <c r="M317" s="1791"/>
      <c r="N317" s="251"/>
      <c r="O317" s="251"/>
      <c r="P317" s="4900"/>
      <c r="Q317" s="4903"/>
      <c r="R317" s="4904"/>
      <c r="S317" s="4901"/>
      <c r="T317" s="4899"/>
      <c r="U317" s="4905"/>
      <c r="V317" s="4906"/>
      <c r="W317" s="4906"/>
      <c r="X317" s="4900"/>
      <c r="Y317" s="251"/>
    </row>
    <row r="318" spans="1:30" s="251" customFormat="1" ht="27" customHeight="1">
      <c r="A318" s="4862" t="s">
        <v>6709</v>
      </c>
      <c r="B318" s="4863"/>
      <c r="C318" s="4864" t="s">
        <v>6632</v>
      </c>
      <c r="D318" s="4864" t="s">
        <v>6710</v>
      </c>
      <c r="E318" s="4864" t="s">
        <v>141</v>
      </c>
      <c r="F318" s="4865">
        <f>F315</f>
        <v>1.5</v>
      </c>
      <c r="G318" s="4873"/>
      <c r="H318" s="4866">
        <f t="shared" ref="H318:H321" si="59">ROUND(F318*G318,2)</f>
        <v>0</v>
      </c>
      <c r="I318" s="4697" t="s">
        <v>112</v>
      </c>
      <c r="J318" s="4908"/>
      <c r="K318" s="4909"/>
      <c r="L318" s="4909"/>
      <c r="M318" s="4910"/>
      <c r="N318" s="4910"/>
      <c r="O318" s="4910"/>
      <c r="P318" s="4911"/>
      <c r="Q318" s="4912"/>
      <c r="R318" s="4912"/>
      <c r="T318" s="4907"/>
      <c r="U318" s="4913"/>
      <c r="W318" s="4914"/>
      <c r="X318" s="4915"/>
      <c r="Y318" s="4916"/>
      <c r="Z318" s="1785"/>
      <c r="AA318" s="1785"/>
      <c r="AB318" s="1785"/>
      <c r="AC318" s="1785"/>
      <c r="AD318" s="1785"/>
    </row>
    <row r="319" spans="1:30" s="251" customFormat="1" ht="27" customHeight="1">
      <c r="A319" s="4862" t="s">
        <v>6711</v>
      </c>
      <c r="B319" s="4863"/>
      <c r="C319" s="4864" t="s">
        <v>6634</v>
      </c>
      <c r="D319" s="4864" t="s">
        <v>6712</v>
      </c>
      <c r="E319" s="4864" t="s">
        <v>141</v>
      </c>
      <c r="F319" s="4865">
        <f>(1.5)*1.05</f>
        <v>1.5750000000000002</v>
      </c>
      <c r="G319" s="4873"/>
      <c r="H319" s="4866">
        <f t="shared" si="59"/>
        <v>0</v>
      </c>
      <c r="I319" s="4697" t="s">
        <v>112</v>
      </c>
      <c r="J319" s="4924"/>
      <c r="K319" s="4925"/>
      <c r="L319" s="4925"/>
      <c r="M319" s="1785"/>
      <c r="N319" s="4908"/>
      <c r="O319" s="1785"/>
      <c r="P319" s="1785"/>
      <c r="Q319" s="1785"/>
      <c r="R319" s="2091"/>
      <c r="T319" s="4907"/>
      <c r="U319" s="4913"/>
      <c r="W319" s="4914"/>
      <c r="X319" s="4915"/>
      <c r="Y319" s="4916"/>
      <c r="Z319" s="1785"/>
      <c r="AA319" s="1785"/>
      <c r="AB319" s="1785"/>
      <c r="AC319" s="1785"/>
      <c r="AD319" s="1785"/>
    </row>
    <row r="320" spans="1:30" s="251" customFormat="1" ht="27" customHeight="1">
      <c r="A320" s="4862" t="s">
        <v>6713</v>
      </c>
      <c r="B320" s="4863"/>
      <c r="C320" s="4864">
        <v>713411121</v>
      </c>
      <c r="D320" s="4864" t="s">
        <v>6714</v>
      </c>
      <c r="E320" s="4864" t="s">
        <v>163</v>
      </c>
      <c r="F320" s="4865">
        <f>(1.5)*2.47</f>
        <v>3.7050000000000001</v>
      </c>
      <c r="G320" s="4873"/>
      <c r="H320" s="4866">
        <f t="shared" si="59"/>
        <v>0</v>
      </c>
      <c r="I320" s="4697" t="s">
        <v>137</v>
      </c>
      <c r="J320" s="4908"/>
      <c r="K320" s="4909"/>
      <c r="L320" s="1791"/>
      <c r="M320" s="1791"/>
      <c r="P320" s="4911"/>
      <c r="Q320" s="4917"/>
      <c r="R320" s="4918"/>
      <c r="T320" s="4907"/>
      <c r="U320" s="4913"/>
      <c r="W320" s="4914"/>
      <c r="X320" s="4915"/>
      <c r="Y320" s="4916"/>
      <c r="Z320" s="1785"/>
      <c r="AA320" s="1785"/>
      <c r="AB320" s="1785"/>
      <c r="AC320" s="1785"/>
      <c r="AD320" s="1785"/>
    </row>
    <row r="321" spans="1:30" s="251" customFormat="1" ht="27" customHeight="1">
      <c r="A321" s="4862" t="s">
        <v>6715</v>
      </c>
      <c r="B321" s="4863"/>
      <c r="C321" s="4867" t="s">
        <v>6571</v>
      </c>
      <c r="D321" s="4867" t="s">
        <v>6716</v>
      </c>
      <c r="E321" s="4867" t="s">
        <v>163</v>
      </c>
      <c r="F321" s="4868">
        <f>((1.5)*2.47)*1.1</f>
        <v>4.0755000000000008</v>
      </c>
      <c r="G321" s="4874"/>
      <c r="H321" s="4869">
        <f t="shared" si="59"/>
        <v>0</v>
      </c>
      <c r="I321" s="4870" t="s">
        <v>112</v>
      </c>
      <c r="J321" s="4908"/>
      <c r="K321" s="4909"/>
      <c r="T321" s="4907"/>
      <c r="AA321" s="1785"/>
      <c r="AB321" s="1785"/>
      <c r="AC321" s="1785"/>
      <c r="AD321" s="1785"/>
    </row>
    <row r="322" spans="1:30" ht="13.5" customHeight="1">
      <c r="A322" s="2408"/>
      <c r="B322" s="2346"/>
      <c r="C322" s="2346"/>
      <c r="D322" s="2400" t="s">
        <v>3407</v>
      </c>
      <c r="E322" s="2346"/>
      <c r="F322" s="2409">
        <v>1.5</v>
      </c>
      <c r="G322" s="2387"/>
      <c r="H322" s="2387"/>
      <c r="I322" s="2352"/>
      <c r="J322" s="4919"/>
      <c r="K322" s="4920"/>
      <c r="L322" s="4920"/>
      <c r="M322" s="4920"/>
      <c r="N322" s="4920"/>
      <c r="O322" s="4921"/>
      <c r="P322" s="4921"/>
      <c r="Q322" s="4921"/>
      <c r="R322" s="4921"/>
      <c r="S322" s="4921"/>
      <c r="T322" s="4921"/>
      <c r="U322" s="4921"/>
      <c r="V322" s="122"/>
      <c r="W322" s="4921"/>
      <c r="X322" s="1975"/>
      <c r="Y322" s="1975"/>
      <c r="Z322" s="1951"/>
    </row>
    <row r="323" spans="1:30" s="2399" customFormat="1" ht="27" customHeight="1">
      <c r="A323" s="2402"/>
      <c r="B323" s="2403"/>
      <c r="C323" s="2410"/>
      <c r="D323" s="2400" t="s">
        <v>1994</v>
      </c>
      <c r="E323" s="2346"/>
      <c r="F323" s="2405"/>
      <c r="G323" s="4861"/>
      <c r="H323" s="2406"/>
      <c r="I323" s="2411"/>
      <c r="T323" s="4899"/>
      <c r="U323" s="4905"/>
      <c r="V323" s="4906"/>
      <c r="W323" s="4906"/>
      <c r="X323" s="4900"/>
      <c r="Y323" s="251"/>
    </row>
    <row r="324" spans="1:30" s="2399" customFormat="1" ht="13.5" customHeight="1">
      <c r="A324" s="4849"/>
      <c r="B324" s="4850"/>
      <c r="C324" s="4851"/>
      <c r="D324" s="4856" t="s">
        <v>6565</v>
      </c>
      <c r="E324" s="4852"/>
      <c r="F324" s="4853"/>
      <c r="G324" s="4871"/>
      <c r="H324" s="4854"/>
      <c r="I324" s="4855"/>
      <c r="T324" s="4899"/>
      <c r="U324" s="4905"/>
      <c r="V324" s="4906"/>
      <c r="W324" s="4906"/>
      <c r="X324" s="4900"/>
      <c r="Y324" s="251"/>
    </row>
    <row r="325" spans="1:30" s="2399" customFormat="1" ht="13.5" customHeight="1">
      <c r="A325" s="4857">
        <v>44</v>
      </c>
      <c r="B325" s="2346">
        <v>751</v>
      </c>
      <c r="C325" s="2346" t="s">
        <v>3408</v>
      </c>
      <c r="D325" s="2346" t="s">
        <v>3409</v>
      </c>
      <c r="E325" s="2346" t="s">
        <v>141</v>
      </c>
      <c r="F325" s="4859">
        <f>F332</f>
        <v>4.3</v>
      </c>
      <c r="G325" s="1641">
        <f>ROUND(SUM(H328:H331)/F325,2)</f>
        <v>0</v>
      </c>
      <c r="H325" s="2231">
        <f t="shared" ref="H325" si="60">ROUND(F325*G325,2)</f>
        <v>0</v>
      </c>
      <c r="I325" s="2352" t="s">
        <v>111</v>
      </c>
      <c r="J325" s="4897"/>
    </row>
    <row r="326" spans="1:30" s="2399" customFormat="1" ht="13.5" customHeight="1">
      <c r="A326" s="2398"/>
      <c r="B326" s="2346"/>
      <c r="C326" s="2346"/>
      <c r="D326" s="2400" t="s">
        <v>3410</v>
      </c>
      <c r="E326" s="2346"/>
      <c r="F326" s="2281"/>
      <c r="G326" s="4860"/>
      <c r="H326" s="2401"/>
      <c r="I326" s="2352"/>
      <c r="J326" s="4898"/>
      <c r="K326" s="147"/>
      <c r="L326" s="147"/>
      <c r="M326" s="4899"/>
      <c r="N326" s="4899"/>
      <c r="O326" s="4899"/>
      <c r="P326" s="4900"/>
      <c r="S326" s="4901"/>
    </row>
    <row r="327" spans="1:30" s="2399" customFormat="1" ht="27" customHeight="1">
      <c r="A327" s="2402"/>
      <c r="B327" s="2403"/>
      <c r="C327" s="2404"/>
      <c r="D327" s="2400" t="s">
        <v>3311</v>
      </c>
      <c r="E327" s="2346"/>
      <c r="F327" s="2405"/>
      <c r="G327" s="4861"/>
      <c r="H327" s="2406"/>
      <c r="I327" s="2407"/>
      <c r="J327" s="4898"/>
      <c r="K327" s="147"/>
      <c r="L327" s="1791"/>
      <c r="M327" s="1791"/>
      <c r="N327" s="251"/>
      <c r="O327" s="251"/>
      <c r="P327" s="4900"/>
      <c r="Q327" s="4903"/>
      <c r="R327" s="4904"/>
      <c r="S327" s="4901"/>
      <c r="T327" s="4899"/>
      <c r="U327" s="4905"/>
      <c r="V327" s="4906"/>
      <c r="W327" s="4906"/>
      <c r="X327" s="4900"/>
      <c r="Y327" s="251"/>
    </row>
    <row r="328" spans="1:30" s="251" customFormat="1" ht="27" customHeight="1">
      <c r="A328" s="4862" t="s">
        <v>6717</v>
      </c>
      <c r="B328" s="4863"/>
      <c r="C328" s="4864" t="s">
        <v>6625</v>
      </c>
      <c r="D328" s="4864" t="s">
        <v>6718</v>
      </c>
      <c r="E328" s="4864" t="s">
        <v>141</v>
      </c>
      <c r="F328" s="4865">
        <f>F325</f>
        <v>4.3</v>
      </c>
      <c r="G328" s="4873"/>
      <c r="H328" s="4866">
        <f t="shared" ref="H328:H331" si="61">ROUND(F328*G328,2)</f>
        <v>0</v>
      </c>
      <c r="I328" s="4697" t="s">
        <v>112</v>
      </c>
      <c r="J328" s="4908"/>
      <c r="K328" s="4909"/>
      <c r="L328" s="4909"/>
      <c r="M328" s="4910"/>
      <c r="N328" s="4910"/>
      <c r="O328" s="4910"/>
      <c r="P328" s="4911"/>
      <c r="Q328" s="4912"/>
      <c r="R328" s="4912"/>
      <c r="T328" s="4907"/>
      <c r="U328" s="4913"/>
      <c r="W328" s="4914"/>
      <c r="X328" s="4915"/>
      <c r="Y328" s="4916"/>
      <c r="Z328" s="1785"/>
      <c r="AA328" s="1785"/>
      <c r="AB328" s="1785"/>
      <c r="AC328" s="1785"/>
      <c r="AD328" s="1785"/>
    </row>
    <row r="329" spans="1:30" s="251" customFormat="1" ht="27" customHeight="1">
      <c r="A329" s="4862" t="s">
        <v>6719</v>
      </c>
      <c r="B329" s="4863"/>
      <c r="C329" s="4864" t="s">
        <v>6627</v>
      </c>
      <c r="D329" s="4864" t="s">
        <v>6720</v>
      </c>
      <c r="E329" s="4864" t="s">
        <v>141</v>
      </c>
      <c r="F329" s="4865">
        <f>(4.3)*1.05</f>
        <v>4.5149999999999997</v>
      </c>
      <c r="G329" s="4873"/>
      <c r="H329" s="4866">
        <f t="shared" si="61"/>
        <v>0</v>
      </c>
      <c r="I329" s="4697" t="s">
        <v>112</v>
      </c>
      <c r="J329" s="4924"/>
      <c r="K329" s="4925"/>
      <c r="L329" s="4925"/>
      <c r="M329" s="1785"/>
      <c r="N329" s="4908"/>
      <c r="O329" s="1785"/>
      <c r="P329" s="1785"/>
      <c r="Q329" s="1785"/>
      <c r="R329" s="2091"/>
      <c r="T329" s="4907"/>
      <c r="U329" s="4913"/>
      <c r="W329" s="4914"/>
      <c r="X329" s="4915"/>
      <c r="Y329" s="4916"/>
      <c r="Z329" s="1785"/>
      <c r="AA329" s="1785"/>
      <c r="AB329" s="1785"/>
      <c r="AC329" s="1785"/>
      <c r="AD329" s="1785"/>
    </row>
    <row r="330" spans="1:30" s="251" customFormat="1" ht="27" customHeight="1">
      <c r="A330" s="4862" t="s">
        <v>6721</v>
      </c>
      <c r="B330" s="4863"/>
      <c r="C330" s="4864">
        <v>713411121</v>
      </c>
      <c r="D330" s="4864" t="s">
        <v>6722</v>
      </c>
      <c r="E330" s="4864" t="s">
        <v>163</v>
      </c>
      <c r="F330" s="4865">
        <f>(4.3)*1.36</f>
        <v>5.8479999999999999</v>
      </c>
      <c r="G330" s="4873"/>
      <c r="H330" s="4866">
        <f t="shared" si="61"/>
        <v>0</v>
      </c>
      <c r="I330" s="4697" t="s">
        <v>137</v>
      </c>
      <c r="J330" s="4908"/>
      <c r="K330" s="4909"/>
      <c r="L330" s="1791"/>
      <c r="M330" s="1791"/>
      <c r="P330" s="4911"/>
      <c r="Q330" s="4917"/>
      <c r="R330" s="4918"/>
      <c r="T330" s="4907"/>
      <c r="U330" s="4913"/>
      <c r="W330" s="4914"/>
      <c r="X330" s="4915"/>
      <c r="Y330" s="4916"/>
      <c r="Z330" s="1785"/>
      <c r="AA330" s="1785"/>
      <c r="AB330" s="1785"/>
      <c r="AC330" s="1785"/>
      <c r="AD330" s="1785"/>
    </row>
    <row r="331" spans="1:30" s="251" customFormat="1" ht="27" customHeight="1">
      <c r="A331" s="4862" t="s">
        <v>6723</v>
      </c>
      <c r="B331" s="4863"/>
      <c r="C331" s="4867" t="s">
        <v>6571</v>
      </c>
      <c r="D331" s="4867" t="s">
        <v>6724</v>
      </c>
      <c r="E331" s="4867" t="s">
        <v>163</v>
      </c>
      <c r="F331" s="4868">
        <f xml:space="preserve"> ((4.3)*1.36)*1.1</f>
        <v>6.4328000000000003</v>
      </c>
      <c r="G331" s="4874"/>
      <c r="H331" s="4869">
        <f t="shared" si="61"/>
        <v>0</v>
      </c>
      <c r="I331" s="4870" t="s">
        <v>112</v>
      </c>
      <c r="J331" s="4908"/>
      <c r="K331" s="4909"/>
      <c r="T331" s="4907"/>
      <c r="AA331" s="1785"/>
      <c r="AB331" s="1785"/>
      <c r="AC331" s="1785"/>
      <c r="AD331" s="1785"/>
    </row>
    <row r="332" spans="1:30" ht="13.5" customHeight="1">
      <c r="A332" s="2408"/>
      <c r="B332" s="2346"/>
      <c r="C332" s="2346"/>
      <c r="D332" s="2400" t="s">
        <v>3411</v>
      </c>
      <c r="E332" s="2346"/>
      <c r="F332" s="2409">
        <v>4.3</v>
      </c>
      <c r="G332" s="2387"/>
      <c r="H332" s="2387"/>
      <c r="I332" s="2352"/>
      <c r="J332" s="4919"/>
      <c r="K332" s="4920"/>
      <c r="L332" s="4920"/>
      <c r="M332" s="4920"/>
      <c r="N332" s="4920"/>
      <c r="O332" s="4921"/>
      <c r="P332" s="4921"/>
      <c r="Q332" s="4921"/>
      <c r="R332" s="4921"/>
      <c r="S332" s="4921"/>
      <c r="T332" s="4921"/>
      <c r="U332" s="4921"/>
      <c r="V332" s="122"/>
      <c r="W332" s="4921"/>
      <c r="X332" s="1975"/>
      <c r="Y332" s="1975"/>
      <c r="Z332" s="1951"/>
    </row>
    <row r="333" spans="1:30" s="2399" customFormat="1" ht="27" customHeight="1">
      <c r="A333" s="2402"/>
      <c r="B333" s="2403"/>
      <c r="C333" s="2410"/>
      <c r="D333" s="2400" t="s">
        <v>1994</v>
      </c>
      <c r="E333" s="2346"/>
      <c r="F333" s="2405"/>
      <c r="G333" s="4861"/>
      <c r="H333" s="2406"/>
      <c r="I333" s="2411"/>
      <c r="T333" s="4899"/>
      <c r="U333" s="4905"/>
      <c r="V333" s="4906"/>
      <c r="W333" s="4906"/>
      <c r="X333" s="4900"/>
      <c r="Y333" s="251"/>
    </row>
    <row r="334" spans="1:30" s="2399" customFormat="1" ht="13.5" customHeight="1">
      <c r="A334" s="4849"/>
      <c r="B334" s="4850"/>
      <c r="C334" s="4851"/>
      <c r="D334" s="4856" t="s">
        <v>6565</v>
      </c>
      <c r="E334" s="4852"/>
      <c r="F334" s="4853"/>
      <c r="G334" s="4871"/>
      <c r="H334" s="4854"/>
      <c r="I334" s="4855"/>
      <c r="T334" s="4899"/>
      <c r="U334" s="4905"/>
      <c r="V334" s="4906"/>
      <c r="W334" s="4906"/>
      <c r="X334" s="4900"/>
      <c r="Y334" s="251"/>
    </row>
    <row r="335" spans="1:30" s="2399" customFormat="1" ht="13.5" customHeight="1">
      <c r="A335" s="4857">
        <v>45</v>
      </c>
      <c r="B335" s="2346">
        <v>751</v>
      </c>
      <c r="C335" s="2346" t="s">
        <v>3412</v>
      </c>
      <c r="D335" s="2346" t="s">
        <v>3413</v>
      </c>
      <c r="E335" s="2346" t="s">
        <v>141</v>
      </c>
      <c r="F335" s="4859">
        <f>F342</f>
        <v>5.4</v>
      </c>
      <c r="G335" s="1641">
        <f>ROUND(SUM(H338:H341)/F335,2)</f>
        <v>0</v>
      </c>
      <c r="H335" s="2231">
        <f t="shared" ref="H335" si="62">ROUND(F335*G335,2)</f>
        <v>0</v>
      </c>
      <c r="I335" s="2352" t="s">
        <v>111</v>
      </c>
      <c r="J335" s="4897"/>
    </row>
    <row r="336" spans="1:30" s="2399" customFormat="1" ht="13.5" customHeight="1">
      <c r="A336" s="2398"/>
      <c r="B336" s="2346"/>
      <c r="C336" s="2346"/>
      <c r="D336" s="2400" t="s">
        <v>3414</v>
      </c>
      <c r="E336" s="2346"/>
      <c r="F336" s="2281"/>
      <c r="G336" s="4860"/>
      <c r="H336" s="2401"/>
      <c r="I336" s="2352"/>
      <c r="J336" s="4898"/>
      <c r="K336" s="147"/>
      <c r="L336" s="147"/>
      <c r="M336" s="4899"/>
      <c r="N336" s="4899"/>
      <c r="O336" s="4899"/>
      <c r="P336" s="4900"/>
      <c r="S336" s="4901"/>
    </row>
    <row r="337" spans="1:30" s="2399" customFormat="1" ht="27" customHeight="1">
      <c r="A337" s="2402"/>
      <c r="B337" s="2403"/>
      <c r="C337" s="2404"/>
      <c r="D337" s="2400" t="s">
        <v>3311</v>
      </c>
      <c r="E337" s="2346"/>
      <c r="F337" s="2405"/>
      <c r="G337" s="4861"/>
      <c r="H337" s="2406"/>
      <c r="I337" s="2407"/>
      <c r="J337" s="4898"/>
      <c r="K337" s="147"/>
      <c r="L337" s="1791"/>
      <c r="M337" s="1791"/>
      <c r="N337" s="251"/>
      <c r="O337" s="251"/>
      <c r="P337" s="4900"/>
      <c r="Q337" s="4903"/>
      <c r="R337" s="4904"/>
      <c r="S337" s="4901"/>
      <c r="T337" s="4899"/>
      <c r="U337" s="4905"/>
      <c r="V337" s="4906"/>
      <c r="W337" s="4906"/>
      <c r="X337" s="4900"/>
      <c r="Y337" s="251"/>
    </row>
    <row r="338" spans="1:30" s="251" customFormat="1" ht="27" customHeight="1">
      <c r="A338" s="4862" t="s">
        <v>6725</v>
      </c>
      <c r="B338" s="4863"/>
      <c r="C338" s="4864" t="s">
        <v>6625</v>
      </c>
      <c r="D338" s="4864" t="s">
        <v>6718</v>
      </c>
      <c r="E338" s="4864" t="s">
        <v>141</v>
      </c>
      <c r="F338" s="4865">
        <f>F335</f>
        <v>5.4</v>
      </c>
      <c r="G338" s="4873"/>
      <c r="H338" s="4866">
        <f t="shared" ref="H338:H341" si="63">ROUND(F338*G338,2)</f>
        <v>0</v>
      </c>
      <c r="I338" s="4697" t="s">
        <v>112</v>
      </c>
      <c r="J338" s="4908"/>
      <c r="K338" s="4909"/>
      <c r="L338" s="4909"/>
      <c r="M338" s="4910"/>
      <c r="N338" s="4910"/>
      <c r="O338" s="4910"/>
      <c r="P338" s="4911"/>
      <c r="Q338" s="4912"/>
      <c r="R338" s="4912"/>
      <c r="T338" s="4907"/>
      <c r="U338" s="4913"/>
      <c r="W338" s="4914"/>
      <c r="X338" s="4915"/>
      <c r="Y338" s="4916"/>
      <c r="Z338" s="1785"/>
      <c r="AA338" s="1785"/>
      <c r="AB338" s="1785"/>
      <c r="AC338" s="1785"/>
      <c r="AD338" s="1785"/>
    </row>
    <row r="339" spans="1:30" s="251" customFormat="1" ht="27" customHeight="1">
      <c r="A339" s="4862" t="s">
        <v>6726</v>
      </c>
      <c r="B339" s="4863"/>
      <c r="C339" s="4864" t="s">
        <v>6627</v>
      </c>
      <c r="D339" s="4864" t="s">
        <v>6727</v>
      </c>
      <c r="E339" s="4864" t="s">
        <v>141</v>
      </c>
      <c r="F339" s="4865">
        <f>(5.4)*1.05</f>
        <v>5.6700000000000008</v>
      </c>
      <c r="G339" s="4873"/>
      <c r="H339" s="4866">
        <f t="shared" si="63"/>
        <v>0</v>
      </c>
      <c r="I339" s="4697" t="s">
        <v>112</v>
      </c>
      <c r="J339" s="4924"/>
      <c r="K339" s="4925"/>
      <c r="L339" s="4925"/>
      <c r="M339" s="1785"/>
      <c r="N339" s="4908"/>
      <c r="O339" s="1785"/>
      <c r="P339" s="1785"/>
      <c r="Q339" s="1785"/>
      <c r="R339" s="2091"/>
      <c r="T339" s="4907"/>
      <c r="U339" s="4913"/>
      <c r="W339" s="4914"/>
      <c r="X339" s="4915"/>
      <c r="Y339" s="4916"/>
      <c r="Z339" s="1785"/>
      <c r="AA339" s="1785"/>
      <c r="AB339" s="1785"/>
      <c r="AC339" s="1785"/>
      <c r="AD339" s="1785"/>
    </row>
    <row r="340" spans="1:30" s="251" customFormat="1" ht="27" customHeight="1">
      <c r="A340" s="4862" t="s">
        <v>6728</v>
      </c>
      <c r="B340" s="4863"/>
      <c r="C340" s="4864">
        <v>713411121</v>
      </c>
      <c r="D340" s="4864" t="s">
        <v>6729</v>
      </c>
      <c r="E340" s="4864" t="s">
        <v>163</v>
      </c>
      <c r="F340" s="4865">
        <f>(5.4)*1.56</f>
        <v>8.4240000000000013</v>
      </c>
      <c r="G340" s="4873"/>
      <c r="H340" s="4866">
        <f t="shared" si="63"/>
        <v>0</v>
      </c>
      <c r="I340" s="4697" t="s">
        <v>137</v>
      </c>
      <c r="J340" s="4908"/>
      <c r="K340" s="4909"/>
      <c r="L340" s="1791"/>
      <c r="M340" s="1791"/>
      <c r="P340" s="4911"/>
      <c r="Q340" s="4917"/>
      <c r="R340" s="4918"/>
      <c r="T340" s="4907"/>
      <c r="U340" s="4913"/>
      <c r="W340" s="4914"/>
      <c r="X340" s="4915"/>
      <c r="Y340" s="4916"/>
      <c r="Z340" s="1785"/>
      <c r="AA340" s="1785"/>
      <c r="AB340" s="1785"/>
      <c r="AC340" s="1785"/>
      <c r="AD340" s="1785"/>
    </row>
    <row r="341" spans="1:30" s="251" customFormat="1" ht="27" customHeight="1">
      <c r="A341" s="4862" t="s">
        <v>6730</v>
      </c>
      <c r="B341" s="4863"/>
      <c r="C341" s="4867" t="s">
        <v>6571</v>
      </c>
      <c r="D341" s="4867" t="s">
        <v>6731</v>
      </c>
      <c r="E341" s="4867" t="s">
        <v>163</v>
      </c>
      <c r="F341" s="4868">
        <f xml:space="preserve"> ((5.4)*1.56)*1.1</f>
        <v>9.2664000000000026</v>
      </c>
      <c r="G341" s="4874"/>
      <c r="H341" s="4869">
        <f t="shared" si="63"/>
        <v>0</v>
      </c>
      <c r="I341" s="4870" t="s">
        <v>112</v>
      </c>
      <c r="J341" s="4908"/>
      <c r="K341" s="4909"/>
      <c r="T341" s="4907"/>
      <c r="AA341" s="1785"/>
      <c r="AB341" s="1785"/>
      <c r="AC341" s="1785"/>
      <c r="AD341" s="1785"/>
    </row>
    <row r="342" spans="1:30" ht="13.5" customHeight="1">
      <c r="A342" s="2408"/>
      <c r="B342" s="2346"/>
      <c r="C342" s="2346"/>
      <c r="D342" s="2400" t="s">
        <v>3415</v>
      </c>
      <c r="E342" s="2346"/>
      <c r="F342" s="2409">
        <v>5.4</v>
      </c>
      <c r="G342" s="2387"/>
      <c r="H342" s="2387"/>
      <c r="I342" s="2352"/>
      <c r="J342" s="4919"/>
      <c r="K342" s="4920"/>
      <c r="L342" s="4920"/>
      <c r="M342" s="4920"/>
      <c r="N342" s="4920"/>
      <c r="O342" s="4921"/>
      <c r="P342" s="4921"/>
      <c r="Q342" s="4921"/>
      <c r="R342" s="4921"/>
      <c r="S342" s="4921"/>
      <c r="T342" s="4921"/>
      <c r="U342" s="4921"/>
      <c r="V342" s="122"/>
      <c r="W342" s="4921"/>
      <c r="X342" s="1975"/>
      <c r="Y342" s="1975"/>
      <c r="Z342" s="1951"/>
    </row>
    <row r="343" spans="1:30" s="2399" customFormat="1" ht="27" customHeight="1">
      <c r="A343" s="2402"/>
      <c r="B343" s="2403"/>
      <c r="C343" s="2410"/>
      <c r="D343" s="2400" t="s">
        <v>1994</v>
      </c>
      <c r="E343" s="2346"/>
      <c r="F343" s="2405"/>
      <c r="G343" s="4861"/>
      <c r="H343" s="2406"/>
      <c r="I343" s="2411"/>
      <c r="T343" s="4899"/>
      <c r="U343" s="4905"/>
      <c r="V343" s="4906"/>
      <c r="W343" s="4906"/>
      <c r="X343" s="4900"/>
      <c r="Y343" s="251"/>
    </row>
    <row r="344" spans="1:30" s="2399" customFormat="1" ht="13.5" customHeight="1">
      <c r="A344" s="4849"/>
      <c r="B344" s="4850"/>
      <c r="C344" s="4851"/>
      <c r="D344" s="4856" t="s">
        <v>6565</v>
      </c>
      <c r="E344" s="4852"/>
      <c r="F344" s="4853"/>
      <c r="G344" s="4871"/>
      <c r="H344" s="4854"/>
      <c r="I344" s="4855"/>
      <c r="T344" s="4899"/>
      <c r="U344" s="4905"/>
      <c r="V344" s="4906"/>
      <c r="W344" s="4906"/>
      <c r="X344" s="4900"/>
      <c r="Y344" s="251"/>
    </row>
    <row r="345" spans="1:30" s="2399" customFormat="1" ht="13.5" customHeight="1">
      <c r="A345" s="4857">
        <v>46</v>
      </c>
      <c r="B345" s="2346">
        <v>751</v>
      </c>
      <c r="C345" s="2346" t="s">
        <v>3416</v>
      </c>
      <c r="D345" s="2346" t="s">
        <v>3417</v>
      </c>
      <c r="E345" s="2346" t="s">
        <v>141</v>
      </c>
      <c r="F345" s="4859">
        <f>F352</f>
        <v>7.2</v>
      </c>
      <c r="G345" s="1641">
        <f>ROUND(SUM(H348:H351)/F345,2)</f>
        <v>0</v>
      </c>
      <c r="H345" s="2231">
        <f t="shared" ref="H345" si="64">ROUND(F345*G345,2)</f>
        <v>0</v>
      </c>
      <c r="I345" s="2352" t="s">
        <v>111</v>
      </c>
      <c r="J345" s="4897"/>
    </row>
    <row r="346" spans="1:30" s="2399" customFormat="1" ht="13.5" customHeight="1">
      <c r="A346" s="2398"/>
      <c r="B346" s="2346"/>
      <c r="C346" s="2346"/>
      <c r="D346" s="2400" t="s">
        <v>3418</v>
      </c>
      <c r="E346" s="2346"/>
      <c r="F346" s="2281"/>
      <c r="G346" s="4860"/>
      <c r="H346" s="2401"/>
      <c r="I346" s="2352"/>
      <c r="J346" s="4898"/>
      <c r="K346" s="147"/>
      <c r="L346" s="147"/>
      <c r="M346" s="4899"/>
      <c r="N346" s="4899"/>
      <c r="O346" s="4899"/>
      <c r="P346" s="4900"/>
      <c r="S346" s="4901"/>
    </row>
    <row r="347" spans="1:30" s="2399" customFormat="1" ht="27" customHeight="1">
      <c r="A347" s="2402"/>
      <c r="B347" s="2403"/>
      <c r="C347" s="2404"/>
      <c r="D347" s="2400" t="s">
        <v>3311</v>
      </c>
      <c r="E347" s="2346"/>
      <c r="F347" s="2405"/>
      <c r="G347" s="4861"/>
      <c r="H347" s="2406"/>
      <c r="I347" s="2407"/>
      <c r="J347" s="4898"/>
      <c r="K347" s="147"/>
      <c r="L347" s="1791"/>
      <c r="M347" s="1791"/>
      <c r="N347" s="251"/>
      <c r="O347" s="251"/>
      <c r="P347" s="4900"/>
      <c r="Q347" s="4903"/>
      <c r="R347" s="4904"/>
      <c r="S347" s="4901"/>
      <c r="T347" s="4899"/>
      <c r="U347" s="4905"/>
      <c r="V347" s="4906"/>
      <c r="W347" s="4906"/>
      <c r="X347" s="4900"/>
      <c r="Y347" s="251"/>
    </row>
    <row r="348" spans="1:30" s="251" customFormat="1" ht="27" customHeight="1">
      <c r="A348" s="4862" t="s">
        <v>6426</v>
      </c>
      <c r="B348" s="4863"/>
      <c r="C348" s="4864" t="s">
        <v>6625</v>
      </c>
      <c r="D348" s="4864" t="s">
        <v>6732</v>
      </c>
      <c r="E348" s="4864" t="s">
        <v>141</v>
      </c>
      <c r="F348" s="4865">
        <f>F345</f>
        <v>7.2</v>
      </c>
      <c r="G348" s="4873"/>
      <c r="H348" s="4866">
        <f t="shared" ref="H348:H351" si="65">ROUND(F348*G348,2)</f>
        <v>0</v>
      </c>
      <c r="I348" s="4697" t="s">
        <v>112</v>
      </c>
      <c r="J348" s="4908"/>
      <c r="K348" s="4909"/>
      <c r="L348" s="4909"/>
      <c r="M348" s="4910"/>
      <c r="N348" s="4910"/>
      <c r="O348" s="4910"/>
      <c r="P348" s="4911"/>
      <c r="Q348" s="4912"/>
      <c r="R348" s="4912"/>
      <c r="T348" s="4907"/>
      <c r="U348" s="4913"/>
      <c r="W348" s="4914"/>
      <c r="X348" s="4915"/>
      <c r="Y348" s="4916"/>
      <c r="Z348" s="1785"/>
      <c r="AA348" s="1785"/>
      <c r="AB348" s="1785"/>
      <c r="AC348" s="1785"/>
      <c r="AD348" s="1785"/>
    </row>
    <row r="349" spans="1:30" s="251" customFormat="1" ht="27" customHeight="1">
      <c r="A349" s="4862" t="s">
        <v>6733</v>
      </c>
      <c r="B349" s="4863"/>
      <c r="C349" s="4864" t="s">
        <v>6627</v>
      </c>
      <c r="D349" s="4864" t="s">
        <v>6734</v>
      </c>
      <c r="E349" s="4864" t="s">
        <v>141</v>
      </c>
      <c r="F349" s="4865">
        <f>(7.2)*1.05</f>
        <v>7.5600000000000005</v>
      </c>
      <c r="G349" s="4873"/>
      <c r="H349" s="4866">
        <f t="shared" si="65"/>
        <v>0</v>
      </c>
      <c r="I349" s="4697" t="s">
        <v>112</v>
      </c>
      <c r="J349" s="4924"/>
      <c r="K349" s="4925"/>
      <c r="L349" s="4925"/>
      <c r="M349" s="1785"/>
      <c r="N349" s="4908"/>
      <c r="O349" s="1785"/>
      <c r="P349" s="1785"/>
      <c r="Q349" s="1785"/>
      <c r="R349" s="2091"/>
      <c r="T349" s="4907"/>
      <c r="U349" s="4913"/>
      <c r="W349" s="4914"/>
      <c r="X349" s="4915"/>
      <c r="Y349" s="4916"/>
      <c r="Z349" s="1785"/>
      <c r="AA349" s="1785"/>
      <c r="AB349" s="1785"/>
      <c r="AC349" s="1785"/>
      <c r="AD349" s="1785"/>
    </row>
    <row r="350" spans="1:30" s="251" customFormat="1" ht="27" customHeight="1">
      <c r="A350" s="4862" t="s">
        <v>6735</v>
      </c>
      <c r="B350" s="4863"/>
      <c r="C350" s="4864">
        <v>713411121</v>
      </c>
      <c r="D350" s="4864" t="s">
        <v>6736</v>
      </c>
      <c r="E350" s="4864" t="s">
        <v>163</v>
      </c>
      <c r="F350" s="4865">
        <f xml:space="preserve"> (7.2)*1.66</f>
        <v>11.952</v>
      </c>
      <c r="G350" s="4873"/>
      <c r="H350" s="4866">
        <f t="shared" si="65"/>
        <v>0</v>
      </c>
      <c r="I350" s="4697" t="s">
        <v>137</v>
      </c>
      <c r="J350" s="4908"/>
      <c r="K350" s="4909"/>
      <c r="L350" s="1791"/>
      <c r="M350" s="1791"/>
      <c r="P350" s="4911"/>
      <c r="Q350" s="4917"/>
      <c r="R350" s="4918"/>
      <c r="T350" s="4907"/>
      <c r="U350" s="4913"/>
      <c r="W350" s="4914"/>
      <c r="X350" s="4915"/>
      <c r="Y350" s="4916"/>
      <c r="Z350" s="1785"/>
      <c r="AA350" s="1785"/>
      <c r="AB350" s="1785"/>
      <c r="AC350" s="1785"/>
      <c r="AD350" s="1785"/>
    </row>
    <row r="351" spans="1:30" s="251" customFormat="1" ht="27" customHeight="1">
      <c r="A351" s="4862" t="s">
        <v>6737</v>
      </c>
      <c r="B351" s="4863"/>
      <c r="C351" s="4867" t="s">
        <v>6571</v>
      </c>
      <c r="D351" s="4867" t="s">
        <v>6738</v>
      </c>
      <c r="E351" s="4867" t="s">
        <v>163</v>
      </c>
      <c r="F351" s="4868">
        <f>((7.2)*1.66)*1.1</f>
        <v>13.147200000000002</v>
      </c>
      <c r="G351" s="4874"/>
      <c r="H351" s="4869">
        <f t="shared" si="65"/>
        <v>0</v>
      </c>
      <c r="I351" s="4870" t="s">
        <v>112</v>
      </c>
      <c r="J351" s="4908"/>
      <c r="K351" s="4909"/>
      <c r="T351" s="4907"/>
      <c r="AA351" s="1785"/>
      <c r="AB351" s="1785"/>
      <c r="AC351" s="1785"/>
      <c r="AD351" s="1785"/>
    </row>
    <row r="352" spans="1:30" ht="13.5" customHeight="1">
      <c r="A352" s="2408"/>
      <c r="B352" s="2346"/>
      <c r="C352" s="2346"/>
      <c r="D352" s="2400" t="s">
        <v>3419</v>
      </c>
      <c r="E352" s="2346"/>
      <c r="F352" s="2409">
        <v>7.2</v>
      </c>
      <c r="G352" s="2387"/>
      <c r="H352" s="2387"/>
      <c r="I352" s="2352"/>
      <c r="J352" s="4919"/>
      <c r="K352" s="4920"/>
      <c r="L352" s="4920"/>
      <c r="M352" s="4920"/>
      <c r="N352" s="4920"/>
      <c r="O352" s="4921"/>
      <c r="P352" s="4921"/>
      <c r="Q352" s="4921"/>
      <c r="R352" s="4921"/>
      <c r="S352" s="4921"/>
      <c r="T352" s="4921"/>
      <c r="U352" s="4921"/>
      <c r="V352" s="122"/>
      <c r="W352" s="4921"/>
      <c r="X352" s="1975"/>
      <c r="Y352" s="1975"/>
      <c r="Z352" s="1951"/>
    </row>
    <row r="353" spans="1:30" s="2399" customFormat="1" ht="27" customHeight="1">
      <c r="A353" s="2402"/>
      <c r="B353" s="2403"/>
      <c r="C353" s="2410"/>
      <c r="D353" s="2400" t="s">
        <v>1994</v>
      </c>
      <c r="E353" s="2346"/>
      <c r="F353" s="2405"/>
      <c r="G353" s="4861"/>
      <c r="H353" s="2406"/>
      <c r="I353" s="2411"/>
      <c r="T353" s="4899"/>
      <c r="U353" s="4905"/>
      <c r="V353" s="4906"/>
      <c r="W353" s="4906"/>
      <c r="X353" s="4900"/>
      <c r="Y353" s="251"/>
    </row>
    <row r="354" spans="1:30" s="2399" customFormat="1" ht="13.5" customHeight="1">
      <c r="A354" s="4849"/>
      <c r="B354" s="4850"/>
      <c r="C354" s="4851"/>
      <c r="D354" s="4856" t="s">
        <v>6565</v>
      </c>
      <c r="E354" s="4852"/>
      <c r="F354" s="4853"/>
      <c r="G354" s="4871"/>
      <c r="H354" s="4854"/>
      <c r="I354" s="4855"/>
      <c r="T354" s="4899"/>
      <c r="U354" s="4905"/>
      <c r="V354" s="4906"/>
      <c r="W354" s="4906"/>
      <c r="X354" s="4900"/>
      <c r="Y354" s="251"/>
    </row>
    <row r="355" spans="1:30" s="2399" customFormat="1" ht="13.5" customHeight="1">
      <c r="A355" s="4857">
        <v>47</v>
      </c>
      <c r="B355" s="2346">
        <v>751</v>
      </c>
      <c r="C355" s="2346" t="s">
        <v>3420</v>
      </c>
      <c r="D355" s="2346" t="s">
        <v>3421</v>
      </c>
      <c r="E355" s="2346" t="s">
        <v>141</v>
      </c>
      <c r="F355" s="2443">
        <f>F362</f>
        <v>1.9</v>
      </c>
      <c r="G355" s="1641">
        <f>ROUND(SUM(H358:H361)/F355,2)</f>
        <v>0</v>
      </c>
      <c r="H355" s="2231">
        <f t="shared" ref="H355" si="66">ROUND(F355*G355,2)</f>
        <v>0</v>
      </c>
      <c r="I355" s="2352" t="s">
        <v>111</v>
      </c>
      <c r="J355" s="4897"/>
    </row>
    <row r="356" spans="1:30" s="2399" customFormat="1" ht="13.5" customHeight="1">
      <c r="A356" s="2398"/>
      <c r="B356" s="2346"/>
      <c r="C356" s="2346"/>
      <c r="D356" s="2400" t="s">
        <v>3422</v>
      </c>
      <c r="E356" s="2346"/>
      <c r="F356" s="2281"/>
      <c r="G356" s="4860"/>
      <c r="H356" s="2401"/>
      <c r="I356" s="2352"/>
      <c r="J356" s="4898"/>
      <c r="K356" s="147"/>
      <c r="L356" s="147"/>
      <c r="M356" s="4899"/>
      <c r="N356" s="4899"/>
      <c r="O356" s="4899"/>
      <c r="P356" s="4900"/>
      <c r="S356" s="4901"/>
    </row>
    <row r="357" spans="1:30" s="2399" customFormat="1" ht="27" customHeight="1">
      <c r="A357" s="2402"/>
      <c r="B357" s="2403"/>
      <c r="C357" s="2404"/>
      <c r="D357" s="2400" t="s">
        <v>3311</v>
      </c>
      <c r="E357" s="2346"/>
      <c r="F357" s="2405"/>
      <c r="G357" s="4861"/>
      <c r="H357" s="2406"/>
      <c r="I357" s="2407"/>
      <c r="J357" s="4898"/>
      <c r="K357" s="147"/>
      <c r="L357" s="1791"/>
      <c r="M357" s="1791"/>
      <c r="N357" s="251"/>
      <c r="O357" s="251"/>
      <c r="P357" s="4900"/>
      <c r="Q357" s="4903"/>
      <c r="R357" s="4904"/>
      <c r="S357" s="4901"/>
      <c r="T357" s="4899"/>
      <c r="U357" s="4905"/>
      <c r="V357" s="4906"/>
      <c r="W357" s="4906"/>
      <c r="X357" s="4900"/>
      <c r="Y357" s="251"/>
    </row>
    <row r="358" spans="1:30" s="251" customFormat="1" ht="27" customHeight="1">
      <c r="A358" s="4862" t="s">
        <v>6739</v>
      </c>
      <c r="B358" s="4863"/>
      <c r="C358" s="4864" t="s">
        <v>6740</v>
      </c>
      <c r="D358" s="4864" t="s">
        <v>6741</v>
      </c>
      <c r="E358" s="4864" t="s">
        <v>141</v>
      </c>
      <c r="F358" s="4865">
        <f>F355</f>
        <v>1.9</v>
      </c>
      <c r="G358" s="4873"/>
      <c r="H358" s="4866">
        <f t="shared" ref="H358:H361" si="67">ROUND(F358*G358,2)</f>
        <v>0</v>
      </c>
      <c r="I358" s="4697" t="s">
        <v>112</v>
      </c>
      <c r="J358" s="4908"/>
      <c r="K358" s="4909"/>
      <c r="L358" s="4909"/>
      <c r="M358" s="4910"/>
      <c r="N358" s="4910"/>
      <c r="O358" s="4910"/>
      <c r="P358" s="4911"/>
      <c r="Q358" s="4912"/>
      <c r="R358" s="4912"/>
      <c r="T358" s="4907"/>
      <c r="U358" s="4913"/>
      <c r="W358" s="4914"/>
      <c r="X358" s="4915"/>
      <c r="Y358" s="4916"/>
      <c r="Z358" s="1785"/>
      <c r="AA358" s="1785"/>
      <c r="AB358" s="1785"/>
      <c r="AC358" s="1785"/>
      <c r="AD358" s="1785"/>
    </row>
    <row r="359" spans="1:30" s="251" customFormat="1" ht="27" customHeight="1">
      <c r="A359" s="4862" t="s">
        <v>6742</v>
      </c>
      <c r="B359" s="4863"/>
      <c r="C359" s="4864" t="s">
        <v>6743</v>
      </c>
      <c r="D359" s="4864" t="s">
        <v>6744</v>
      </c>
      <c r="E359" s="4864" t="s">
        <v>141</v>
      </c>
      <c r="F359" s="4865">
        <f>(1.9)*1.05</f>
        <v>1.9949999999999999</v>
      </c>
      <c r="G359" s="4873"/>
      <c r="H359" s="4866">
        <f t="shared" si="67"/>
        <v>0</v>
      </c>
      <c r="I359" s="4697" t="s">
        <v>112</v>
      </c>
      <c r="J359" s="4924"/>
      <c r="K359" s="4925"/>
      <c r="L359" s="4925"/>
      <c r="M359" s="1785"/>
      <c r="N359" s="4908"/>
      <c r="O359" s="1785"/>
      <c r="P359" s="1785"/>
      <c r="Q359" s="1785"/>
      <c r="R359" s="2091"/>
      <c r="T359" s="4907"/>
      <c r="U359" s="4913"/>
      <c r="W359" s="4914"/>
      <c r="X359" s="4915"/>
      <c r="Y359" s="4916"/>
      <c r="Z359" s="1785"/>
      <c r="AA359" s="1785"/>
      <c r="AB359" s="1785"/>
      <c r="AC359" s="1785"/>
      <c r="AD359" s="1785"/>
    </row>
    <row r="360" spans="1:30" s="251" customFormat="1" ht="27" customHeight="1">
      <c r="A360" s="4862" t="s">
        <v>6745</v>
      </c>
      <c r="B360" s="4863"/>
      <c r="C360" s="4864">
        <v>713411121</v>
      </c>
      <c r="D360" s="4864" t="s">
        <v>6746</v>
      </c>
      <c r="E360" s="4864" t="s">
        <v>163</v>
      </c>
      <c r="F360" s="4865">
        <f>(1.9)*2.16</f>
        <v>4.1040000000000001</v>
      </c>
      <c r="G360" s="4873"/>
      <c r="H360" s="4866">
        <f t="shared" si="67"/>
        <v>0</v>
      </c>
      <c r="I360" s="4697" t="s">
        <v>137</v>
      </c>
      <c r="J360" s="4908"/>
      <c r="K360" s="4909"/>
      <c r="L360" s="1791"/>
      <c r="M360" s="1791"/>
      <c r="P360" s="4911"/>
      <c r="Q360" s="4917"/>
      <c r="R360" s="4918"/>
      <c r="T360" s="4907"/>
      <c r="U360" s="4913"/>
      <c r="W360" s="4914"/>
      <c r="X360" s="4915"/>
      <c r="Y360" s="4916"/>
      <c r="Z360" s="1785"/>
      <c r="AA360" s="1785"/>
      <c r="AB360" s="1785"/>
      <c r="AC360" s="1785"/>
      <c r="AD360" s="1785"/>
    </row>
    <row r="361" spans="1:30" s="251" customFormat="1" ht="27" customHeight="1">
      <c r="A361" s="4862" t="s">
        <v>6747</v>
      </c>
      <c r="B361" s="4863"/>
      <c r="C361" s="4867" t="s">
        <v>6571</v>
      </c>
      <c r="D361" s="4867" t="s">
        <v>6748</v>
      </c>
      <c r="E361" s="4867" t="s">
        <v>163</v>
      </c>
      <c r="F361" s="4868">
        <f>((1.9)*2.16)*1.1</f>
        <v>4.5144000000000002</v>
      </c>
      <c r="G361" s="4874"/>
      <c r="H361" s="4869">
        <f t="shared" si="67"/>
        <v>0</v>
      </c>
      <c r="I361" s="4870" t="s">
        <v>112</v>
      </c>
      <c r="J361" s="4908"/>
      <c r="K361" s="4909"/>
      <c r="T361" s="4907"/>
      <c r="AA361" s="1785"/>
      <c r="AB361" s="1785"/>
      <c r="AC361" s="1785"/>
      <c r="AD361" s="1785"/>
    </row>
    <row r="362" spans="1:30" ht="13.5" customHeight="1">
      <c r="A362" s="2408"/>
      <c r="B362" s="2346"/>
      <c r="C362" s="2346"/>
      <c r="D362" s="2400" t="s">
        <v>3423</v>
      </c>
      <c r="E362" s="2346"/>
      <c r="F362" s="4858">
        <v>1.9</v>
      </c>
      <c r="G362" s="2387"/>
      <c r="H362" s="2387"/>
      <c r="I362" s="2352"/>
      <c r="J362" s="4919"/>
      <c r="K362" s="4920"/>
      <c r="L362" s="4920"/>
      <c r="M362" s="4920"/>
      <c r="N362" s="4920"/>
      <c r="O362" s="4921"/>
      <c r="P362" s="4921"/>
      <c r="Q362" s="4921"/>
      <c r="R362" s="4921"/>
      <c r="S362" s="4921"/>
      <c r="T362" s="4921"/>
      <c r="U362" s="4921"/>
      <c r="V362" s="122"/>
      <c r="W362" s="4921"/>
      <c r="X362" s="1975"/>
      <c r="Y362" s="1975"/>
      <c r="Z362" s="1951"/>
    </row>
    <row r="363" spans="1:30" s="2399" customFormat="1" ht="27" customHeight="1">
      <c r="A363" s="2402"/>
      <c r="B363" s="2403"/>
      <c r="C363" s="2410"/>
      <c r="D363" s="2400" t="s">
        <v>1994</v>
      </c>
      <c r="E363" s="2346"/>
      <c r="F363" s="2405"/>
      <c r="G363" s="4861"/>
      <c r="H363" s="2406"/>
      <c r="I363" s="2411"/>
      <c r="T363" s="4899"/>
      <c r="U363" s="4905"/>
      <c r="V363" s="4906"/>
      <c r="W363" s="4906"/>
      <c r="X363" s="4900"/>
      <c r="Y363" s="251"/>
    </row>
    <row r="364" spans="1:30" s="2399" customFormat="1" ht="13.5" customHeight="1">
      <c r="A364" s="4849"/>
      <c r="B364" s="4850"/>
      <c r="C364" s="4851"/>
      <c r="D364" s="4856" t="s">
        <v>6565</v>
      </c>
      <c r="E364" s="4852"/>
      <c r="F364" s="4853"/>
      <c r="G364" s="4871"/>
      <c r="H364" s="4854"/>
      <c r="I364" s="4855"/>
      <c r="T364" s="4899"/>
      <c r="U364" s="4905"/>
      <c r="V364" s="4906"/>
      <c r="W364" s="4906"/>
      <c r="X364" s="4900"/>
      <c r="Y364" s="251"/>
    </row>
    <row r="365" spans="1:30" s="2399" customFormat="1" ht="13.5" customHeight="1">
      <c r="A365" s="4857">
        <v>48</v>
      </c>
      <c r="B365" s="2346">
        <v>751</v>
      </c>
      <c r="C365" s="2346" t="s">
        <v>3424</v>
      </c>
      <c r="D365" s="2346" t="s">
        <v>3425</v>
      </c>
      <c r="E365" s="2346" t="s">
        <v>141</v>
      </c>
      <c r="F365" s="4859">
        <f>F372</f>
        <v>22.4</v>
      </c>
      <c r="G365" s="1641">
        <f>ROUND(SUM(H368:H371)/F365,2)</f>
        <v>0</v>
      </c>
      <c r="H365" s="2231">
        <f t="shared" ref="H365" si="68">ROUND(F365*G365,2)</f>
        <v>0</v>
      </c>
      <c r="I365" s="2352" t="s">
        <v>111</v>
      </c>
      <c r="J365" s="4897"/>
    </row>
    <row r="366" spans="1:30" s="2399" customFormat="1" ht="13.5" customHeight="1">
      <c r="A366" s="2398"/>
      <c r="B366" s="2346"/>
      <c r="C366" s="2346"/>
      <c r="D366" s="2400" t="s">
        <v>3426</v>
      </c>
      <c r="E366" s="2346"/>
      <c r="F366" s="2281"/>
      <c r="G366" s="4860"/>
      <c r="H366" s="2401"/>
      <c r="I366" s="2352"/>
      <c r="J366" s="4898"/>
      <c r="K366" s="147"/>
      <c r="L366" s="147"/>
      <c r="M366" s="4899"/>
      <c r="N366" s="4899"/>
      <c r="O366" s="4899"/>
      <c r="P366" s="4900"/>
      <c r="S366" s="4901"/>
    </row>
    <row r="367" spans="1:30" s="2399" customFormat="1" ht="27" customHeight="1">
      <c r="A367" s="2402"/>
      <c r="B367" s="2403"/>
      <c r="C367" s="2404"/>
      <c r="D367" s="2400" t="s">
        <v>3311</v>
      </c>
      <c r="E367" s="2346"/>
      <c r="F367" s="2405"/>
      <c r="G367" s="4861"/>
      <c r="H367" s="2406"/>
      <c r="I367" s="2407"/>
      <c r="J367" s="4898"/>
      <c r="K367" s="147"/>
      <c r="L367" s="1791"/>
      <c r="M367" s="1791"/>
      <c r="N367" s="251"/>
      <c r="O367" s="251"/>
      <c r="P367" s="4900"/>
      <c r="Q367" s="4903"/>
      <c r="R367" s="4904"/>
      <c r="S367" s="4901"/>
      <c r="T367" s="4899"/>
      <c r="U367" s="4905"/>
      <c r="V367" s="4906"/>
      <c r="W367" s="4906"/>
      <c r="X367" s="4900"/>
      <c r="Y367" s="251"/>
    </row>
    <row r="368" spans="1:30" s="251" customFormat="1" ht="27" customHeight="1">
      <c r="A368" s="4862" t="s">
        <v>5653</v>
      </c>
      <c r="B368" s="4863"/>
      <c r="C368" s="4864" t="s">
        <v>6749</v>
      </c>
      <c r="D368" s="4864" t="s">
        <v>6750</v>
      </c>
      <c r="E368" s="4864" t="s">
        <v>141</v>
      </c>
      <c r="F368" s="4865">
        <f>F365</f>
        <v>22.4</v>
      </c>
      <c r="G368" s="4873"/>
      <c r="H368" s="4866">
        <f t="shared" ref="H368:H371" si="69">ROUND(F368*G368,2)</f>
        <v>0</v>
      </c>
      <c r="I368" s="4697" t="s">
        <v>112</v>
      </c>
      <c r="J368" s="4908"/>
      <c r="K368" s="4909"/>
      <c r="L368" s="4909"/>
      <c r="M368" s="4910"/>
      <c r="N368" s="4910"/>
      <c r="O368" s="4910"/>
      <c r="P368" s="4911"/>
      <c r="Q368" s="4912"/>
      <c r="R368" s="4912"/>
      <c r="T368" s="4907"/>
      <c r="U368" s="4913"/>
      <c r="W368" s="4914"/>
      <c r="X368" s="4915"/>
      <c r="Y368" s="4916"/>
      <c r="Z368" s="1785"/>
      <c r="AA368" s="1785"/>
      <c r="AB368" s="1785"/>
      <c r="AC368" s="1785"/>
      <c r="AD368" s="1785"/>
    </row>
    <row r="369" spans="1:30" s="251" customFormat="1" ht="27" customHeight="1">
      <c r="A369" s="4862" t="s">
        <v>5655</v>
      </c>
      <c r="B369" s="4863"/>
      <c r="C369" s="4864" t="s">
        <v>6751</v>
      </c>
      <c r="D369" s="4864" t="s">
        <v>6752</v>
      </c>
      <c r="E369" s="4864" t="s">
        <v>141</v>
      </c>
      <c r="F369" s="4865">
        <f>(22.4)*1.05</f>
        <v>23.52</v>
      </c>
      <c r="G369" s="4873"/>
      <c r="H369" s="4866">
        <f t="shared" si="69"/>
        <v>0</v>
      </c>
      <c r="I369" s="4697" t="s">
        <v>112</v>
      </c>
      <c r="J369" s="4924"/>
      <c r="K369" s="4925"/>
      <c r="L369" s="4925"/>
      <c r="M369" s="1785"/>
      <c r="N369" s="4908"/>
      <c r="O369" s="1785"/>
      <c r="P369" s="1785"/>
      <c r="Q369" s="1785"/>
      <c r="R369" s="2091"/>
      <c r="T369" s="4907"/>
      <c r="U369" s="4913"/>
      <c r="W369" s="4914"/>
      <c r="X369" s="4915"/>
      <c r="Y369" s="4916"/>
      <c r="Z369" s="1785"/>
      <c r="AA369" s="1785"/>
      <c r="AB369" s="1785"/>
      <c r="AC369" s="1785"/>
      <c r="AD369" s="1785"/>
    </row>
    <row r="370" spans="1:30" s="251" customFormat="1" ht="27" customHeight="1">
      <c r="A370" s="4862" t="s">
        <v>5656</v>
      </c>
      <c r="B370" s="4863"/>
      <c r="C370" s="4864">
        <v>713411121</v>
      </c>
      <c r="D370" s="4864" t="s">
        <v>6753</v>
      </c>
      <c r="E370" s="4864" t="s">
        <v>163</v>
      </c>
      <c r="F370" s="4865">
        <f>(22.4)*3.08</f>
        <v>68.99199999999999</v>
      </c>
      <c r="G370" s="4873"/>
      <c r="H370" s="4866">
        <f t="shared" si="69"/>
        <v>0</v>
      </c>
      <c r="I370" s="4697" t="s">
        <v>137</v>
      </c>
      <c r="J370" s="4908"/>
      <c r="K370" s="4909"/>
      <c r="L370" s="1791"/>
      <c r="M370" s="1791"/>
      <c r="P370" s="4911"/>
      <c r="Q370" s="4917"/>
      <c r="R370" s="4918"/>
      <c r="T370" s="4907"/>
      <c r="U370" s="4913"/>
      <c r="W370" s="4914"/>
      <c r="X370" s="4915"/>
      <c r="Y370" s="4916"/>
      <c r="Z370" s="1785"/>
      <c r="AA370" s="1785"/>
      <c r="AB370" s="1785"/>
      <c r="AC370" s="1785"/>
      <c r="AD370" s="1785"/>
    </row>
    <row r="371" spans="1:30" s="251" customFormat="1" ht="27" customHeight="1">
      <c r="A371" s="4862" t="s">
        <v>6754</v>
      </c>
      <c r="B371" s="4863"/>
      <c r="C371" s="4867" t="s">
        <v>6571</v>
      </c>
      <c r="D371" s="4867" t="s">
        <v>6755</v>
      </c>
      <c r="E371" s="4867" t="s">
        <v>163</v>
      </c>
      <c r="F371" s="4868">
        <f>((22.4)*3.08)*1.1</f>
        <v>75.891199999999998</v>
      </c>
      <c r="G371" s="4874"/>
      <c r="H371" s="4869">
        <f t="shared" si="69"/>
        <v>0</v>
      </c>
      <c r="I371" s="4870" t="s">
        <v>112</v>
      </c>
      <c r="J371" s="4908"/>
      <c r="K371" s="4909"/>
      <c r="T371" s="4907"/>
      <c r="AA371" s="1785"/>
      <c r="AB371" s="1785"/>
      <c r="AC371" s="1785"/>
      <c r="AD371" s="1785"/>
    </row>
    <row r="372" spans="1:30" ht="13.5" customHeight="1">
      <c r="A372" s="2408"/>
      <c r="B372" s="2346"/>
      <c r="C372" s="2346"/>
      <c r="D372" s="2400" t="s">
        <v>3427</v>
      </c>
      <c r="E372" s="2346"/>
      <c r="F372" s="2409">
        <v>22.4</v>
      </c>
      <c r="G372" s="2387"/>
      <c r="H372" s="2387"/>
      <c r="I372" s="2352"/>
      <c r="J372" s="4919"/>
      <c r="K372" s="4920"/>
      <c r="L372" s="4920"/>
      <c r="M372" s="4920"/>
      <c r="N372" s="4920"/>
      <c r="O372" s="4921"/>
      <c r="P372" s="4921"/>
      <c r="Q372" s="4921"/>
      <c r="R372" s="4921"/>
      <c r="S372" s="4921"/>
      <c r="T372" s="4921"/>
      <c r="U372" s="4921"/>
      <c r="V372" s="122"/>
      <c r="W372" s="4921"/>
      <c r="X372" s="1975"/>
      <c r="Y372" s="1975"/>
      <c r="Z372" s="1951"/>
    </row>
    <row r="373" spans="1:30" s="2399" customFormat="1" ht="27" customHeight="1">
      <c r="A373" s="2402"/>
      <c r="B373" s="2403"/>
      <c r="C373" s="2410"/>
      <c r="D373" s="2400" t="s">
        <v>1994</v>
      </c>
      <c r="E373" s="2346"/>
      <c r="F373" s="2405"/>
      <c r="G373" s="4861"/>
      <c r="H373" s="2406"/>
      <c r="I373" s="2411"/>
      <c r="T373" s="4899"/>
      <c r="U373" s="4905"/>
      <c r="V373" s="4906"/>
      <c r="W373" s="4906"/>
      <c r="X373" s="4900"/>
      <c r="Y373" s="251"/>
    </row>
    <row r="374" spans="1:30" s="2399" customFormat="1" ht="13.5" customHeight="1">
      <c r="A374" s="4849"/>
      <c r="B374" s="4850"/>
      <c r="C374" s="4851"/>
      <c r="D374" s="4856" t="s">
        <v>6565</v>
      </c>
      <c r="E374" s="4852"/>
      <c r="F374" s="4853"/>
      <c r="G374" s="4871"/>
      <c r="H374" s="4854"/>
      <c r="I374" s="4855"/>
      <c r="T374" s="4899"/>
      <c r="U374" s="4905"/>
      <c r="V374" s="4906"/>
      <c r="W374" s="4906"/>
      <c r="X374" s="4900"/>
      <c r="Y374" s="251"/>
    </row>
    <row r="375" spans="1:30" s="2399" customFormat="1" ht="13.5" customHeight="1">
      <c r="A375" s="4857">
        <v>49</v>
      </c>
      <c r="B375" s="2346">
        <v>751</v>
      </c>
      <c r="C375" s="2346" t="s">
        <v>3428</v>
      </c>
      <c r="D375" s="2346" t="s">
        <v>3429</v>
      </c>
      <c r="E375" s="2346" t="s">
        <v>141</v>
      </c>
      <c r="F375" s="4859">
        <f>F382</f>
        <v>2.5</v>
      </c>
      <c r="G375" s="1641">
        <f>ROUND(SUM(H378:H381)/F375,2)</f>
        <v>0</v>
      </c>
      <c r="H375" s="2231">
        <f t="shared" ref="H375" si="70">ROUND(F375*G375,2)</f>
        <v>0</v>
      </c>
      <c r="I375" s="2352" t="s">
        <v>111</v>
      </c>
      <c r="J375" s="4897"/>
    </row>
    <row r="376" spans="1:30" s="2399" customFormat="1" ht="13.5" customHeight="1">
      <c r="A376" s="2398"/>
      <c r="B376" s="2346"/>
      <c r="C376" s="2346"/>
      <c r="D376" s="2400" t="s">
        <v>3430</v>
      </c>
      <c r="E376" s="2346"/>
      <c r="F376" s="2281"/>
      <c r="G376" s="4860"/>
      <c r="H376" s="2401"/>
      <c r="I376" s="2352"/>
      <c r="J376" s="4898"/>
      <c r="K376" s="147"/>
      <c r="L376" s="147"/>
      <c r="M376" s="4899"/>
      <c r="N376" s="4899"/>
      <c r="O376" s="4899"/>
      <c r="P376" s="4900"/>
      <c r="S376" s="4901"/>
    </row>
    <row r="377" spans="1:30" s="2399" customFormat="1" ht="27" customHeight="1">
      <c r="A377" s="2402"/>
      <c r="B377" s="2403"/>
      <c r="C377" s="2404"/>
      <c r="D377" s="2400" t="s">
        <v>3311</v>
      </c>
      <c r="E377" s="2346"/>
      <c r="F377" s="2405"/>
      <c r="G377" s="4861"/>
      <c r="H377" s="2406"/>
      <c r="I377" s="2407"/>
      <c r="J377" s="4898"/>
      <c r="K377" s="147"/>
      <c r="L377" s="1791"/>
      <c r="M377" s="1791"/>
      <c r="N377" s="251"/>
      <c r="O377" s="251"/>
      <c r="P377" s="4900"/>
      <c r="Q377" s="4903"/>
      <c r="R377" s="4904"/>
      <c r="S377" s="4901"/>
      <c r="T377" s="4899"/>
      <c r="U377" s="4905"/>
      <c r="V377" s="4906"/>
      <c r="W377" s="4906"/>
      <c r="X377" s="4900"/>
      <c r="Y377" s="251"/>
    </row>
    <row r="378" spans="1:30" s="251" customFormat="1" ht="27" customHeight="1">
      <c r="A378" s="4862" t="s">
        <v>5658</v>
      </c>
      <c r="B378" s="4863"/>
      <c r="C378" s="4864" t="s">
        <v>6740</v>
      </c>
      <c r="D378" s="4864" t="s">
        <v>6756</v>
      </c>
      <c r="E378" s="4864" t="s">
        <v>141</v>
      </c>
      <c r="F378" s="4865">
        <f>F375</f>
        <v>2.5</v>
      </c>
      <c r="G378" s="4873"/>
      <c r="H378" s="4866">
        <f t="shared" ref="H378:H381" si="71">ROUND(F378*G378,2)</f>
        <v>0</v>
      </c>
      <c r="I378" s="4697" t="s">
        <v>112</v>
      </c>
      <c r="J378" s="4908"/>
      <c r="K378" s="4909"/>
      <c r="L378" s="4909"/>
      <c r="M378" s="4910"/>
      <c r="N378" s="4910"/>
      <c r="O378" s="4910"/>
      <c r="P378" s="4911"/>
      <c r="Q378" s="4912"/>
      <c r="R378" s="4912"/>
      <c r="T378" s="4907"/>
      <c r="U378" s="4913"/>
      <c r="W378" s="4914"/>
      <c r="X378" s="4915"/>
      <c r="Y378" s="4916"/>
      <c r="Z378" s="1785"/>
      <c r="AA378" s="1785"/>
      <c r="AB378" s="1785"/>
      <c r="AC378" s="1785"/>
      <c r="AD378" s="1785"/>
    </row>
    <row r="379" spans="1:30" s="251" customFormat="1" ht="27" customHeight="1">
      <c r="A379" s="4862" t="s">
        <v>5659</v>
      </c>
      <c r="B379" s="4863"/>
      <c r="C379" s="4864" t="s">
        <v>6743</v>
      </c>
      <c r="D379" s="4864" t="s">
        <v>6757</v>
      </c>
      <c r="E379" s="4864" t="s">
        <v>141</v>
      </c>
      <c r="F379" s="4865">
        <f>(2.5)*1.05</f>
        <v>2.625</v>
      </c>
      <c r="G379" s="4873"/>
      <c r="H379" s="4866">
        <f t="shared" si="71"/>
        <v>0</v>
      </c>
      <c r="I379" s="4697" t="s">
        <v>112</v>
      </c>
      <c r="J379" s="4924"/>
      <c r="K379" s="4925"/>
      <c r="L379" s="4925"/>
      <c r="M379" s="1785"/>
      <c r="N379" s="4908"/>
      <c r="O379" s="1785"/>
      <c r="P379" s="1785"/>
      <c r="Q379" s="1785"/>
      <c r="R379" s="2091"/>
      <c r="T379" s="4907"/>
      <c r="U379" s="4913"/>
      <c r="W379" s="4914"/>
      <c r="X379" s="4915"/>
      <c r="Y379" s="4916"/>
      <c r="Z379" s="1785"/>
      <c r="AA379" s="1785"/>
      <c r="AB379" s="1785"/>
      <c r="AC379" s="1785"/>
      <c r="AD379" s="1785"/>
    </row>
    <row r="380" spans="1:30" s="251" customFormat="1" ht="27" customHeight="1">
      <c r="A380" s="4862" t="s">
        <v>5660</v>
      </c>
      <c r="B380" s="4863"/>
      <c r="C380" s="4864">
        <v>713411121</v>
      </c>
      <c r="D380" s="4864" t="s">
        <v>6758</v>
      </c>
      <c r="E380" s="4864" t="s">
        <v>163</v>
      </c>
      <c r="F380" s="4865">
        <f>(2.5)*2.05</f>
        <v>5.125</v>
      </c>
      <c r="G380" s="4873"/>
      <c r="H380" s="4866">
        <f t="shared" si="71"/>
        <v>0</v>
      </c>
      <c r="I380" s="4697" t="s">
        <v>137</v>
      </c>
      <c r="J380" s="4908"/>
      <c r="K380" s="4909"/>
      <c r="L380" s="1791"/>
      <c r="M380" s="1791"/>
      <c r="P380" s="4911"/>
      <c r="Q380" s="4917"/>
      <c r="R380" s="4918"/>
      <c r="T380" s="4907"/>
      <c r="U380" s="4913"/>
      <c r="W380" s="4914"/>
      <c r="X380" s="4915"/>
      <c r="Y380" s="4916"/>
      <c r="Z380" s="1785"/>
      <c r="AA380" s="1785"/>
      <c r="AB380" s="1785"/>
      <c r="AC380" s="1785"/>
      <c r="AD380" s="1785"/>
    </row>
    <row r="381" spans="1:30" s="251" customFormat="1" ht="27" customHeight="1">
      <c r="A381" s="4862" t="s">
        <v>6759</v>
      </c>
      <c r="B381" s="4863"/>
      <c r="C381" s="4867" t="s">
        <v>6571</v>
      </c>
      <c r="D381" s="4867" t="s">
        <v>6760</v>
      </c>
      <c r="E381" s="4867" t="s">
        <v>163</v>
      </c>
      <c r="F381" s="4868">
        <f>((2.5)*2.05)*1.1</f>
        <v>5.6375000000000002</v>
      </c>
      <c r="G381" s="4874"/>
      <c r="H381" s="4869">
        <f t="shared" si="71"/>
        <v>0</v>
      </c>
      <c r="I381" s="4870" t="s">
        <v>112</v>
      </c>
      <c r="J381" s="4908"/>
      <c r="K381" s="4909"/>
      <c r="T381" s="4907"/>
      <c r="AA381" s="1785"/>
      <c r="AB381" s="1785"/>
      <c r="AC381" s="1785"/>
      <c r="AD381" s="1785"/>
    </row>
    <row r="382" spans="1:30" ht="13.5" customHeight="1">
      <c r="A382" s="2408"/>
      <c r="B382" s="2346"/>
      <c r="C382" s="2346"/>
      <c r="D382" s="2400" t="s">
        <v>3431</v>
      </c>
      <c r="E382" s="2346"/>
      <c r="F382" s="2409">
        <v>2.5</v>
      </c>
      <c r="G382" s="2387"/>
      <c r="H382" s="2387"/>
      <c r="I382" s="2352"/>
      <c r="J382" s="4919"/>
      <c r="K382" s="4920"/>
      <c r="L382" s="4920"/>
      <c r="M382" s="4920"/>
      <c r="N382" s="4920"/>
      <c r="O382" s="4921"/>
      <c r="P382" s="4921"/>
      <c r="Q382" s="4921"/>
      <c r="R382" s="4921"/>
      <c r="S382" s="4921"/>
      <c r="T382" s="4921"/>
      <c r="U382" s="4921"/>
      <c r="V382" s="122"/>
      <c r="W382" s="4921"/>
      <c r="X382" s="1975"/>
      <c r="Y382" s="1975"/>
      <c r="Z382" s="1951"/>
    </row>
    <row r="383" spans="1:30" s="2399" customFormat="1" ht="27" customHeight="1">
      <c r="A383" s="2402"/>
      <c r="B383" s="2403"/>
      <c r="C383" s="2410"/>
      <c r="D383" s="2400" t="s">
        <v>1994</v>
      </c>
      <c r="E383" s="2346"/>
      <c r="F383" s="2405"/>
      <c r="G383" s="4861"/>
      <c r="H383" s="2406"/>
      <c r="I383" s="2411"/>
      <c r="T383" s="4899"/>
      <c r="U383" s="4905"/>
      <c r="V383" s="4906"/>
      <c r="W383" s="4906"/>
      <c r="X383" s="4900"/>
      <c r="Y383" s="251"/>
    </row>
    <row r="384" spans="1:30" s="2399" customFormat="1" ht="13.5" customHeight="1">
      <c r="A384" s="4849"/>
      <c r="B384" s="4850"/>
      <c r="C384" s="4851"/>
      <c r="D384" s="4856" t="s">
        <v>6565</v>
      </c>
      <c r="E384" s="4852"/>
      <c r="F384" s="4853"/>
      <c r="G384" s="4871"/>
      <c r="H384" s="4854"/>
      <c r="I384" s="4855"/>
      <c r="T384" s="4899"/>
      <c r="U384" s="4905"/>
      <c r="V384" s="4906"/>
      <c r="W384" s="4906"/>
      <c r="X384" s="4900"/>
      <c r="Y384" s="251"/>
    </row>
    <row r="385" spans="1:30" s="2399" customFormat="1" ht="13.5" customHeight="1">
      <c r="A385" s="4857">
        <v>50</v>
      </c>
      <c r="B385" s="2346">
        <v>751</v>
      </c>
      <c r="C385" s="2346" t="s">
        <v>3432</v>
      </c>
      <c r="D385" s="2346" t="s">
        <v>3433</v>
      </c>
      <c r="E385" s="2346" t="s">
        <v>141</v>
      </c>
      <c r="F385" s="4859">
        <f>F392</f>
        <v>1.5</v>
      </c>
      <c r="G385" s="1641">
        <f>ROUND(SUM(H388:H391)/F385,2)</f>
        <v>0</v>
      </c>
      <c r="H385" s="2231">
        <f t="shared" ref="H385" si="72">ROUND(F385*G385,2)</f>
        <v>0</v>
      </c>
      <c r="I385" s="2352" t="s">
        <v>111</v>
      </c>
      <c r="J385" s="4897"/>
    </row>
    <row r="386" spans="1:30" s="2399" customFormat="1" ht="13.5" customHeight="1">
      <c r="A386" s="2398"/>
      <c r="B386" s="2346"/>
      <c r="C386" s="2346"/>
      <c r="D386" s="2400" t="s">
        <v>3434</v>
      </c>
      <c r="E386" s="2346"/>
      <c r="F386" s="2281"/>
      <c r="G386" s="4860"/>
      <c r="H386" s="2401"/>
      <c r="I386" s="2352"/>
      <c r="J386" s="4898"/>
      <c r="K386" s="147"/>
      <c r="L386" s="147"/>
      <c r="M386" s="4899"/>
      <c r="N386" s="4899"/>
      <c r="O386" s="4899"/>
      <c r="P386" s="4900"/>
      <c r="S386" s="4901"/>
    </row>
    <row r="387" spans="1:30" s="2399" customFormat="1" ht="27" customHeight="1">
      <c r="A387" s="2402"/>
      <c r="B387" s="2403"/>
      <c r="C387" s="2404"/>
      <c r="D387" s="2400" t="s">
        <v>3311</v>
      </c>
      <c r="E387" s="2346"/>
      <c r="F387" s="2405"/>
      <c r="G387" s="4861"/>
      <c r="H387" s="2406"/>
      <c r="I387" s="2407"/>
      <c r="J387" s="4898"/>
      <c r="K387" s="147"/>
      <c r="L387" s="1791"/>
      <c r="M387" s="1791"/>
      <c r="N387" s="251"/>
      <c r="O387" s="251"/>
      <c r="P387" s="4900"/>
      <c r="Q387" s="4903"/>
      <c r="R387" s="4904"/>
      <c r="S387" s="4901"/>
      <c r="T387" s="4899"/>
      <c r="U387" s="4905"/>
      <c r="V387" s="4906"/>
      <c r="W387" s="4906"/>
      <c r="X387" s="4900"/>
      <c r="Y387" s="251"/>
    </row>
    <row r="388" spans="1:30" s="251" customFormat="1" ht="27" customHeight="1">
      <c r="A388" s="4862" t="s">
        <v>6761</v>
      </c>
      <c r="B388" s="4863"/>
      <c r="C388" s="4864" t="s">
        <v>6740</v>
      </c>
      <c r="D388" s="4864" t="s">
        <v>6762</v>
      </c>
      <c r="E388" s="4864" t="s">
        <v>141</v>
      </c>
      <c r="F388" s="4865">
        <f>F385</f>
        <v>1.5</v>
      </c>
      <c r="G388" s="4873"/>
      <c r="H388" s="4866">
        <f t="shared" ref="H388:H391" si="73">ROUND(F388*G388,2)</f>
        <v>0</v>
      </c>
      <c r="I388" s="4697" t="s">
        <v>112</v>
      </c>
      <c r="J388" s="4908"/>
      <c r="K388" s="4909"/>
      <c r="L388" s="4909"/>
      <c r="M388" s="4910"/>
      <c r="N388" s="4910"/>
      <c r="O388" s="4910"/>
      <c r="P388" s="4911"/>
      <c r="Q388" s="4912"/>
      <c r="R388" s="4912"/>
      <c r="T388" s="4907"/>
      <c r="U388" s="4913"/>
      <c r="W388" s="4914"/>
      <c r="X388" s="4915"/>
      <c r="Y388" s="4916"/>
      <c r="Z388" s="1785"/>
      <c r="AA388" s="1785"/>
      <c r="AB388" s="1785"/>
      <c r="AC388" s="1785"/>
      <c r="AD388" s="1785"/>
    </row>
    <row r="389" spans="1:30" s="251" customFormat="1" ht="27" customHeight="1">
      <c r="A389" s="4862" t="s">
        <v>6763</v>
      </c>
      <c r="B389" s="4863"/>
      <c r="C389" s="4864" t="s">
        <v>6743</v>
      </c>
      <c r="D389" s="4864" t="s">
        <v>6764</v>
      </c>
      <c r="E389" s="4864" t="s">
        <v>141</v>
      </c>
      <c r="F389" s="4865">
        <f>(1.5)*1.05</f>
        <v>1.5750000000000002</v>
      </c>
      <c r="G389" s="4873"/>
      <c r="H389" s="4866">
        <f t="shared" si="73"/>
        <v>0</v>
      </c>
      <c r="I389" s="4697" t="s">
        <v>112</v>
      </c>
      <c r="J389" s="4924"/>
      <c r="K389" s="4925"/>
      <c r="L389" s="4925"/>
      <c r="M389" s="1785"/>
      <c r="N389" s="4908"/>
      <c r="O389" s="1785"/>
      <c r="P389" s="1785"/>
      <c r="Q389" s="1785"/>
      <c r="R389" s="2091"/>
      <c r="T389" s="4907"/>
      <c r="U389" s="4913"/>
      <c r="W389" s="4914"/>
      <c r="X389" s="4915"/>
      <c r="Y389" s="4916"/>
      <c r="Z389" s="1785"/>
      <c r="AA389" s="1785"/>
      <c r="AB389" s="1785"/>
      <c r="AC389" s="1785"/>
      <c r="AD389" s="1785"/>
    </row>
    <row r="390" spans="1:30" s="251" customFormat="1" ht="27" customHeight="1">
      <c r="A390" s="4862" t="s">
        <v>6765</v>
      </c>
      <c r="B390" s="4863"/>
      <c r="C390" s="4864">
        <v>713411121</v>
      </c>
      <c r="D390" s="4864" t="s">
        <v>6766</v>
      </c>
      <c r="E390" s="4864" t="s">
        <v>163</v>
      </c>
      <c r="F390" s="4865">
        <f>(1.5)*2.22</f>
        <v>3.33</v>
      </c>
      <c r="G390" s="4873"/>
      <c r="H390" s="4866">
        <f t="shared" si="73"/>
        <v>0</v>
      </c>
      <c r="I390" s="4697" t="s">
        <v>137</v>
      </c>
      <c r="J390" s="4908"/>
      <c r="K390" s="4909"/>
      <c r="L390" s="1791"/>
      <c r="M390" s="1791"/>
      <c r="P390" s="4911"/>
      <c r="Q390" s="4917"/>
      <c r="R390" s="4918"/>
      <c r="T390" s="4907"/>
      <c r="U390" s="4913"/>
      <c r="W390" s="4914"/>
      <c r="X390" s="4915"/>
      <c r="Y390" s="4916"/>
      <c r="Z390" s="1785"/>
      <c r="AA390" s="1785"/>
      <c r="AB390" s="1785"/>
      <c r="AC390" s="1785"/>
      <c r="AD390" s="1785"/>
    </row>
    <row r="391" spans="1:30" s="251" customFormat="1" ht="27" customHeight="1">
      <c r="A391" s="4862" t="s">
        <v>6767</v>
      </c>
      <c r="B391" s="4863"/>
      <c r="C391" s="4867" t="s">
        <v>6571</v>
      </c>
      <c r="D391" s="4867" t="s">
        <v>6768</v>
      </c>
      <c r="E391" s="4867" t="s">
        <v>163</v>
      </c>
      <c r="F391" s="4868">
        <f>((1.5)*2.22)*1.1</f>
        <v>3.6630000000000003</v>
      </c>
      <c r="G391" s="4874"/>
      <c r="H391" s="4869">
        <f t="shared" si="73"/>
        <v>0</v>
      </c>
      <c r="I391" s="4870" t="s">
        <v>112</v>
      </c>
      <c r="J391" s="4908"/>
      <c r="K391" s="4909"/>
      <c r="T391" s="4907"/>
      <c r="AA391" s="1785"/>
      <c r="AB391" s="1785"/>
      <c r="AC391" s="1785"/>
      <c r="AD391" s="1785"/>
    </row>
    <row r="392" spans="1:30" ht="13.5" customHeight="1">
      <c r="A392" s="2408"/>
      <c r="B392" s="2346"/>
      <c r="C392" s="2346"/>
      <c r="D392" s="2400" t="s">
        <v>3435</v>
      </c>
      <c r="E392" s="2346"/>
      <c r="F392" s="2409">
        <v>1.5</v>
      </c>
      <c r="G392" s="2387"/>
      <c r="H392" s="2387"/>
      <c r="I392" s="2352"/>
      <c r="J392" s="4919"/>
      <c r="K392" s="4920"/>
      <c r="L392" s="4920"/>
      <c r="M392" s="4920"/>
      <c r="N392" s="4920"/>
      <c r="O392" s="4921"/>
      <c r="P392" s="4921"/>
      <c r="Q392" s="4921"/>
      <c r="R392" s="4921"/>
      <c r="S392" s="4921"/>
      <c r="T392" s="4921"/>
      <c r="U392" s="4921"/>
      <c r="V392" s="122"/>
      <c r="W392" s="4921"/>
      <c r="X392" s="1975"/>
      <c r="Y392" s="1975"/>
      <c r="Z392" s="1951"/>
    </row>
    <row r="393" spans="1:30" s="2399" customFormat="1" ht="27" customHeight="1">
      <c r="A393" s="2402"/>
      <c r="B393" s="2403"/>
      <c r="C393" s="2410"/>
      <c r="D393" s="2400" t="s">
        <v>1994</v>
      </c>
      <c r="E393" s="2346"/>
      <c r="F393" s="2405"/>
      <c r="G393" s="4861"/>
      <c r="H393" s="2406"/>
      <c r="I393" s="2411"/>
      <c r="T393" s="4899"/>
      <c r="U393" s="4905"/>
      <c r="V393" s="4906"/>
      <c r="W393" s="4906"/>
      <c r="X393" s="4900"/>
      <c r="Y393" s="251"/>
    </row>
    <row r="394" spans="1:30" s="2399" customFormat="1" ht="13.5" customHeight="1">
      <c r="A394" s="4849"/>
      <c r="B394" s="4850"/>
      <c r="C394" s="4851"/>
      <c r="D394" s="4856" t="s">
        <v>6565</v>
      </c>
      <c r="E394" s="4852"/>
      <c r="F394" s="4853"/>
      <c r="G394" s="4871"/>
      <c r="H394" s="4854"/>
      <c r="I394" s="4855"/>
      <c r="T394" s="4899"/>
      <c r="U394" s="4905"/>
      <c r="V394" s="4906"/>
      <c r="W394" s="4906"/>
      <c r="X394" s="4900"/>
      <c r="Y394" s="251"/>
    </row>
    <row r="395" spans="1:30" s="2399" customFormat="1" ht="13.5" customHeight="1">
      <c r="A395" s="4857">
        <v>51</v>
      </c>
      <c r="B395" s="2346">
        <v>751</v>
      </c>
      <c r="C395" s="2346" t="s">
        <v>3436</v>
      </c>
      <c r="D395" s="2346" t="s">
        <v>3437</v>
      </c>
      <c r="E395" s="2346" t="s">
        <v>141</v>
      </c>
      <c r="F395" s="4859">
        <f>F402</f>
        <v>1.6</v>
      </c>
      <c r="G395" s="1641">
        <f>ROUND(SUM(H398:H401)/F395,2)</f>
        <v>0</v>
      </c>
      <c r="H395" s="2231">
        <f t="shared" ref="H395" si="74">ROUND(F395*G395,2)</f>
        <v>0</v>
      </c>
      <c r="I395" s="2352" t="s">
        <v>111</v>
      </c>
      <c r="J395" s="4897"/>
    </row>
    <row r="396" spans="1:30" s="2399" customFormat="1" ht="13.5" customHeight="1">
      <c r="A396" s="2398"/>
      <c r="B396" s="2346"/>
      <c r="C396" s="2346"/>
      <c r="D396" s="2400" t="s">
        <v>3438</v>
      </c>
      <c r="E396" s="2346"/>
      <c r="F396" s="2281"/>
      <c r="G396" s="4860"/>
      <c r="H396" s="2401"/>
      <c r="I396" s="2352"/>
      <c r="J396" s="4898"/>
      <c r="K396" s="147"/>
      <c r="L396" s="147"/>
      <c r="M396" s="4899"/>
      <c r="N396" s="4899"/>
      <c r="O396" s="4899"/>
      <c r="P396" s="4900"/>
      <c r="S396" s="4901"/>
    </row>
    <row r="397" spans="1:30" s="2399" customFormat="1" ht="27" customHeight="1">
      <c r="A397" s="2402"/>
      <c r="B397" s="2403"/>
      <c r="C397" s="2404"/>
      <c r="D397" s="2400" t="s">
        <v>3311</v>
      </c>
      <c r="E397" s="2346"/>
      <c r="F397" s="2405"/>
      <c r="G397" s="4861"/>
      <c r="H397" s="2406"/>
      <c r="I397" s="2407"/>
      <c r="J397" s="4898"/>
      <c r="K397" s="147"/>
      <c r="L397" s="1791"/>
      <c r="M397" s="1791"/>
      <c r="N397" s="251"/>
      <c r="O397" s="251"/>
      <c r="P397" s="4900"/>
      <c r="Q397" s="4903"/>
      <c r="R397" s="4904"/>
      <c r="S397" s="4901"/>
      <c r="T397" s="4899"/>
      <c r="U397" s="4905"/>
      <c r="V397" s="4906"/>
      <c r="W397" s="4906"/>
      <c r="X397" s="4900"/>
      <c r="Y397" s="251"/>
    </row>
    <row r="398" spans="1:30" s="251" customFormat="1" ht="27" customHeight="1">
      <c r="A398" s="4862" t="s">
        <v>6769</v>
      </c>
      <c r="B398" s="4863"/>
      <c r="C398" s="4864" t="s">
        <v>6740</v>
      </c>
      <c r="D398" s="4864" t="s">
        <v>6770</v>
      </c>
      <c r="E398" s="4864" t="s">
        <v>141</v>
      </c>
      <c r="F398" s="4865">
        <f>F395</f>
        <v>1.6</v>
      </c>
      <c r="G398" s="4873"/>
      <c r="H398" s="4866">
        <f t="shared" ref="H398:H401" si="75">ROUND(F398*G398,2)</f>
        <v>0</v>
      </c>
      <c r="I398" s="4697" t="s">
        <v>112</v>
      </c>
      <c r="J398" s="4908"/>
      <c r="K398" s="4909"/>
      <c r="L398" s="4909"/>
      <c r="M398" s="4910"/>
      <c r="N398" s="4910"/>
      <c r="O398" s="4910"/>
      <c r="P398" s="4911"/>
      <c r="Q398" s="4912"/>
      <c r="R398" s="4912"/>
      <c r="T398" s="4907"/>
      <c r="U398" s="4913"/>
      <c r="W398" s="4914"/>
      <c r="X398" s="4915"/>
      <c r="Y398" s="4916"/>
      <c r="Z398" s="1785"/>
      <c r="AA398" s="1785"/>
      <c r="AB398" s="1785"/>
      <c r="AC398" s="1785"/>
      <c r="AD398" s="1785"/>
    </row>
    <row r="399" spans="1:30" s="251" customFormat="1" ht="27" customHeight="1">
      <c r="A399" s="4862" t="s">
        <v>6771</v>
      </c>
      <c r="B399" s="4863"/>
      <c r="C399" s="4864" t="s">
        <v>6743</v>
      </c>
      <c r="D399" s="4864" t="s">
        <v>6772</v>
      </c>
      <c r="E399" s="4864" t="s">
        <v>141</v>
      </c>
      <c r="F399" s="4865">
        <f xml:space="preserve"> (1.6)*1.05</f>
        <v>1.6800000000000002</v>
      </c>
      <c r="G399" s="4873"/>
      <c r="H399" s="4866">
        <f t="shared" si="75"/>
        <v>0</v>
      </c>
      <c r="I399" s="4697" t="s">
        <v>112</v>
      </c>
      <c r="J399" s="4924"/>
      <c r="K399" s="4925"/>
      <c r="L399" s="4925"/>
      <c r="M399" s="1785"/>
      <c r="N399" s="4908"/>
      <c r="O399" s="1785"/>
      <c r="P399" s="1785"/>
      <c r="Q399" s="1785"/>
      <c r="R399" s="2091"/>
      <c r="T399" s="4907"/>
      <c r="U399" s="4913"/>
      <c r="W399" s="4914"/>
      <c r="X399" s="4915"/>
      <c r="Y399" s="4916"/>
      <c r="Z399" s="1785"/>
      <c r="AA399" s="1785"/>
      <c r="AB399" s="1785"/>
      <c r="AC399" s="1785"/>
      <c r="AD399" s="1785"/>
    </row>
    <row r="400" spans="1:30" s="251" customFormat="1" ht="27" customHeight="1">
      <c r="A400" s="4862" t="s">
        <v>6773</v>
      </c>
      <c r="B400" s="4863"/>
      <c r="C400" s="4864">
        <v>713411121</v>
      </c>
      <c r="D400" s="4864" t="s">
        <v>6774</v>
      </c>
      <c r="E400" s="4864" t="s">
        <v>163</v>
      </c>
      <c r="F400" s="4865">
        <f>(1.6)*2.68</f>
        <v>4.2880000000000003</v>
      </c>
      <c r="G400" s="4873"/>
      <c r="H400" s="4866">
        <f t="shared" si="75"/>
        <v>0</v>
      </c>
      <c r="I400" s="4697" t="s">
        <v>137</v>
      </c>
      <c r="J400" s="4908"/>
      <c r="K400" s="4909"/>
      <c r="L400" s="1791"/>
      <c r="M400" s="1791"/>
      <c r="P400" s="4911"/>
      <c r="Q400" s="4917"/>
      <c r="R400" s="4918"/>
      <c r="T400" s="4907"/>
      <c r="U400" s="4913"/>
      <c r="W400" s="4914"/>
      <c r="X400" s="4915"/>
      <c r="Y400" s="4916"/>
      <c r="Z400" s="1785"/>
      <c r="AA400" s="1785"/>
      <c r="AB400" s="1785"/>
      <c r="AC400" s="1785"/>
      <c r="AD400" s="1785"/>
    </row>
    <row r="401" spans="1:30" s="251" customFormat="1" ht="27" customHeight="1">
      <c r="A401" s="4862" t="s">
        <v>6775</v>
      </c>
      <c r="B401" s="4863"/>
      <c r="C401" s="4867" t="s">
        <v>6571</v>
      </c>
      <c r="D401" s="4867" t="s">
        <v>6776</v>
      </c>
      <c r="E401" s="4867" t="s">
        <v>163</v>
      </c>
      <c r="F401" s="4868">
        <f>((1.6)*2.68)*1.1</f>
        <v>4.716800000000001</v>
      </c>
      <c r="G401" s="4874"/>
      <c r="H401" s="4869">
        <f t="shared" si="75"/>
        <v>0</v>
      </c>
      <c r="I401" s="4870" t="s">
        <v>112</v>
      </c>
      <c r="J401" s="4908"/>
      <c r="K401" s="4909"/>
      <c r="T401" s="4907"/>
      <c r="AA401" s="1785"/>
      <c r="AB401" s="1785"/>
      <c r="AC401" s="1785"/>
      <c r="AD401" s="1785"/>
    </row>
    <row r="402" spans="1:30" ht="13.5" customHeight="1">
      <c r="A402" s="2408"/>
      <c r="B402" s="2346"/>
      <c r="C402" s="2346"/>
      <c r="D402" s="2400" t="s">
        <v>3439</v>
      </c>
      <c r="E402" s="2346"/>
      <c r="F402" s="2409">
        <v>1.6</v>
      </c>
      <c r="G402" s="2387"/>
      <c r="H402" s="2387"/>
      <c r="I402" s="2352"/>
      <c r="J402" s="4919"/>
      <c r="K402" s="4920"/>
      <c r="L402" s="4920"/>
      <c r="M402" s="4920"/>
      <c r="N402" s="4920"/>
      <c r="O402" s="4921"/>
      <c r="P402" s="4921"/>
      <c r="Q402" s="4921"/>
      <c r="R402" s="4921"/>
      <c r="S402" s="4921"/>
      <c r="T402" s="4921"/>
      <c r="U402" s="4921"/>
      <c r="V402" s="122"/>
      <c r="W402" s="4921"/>
      <c r="X402" s="1975"/>
      <c r="Y402" s="1975"/>
      <c r="Z402" s="1951"/>
    </row>
    <row r="403" spans="1:30" s="2399" customFormat="1" ht="27" customHeight="1">
      <c r="A403" s="2402"/>
      <c r="B403" s="2403"/>
      <c r="C403" s="2410"/>
      <c r="D403" s="2400" t="s">
        <v>1994</v>
      </c>
      <c r="E403" s="2346"/>
      <c r="F403" s="2405"/>
      <c r="G403" s="4861"/>
      <c r="H403" s="2406"/>
      <c r="I403" s="2411"/>
      <c r="T403" s="4899"/>
      <c r="U403" s="4905"/>
      <c r="V403" s="4906"/>
      <c r="W403" s="4906"/>
      <c r="X403" s="4900"/>
      <c r="Y403" s="251"/>
    </row>
    <row r="404" spans="1:30" s="2399" customFormat="1" ht="13.5" customHeight="1">
      <c r="A404" s="4849"/>
      <c r="B404" s="4850"/>
      <c r="C404" s="4851"/>
      <c r="D404" s="4856" t="s">
        <v>6565</v>
      </c>
      <c r="E404" s="4852"/>
      <c r="F404" s="4853"/>
      <c r="G404" s="4871"/>
      <c r="H404" s="4854"/>
      <c r="I404" s="4855"/>
      <c r="T404" s="4899"/>
      <c r="U404" s="4905"/>
      <c r="V404" s="4906"/>
      <c r="W404" s="4906"/>
      <c r="X404" s="4900"/>
      <c r="Y404" s="251"/>
    </row>
    <row r="405" spans="1:30" s="2399" customFormat="1" ht="13.5" customHeight="1">
      <c r="A405" s="4857">
        <v>52</v>
      </c>
      <c r="B405" s="2346">
        <v>751</v>
      </c>
      <c r="C405" s="2346" t="s">
        <v>3440</v>
      </c>
      <c r="D405" s="2346" t="s">
        <v>3441</v>
      </c>
      <c r="E405" s="2346" t="s">
        <v>141</v>
      </c>
      <c r="F405" s="4859">
        <f>F412</f>
        <v>8.3000000000000007</v>
      </c>
      <c r="G405" s="1641">
        <f>ROUND(SUM(H408:H411)/F405,2)</f>
        <v>0</v>
      </c>
      <c r="H405" s="2231">
        <f t="shared" ref="H405" si="76">ROUND(F405*G405,2)</f>
        <v>0</v>
      </c>
      <c r="I405" s="2352" t="s">
        <v>111</v>
      </c>
      <c r="J405" s="4897"/>
    </row>
    <row r="406" spans="1:30" s="2399" customFormat="1" ht="13.5" customHeight="1">
      <c r="A406" s="2398"/>
      <c r="B406" s="2346"/>
      <c r="C406" s="2346"/>
      <c r="D406" s="2400" t="s">
        <v>3442</v>
      </c>
      <c r="E406" s="2346"/>
      <c r="F406" s="2281"/>
      <c r="G406" s="4860"/>
      <c r="H406" s="2401"/>
      <c r="I406" s="2352"/>
      <c r="J406" s="4898"/>
      <c r="K406" s="147"/>
      <c r="L406" s="147"/>
      <c r="M406" s="4899"/>
      <c r="N406" s="4899"/>
      <c r="O406" s="4899"/>
      <c r="P406" s="4900"/>
      <c r="S406" s="4901"/>
    </row>
    <row r="407" spans="1:30" s="2399" customFormat="1" ht="27" customHeight="1">
      <c r="A407" s="2402"/>
      <c r="B407" s="2403"/>
      <c r="C407" s="2404"/>
      <c r="D407" s="2400" t="s">
        <v>3311</v>
      </c>
      <c r="E407" s="2346"/>
      <c r="F407" s="2405"/>
      <c r="G407" s="4861"/>
      <c r="H407" s="2406"/>
      <c r="I407" s="2407"/>
      <c r="J407" s="4898"/>
      <c r="K407" s="147"/>
      <c r="L407" s="1791"/>
      <c r="M407" s="1791"/>
      <c r="N407" s="251"/>
      <c r="O407" s="251"/>
      <c r="P407" s="4900"/>
      <c r="Q407" s="4903"/>
      <c r="R407" s="4904"/>
      <c r="S407" s="4901"/>
      <c r="T407" s="4899"/>
      <c r="U407" s="4905"/>
      <c r="V407" s="4906"/>
      <c r="W407" s="4906"/>
      <c r="X407" s="4900"/>
      <c r="Y407" s="251"/>
    </row>
    <row r="408" spans="1:30" s="251" customFormat="1" ht="27" customHeight="1">
      <c r="A408" s="4862" t="s">
        <v>6375</v>
      </c>
      <c r="B408" s="4863"/>
      <c r="C408" s="4864" t="s">
        <v>6740</v>
      </c>
      <c r="D408" s="4864" t="s">
        <v>6762</v>
      </c>
      <c r="E408" s="4864" t="s">
        <v>141</v>
      </c>
      <c r="F408" s="4865">
        <f>F405</f>
        <v>8.3000000000000007</v>
      </c>
      <c r="G408" s="4873"/>
      <c r="H408" s="4866">
        <f t="shared" ref="H408:H411" si="77">ROUND(F408*G408,2)</f>
        <v>0</v>
      </c>
      <c r="I408" s="4697" t="s">
        <v>112</v>
      </c>
      <c r="J408" s="4908"/>
      <c r="K408" s="4909"/>
      <c r="L408" s="4909"/>
      <c r="M408" s="4910"/>
      <c r="N408" s="4910"/>
      <c r="O408" s="4910"/>
      <c r="P408" s="4911"/>
      <c r="Q408" s="4912"/>
      <c r="R408" s="4912"/>
      <c r="T408" s="4907"/>
      <c r="U408" s="4913"/>
      <c r="W408" s="4914"/>
      <c r="X408" s="4915"/>
      <c r="Y408" s="4916"/>
      <c r="Z408" s="1785"/>
      <c r="AA408" s="1785"/>
      <c r="AB408" s="1785"/>
      <c r="AC408" s="1785"/>
      <c r="AD408" s="1785"/>
    </row>
    <row r="409" spans="1:30" s="251" customFormat="1" ht="27" customHeight="1">
      <c r="A409" s="4862" t="s">
        <v>6777</v>
      </c>
      <c r="B409" s="4863"/>
      <c r="C409" s="4864" t="s">
        <v>6743</v>
      </c>
      <c r="D409" s="4864" t="s">
        <v>6778</v>
      </c>
      <c r="E409" s="4864" t="s">
        <v>141</v>
      </c>
      <c r="F409" s="4865">
        <f xml:space="preserve"> (8.3)*1.05</f>
        <v>8.7150000000000016</v>
      </c>
      <c r="G409" s="4873"/>
      <c r="H409" s="4866">
        <f t="shared" si="77"/>
        <v>0</v>
      </c>
      <c r="I409" s="4697" t="s">
        <v>112</v>
      </c>
      <c r="J409" s="4924"/>
      <c r="K409" s="4925"/>
      <c r="L409" s="4925"/>
      <c r="M409" s="1785"/>
      <c r="N409" s="4908"/>
      <c r="O409" s="1785"/>
      <c r="P409" s="1785"/>
      <c r="Q409" s="1785"/>
      <c r="R409" s="2091"/>
      <c r="T409" s="4907"/>
      <c r="U409" s="4913"/>
      <c r="W409" s="4914"/>
      <c r="X409" s="4915"/>
      <c r="Y409" s="4916"/>
      <c r="Z409" s="1785"/>
      <c r="AA409" s="1785"/>
      <c r="AB409" s="1785"/>
      <c r="AC409" s="1785"/>
      <c r="AD409" s="1785"/>
    </row>
    <row r="410" spans="1:30" s="251" customFormat="1" ht="27" customHeight="1">
      <c r="A410" s="4862" t="s">
        <v>6779</v>
      </c>
      <c r="B410" s="4863"/>
      <c r="C410" s="4864">
        <v>713411121</v>
      </c>
      <c r="D410" s="4864" t="s">
        <v>6780</v>
      </c>
      <c r="E410" s="4864" t="s">
        <v>163</v>
      </c>
      <c r="F410" s="4865">
        <f>(8.3)*1.98</f>
        <v>16.434000000000001</v>
      </c>
      <c r="G410" s="4873"/>
      <c r="H410" s="4866">
        <f t="shared" si="77"/>
        <v>0</v>
      </c>
      <c r="I410" s="4697" t="s">
        <v>137</v>
      </c>
      <c r="J410" s="4908"/>
      <c r="K410" s="4909"/>
      <c r="L410" s="1791"/>
      <c r="M410" s="1791"/>
      <c r="P410" s="4911"/>
      <c r="Q410" s="4917"/>
      <c r="R410" s="4918"/>
      <c r="T410" s="4907"/>
      <c r="U410" s="4913"/>
      <c r="W410" s="4914"/>
      <c r="X410" s="4915"/>
      <c r="Y410" s="4916"/>
      <c r="Z410" s="1785"/>
      <c r="AA410" s="1785"/>
      <c r="AB410" s="1785"/>
      <c r="AC410" s="1785"/>
      <c r="AD410" s="1785"/>
    </row>
    <row r="411" spans="1:30" s="251" customFormat="1" ht="27" customHeight="1">
      <c r="A411" s="4862" t="s">
        <v>6781</v>
      </c>
      <c r="B411" s="4863"/>
      <c r="C411" s="4867" t="s">
        <v>6571</v>
      </c>
      <c r="D411" s="4867" t="s">
        <v>6782</v>
      </c>
      <c r="E411" s="4867" t="s">
        <v>163</v>
      </c>
      <c r="F411" s="4868">
        <f>((8.3)*1.98)*1.1</f>
        <v>18.077400000000004</v>
      </c>
      <c r="G411" s="4874"/>
      <c r="H411" s="4869">
        <f t="shared" si="77"/>
        <v>0</v>
      </c>
      <c r="I411" s="4870" t="s">
        <v>112</v>
      </c>
      <c r="J411" s="4908"/>
      <c r="K411" s="4909"/>
      <c r="T411" s="4907"/>
      <c r="AA411" s="1785"/>
      <c r="AB411" s="1785"/>
      <c r="AC411" s="1785"/>
      <c r="AD411" s="1785"/>
    </row>
    <row r="412" spans="1:30" ht="13.5" customHeight="1">
      <c r="A412" s="2408"/>
      <c r="B412" s="2346"/>
      <c r="C412" s="2346"/>
      <c r="D412" s="2400" t="s">
        <v>3443</v>
      </c>
      <c r="E412" s="2346"/>
      <c r="F412" s="2409">
        <v>8.3000000000000007</v>
      </c>
      <c r="G412" s="2387"/>
      <c r="H412" s="2387"/>
      <c r="I412" s="2352"/>
      <c r="J412" s="4919"/>
      <c r="K412" s="4920"/>
      <c r="L412" s="4920"/>
      <c r="M412" s="4920"/>
      <c r="N412" s="4920"/>
      <c r="O412" s="4921"/>
      <c r="P412" s="4921"/>
      <c r="Q412" s="4921"/>
      <c r="R412" s="4921"/>
      <c r="S412" s="4921"/>
      <c r="T412" s="4921"/>
      <c r="U412" s="4921"/>
      <c r="V412" s="122"/>
      <c r="W412" s="4921"/>
      <c r="X412" s="1975"/>
      <c r="Y412" s="1975"/>
      <c r="Z412" s="1951"/>
    </row>
    <row r="413" spans="1:30" s="2399" customFormat="1" ht="27" customHeight="1">
      <c r="A413" s="2402"/>
      <c r="B413" s="2403"/>
      <c r="C413" s="2410"/>
      <c r="D413" s="2400" t="s">
        <v>1994</v>
      </c>
      <c r="E413" s="2346"/>
      <c r="F413" s="2405"/>
      <c r="G413" s="4861"/>
      <c r="H413" s="2406"/>
      <c r="I413" s="2411"/>
      <c r="T413" s="4899"/>
      <c r="U413" s="4905"/>
      <c r="V413" s="4906"/>
      <c r="W413" s="4906"/>
      <c r="X413" s="4900"/>
      <c r="Y413" s="251"/>
    </row>
    <row r="414" spans="1:30" s="2399" customFormat="1" ht="13.5" customHeight="1">
      <c r="A414" s="4849"/>
      <c r="B414" s="4850"/>
      <c r="C414" s="4851"/>
      <c r="D414" s="4856" t="s">
        <v>6565</v>
      </c>
      <c r="E414" s="4852"/>
      <c r="F414" s="4853"/>
      <c r="G414" s="4871"/>
      <c r="H414" s="4854"/>
      <c r="I414" s="4855"/>
      <c r="T414" s="4899"/>
      <c r="U414" s="4905"/>
      <c r="V414" s="4906"/>
      <c r="W414" s="4906"/>
      <c r="X414" s="4900"/>
      <c r="Y414" s="251"/>
    </row>
    <row r="415" spans="1:30" s="2399" customFormat="1" ht="13.5" customHeight="1">
      <c r="A415" s="4857">
        <v>53</v>
      </c>
      <c r="B415" s="2346">
        <v>751</v>
      </c>
      <c r="C415" s="2346" t="s">
        <v>3444</v>
      </c>
      <c r="D415" s="2346" t="s">
        <v>3445</v>
      </c>
      <c r="E415" s="2346" t="s">
        <v>141</v>
      </c>
      <c r="F415" s="4859">
        <f>F422</f>
        <v>2.6</v>
      </c>
      <c r="G415" s="1641">
        <f>ROUND(SUM(H418:H421)/F415,2)</f>
        <v>0</v>
      </c>
      <c r="H415" s="2231">
        <f t="shared" ref="H415" si="78">ROUND(F415*G415,2)</f>
        <v>0</v>
      </c>
      <c r="I415" s="2352" t="s">
        <v>111</v>
      </c>
      <c r="J415" s="4897"/>
    </row>
    <row r="416" spans="1:30" s="2399" customFormat="1" ht="13.5" customHeight="1">
      <c r="A416" s="2398"/>
      <c r="B416" s="2346"/>
      <c r="C416" s="2346"/>
      <c r="D416" s="2400" t="s">
        <v>3446</v>
      </c>
      <c r="E416" s="2346"/>
      <c r="F416" s="2281"/>
      <c r="G416" s="4860"/>
      <c r="H416" s="2401"/>
      <c r="I416" s="2352"/>
      <c r="J416" s="4898"/>
      <c r="K416" s="147"/>
      <c r="L416" s="147"/>
      <c r="M416" s="4899"/>
      <c r="N416" s="4899"/>
      <c r="O416" s="4899"/>
      <c r="P416" s="4900"/>
      <c r="S416" s="4901"/>
    </row>
    <row r="417" spans="1:30" s="2399" customFormat="1" ht="27" customHeight="1">
      <c r="A417" s="2402"/>
      <c r="B417" s="2403"/>
      <c r="C417" s="2404"/>
      <c r="D417" s="2400" t="s">
        <v>3311</v>
      </c>
      <c r="E417" s="2346"/>
      <c r="F417" s="2405"/>
      <c r="G417" s="4861"/>
      <c r="H417" s="2406"/>
      <c r="I417" s="2407"/>
      <c r="J417" s="4898"/>
      <c r="K417" s="147"/>
      <c r="L417" s="1791"/>
      <c r="M417" s="1791"/>
      <c r="N417" s="251"/>
      <c r="O417" s="251"/>
      <c r="P417" s="4900"/>
      <c r="Q417" s="4903"/>
      <c r="R417" s="4904"/>
      <c r="S417" s="4901"/>
      <c r="T417" s="4899"/>
      <c r="U417" s="4905"/>
      <c r="V417" s="4906"/>
      <c r="W417" s="4906"/>
      <c r="X417" s="4900"/>
      <c r="Y417" s="251"/>
    </row>
    <row r="418" spans="1:30" s="251" customFormat="1" ht="27" customHeight="1">
      <c r="A418" s="4862" t="s">
        <v>6783</v>
      </c>
      <c r="B418" s="4863"/>
      <c r="C418" s="4864" t="s">
        <v>6740</v>
      </c>
      <c r="D418" s="4864" t="s">
        <v>6784</v>
      </c>
      <c r="E418" s="4864" t="s">
        <v>141</v>
      </c>
      <c r="F418" s="4865">
        <f>F415</f>
        <v>2.6</v>
      </c>
      <c r="G418" s="4873"/>
      <c r="H418" s="4866">
        <f t="shared" ref="H418:H421" si="79">ROUND(F418*G418,2)</f>
        <v>0</v>
      </c>
      <c r="I418" s="4697" t="s">
        <v>112</v>
      </c>
      <c r="J418" s="4908"/>
      <c r="K418" s="4909"/>
      <c r="L418" s="4909"/>
      <c r="M418" s="4910"/>
      <c r="N418" s="4910"/>
      <c r="O418" s="4910"/>
      <c r="P418" s="4911"/>
      <c r="Q418" s="4912"/>
      <c r="R418" s="4912"/>
      <c r="T418" s="4907"/>
      <c r="U418" s="4913"/>
      <c r="W418" s="4914"/>
      <c r="X418" s="4915"/>
      <c r="Y418" s="4916"/>
      <c r="Z418" s="1785"/>
      <c r="AA418" s="1785"/>
      <c r="AB418" s="1785"/>
      <c r="AC418" s="1785"/>
      <c r="AD418" s="1785"/>
    </row>
    <row r="419" spans="1:30" s="251" customFormat="1" ht="27" customHeight="1">
      <c r="A419" s="4862" t="s">
        <v>6785</v>
      </c>
      <c r="B419" s="4863"/>
      <c r="C419" s="4864" t="s">
        <v>6743</v>
      </c>
      <c r="D419" s="4864" t="s">
        <v>6786</v>
      </c>
      <c r="E419" s="4864" t="s">
        <v>141</v>
      </c>
      <c r="F419" s="4865">
        <f xml:space="preserve"> (2.6)*1.05</f>
        <v>2.7300000000000004</v>
      </c>
      <c r="G419" s="4873"/>
      <c r="H419" s="4866">
        <f t="shared" si="79"/>
        <v>0</v>
      </c>
      <c r="I419" s="4697" t="s">
        <v>112</v>
      </c>
      <c r="J419" s="4924"/>
      <c r="K419" s="4925"/>
      <c r="L419" s="4925"/>
      <c r="M419" s="1785"/>
      <c r="N419" s="4908"/>
      <c r="O419" s="1785"/>
      <c r="P419" s="1785"/>
      <c r="Q419" s="1785"/>
      <c r="R419" s="2091"/>
      <c r="T419" s="4907"/>
      <c r="U419" s="4913"/>
      <c r="W419" s="4914"/>
      <c r="X419" s="4915"/>
      <c r="Y419" s="4916"/>
      <c r="Z419" s="1785"/>
      <c r="AA419" s="1785"/>
      <c r="AB419" s="1785"/>
      <c r="AC419" s="1785"/>
      <c r="AD419" s="1785"/>
    </row>
    <row r="420" spans="1:30" s="251" customFormat="1" ht="27" customHeight="1">
      <c r="A420" s="4862">
        <v>53</v>
      </c>
      <c r="B420" s="4863"/>
      <c r="C420" s="4864">
        <v>713411121</v>
      </c>
      <c r="D420" s="4864" t="s">
        <v>6787</v>
      </c>
      <c r="E420" s="4864" t="s">
        <v>163</v>
      </c>
      <c r="F420" s="4865">
        <f>(2.6)*2.38</f>
        <v>6.1879999999999997</v>
      </c>
      <c r="G420" s="4873"/>
      <c r="H420" s="4866">
        <f t="shared" si="79"/>
        <v>0</v>
      </c>
      <c r="I420" s="4697" t="s">
        <v>137</v>
      </c>
      <c r="J420" s="4908"/>
      <c r="K420" s="4909"/>
      <c r="L420" s="1791"/>
      <c r="M420" s="1791"/>
      <c r="P420" s="4911"/>
      <c r="Q420" s="4917"/>
      <c r="R420" s="4918"/>
      <c r="T420" s="4907"/>
      <c r="U420" s="4913"/>
      <c r="W420" s="4914"/>
      <c r="X420" s="4915"/>
      <c r="Y420" s="4916"/>
      <c r="Z420" s="1785"/>
      <c r="AA420" s="1785"/>
      <c r="AB420" s="1785"/>
      <c r="AC420" s="1785"/>
      <c r="AD420" s="1785"/>
    </row>
    <row r="421" spans="1:30" s="251" customFormat="1" ht="27" customHeight="1">
      <c r="A421" s="4862" t="s">
        <v>6788</v>
      </c>
      <c r="B421" s="4863"/>
      <c r="C421" s="4867" t="s">
        <v>6571</v>
      </c>
      <c r="D421" s="4867" t="s">
        <v>6789</v>
      </c>
      <c r="E421" s="4867" t="s">
        <v>163</v>
      </c>
      <c r="F421" s="4868">
        <f xml:space="preserve"> ((2.6)*2.38)*1.1</f>
        <v>6.8068</v>
      </c>
      <c r="G421" s="4874"/>
      <c r="H421" s="4869">
        <f t="shared" si="79"/>
        <v>0</v>
      </c>
      <c r="I421" s="4870" t="s">
        <v>112</v>
      </c>
      <c r="J421" s="4908"/>
      <c r="K421" s="4909"/>
      <c r="T421" s="4907"/>
      <c r="AA421" s="1785"/>
      <c r="AB421" s="1785"/>
      <c r="AC421" s="1785"/>
      <c r="AD421" s="1785"/>
    </row>
    <row r="422" spans="1:30" ht="13.5" customHeight="1">
      <c r="A422" s="2408"/>
      <c r="B422" s="2346"/>
      <c r="C422" s="2346"/>
      <c r="D422" s="2400" t="s">
        <v>3447</v>
      </c>
      <c r="E422" s="2346"/>
      <c r="F422" s="2409">
        <v>2.6</v>
      </c>
      <c r="G422" s="2387"/>
      <c r="H422" s="2387"/>
      <c r="I422" s="2352"/>
      <c r="J422" s="4919"/>
      <c r="K422" s="4920"/>
      <c r="L422" s="4920"/>
      <c r="M422" s="4920"/>
      <c r="N422" s="4920"/>
      <c r="O422" s="4921"/>
      <c r="P422" s="4921"/>
      <c r="Q422" s="4921"/>
      <c r="R422" s="4921"/>
      <c r="S422" s="4921"/>
      <c r="T422" s="4921"/>
      <c r="U422" s="4921"/>
      <c r="V422" s="122"/>
      <c r="W422" s="4921"/>
      <c r="X422" s="1975"/>
      <c r="Y422" s="1975"/>
      <c r="Z422" s="1951"/>
    </row>
    <row r="423" spans="1:30" s="2399" customFormat="1" ht="27" customHeight="1">
      <c r="A423" s="2402"/>
      <c r="B423" s="2403"/>
      <c r="C423" s="2410"/>
      <c r="D423" s="2400" t="s">
        <v>1994</v>
      </c>
      <c r="E423" s="2346"/>
      <c r="F423" s="2405"/>
      <c r="G423" s="4861"/>
      <c r="H423" s="2406"/>
      <c r="I423" s="2411"/>
      <c r="T423" s="4899"/>
      <c r="U423" s="4905"/>
      <c r="V423" s="4906"/>
      <c r="W423" s="4906"/>
      <c r="X423" s="4900"/>
      <c r="Y423" s="251"/>
    </row>
    <row r="424" spans="1:30" s="2399" customFormat="1" ht="13.5" customHeight="1">
      <c r="A424" s="4849"/>
      <c r="B424" s="4850"/>
      <c r="C424" s="4851"/>
      <c r="D424" s="4856" t="s">
        <v>6565</v>
      </c>
      <c r="E424" s="4852"/>
      <c r="F424" s="4853"/>
      <c r="G424" s="4871"/>
      <c r="H424" s="4854"/>
      <c r="I424" s="4855"/>
      <c r="T424" s="4899"/>
      <c r="U424" s="4905"/>
      <c r="V424" s="4906"/>
      <c r="W424" s="4906"/>
      <c r="X424" s="4900"/>
      <c r="Y424" s="251"/>
    </row>
    <row r="425" spans="1:30" s="2399" customFormat="1" ht="13.5" customHeight="1">
      <c r="A425" s="4857">
        <v>54</v>
      </c>
      <c r="B425" s="2346">
        <v>751</v>
      </c>
      <c r="C425" s="2346" t="s">
        <v>3448</v>
      </c>
      <c r="D425" s="2346" t="s">
        <v>3449</v>
      </c>
      <c r="E425" s="2346" t="s">
        <v>141</v>
      </c>
      <c r="F425" s="4859">
        <f>F432</f>
        <v>2.5</v>
      </c>
      <c r="G425" s="1641">
        <f>ROUND(SUM(H428:H431)/F425,2)</f>
        <v>0</v>
      </c>
      <c r="H425" s="2231">
        <f t="shared" ref="H425" si="80">ROUND(F425*G425,2)</f>
        <v>0</v>
      </c>
      <c r="I425" s="2352" t="s">
        <v>111</v>
      </c>
      <c r="J425" s="4897"/>
    </row>
    <row r="426" spans="1:30" s="2399" customFormat="1" ht="13.5" customHeight="1">
      <c r="A426" s="2398"/>
      <c r="B426" s="2346"/>
      <c r="C426" s="2346"/>
      <c r="D426" s="2400" t="s">
        <v>3450</v>
      </c>
      <c r="E426" s="2346"/>
      <c r="F426" s="2281"/>
      <c r="G426" s="4860"/>
      <c r="H426" s="2401"/>
      <c r="I426" s="2352"/>
      <c r="J426" s="4898"/>
      <c r="K426" s="147"/>
      <c r="L426" s="147"/>
      <c r="M426" s="4899"/>
      <c r="N426" s="4899"/>
      <c r="O426" s="4899"/>
      <c r="P426" s="4900"/>
      <c r="S426" s="4901"/>
    </row>
    <row r="427" spans="1:30" s="2399" customFormat="1" ht="27" customHeight="1">
      <c r="A427" s="2402"/>
      <c r="B427" s="2403"/>
      <c r="C427" s="2404"/>
      <c r="D427" s="2400" t="s">
        <v>3311</v>
      </c>
      <c r="E427" s="2346"/>
      <c r="F427" s="2405"/>
      <c r="G427" s="4861"/>
      <c r="H427" s="2406"/>
      <c r="I427" s="2407"/>
      <c r="J427" s="4898"/>
      <c r="K427" s="147"/>
      <c r="L427" s="1791"/>
      <c r="M427" s="1791"/>
      <c r="N427" s="251"/>
      <c r="O427" s="251"/>
      <c r="P427" s="4900"/>
      <c r="Q427" s="4903"/>
      <c r="R427" s="4904"/>
      <c r="S427" s="4901"/>
      <c r="T427" s="4899"/>
      <c r="U427" s="4905"/>
      <c r="V427" s="4906"/>
      <c r="W427" s="4906"/>
      <c r="X427" s="4900"/>
      <c r="Y427" s="251"/>
    </row>
    <row r="428" spans="1:30" s="251" customFormat="1" ht="27" customHeight="1">
      <c r="A428" s="4862" t="s">
        <v>6790</v>
      </c>
      <c r="B428" s="4863"/>
      <c r="C428" s="4864" t="s">
        <v>6632</v>
      </c>
      <c r="D428" s="4864" t="s">
        <v>6791</v>
      </c>
      <c r="E428" s="4864" t="s">
        <v>141</v>
      </c>
      <c r="F428" s="4865">
        <f>F425</f>
        <v>2.5</v>
      </c>
      <c r="G428" s="4873"/>
      <c r="H428" s="4866">
        <f t="shared" ref="H428:H431" si="81">ROUND(F428*G428,2)</f>
        <v>0</v>
      </c>
      <c r="I428" s="4697" t="s">
        <v>112</v>
      </c>
      <c r="J428" s="4908"/>
      <c r="K428" s="4909"/>
      <c r="L428" s="4909"/>
      <c r="M428" s="4910"/>
      <c r="N428" s="4910"/>
      <c r="O428" s="4910"/>
      <c r="P428" s="4911"/>
      <c r="Q428" s="4912"/>
      <c r="R428" s="4912"/>
      <c r="T428" s="4907"/>
      <c r="U428" s="4913"/>
      <c r="W428" s="4914"/>
      <c r="X428" s="4915"/>
      <c r="Y428" s="4916"/>
      <c r="Z428" s="1785"/>
      <c r="AA428" s="1785"/>
      <c r="AB428" s="1785"/>
      <c r="AC428" s="1785"/>
      <c r="AD428" s="1785"/>
    </row>
    <row r="429" spans="1:30" s="251" customFormat="1" ht="27" customHeight="1">
      <c r="A429" s="4862" t="s">
        <v>6792</v>
      </c>
      <c r="B429" s="4863"/>
      <c r="C429" s="4864" t="s">
        <v>6634</v>
      </c>
      <c r="D429" s="4864" t="s">
        <v>6793</v>
      </c>
      <c r="E429" s="4864" t="s">
        <v>141</v>
      </c>
      <c r="F429" s="4865">
        <f>(2.5)*1.05</f>
        <v>2.625</v>
      </c>
      <c r="G429" s="4873"/>
      <c r="H429" s="4866">
        <f t="shared" si="81"/>
        <v>0</v>
      </c>
      <c r="I429" s="4697" t="s">
        <v>112</v>
      </c>
      <c r="J429" s="4924"/>
      <c r="K429" s="4925"/>
      <c r="L429" s="4925"/>
      <c r="M429" s="1785"/>
      <c r="N429" s="4908"/>
      <c r="O429" s="1785"/>
      <c r="P429" s="1785"/>
      <c r="Q429" s="1785"/>
      <c r="R429" s="2091"/>
      <c r="T429" s="4907"/>
      <c r="U429" s="4913"/>
      <c r="W429" s="4914"/>
      <c r="X429" s="4915"/>
      <c r="Y429" s="4916"/>
      <c r="Z429" s="1785"/>
      <c r="AA429" s="1785"/>
      <c r="AB429" s="1785"/>
      <c r="AC429" s="1785"/>
      <c r="AD429" s="1785"/>
    </row>
    <row r="430" spans="1:30" s="251" customFormat="1" ht="27" customHeight="1">
      <c r="A430" s="4862" t="s">
        <v>6794</v>
      </c>
      <c r="B430" s="4863"/>
      <c r="C430" s="4864">
        <v>713411121</v>
      </c>
      <c r="D430" s="4864" t="s">
        <v>6795</v>
      </c>
      <c r="E430" s="4864" t="s">
        <v>163</v>
      </c>
      <c r="F430" s="4865">
        <f>(2.5)*2.7</f>
        <v>6.75</v>
      </c>
      <c r="G430" s="4873"/>
      <c r="H430" s="4866">
        <f t="shared" si="81"/>
        <v>0</v>
      </c>
      <c r="I430" s="4697" t="s">
        <v>137</v>
      </c>
      <c r="J430" s="4908"/>
      <c r="K430" s="4909"/>
      <c r="L430" s="1791"/>
      <c r="M430" s="1791"/>
      <c r="P430" s="4911"/>
      <c r="Q430" s="4917"/>
      <c r="R430" s="4918"/>
      <c r="T430" s="4907"/>
      <c r="U430" s="4913"/>
      <c r="W430" s="4914"/>
      <c r="X430" s="4915"/>
      <c r="Y430" s="4916"/>
      <c r="Z430" s="1785"/>
      <c r="AA430" s="1785"/>
      <c r="AB430" s="1785"/>
      <c r="AC430" s="1785"/>
      <c r="AD430" s="1785"/>
    </row>
    <row r="431" spans="1:30" s="251" customFormat="1" ht="27" customHeight="1">
      <c r="A431" s="4862" t="s">
        <v>6796</v>
      </c>
      <c r="B431" s="4863"/>
      <c r="C431" s="4867" t="s">
        <v>6571</v>
      </c>
      <c r="D431" s="4867" t="s">
        <v>6797</v>
      </c>
      <c r="E431" s="4867" t="s">
        <v>163</v>
      </c>
      <c r="F431" s="4868">
        <f>((2.5)*2.7)*1.1</f>
        <v>7.4250000000000007</v>
      </c>
      <c r="G431" s="4874"/>
      <c r="H431" s="4869">
        <f t="shared" si="81"/>
        <v>0</v>
      </c>
      <c r="I431" s="4870" t="s">
        <v>112</v>
      </c>
      <c r="J431" s="4908"/>
      <c r="K431" s="4909"/>
      <c r="T431" s="4907"/>
      <c r="AA431" s="1785"/>
      <c r="AB431" s="1785"/>
      <c r="AC431" s="1785"/>
      <c r="AD431" s="1785"/>
    </row>
    <row r="432" spans="1:30" ht="13.5" customHeight="1">
      <c r="A432" s="2408"/>
      <c r="B432" s="2346"/>
      <c r="C432" s="2346"/>
      <c r="D432" s="2400" t="s">
        <v>3451</v>
      </c>
      <c r="E432" s="2346"/>
      <c r="F432" s="2409">
        <v>2.5</v>
      </c>
      <c r="G432" s="2387"/>
      <c r="H432" s="2387"/>
      <c r="I432" s="2352"/>
      <c r="J432" s="4919"/>
      <c r="K432" s="4920"/>
      <c r="L432" s="4920"/>
      <c r="M432" s="4920"/>
      <c r="N432" s="4920"/>
      <c r="O432" s="4921"/>
      <c r="P432" s="4921"/>
      <c r="Q432" s="4921"/>
      <c r="R432" s="4921"/>
      <c r="S432" s="4921"/>
      <c r="T432" s="4921"/>
      <c r="U432" s="4921"/>
      <c r="V432" s="122"/>
      <c r="W432" s="4921"/>
      <c r="X432" s="1975"/>
      <c r="Y432" s="1975"/>
      <c r="Z432" s="1951"/>
    </row>
    <row r="433" spans="1:30" s="2399" customFormat="1" ht="27" customHeight="1">
      <c r="A433" s="2402"/>
      <c r="B433" s="2403"/>
      <c r="C433" s="2410"/>
      <c r="D433" s="2400" t="s">
        <v>1994</v>
      </c>
      <c r="E433" s="2346"/>
      <c r="F433" s="2405"/>
      <c r="G433" s="4861"/>
      <c r="H433" s="2406"/>
      <c r="I433" s="2411"/>
      <c r="T433" s="4899"/>
      <c r="U433" s="4905"/>
      <c r="V433" s="4906"/>
      <c r="W433" s="4906"/>
      <c r="X433" s="4900"/>
      <c r="Y433" s="251"/>
    </row>
    <row r="434" spans="1:30" s="2399" customFormat="1" ht="13.5" customHeight="1">
      <c r="A434" s="4849"/>
      <c r="B434" s="4850"/>
      <c r="C434" s="4851"/>
      <c r="D434" s="4856" t="s">
        <v>6565</v>
      </c>
      <c r="E434" s="4852"/>
      <c r="F434" s="4853"/>
      <c r="G434" s="4871"/>
      <c r="H434" s="4854"/>
      <c r="I434" s="4855"/>
      <c r="T434" s="4899"/>
      <c r="U434" s="4905"/>
      <c r="V434" s="4906"/>
      <c r="W434" s="4906"/>
      <c r="X434" s="4900"/>
      <c r="Y434" s="251"/>
    </row>
    <row r="435" spans="1:30" s="2399" customFormat="1" ht="13.5" customHeight="1">
      <c r="A435" s="4857">
        <v>55</v>
      </c>
      <c r="B435" s="2346">
        <v>751</v>
      </c>
      <c r="C435" s="2346" t="s">
        <v>3452</v>
      </c>
      <c r="D435" s="2346" t="s">
        <v>3453</v>
      </c>
      <c r="E435" s="2346" t="s">
        <v>141</v>
      </c>
      <c r="F435" s="4859">
        <f>F442</f>
        <v>2.5</v>
      </c>
      <c r="G435" s="1641">
        <f>ROUND(SUM(H438:H441)/F435,2)</f>
        <v>0</v>
      </c>
      <c r="H435" s="2231">
        <f t="shared" ref="H435" si="82">ROUND(F435*G435,2)</f>
        <v>0</v>
      </c>
      <c r="I435" s="2352" t="s">
        <v>111</v>
      </c>
      <c r="J435" s="4897"/>
    </row>
    <row r="436" spans="1:30" s="2399" customFormat="1" ht="13.5" customHeight="1">
      <c r="A436" s="2398"/>
      <c r="B436" s="2346"/>
      <c r="C436" s="2346"/>
      <c r="D436" s="2400" t="s">
        <v>3454</v>
      </c>
      <c r="E436" s="2346"/>
      <c r="F436" s="2281"/>
      <c r="G436" s="4860"/>
      <c r="H436" s="2401"/>
      <c r="I436" s="2352"/>
      <c r="J436" s="4898"/>
      <c r="K436" s="147"/>
      <c r="L436" s="147"/>
      <c r="M436" s="4899"/>
      <c r="N436" s="4899"/>
      <c r="O436" s="4899"/>
      <c r="P436" s="4900"/>
      <c r="S436" s="4901"/>
    </row>
    <row r="437" spans="1:30" s="2399" customFormat="1" ht="27" customHeight="1">
      <c r="A437" s="2402"/>
      <c r="B437" s="2403"/>
      <c r="C437" s="2404"/>
      <c r="D437" s="2400" t="s">
        <v>3311</v>
      </c>
      <c r="E437" s="2346"/>
      <c r="F437" s="2405"/>
      <c r="G437" s="4861"/>
      <c r="H437" s="2406"/>
      <c r="I437" s="2407"/>
      <c r="J437" s="4898"/>
      <c r="K437" s="147"/>
      <c r="L437" s="1791"/>
      <c r="M437" s="1791"/>
      <c r="N437" s="251"/>
      <c r="O437" s="251"/>
      <c r="P437" s="4900"/>
      <c r="Q437" s="4903"/>
      <c r="R437" s="4904"/>
      <c r="S437" s="4901"/>
      <c r="T437" s="4899"/>
      <c r="U437" s="4905"/>
      <c r="V437" s="4906"/>
      <c r="W437" s="4906"/>
      <c r="X437" s="4900"/>
      <c r="Y437" s="251"/>
    </row>
    <row r="438" spans="1:30" s="251" customFormat="1" ht="27" customHeight="1">
      <c r="A438" s="4862" t="s">
        <v>6376</v>
      </c>
      <c r="B438" s="4863"/>
      <c r="C438" s="4864" t="s">
        <v>6632</v>
      </c>
      <c r="D438" s="4864" t="s">
        <v>6791</v>
      </c>
      <c r="E438" s="4864" t="s">
        <v>141</v>
      </c>
      <c r="F438" s="4865">
        <f>F435</f>
        <v>2.5</v>
      </c>
      <c r="G438" s="4873"/>
      <c r="H438" s="4866">
        <f t="shared" ref="H438:H441" si="83">ROUND(F438*G438,2)</f>
        <v>0</v>
      </c>
      <c r="I438" s="4697" t="s">
        <v>112</v>
      </c>
      <c r="J438" s="4908"/>
      <c r="K438" s="4909"/>
      <c r="L438" s="4909"/>
      <c r="M438" s="4910"/>
      <c r="N438" s="4910"/>
      <c r="O438" s="4910"/>
      <c r="P438" s="4911"/>
      <c r="Q438" s="4912"/>
      <c r="R438" s="4912"/>
      <c r="T438" s="4907"/>
      <c r="U438" s="4913"/>
      <c r="W438" s="4914"/>
      <c r="X438" s="4915"/>
      <c r="Y438" s="4916"/>
      <c r="Z438" s="1785"/>
      <c r="AA438" s="1785"/>
      <c r="AB438" s="1785"/>
      <c r="AC438" s="1785"/>
      <c r="AD438" s="1785"/>
    </row>
    <row r="439" spans="1:30" s="251" customFormat="1" ht="27" customHeight="1">
      <c r="A439" s="4862" t="s">
        <v>6798</v>
      </c>
      <c r="B439" s="4863"/>
      <c r="C439" s="4864" t="s">
        <v>6634</v>
      </c>
      <c r="D439" s="4864" t="s">
        <v>6793</v>
      </c>
      <c r="E439" s="4864" t="s">
        <v>141</v>
      </c>
      <c r="F439" s="4865">
        <f>(2.5)*1.05</f>
        <v>2.625</v>
      </c>
      <c r="G439" s="4873"/>
      <c r="H439" s="4866">
        <f t="shared" si="83"/>
        <v>0</v>
      </c>
      <c r="I439" s="4697" t="s">
        <v>112</v>
      </c>
      <c r="J439" s="4924"/>
      <c r="K439" s="4925"/>
      <c r="L439" s="4925"/>
      <c r="M439" s="1785"/>
      <c r="N439" s="4908"/>
      <c r="O439" s="1785"/>
      <c r="P439" s="1785"/>
      <c r="Q439" s="1785"/>
      <c r="R439" s="2091"/>
      <c r="T439" s="4907"/>
      <c r="U439" s="4913"/>
      <c r="W439" s="4914"/>
      <c r="X439" s="4915"/>
      <c r="Y439" s="4916"/>
      <c r="Z439" s="1785"/>
      <c r="AA439" s="1785"/>
      <c r="AB439" s="1785"/>
      <c r="AC439" s="1785"/>
      <c r="AD439" s="1785"/>
    </row>
    <row r="440" spans="1:30" s="251" customFormat="1" ht="27" customHeight="1">
      <c r="A440" s="4862" t="s">
        <v>6799</v>
      </c>
      <c r="B440" s="4863"/>
      <c r="C440" s="4864">
        <v>713411121</v>
      </c>
      <c r="D440" s="4864" t="s">
        <v>6800</v>
      </c>
      <c r="E440" s="4864" t="s">
        <v>163</v>
      </c>
      <c r="F440" s="4865">
        <f>(2.5)*2.4</f>
        <v>6</v>
      </c>
      <c r="G440" s="4873"/>
      <c r="H440" s="4866">
        <f t="shared" si="83"/>
        <v>0</v>
      </c>
      <c r="I440" s="4697" t="s">
        <v>137</v>
      </c>
      <c r="J440" s="4908"/>
      <c r="K440" s="4909"/>
      <c r="L440" s="1791"/>
      <c r="M440" s="1791"/>
      <c r="P440" s="4911"/>
      <c r="Q440" s="4917"/>
      <c r="R440" s="4918"/>
      <c r="T440" s="4907"/>
      <c r="U440" s="4913"/>
      <c r="W440" s="4914"/>
      <c r="X440" s="4915"/>
      <c r="Y440" s="4916"/>
      <c r="Z440" s="1785"/>
      <c r="AA440" s="1785"/>
      <c r="AB440" s="1785"/>
      <c r="AC440" s="1785"/>
      <c r="AD440" s="1785"/>
    </row>
    <row r="441" spans="1:30" s="251" customFormat="1" ht="27" customHeight="1">
      <c r="A441" s="4862" t="s">
        <v>6801</v>
      </c>
      <c r="B441" s="4863"/>
      <c r="C441" s="4867" t="s">
        <v>6571</v>
      </c>
      <c r="D441" s="4867" t="s">
        <v>6802</v>
      </c>
      <c r="E441" s="4867" t="s">
        <v>163</v>
      </c>
      <c r="F441" s="4868">
        <f>((2.5)*2.4)*1.1</f>
        <v>6.6000000000000005</v>
      </c>
      <c r="G441" s="4874"/>
      <c r="H441" s="4869">
        <f t="shared" si="83"/>
        <v>0</v>
      </c>
      <c r="I441" s="4870" t="s">
        <v>112</v>
      </c>
      <c r="J441" s="4908"/>
      <c r="K441" s="4909"/>
      <c r="T441" s="4907"/>
      <c r="AA441" s="1785"/>
      <c r="AB441" s="1785"/>
      <c r="AC441" s="1785"/>
      <c r="AD441" s="1785"/>
    </row>
    <row r="442" spans="1:30" ht="13.5" customHeight="1">
      <c r="A442" s="2408"/>
      <c r="B442" s="2346"/>
      <c r="C442" s="2346"/>
      <c r="D442" s="2400" t="s">
        <v>3455</v>
      </c>
      <c r="E442" s="2346"/>
      <c r="F442" s="2409">
        <v>2.5</v>
      </c>
      <c r="G442" s="2387"/>
      <c r="H442" s="2387"/>
      <c r="I442" s="2352"/>
      <c r="J442" s="4919"/>
      <c r="K442" s="4920"/>
      <c r="L442" s="4920"/>
      <c r="M442" s="4920"/>
      <c r="N442" s="4920"/>
      <c r="O442" s="4921"/>
      <c r="P442" s="4921"/>
      <c r="Q442" s="4921"/>
      <c r="R442" s="4921"/>
      <c r="S442" s="4921"/>
      <c r="T442" s="4921"/>
      <c r="U442" s="4921"/>
      <c r="V442" s="122"/>
      <c r="W442" s="4921"/>
      <c r="X442" s="1975"/>
      <c r="Y442" s="1975"/>
      <c r="Z442" s="1951"/>
    </row>
    <row r="443" spans="1:30" s="2399" customFormat="1" ht="27" customHeight="1">
      <c r="A443" s="2402"/>
      <c r="B443" s="2403"/>
      <c r="C443" s="2410"/>
      <c r="D443" s="2400" t="s">
        <v>1994</v>
      </c>
      <c r="E443" s="2346"/>
      <c r="F443" s="2405"/>
      <c r="G443" s="4861"/>
      <c r="H443" s="2406"/>
      <c r="I443" s="2411"/>
      <c r="T443" s="4899"/>
      <c r="U443" s="4905"/>
      <c r="V443" s="4906"/>
      <c r="W443" s="4906"/>
      <c r="X443" s="4900"/>
      <c r="Y443" s="251"/>
    </row>
    <row r="444" spans="1:30" s="2399" customFormat="1" ht="13.5" customHeight="1">
      <c r="A444" s="4849"/>
      <c r="B444" s="4850"/>
      <c r="C444" s="4851"/>
      <c r="D444" s="4856" t="s">
        <v>6565</v>
      </c>
      <c r="E444" s="4852"/>
      <c r="F444" s="4853"/>
      <c r="G444" s="4871"/>
      <c r="H444" s="4854"/>
      <c r="I444" s="4855"/>
      <c r="T444" s="4899"/>
      <c r="U444" s="4905"/>
      <c r="V444" s="4906"/>
      <c r="W444" s="4906"/>
      <c r="X444" s="4900"/>
      <c r="Y444" s="251"/>
    </row>
    <row r="445" spans="1:30" s="2399" customFormat="1" ht="13.5" customHeight="1">
      <c r="A445" s="4857">
        <v>56</v>
      </c>
      <c r="B445" s="2346">
        <v>751</v>
      </c>
      <c r="C445" s="2346" t="s">
        <v>3456</v>
      </c>
      <c r="D445" s="2346" t="s">
        <v>3457</v>
      </c>
      <c r="E445" s="2346" t="s">
        <v>141</v>
      </c>
      <c r="F445" s="4859">
        <f>F452</f>
        <v>10.9</v>
      </c>
      <c r="G445" s="1641">
        <f>ROUND(SUM(H448:H451)/F445,2)</f>
        <v>0</v>
      </c>
      <c r="H445" s="2231">
        <f t="shared" ref="H445" si="84">ROUND(F445*G445,2)</f>
        <v>0</v>
      </c>
      <c r="I445" s="2352" t="s">
        <v>111</v>
      </c>
      <c r="J445" s="4897"/>
    </row>
    <row r="446" spans="1:30" s="2399" customFormat="1" ht="13.5" customHeight="1">
      <c r="A446" s="2398"/>
      <c r="B446" s="2346"/>
      <c r="C446" s="2346"/>
      <c r="D446" s="2400" t="s">
        <v>3458</v>
      </c>
      <c r="E446" s="2346"/>
      <c r="F446" s="2281"/>
      <c r="G446" s="4860"/>
      <c r="H446" s="2401"/>
      <c r="I446" s="2352"/>
      <c r="J446" s="4898"/>
      <c r="K446" s="147"/>
      <c r="L446" s="147"/>
      <c r="M446" s="4899"/>
      <c r="N446" s="4899"/>
      <c r="O446" s="4899"/>
      <c r="P446" s="4900"/>
      <c r="S446" s="4901"/>
    </row>
    <row r="447" spans="1:30" s="2399" customFormat="1" ht="27" customHeight="1">
      <c r="A447" s="2402"/>
      <c r="B447" s="2403"/>
      <c r="C447" s="2404"/>
      <c r="D447" s="2400" t="s">
        <v>3311</v>
      </c>
      <c r="E447" s="2346"/>
      <c r="F447" s="2405"/>
      <c r="G447" s="4861"/>
      <c r="H447" s="2406"/>
      <c r="I447" s="2407"/>
      <c r="J447" s="4898"/>
      <c r="K447" s="147"/>
      <c r="L447" s="1791"/>
      <c r="M447" s="1791"/>
      <c r="N447" s="251"/>
      <c r="O447" s="251"/>
      <c r="P447" s="4900"/>
      <c r="Q447" s="4903"/>
      <c r="R447" s="4904"/>
      <c r="S447" s="4901"/>
      <c r="T447" s="4899"/>
      <c r="U447" s="4905"/>
      <c r="V447" s="4906"/>
      <c r="W447" s="4906"/>
      <c r="X447" s="4900"/>
      <c r="Y447" s="251"/>
    </row>
    <row r="448" spans="1:30" s="251" customFormat="1" ht="27" customHeight="1">
      <c r="A448" s="4862" t="s">
        <v>6803</v>
      </c>
      <c r="B448" s="4863"/>
      <c r="C448" s="4864" t="s">
        <v>6740</v>
      </c>
      <c r="D448" s="4864" t="s">
        <v>6804</v>
      </c>
      <c r="E448" s="4864" t="s">
        <v>141</v>
      </c>
      <c r="F448" s="4865">
        <f>F445</f>
        <v>10.9</v>
      </c>
      <c r="G448" s="4873"/>
      <c r="H448" s="4866">
        <f t="shared" ref="H448:H451" si="85">ROUND(F448*G448,2)</f>
        <v>0</v>
      </c>
      <c r="I448" s="4697" t="s">
        <v>112</v>
      </c>
      <c r="J448" s="4908"/>
      <c r="K448" s="4909"/>
      <c r="L448" s="4909"/>
      <c r="M448" s="4910"/>
      <c r="N448" s="4910"/>
      <c r="O448" s="4910"/>
      <c r="P448" s="4911"/>
      <c r="Q448" s="4912"/>
      <c r="R448" s="4912"/>
      <c r="T448" s="4907"/>
      <c r="U448" s="4913"/>
      <c r="W448" s="4914"/>
      <c r="X448" s="4915"/>
      <c r="Y448" s="4916"/>
      <c r="Z448" s="1785"/>
      <c r="AA448" s="1785"/>
      <c r="AB448" s="1785"/>
      <c r="AC448" s="1785"/>
      <c r="AD448" s="1785"/>
    </row>
    <row r="449" spans="1:30" s="251" customFormat="1" ht="27" customHeight="1">
      <c r="A449" s="4862" t="s">
        <v>6805</v>
      </c>
      <c r="B449" s="4863"/>
      <c r="C449" s="4864" t="s">
        <v>6743</v>
      </c>
      <c r="D449" s="4864" t="s">
        <v>6806</v>
      </c>
      <c r="E449" s="4864" t="s">
        <v>141</v>
      </c>
      <c r="F449" s="4865">
        <f>(10.9)*1.05</f>
        <v>11.445</v>
      </c>
      <c r="G449" s="4873"/>
      <c r="H449" s="4866">
        <f t="shared" si="85"/>
        <v>0</v>
      </c>
      <c r="I449" s="4697" t="s">
        <v>112</v>
      </c>
      <c r="J449" s="4924"/>
      <c r="K449" s="4925"/>
      <c r="L449" s="4925"/>
      <c r="M449" s="1785"/>
      <c r="N449" s="4908"/>
      <c r="O449" s="1785"/>
      <c r="P449" s="1785"/>
      <c r="Q449" s="1785"/>
      <c r="R449" s="2091"/>
      <c r="T449" s="4907"/>
      <c r="U449" s="4913"/>
      <c r="W449" s="4914"/>
      <c r="X449" s="4915"/>
      <c r="Y449" s="4916"/>
      <c r="Z449" s="1785"/>
      <c r="AA449" s="1785"/>
      <c r="AB449" s="1785"/>
      <c r="AC449" s="1785"/>
      <c r="AD449" s="1785"/>
    </row>
    <row r="450" spans="1:30" s="251" customFormat="1" ht="27" customHeight="1">
      <c r="A450" s="4862" t="s">
        <v>6807</v>
      </c>
      <c r="B450" s="4863"/>
      <c r="C450" s="4864">
        <v>713411121</v>
      </c>
      <c r="D450" s="4864" t="s">
        <v>6808</v>
      </c>
      <c r="E450" s="4864" t="s">
        <v>163</v>
      </c>
      <c r="F450" s="4865">
        <f xml:space="preserve"> (10.9)*2.39</f>
        <v>26.051000000000002</v>
      </c>
      <c r="G450" s="4873"/>
      <c r="H450" s="4866">
        <f t="shared" si="85"/>
        <v>0</v>
      </c>
      <c r="I450" s="4697" t="s">
        <v>137</v>
      </c>
      <c r="J450" s="4908"/>
      <c r="K450" s="4909"/>
      <c r="L450" s="1791"/>
      <c r="M450" s="1791"/>
      <c r="P450" s="4911"/>
      <c r="Q450" s="4917"/>
      <c r="R450" s="4918"/>
      <c r="T450" s="4907"/>
      <c r="U450" s="4913"/>
      <c r="W450" s="4914"/>
      <c r="X450" s="4915"/>
      <c r="Y450" s="4916"/>
      <c r="Z450" s="1785"/>
      <c r="AA450" s="1785"/>
      <c r="AB450" s="1785"/>
      <c r="AC450" s="1785"/>
      <c r="AD450" s="1785"/>
    </row>
    <row r="451" spans="1:30" s="251" customFormat="1" ht="27" customHeight="1">
      <c r="A451" s="4862" t="s">
        <v>6809</v>
      </c>
      <c r="B451" s="4863"/>
      <c r="C451" s="4867" t="s">
        <v>6571</v>
      </c>
      <c r="D451" s="4867" t="s">
        <v>6810</v>
      </c>
      <c r="E451" s="4867" t="s">
        <v>163</v>
      </c>
      <c r="F451" s="4868">
        <f>((10.9)*2.39)*1.1</f>
        <v>28.656100000000006</v>
      </c>
      <c r="G451" s="4874"/>
      <c r="H451" s="4869">
        <f t="shared" si="85"/>
        <v>0</v>
      </c>
      <c r="I451" s="4870" t="s">
        <v>112</v>
      </c>
      <c r="J451" s="4908"/>
      <c r="K451" s="4909"/>
      <c r="T451" s="4907"/>
      <c r="AA451" s="1785"/>
      <c r="AB451" s="1785"/>
      <c r="AC451" s="1785"/>
      <c r="AD451" s="1785"/>
    </row>
    <row r="452" spans="1:30" ht="13.5" customHeight="1">
      <c r="A452" s="2408"/>
      <c r="B452" s="2346"/>
      <c r="C452" s="2346"/>
      <c r="D452" s="2400" t="s">
        <v>3459</v>
      </c>
      <c r="E452" s="2346"/>
      <c r="F452" s="2409">
        <f>(8.5+2.4)</f>
        <v>10.9</v>
      </c>
      <c r="G452" s="2387"/>
      <c r="H452" s="2387"/>
      <c r="I452" s="2352"/>
      <c r="J452" s="4919"/>
      <c r="K452" s="4920"/>
      <c r="L452" s="4920"/>
      <c r="M452" s="4920"/>
      <c r="N452" s="4920"/>
      <c r="O452" s="4921"/>
      <c r="P452" s="4921"/>
      <c r="Q452" s="4921"/>
      <c r="R452" s="4921"/>
      <c r="S452" s="4921"/>
      <c r="T452" s="4921"/>
      <c r="U452" s="4921"/>
      <c r="V452" s="122"/>
      <c r="W452" s="4921"/>
      <c r="X452" s="1975"/>
      <c r="Y452" s="1975"/>
      <c r="Z452" s="1951"/>
    </row>
    <row r="453" spans="1:30" s="2399" customFormat="1" ht="27" customHeight="1">
      <c r="A453" s="2402"/>
      <c r="B453" s="2403"/>
      <c r="C453" s="2410"/>
      <c r="D453" s="2400" t="s">
        <v>1994</v>
      </c>
      <c r="E453" s="2346"/>
      <c r="F453" s="2405"/>
      <c r="G453" s="4861"/>
      <c r="H453" s="2406"/>
      <c r="I453" s="2411"/>
      <c r="T453" s="4899"/>
      <c r="U453" s="4905"/>
      <c r="V453" s="4906"/>
      <c r="W453" s="4906"/>
      <c r="X453" s="4900"/>
      <c r="Y453" s="251"/>
    </row>
    <row r="454" spans="1:30" s="2399" customFormat="1" ht="13.5" customHeight="1">
      <c r="A454" s="4849"/>
      <c r="B454" s="4850"/>
      <c r="C454" s="4851"/>
      <c r="D454" s="4856" t="s">
        <v>6565</v>
      </c>
      <c r="E454" s="4852"/>
      <c r="F454" s="4853"/>
      <c r="G454" s="4871"/>
      <c r="H454" s="4854"/>
      <c r="I454" s="4855"/>
      <c r="T454" s="4899"/>
      <c r="U454" s="4905"/>
      <c r="V454" s="4906"/>
      <c r="W454" s="4906"/>
      <c r="X454" s="4900"/>
      <c r="Y454" s="251"/>
    </row>
    <row r="455" spans="1:30" s="2399" customFormat="1" ht="13.5" customHeight="1">
      <c r="A455" s="4857">
        <v>57</v>
      </c>
      <c r="B455" s="2346">
        <v>751</v>
      </c>
      <c r="C455" s="2346" t="s">
        <v>3460</v>
      </c>
      <c r="D455" s="2346" t="s">
        <v>3461</v>
      </c>
      <c r="E455" s="2346" t="s">
        <v>141</v>
      </c>
      <c r="F455" s="4859">
        <f>F462</f>
        <v>2.2000000000000002</v>
      </c>
      <c r="G455" s="1641">
        <f>ROUND(SUM(H458:H461)/F455,2)</f>
        <v>0</v>
      </c>
      <c r="H455" s="2231">
        <f t="shared" ref="H455" si="86">ROUND(F455*G455,2)</f>
        <v>0</v>
      </c>
      <c r="I455" s="2352" t="s">
        <v>111</v>
      </c>
      <c r="J455" s="4897"/>
    </row>
    <row r="456" spans="1:30" s="2399" customFormat="1" ht="13.5" customHeight="1">
      <c r="A456" s="2398"/>
      <c r="B456" s="2346"/>
      <c r="C456" s="2346"/>
      <c r="D456" s="2400" t="s">
        <v>3462</v>
      </c>
      <c r="E456" s="2346"/>
      <c r="F456" s="2281"/>
      <c r="G456" s="4860"/>
      <c r="H456" s="2401"/>
      <c r="I456" s="2352"/>
      <c r="J456" s="4898"/>
      <c r="K456" s="147"/>
      <c r="L456" s="147"/>
      <c r="M456" s="4899"/>
      <c r="N456" s="4899"/>
      <c r="O456" s="4899"/>
      <c r="P456" s="4900"/>
      <c r="S456" s="4901"/>
    </row>
    <row r="457" spans="1:30" s="2399" customFormat="1" ht="27" customHeight="1">
      <c r="A457" s="2402"/>
      <c r="B457" s="2403"/>
      <c r="C457" s="2404"/>
      <c r="D457" s="2400" t="s">
        <v>3311</v>
      </c>
      <c r="E457" s="2346"/>
      <c r="F457" s="2405"/>
      <c r="G457" s="4861"/>
      <c r="H457" s="2406"/>
      <c r="I457" s="2407"/>
      <c r="J457" s="4898"/>
      <c r="K457" s="147"/>
      <c r="L457" s="1791"/>
      <c r="M457" s="1791"/>
      <c r="N457" s="251"/>
      <c r="O457" s="251"/>
      <c r="P457" s="4900"/>
      <c r="Q457" s="4903"/>
      <c r="R457" s="4904"/>
      <c r="S457" s="4901"/>
      <c r="T457" s="4899"/>
      <c r="U457" s="4905"/>
      <c r="V457" s="4906"/>
      <c r="W457" s="4906"/>
      <c r="X457" s="4900"/>
      <c r="Y457" s="251"/>
    </row>
    <row r="458" spans="1:30" s="251" customFormat="1" ht="27" customHeight="1">
      <c r="A458" s="4862" t="s">
        <v>6811</v>
      </c>
      <c r="B458" s="4863"/>
      <c r="C458" s="4864" t="s">
        <v>6632</v>
      </c>
      <c r="D458" s="4864" t="s">
        <v>6812</v>
      </c>
      <c r="E458" s="4864" t="s">
        <v>141</v>
      </c>
      <c r="F458" s="4865">
        <f>F455</f>
        <v>2.2000000000000002</v>
      </c>
      <c r="G458" s="4873"/>
      <c r="H458" s="4866">
        <f t="shared" ref="H458:H461" si="87">ROUND(F458*G458,2)</f>
        <v>0</v>
      </c>
      <c r="I458" s="4697" t="s">
        <v>112</v>
      </c>
      <c r="J458" s="4908"/>
      <c r="K458" s="4909"/>
      <c r="L458" s="4909"/>
      <c r="M458" s="4910"/>
      <c r="N458" s="4910"/>
      <c r="O458" s="4910"/>
      <c r="P458" s="4911"/>
      <c r="Q458" s="4912"/>
      <c r="R458" s="4912"/>
      <c r="T458" s="4907"/>
      <c r="U458" s="4913"/>
      <c r="W458" s="4914"/>
      <c r="X458" s="4915"/>
      <c r="Y458" s="4916"/>
      <c r="Z458" s="1785"/>
      <c r="AA458" s="1785"/>
      <c r="AB458" s="1785"/>
      <c r="AC458" s="1785"/>
      <c r="AD458" s="1785"/>
    </row>
    <row r="459" spans="1:30" s="251" customFormat="1" ht="27" customHeight="1">
      <c r="A459" s="4862" t="s">
        <v>6813</v>
      </c>
      <c r="B459" s="4863"/>
      <c r="C459" s="4864" t="s">
        <v>6634</v>
      </c>
      <c r="D459" s="4864" t="s">
        <v>6814</v>
      </c>
      <c r="E459" s="4864" t="s">
        <v>141</v>
      </c>
      <c r="F459" s="4865">
        <f xml:space="preserve"> (2.2)*1.05</f>
        <v>2.3100000000000005</v>
      </c>
      <c r="G459" s="4873"/>
      <c r="H459" s="4866">
        <f t="shared" si="87"/>
        <v>0</v>
      </c>
      <c r="I459" s="4697" t="s">
        <v>112</v>
      </c>
      <c r="J459" s="4924"/>
      <c r="K459" s="4925"/>
      <c r="L459" s="4925"/>
      <c r="M459" s="1785"/>
      <c r="N459" s="4908"/>
      <c r="O459" s="1785"/>
      <c r="P459" s="1785"/>
      <c r="Q459" s="1785"/>
      <c r="R459" s="2091"/>
      <c r="T459" s="4907"/>
      <c r="U459" s="4913"/>
      <c r="W459" s="4914"/>
      <c r="X459" s="4915"/>
      <c r="Y459" s="4916"/>
      <c r="Z459" s="1785"/>
      <c r="AA459" s="1785"/>
      <c r="AB459" s="1785"/>
      <c r="AC459" s="1785"/>
      <c r="AD459" s="1785"/>
    </row>
    <row r="460" spans="1:30" s="251" customFormat="1" ht="27" customHeight="1">
      <c r="A460" s="4862" t="s">
        <v>6815</v>
      </c>
      <c r="B460" s="4863"/>
      <c r="C460" s="4864">
        <v>713411121</v>
      </c>
      <c r="D460" s="4864" t="s">
        <v>6816</v>
      </c>
      <c r="E460" s="4864" t="s">
        <v>163</v>
      </c>
      <c r="F460" s="4865">
        <f>(2.2)*2.47</f>
        <v>5.4340000000000011</v>
      </c>
      <c r="G460" s="4873"/>
      <c r="H460" s="4866">
        <f t="shared" si="87"/>
        <v>0</v>
      </c>
      <c r="I460" s="4697" t="s">
        <v>137</v>
      </c>
      <c r="J460" s="4908"/>
      <c r="K460" s="4909"/>
      <c r="L460" s="1791"/>
      <c r="M460" s="1791"/>
      <c r="P460" s="4911"/>
      <c r="Q460" s="4917"/>
      <c r="R460" s="4918"/>
      <c r="T460" s="4907"/>
      <c r="U460" s="4913"/>
      <c r="W460" s="4914"/>
      <c r="X460" s="4915"/>
      <c r="Y460" s="4916"/>
      <c r="Z460" s="1785"/>
      <c r="AA460" s="1785"/>
      <c r="AB460" s="1785"/>
      <c r="AC460" s="1785"/>
      <c r="AD460" s="1785"/>
    </row>
    <row r="461" spans="1:30" s="251" customFormat="1" ht="27" customHeight="1">
      <c r="A461" s="4862" t="s">
        <v>6817</v>
      </c>
      <c r="B461" s="4863"/>
      <c r="C461" s="4867" t="s">
        <v>6571</v>
      </c>
      <c r="D461" s="4867" t="s">
        <v>6818</v>
      </c>
      <c r="E461" s="4867" t="s">
        <v>163</v>
      </c>
      <c r="F461" s="4868">
        <f>((2.2)*2.47)*1.1</f>
        <v>5.977400000000002</v>
      </c>
      <c r="G461" s="4874"/>
      <c r="H461" s="4869">
        <f t="shared" si="87"/>
        <v>0</v>
      </c>
      <c r="I461" s="4870" t="s">
        <v>112</v>
      </c>
      <c r="J461" s="4908"/>
      <c r="K461" s="4909"/>
      <c r="T461" s="4907"/>
      <c r="AA461" s="1785"/>
      <c r="AB461" s="1785"/>
      <c r="AC461" s="1785"/>
      <c r="AD461" s="1785"/>
    </row>
    <row r="462" spans="1:30" ht="13.5" customHeight="1">
      <c r="A462" s="2408"/>
      <c r="B462" s="2346"/>
      <c r="C462" s="2346"/>
      <c r="D462" s="2400" t="s">
        <v>3463</v>
      </c>
      <c r="E462" s="2346"/>
      <c r="F462" s="2409">
        <v>2.2000000000000002</v>
      </c>
      <c r="G462" s="2387"/>
      <c r="H462" s="2387"/>
      <c r="I462" s="2352"/>
      <c r="J462" s="4919"/>
      <c r="K462" s="4920"/>
      <c r="L462" s="4920"/>
      <c r="M462" s="4920"/>
      <c r="N462" s="4920"/>
      <c r="O462" s="4921"/>
      <c r="P462" s="4921"/>
      <c r="Q462" s="4921"/>
      <c r="R462" s="4921"/>
      <c r="S462" s="4921"/>
      <c r="T462" s="4921"/>
      <c r="U462" s="4921"/>
      <c r="V462" s="122"/>
      <c r="W462" s="4921"/>
      <c r="X462" s="1975"/>
      <c r="Y462" s="1975"/>
      <c r="Z462" s="1951"/>
    </row>
    <row r="463" spans="1:30" s="2399" customFormat="1" ht="27" customHeight="1">
      <c r="A463" s="2402"/>
      <c r="B463" s="2403"/>
      <c r="C463" s="2410"/>
      <c r="D463" s="2400" t="s">
        <v>1994</v>
      </c>
      <c r="E463" s="2346"/>
      <c r="F463" s="2405"/>
      <c r="G463" s="4861"/>
      <c r="H463" s="2406"/>
      <c r="I463" s="2411"/>
      <c r="T463" s="4899"/>
      <c r="U463" s="4905"/>
      <c r="V463" s="4906"/>
      <c r="W463" s="4906"/>
      <c r="X463" s="4900"/>
      <c r="Y463" s="251"/>
    </row>
    <row r="464" spans="1:30" s="2399" customFormat="1" ht="13.5" customHeight="1">
      <c r="A464" s="4849"/>
      <c r="B464" s="4850"/>
      <c r="C464" s="4851"/>
      <c r="D464" s="4856" t="s">
        <v>6565</v>
      </c>
      <c r="E464" s="4852"/>
      <c r="F464" s="4853"/>
      <c r="G464" s="4871"/>
      <c r="H464" s="4854"/>
      <c r="I464" s="4855"/>
      <c r="T464" s="4899"/>
      <c r="U464" s="4905"/>
      <c r="V464" s="4906"/>
      <c r="W464" s="4906"/>
      <c r="X464" s="4900"/>
      <c r="Y464" s="251"/>
    </row>
    <row r="465" spans="1:30" s="2399" customFormat="1" ht="13.5" customHeight="1">
      <c r="A465" s="4857">
        <v>58</v>
      </c>
      <c r="B465" s="2346">
        <v>751</v>
      </c>
      <c r="C465" s="2346" t="s">
        <v>3464</v>
      </c>
      <c r="D465" s="2346" t="s">
        <v>3465</v>
      </c>
      <c r="E465" s="2346" t="s">
        <v>141</v>
      </c>
      <c r="F465" s="4859">
        <f>F472</f>
        <v>32.200000000000003</v>
      </c>
      <c r="G465" s="1641">
        <f>ROUND(SUM(H468:H471)/F465,2)</f>
        <v>0</v>
      </c>
      <c r="H465" s="2231">
        <f t="shared" ref="H465" si="88">ROUND(F465*G465,2)</f>
        <v>0</v>
      </c>
      <c r="I465" s="2352" t="s">
        <v>111</v>
      </c>
      <c r="J465" s="4897"/>
    </row>
    <row r="466" spans="1:30" s="2399" customFormat="1" ht="13.5" customHeight="1">
      <c r="A466" s="2398"/>
      <c r="B466" s="2346"/>
      <c r="C466" s="2346"/>
      <c r="D466" s="2400" t="s">
        <v>3466</v>
      </c>
      <c r="E466" s="2346"/>
      <c r="F466" s="2281"/>
      <c r="G466" s="4860"/>
      <c r="H466" s="2401"/>
      <c r="I466" s="2352"/>
      <c r="J466" s="4898"/>
      <c r="K466" s="147"/>
      <c r="L466" s="147"/>
      <c r="M466" s="4899"/>
      <c r="N466" s="4899"/>
      <c r="O466" s="4899"/>
      <c r="P466" s="4900"/>
      <c r="S466" s="4901"/>
    </row>
    <row r="467" spans="1:30" s="2399" customFormat="1" ht="27" customHeight="1">
      <c r="A467" s="2402"/>
      <c r="B467" s="2403"/>
      <c r="C467" s="2404"/>
      <c r="D467" s="2400" t="s">
        <v>3311</v>
      </c>
      <c r="E467" s="2346"/>
      <c r="F467" s="2405"/>
      <c r="G467" s="4861"/>
      <c r="H467" s="2406"/>
      <c r="I467" s="2407"/>
      <c r="J467" s="4898"/>
      <c r="K467" s="147"/>
      <c r="L467" s="1791"/>
      <c r="M467" s="1791"/>
      <c r="N467" s="251"/>
      <c r="O467" s="251"/>
      <c r="P467" s="4900"/>
      <c r="Q467" s="4903"/>
      <c r="R467" s="4904"/>
      <c r="S467" s="4901"/>
      <c r="T467" s="4899"/>
      <c r="U467" s="4905"/>
      <c r="V467" s="4906"/>
      <c r="W467" s="4906"/>
      <c r="X467" s="4900"/>
      <c r="Y467" s="251"/>
    </row>
    <row r="468" spans="1:30" s="251" customFormat="1" ht="27" customHeight="1">
      <c r="A468" s="4862" t="s">
        <v>6819</v>
      </c>
      <c r="B468" s="4863"/>
      <c r="C468" s="4864" t="s">
        <v>6632</v>
      </c>
      <c r="D468" s="4864" t="s">
        <v>6820</v>
      </c>
      <c r="E468" s="4864" t="s">
        <v>141</v>
      </c>
      <c r="F468" s="4865">
        <f>F465</f>
        <v>32.200000000000003</v>
      </c>
      <c r="G468" s="4873"/>
      <c r="H468" s="4866">
        <f t="shared" ref="H468:H471" si="89">ROUND(F468*G468,2)</f>
        <v>0</v>
      </c>
      <c r="I468" s="4697" t="s">
        <v>112</v>
      </c>
      <c r="J468" s="4908"/>
      <c r="K468" s="4909"/>
      <c r="L468" s="4909"/>
      <c r="M468" s="4910"/>
      <c r="N468" s="4910"/>
      <c r="O468" s="4910"/>
      <c r="P468" s="4911"/>
      <c r="Q468" s="4912"/>
      <c r="R468" s="4912"/>
      <c r="T468" s="4907"/>
      <c r="U468" s="4913"/>
      <c r="W468" s="4914"/>
      <c r="X468" s="4915"/>
      <c r="Y468" s="4916"/>
      <c r="Z468" s="1785"/>
      <c r="AA468" s="1785"/>
      <c r="AB468" s="1785"/>
      <c r="AC468" s="1785"/>
      <c r="AD468" s="1785"/>
    </row>
    <row r="469" spans="1:30" s="251" customFormat="1" ht="27" customHeight="1">
      <c r="A469" s="4862" t="s">
        <v>6821</v>
      </c>
      <c r="B469" s="4863"/>
      <c r="C469" s="4864" t="s">
        <v>6634</v>
      </c>
      <c r="D469" s="4864" t="s">
        <v>6822</v>
      </c>
      <c r="E469" s="4864" t="s">
        <v>141</v>
      </c>
      <c r="F469" s="4865">
        <f xml:space="preserve"> (32.2)*1.05</f>
        <v>33.81</v>
      </c>
      <c r="G469" s="4873"/>
      <c r="H469" s="4866">
        <f t="shared" si="89"/>
        <v>0</v>
      </c>
      <c r="I469" s="4697" t="s">
        <v>112</v>
      </c>
      <c r="J469" s="4924"/>
      <c r="K469" s="4925"/>
      <c r="L469" s="4925"/>
      <c r="M469" s="1785"/>
      <c r="N469" s="4908"/>
      <c r="O469" s="1785"/>
      <c r="P469" s="1785"/>
      <c r="Q469" s="1785"/>
      <c r="R469" s="2091"/>
      <c r="T469" s="4907"/>
      <c r="U469" s="4913"/>
      <c r="W469" s="4914"/>
      <c r="X469" s="4915"/>
      <c r="Y469" s="4916"/>
      <c r="Z469" s="1785"/>
      <c r="AA469" s="1785"/>
      <c r="AB469" s="1785"/>
      <c r="AC469" s="1785"/>
      <c r="AD469" s="1785"/>
    </row>
    <row r="470" spans="1:30" s="251" customFormat="1" ht="27" customHeight="1">
      <c r="A470" s="4862" t="s">
        <v>6823</v>
      </c>
      <c r="B470" s="4863"/>
      <c r="C470" s="4864">
        <v>713411121</v>
      </c>
      <c r="D470" s="4864" t="s">
        <v>6824</v>
      </c>
      <c r="E470" s="4864" t="s">
        <v>163</v>
      </c>
      <c r="F470" s="4865">
        <f>(32.2)*3.08</f>
        <v>99.176000000000016</v>
      </c>
      <c r="G470" s="4873"/>
      <c r="H470" s="4866">
        <f t="shared" si="89"/>
        <v>0</v>
      </c>
      <c r="I470" s="4697" t="s">
        <v>137</v>
      </c>
      <c r="J470" s="4908"/>
      <c r="K470" s="4909"/>
      <c r="L470" s="1791"/>
      <c r="M470" s="1791"/>
      <c r="P470" s="4911"/>
      <c r="Q470" s="4917"/>
      <c r="R470" s="4918"/>
      <c r="T470" s="4907"/>
      <c r="U470" s="4913"/>
      <c r="W470" s="4914"/>
      <c r="X470" s="4915"/>
      <c r="Y470" s="4916"/>
      <c r="Z470" s="1785"/>
      <c r="AA470" s="1785"/>
      <c r="AB470" s="1785"/>
      <c r="AC470" s="1785"/>
      <c r="AD470" s="1785"/>
    </row>
    <row r="471" spans="1:30" s="251" customFormat="1" ht="27" customHeight="1">
      <c r="A471" s="4862" t="s">
        <v>6825</v>
      </c>
      <c r="B471" s="4863"/>
      <c r="C471" s="4867" t="s">
        <v>6571</v>
      </c>
      <c r="D471" s="4867" t="s">
        <v>6826</v>
      </c>
      <c r="E471" s="4867" t="s">
        <v>163</v>
      </c>
      <c r="F471" s="4868">
        <f>((32.2)*3.08)*1.1</f>
        <v>109.09360000000002</v>
      </c>
      <c r="G471" s="4874"/>
      <c r="H471" s="4869">
        <f t="shared" si="89"/>
        <v>0</v>
      </c>
      <c r="I471" s="4870" t="s">
        <v>112</v>
      </c>
      <c r="J471" s="4908"/>
      <c r="K471" s="4909"/>
      <c r="T471" s="4907"/>
      <c r="AA471" s="1785"/>
      <c r="AB471" s="1785"/>
      <c r="AC471" s="1785"/>
      <c r="AD471" s="1785"/>
    </row>
    <row r="472" spans="1:30" ht="13.5" customHeight="1">
      <c r="A472" s="2408"/>
      <c r="B472" s="2346"/>
      <c r="C472" s="2346"/>
      <c r="D472" s="2400" t="s">
        <v>3467</v>
      </c>
      <c r="E472" s="2346"/>
      <c r="F472" s="2409">
        <v>32.200000000000003</v>
      </c>
      <c r="G472" s="2387"/>
      <c r="H472" s="2387"/>
      <c r="I472" s="2352"/>
      <c r="J472" s="4919"/>
      <c r="K472" s="4920"/>
      <c r="L472" s="4920"/>
      <c r="M472" s="4920"/>
      <c r="N472" s="4920"/>
      <c r="O472" s="4921"/>
      <c r="P472" s="4921"/>
      <c r="Q472" s="4921"/>
      <c r="R472" s="4921"/>
      <c r="S472" s="4921"/>
      <c r="T472" s="4921"/>
      <c r="U472" s="4921"/>
      <c r="V472" s="122"/>
      <c r="W472" s="4921"/>
      <c r="X472" s="1975"/>
      <c r="Y472" s="1975"/>
      <c r="Z472" s="1951"/>
    </row>
    <row r="473" spans="1:30" s="2399" customFormat="1" ht="27" customHeight="1">
      <c r="A473" s="2402"/>
      <c r="B473" s="2403"/>
      <c r="C473" s="2410"/>
      <c r="D473" s="2400" t="s">
        <v>1994</v>
      </c>
      <c r="E473" s="2346"/>
      <c r="F473" s="2405"/>
      <c r="G473" s="4861"/>
      <c r="H473" s="2406"/>
      <c r="I473" s="2411"/>
      <c r="T473" s="4899"/>
      <c r="U473" s="4905"/>
      <c r="V473" s="4906"/>
      <c r="W473" s="4906"/>
      <c r="X473" s="4900"/>
      <c r="Y473" s="251"/>
    </row>
    <row r="474" spans="1:30" s="2399" customFormat="1" ht="13.5" customHeight="1">
      <c r="A474" s="4849"/>
      <c r="B474" s="4850"/>
      <c r="C474" s="4851"/>
      <c r="D474" s="4856" t="s">
        <v>6565</v>
      </c>
      <c r="E474" s="4852"/>
      <c r="F474" s="4853"/>
      <c r="G474" s="4871"/>
      <c r="H474" s="4854"/>
      <c r="I474" s="4855"/>
      <c r="T474" s="4899"/>
      <c r="U474" s="4905"/>
      <c r="V474" s="4906"/>
      <c r="W474" s="4906"/>
      <c r="X474" s="4900"/>
      <c r="Y474" s="251"/>
    </row>
    <row r="475" spans="1:30" s="2399" customFormat="1" ht="13.5" customHeight="1">
      <c r="A475" s="4857">
        <v>59</v>
      </c>
      <c r="B475" s="2346">
        <v>751</v>
      </c>
      <c r="C475" s="2346" t="s">
        <v>3468</v>
      </c>
      <c r="D475" s="2346" t="s">
        <v>3469</v>
      </c>
      <c r="E475" s="2346" t="s">
        <v>141</v>
      </c>
      <c r="F475" s="4859">
        <f>F482</f>
        <v>2.5</v>
      </c>
      <c r="G475" s="1641">
        <f>ROUND(SUM(H478:H481)/F475,2)</f>
        <v>0</v>
      </c>
      <c r="H475" s="2231">
        <f t="shared" ref="H475" si="90">ROUND(F475*G475,2)</f>
        <v>0</v>
      </c>
      <c r="I475" s="2352" t="s">
        <v>111</v>
      </c>
      <c r="J475" s="4897"/>
    </row>
    <row r="476" spans="1:30" s="2399" customFormat="1" ht="13.5" customHeight="1">
      <c r="A476" s="2398"/>
      <c r="B476" s="2346"/>
      <c r="C476" s="2346"/>
      <c r="D476" s="2400" t="s">
        <v>3470</v>
      </c>
      <c r="E476" s="2346"/>
      <c r="F476" s="2281"/>
      <c r="G476" s="4860"/>
      <c r="H476" s="2401"/>
      <c r="I476" s="2352"/>
      <c r="J476" s="4898"/>
      <c r="K476" s="147"/>
      <c r="L476" s="147"/>
      <c r="M476" s="4899"/>
      <c r="N476" s="4899"/>
      <c r="O476" s="4899"/>
      <c r="P476" s="4900"/>
      <c r="S476" s="4901"/>
    </row>
    <row r="477" spans="1:30" s="2399" customFormat="1" ht="27" customHeight="1">
      <c r="A477" s="2402"/>
      <c r="B477" s="2403"/>
      <c r="C477" s="2404"/>
      <c r="D477" s="2400" t="s">
        <v>3311</v>
      </c>
      <c r="E477" s="2346"/>
      <c r="F477" s="2405"/>
      <c r="G477" s="4861"/>
      <c r="H477" s="2406"/>
      <c r="I477" s="2407"/>
      <c r="J477" s="4898"/>
      <c r="K477" s="147"/>
      <c r="L477" s="1791"/>
      <c r="M477" s="1791"/>
      <c r="N477" s="251"/>
      <c r="O477" s="251"/>
      <c r="P477" s="4900"/>
      <c r="Q477" s="4903"/>
      <c r="R477" s="4904"/>
      <c r="S477" s="4901"/>
      <c r="T477" s="4899"/>
      <c r="U477" s="4905"/>
      <c r="V477" s="4906"/>
      <c r="W477" s="4906"/>
      <c r="X477" s="4900"/>
      <c r="Y477" s="251"/>
    </row>
    <row r="478" spans="1:30" s="251" customFormat="1" ht="27" customHeight="1">
      <c r="A478" s="4862" t="s">
        <v>6827</v>
      </c>
      <c r="B478" s="4863"/>
      <c r="C478" s="4864" t="s">
        <v>6749</v>
      </c>
      <c r="D478" s="4864" t="s">
        <v>6828</v>
      </c>
      <c r="E478" s="4864" t="s">
        <v>141</v>
      </c>
      <c r="F478" s="4865">
        <f>F475</f>
        <v>2.5</v>
      </c>
      <c r="G478" s="4873"/>
      <c r="H478" s="4866">
        <f t="shared" ref="H478:H481" si="91">ROUND(F478*G478,2)</f>
        <v>0</v>
      </c>
      <c r="I478" s="4697" t="s">
        <v>112</v>
      </c>
      <c r="J478" s="4908"/>
      <c r="K478" s="4909"/>
      <c r="L478" s="4909"/>
      <c r="M478" s="4910"/>
      <c r="N478" s="4910"/>
      <c r="O478" s="4910"/>
      <c r="P478" s="4911"/>
      <c r="Q478" s="4912"/>
      <c r="R478" s="4912"/>
      <c r="T478" s="4907"/>
      <c r="U478" s="4913"/>
      <c r="W478" s="4914"/>
      <c r="X478" s="4915"/>
      <c r="Y478" s="4916"/>
      <c r="Z478" s="1785"/>
      <c r="AA478" s="1785"/>
      <c r="AB478" s="1785"/>
      <c r="AC478" s="1785"/>
      <c r="AD478" s="1785"/>
    </row>
    <row r="479" spans="1:30" s="251" customFormat="1" ht="27" customHeight="1">
      <c r="A479" s="4862" t="s">
        <v>6829</v>
      </c>
      <c r="B479" s="4863"/>
      <c r="C479" s="4864" t="s">
        <v>6751</v>
      </c>
      <c r="D479" s="4864" t="s">
        <v>6830</v>
      </c>
      <c r="E479" s="4864" t="s">
        <v>141</v>
      </c>
      <c r="F479" s="4865">
        <f xml:space="preserve"> (2.5)*1.05</f>
        <v>2.625</v>
      </c>
      <c r="G479" s="4873"/>
      <c r="H479" s="4866">
        <f t="shared" si="91"/>
        <v>0</v>
      </c>
      <c r="I479" s="4697" t="s">
        <v>112</v>
      </c>
      <c r="J479" s="4924"/>
      <c r="K479" s="4925"/>
      <c r="L479" s="4925"/>
      <c r="M479" s="1785"/>
      <c r="N479" s="4908"/>
      <c r="O479" s="1785"/>
      <c r="P479" s="1785"/>
      <c r="Q479" s="1785"/>
      <c r="R479" s="2091"/>
      <c r="T479" s="4907"/>
      <c r="U479" s="4913"/>
      <c r="W479" s="4914"/>
      <c r="X479" s="4915"/>
      <c r="Y479" s="4916"/>
      <c r="Z479" s="1785"/>
      <c r="AA479" s="1785"/>
      <c r="AB479" s="1785"/>
      <c r="AC479" s="1785"/>
      <c r="AD479" s="1785"/>
    </row>
    <row r="480" spans="1:30" s="251" customFormat="1" ht="27" customHeight="1">
      <c r="A480" s="4862" t="s">
        <v>6831</v>
      </c>
      <c r="B480" s="4863"/>
      <c r="C480" s="4864">
        <v>713411121</v>
      </c>
      <c r="D480" s="4864" t="s">
        <v>6832</v>
      </c>
      <c r="E480" s="4864" t="s">
        <v>163</v>
      </c>
      <c r="F480" s="4865">
        <f xml:space="preserve"> (2.5)*3.22</f>
        <v>8.0500000000000007</v>
      </c>
      <c r="G480" s="4873"/>
      <c r="H480" s="4866">
        <f t="shared" si="91"/>
        <v>0</v>
      </c>
      <c r="I480" s="4697" t="s">
        <v>137</v>
      </c>
      <c r="J480" s="4908"/>
      <c r="K480" s="4909"/>
      <c r="L480" s="1791"/>
      <c r="M480" s="1791"/>
      <c r="P480" s="4911"/>
      <c r="Q480" s="4917"/>
      <c r="R480" s="4918"/>
      <c r="T480" s="4907"/>
      <c r="U480" s="4913"/>
      <c r="W480" s="4914"/>
      <c r="X480" s="4915"/>
      <c r="Y480" s="4916"/>
      <c r="Z480" s="1785"/>
      <c r="AA480" s="1785"/>
      <c r="AB480" s="1785"/>
      <c r="AC480" s="1785"/>
      <c r="AD480" s="1785"/>
    </row>
    <row r="481" spans="1:30" s="251" customFormat="1" ht="27" customHeight="1">
      <c r="A481" s="4862" t="s">
        <v>6833</v>
      </c>
      <c r="B481" s="4863"/>
      <c r="C481" s="4867" t="s">
        <v>6571</v>
      </c>
      <c r="D481" s="4867" t="s">
        <v>6834</v>
      </c>
      <c r="E481" s="4867" t="s">
        <v>163</v>
      </c>
      <c r="F481" s="4868">
        <f>((2.5)*3.22)*1.1</f>
        <v>8.8550000000000022</v>
      </c>
      <c r="G481" s="4874"/>
      <c r="H481" s="4869">
        <f t="shared" si="91"/>
        <v>0</v>
      </c>
      <c r="I481" s="4870" t="s">
        <v>112</v>
      </c>
      <c r="J481" s="4908"/>
      <c r="K481" s="4909"/>
      <c r="T481" s="4907"/>
      <c r="AA481" s="1785"/>
      <c r="AB481" s="1785"/>
      <c r="AC481" s="1785"/>
      <c r="AD481" s="1785"/>
    </row>
    <row r="482" spans="1:30" ht="13.5" customHeight="1">
      <c r="A482" s="2408"/>
      <c r="B482" s="2346"/>
      <c r="C482" s="2346"/>
      <c r="D482" s="2400" t="s">
        <v>3471</v>
      </c>
      <c r="E482" s="2346"/>
      <c r="F482" s="2409">
        <v>2.5</v>
      </c>
      <c r="G482" s="2387"/>
      <c r="H482" s="2387"/>
      <c r="I482" s="2352"/>
      <c r="J482" s="4919"/>
      <c r="K482" s="4920"/>
      <c r="L482" s="4920"/>
      <c r="M482" s="4920"/>
      <c r="N482" s="4920"/>
      <c r="O482" s="4921"/>
      <c r="P482" s="4921"/>
      <c r="Q482" s="4921"/>
      <c r="R482" s="4921"/>
      <c r="S482" s="4921"/>
      <c r="T482" s="4921"/>
      <c r="U482" s="4921"/>
      <c r="V482" s="122"/>
      <c r="W482" s="4921"/>
      <c r="X482" s="1975"/>
      <c r="Y482" s="1975"/>
      <c r="Z482" s="1951"/>
    </row>
    <row r="483" spans="1:30" s="2399" customFormat="1" ht="27" customHeight="1">
      <c r="A483" s="2402"/>
      <c r="B483" s="2403"/>
      <c r="C483" s="2410"/>
      <c r="D483" s="2400" t="s">
        <v>1994</v>
      </c>
      <c r="E483" s="2346"/>
      <c r="F483" s="2405"/>
      <c r="G483" s="4861"/>
      <c r="H483" s="2406"/>
      <c r="I483" s="2411"/>
      <c r="T483" s="4899"/>
      <c r="U483" s="4905"/>
      <c r="V483" s="4906"/>
      <c r="W483" s="4906"/>
      <c r="X483" s="4900"/>
      <c r="Y483" s="251"/>
    </row>
    <row r="484" spans="1:30" s="2399" customFormat="1" ht="13.5" customHeight="1">
      <c r="A484" s="4849"/>
      <c r="B484" s="4850"/>
      <c r="C484" s="4851"/>
      <c r="D484" s="4856" t="s">
        <v>6565</v>
      </c>
      <c r="E484" s="4852"/>
      <c r="F484" s="4853"/>
      <c r="G484" s="4871"/>
      <c r="H484" s="4854"/>
      <c r="I484" s="4855"/>
      <c r="T484" s="4899"/>
      <c r="U484" s="4905"/>
      <c r="V484" s="4906"/>
      <c r="W484" s="4906"/>
      <c r="X484" s="4900"/>
      <c r="Y484" s="251"/>
    </row>
    <row r="485" spans="1:30" s="2399" customFormat="1" ht="13.5" customHeight="1">
      <c r="A485" s="4857">
        <v>60</v>
      </c>
      <c r="B485" s="2346">
        <v>751</v>
      </c>
      <c r="C485" s="2346" t="s">
        <v>3472</v>
      </c>
      <c r="D485" s="2346" t="s">
        <v>3473</v>
      </c>
      <c r="E485" s="2346" t="s">
        <v>141</v>
      </c>
      <c r="F485" s="4859">
        <f>F492</f>
        <v>1.4</v>
      </c>
      <c r="G485" s="1641">
        <f>ROUND(SUM(H488:H491)/F485,2)</f>
        <v>0</v>
      </c>
      <c r="H485" s="2231">
        <f t="shared" ref="H485" si="92">ROUND(F485*G485,2)</f>
        <v>0</v>
      </c>
      <c r="I485" s="2352" t="s">
        <v>111</v>
      </c>
      <c r="J485" s="4897"/>
    </row>
    <row r="486" spans="1:30" s="2399" customFormat="1" ht="13.5" customHeight="1">
      <c r="A486" s="2398"/>
      <c r="B486" s="2346"/>
      <c r="C486" s="2346"/>
      <c r="D486" s="2400" t="s">
        <v>3474</v>
      </c>
      <c r="E486" s="2346"/>
      <c r="F486" s="2281"/>
      <c r="G486" s="4860"/>
      <c r="H486" s="2401"/>
      <c r="I486" s="2352"/>
      <c r="J486" s="4898"/>
      <c r="K486" s="147"/>
      <c r="L486" s="147"/>
      <c r="M486" s="4899"/>
      <c r="N486" s="4899"/>
      <c r="O486" s="4899"/>
      <c r="P486" s="4900"/>
      <c r="S486" s="4901"/>
    </row>
    <row r="487" spans="1:30" s="2399" customFormat="1" ht="27" customHeight="1">
      <c r="A487" s="2402"/>
      <c r="B487" s="2403"/>
      <c r="C487" s="2404"/>
      <c r="D487" s="2400" t="s">
        <v>3311</v>
      </c>
      <c r="E487" s="2346"/>
      <c r="F487" s="2405"/>
      <c r="G487" s="4861"/>
      <c r="H487" s="2406"/>
      <c r="I487" s="2407"/>
      <c r="J487" s="4898"/>
      <c r="K487" s="147"/>
      <c r="L487" s="1791"/>
      <c r="M487" s="1791"/>
      <c r="N487" s="251"/>
      <c r="O487" s="251"/>
      <c r="P487" s="4900"/>
      <c r="Q487" s="4903"/>
      <c r="R487" s="4904"/>
      <c r="S487" s="4901"/>
      <c r="T487" s="4899"/>
      <c r="U487" s="4905"/>
      <c r="V487" s="4906"/>
      <c r="W487" s="4906"/>
      <c r="X487" s="4900"/>
      <c r="Y487" s="251"/>
    </row>
    <row r="488" spans="1:30" s="251" customFormat="1" ht="27" customHeight="1">
      <c r="A488" s="4862" t="s">
        <v>4089</v>
      </c>
      <c r="B488" s="4863"/>
      <c r="C488" s="4864" t="s">
        <v>6749</v>
      </c>
      <c r="D488" s="4864" t="s">
        <v>6835</v>
      </c>
      <c r="E488" s="4864" t="s">
        <v>141</v>
      </c>
      <c r="F488" s="4865">
        <f>F485</f>
        <v>1.4</v>
      </c>
      <c r="G488" s="4873"/>
      <c r="H488" s="4866">
        <f t="shared" ref="H488:H491" si="93">ROUND(F488*G488,2)</f>
        <v>0</v>
      </c>
      <c r="I488" s="4697" t="s">
        <v>112</v>
      </c>
      <c r="J488" s="4908"/>
      <c r="K488" s="4909"/>
      <c r="L488" s="4909"/>
      <c r="M488" s="4910"/>
      <c r="N488" s="4910"/>
      <c r="O488" s="4910"/>
      <c r="P488" s="4911"/>
      <c r="Q488" s="4912"/>
      <c r="R488" s="4912"/>
      <c r="T488" s="4907"/>
      <c r="U488" s="4913"/>
      <c r="W488" s="4914"/>
      <c r="X488" s="4915"/>
      <c r="Y488" s="4916"/>
      <c r="Z488" s="1785"/>
      <c r="AA488" s="1785"/>
      <c r="AB488" s="1785"/>
      <c r="AC488" s="1785"/>
      <c r="AD488" s="1785"/>
    </row>
    <row r="489" spans="1:30" s="251" customFormat="1" ht="27" customHeight="1">
      <c r="A489" s="4862" t="s">
        <v>6836</v>
      </c>
      <c r="B489" s="4863"/>
      <c r="C489" s="4864" t="s">
        <v>6751</v>
      </c>
      <c r="D489" s="4864" t="s">
        <v>6837</v>
      </c>
      <c r="E489" s="4864" t="s">
        <v>141</v>
      </c>
      <c r="F489" s="4865">
        <f xml:space="preserve"> (1.4)*1.05</f>
        <v>1.47</v>
      </c>
      <c r="G489" s="4873"/>
      <c r="H489" s="4866">
        <f t="shared" si="93"/>
        <v>0</v>
      </c>
      <c r="I489" s="4697" t="s">
        <v>112</v>
      </c>
      <c r="J489" s="4924"/>
      <c r="K489" s="4925"/>
      <c r="L489" s="4925"/>
      <c r="M489" s="1785"/>
      <c r="N489" s="4908"/>
      <c r="O489" s="1785"/>
      <c r="P489" s="1785"/>
      <c r="Q489" s="1785"/>
      <c r="R489" s="2091"/>
      <c r="T489" s="4907"/>
      <c r="U489" s="4913"/>
      <c r="W489" s="4914"/>
      <c r="X489" s="4915"/>
      <c r="Y489" s="4916"/>
      <c r="Z489" s="1785"/>
      <c r="AA489" s="1785"/>
      <c r="AB489" s="1785"/>
      <c r="AC489" s="1785"/>
      <c r="AD489" s="1785"/>
    </row>
    <row r="490" spans="1:30" s="251" customFormat="1" ht="27" customHeight="1">
      <c r="A490" s="4862" t="s">
        <v>6838</v>
      </c>
      <c r="B490" s="4863"/>
      <c r="C490" s="4864">
        <v>713411121</v>
      </c>
      <c r="D490" s="4864" t="s">
        <v>6839</v>
      </c>
      <c r="E490" s="4864" t="s">
        <v>163</v>
      </c>
      <c r="F490" s="4865">
        <f>(1.4)*3.38</f>
        <v>4.7319999999999993</v>
      </c>
      <c r="G490" s="4873"/>
      <c r="H490" s="4866">
        <f t="shared" si="93"/>
        <v>0</v>
      </c>
      <c r="I490" s="4697" t="s">
        <v>137</v>
      </c>
      <c r="J490" s="4908"/>
      <c r="K490" s="4909"/>
      <c r="L490" s="1791"/>
      <c r="M490" s="1791"/>
      <c r="P490" s="4911"/>
      <c r="Q490" s="4917"/>
      <c r="R490" s="4918"/>
      <c r="T490" s="4907"/>
      <c r="U490" s="4913"/>
      <c r="W490" s="4914"/>
      <c r="X490" s="4915"/>
      <c r="Y490" s="4916"/>
      <c r="Z490" s="1785"/>
      <c r="AA490" s="1785"/>
      <c r="AB490" s="1785"/>
      <c r="AC490" s="1785"/>
      <c r="AD490" s="1785"/>
    </row>
    <row r="491" spans="1:30" s="251" customFormat="1" ht="27" customHeight="1">
      <c r="A491" s="4862" t="s">
        <v>6840</v>
      </c>
      <c r="B491" s="4863"/>
      <c r="C491" s="4867" t="s">
        <v>6571</v>
      </c>
      <c r="D491" s="4867" t="s">
        <v>6841</v>
      </c>
      <c r="E491" s="4867" t="s">
        <v>163</v>
      </c>
      <c r="F491" s="4868">
        <f>((1.4)*3.38)*1.1</f>
        <v>5.2051999999999996</v>
      </c>
      <c r="G491" s="4874"/>
      <c r="H491" s="4869">
        <f t="shared" si="93"/>
        <v>0</v>
      </c>
      <c r="I491" s="4870" t="s">
        <v>112</v>
      </c>
      <c r="J491" s="4908"/>
      <c r="K491" s="4909"/>
      <c r="T491" s="4907"/>
      <c r="AA491" s="1785"/>
      <c r="AB491" s="1785"/>
      <c r="AC491" s="1785"/>
      <c r="AD491" s="1785"/>
    </row>
    <row r="492" spans="1:30" ht="13.5" customHeight="1">
      <c r="A492" s="2408"/>
      <c r="B492" s="2346"/>
      <c r="C492" s="2346"/>
      <c r="D492" s="2400" t="s">
        <v>3475</v>
      </c>
      <c r="E492" s="2346"/>
      <c r="F492" s="2409">
        <v>1.4</v>
      </c>
      <c r="G492" s="2387"/>
      <c r="H492" s="2387"/>
      <c r="I492" s="2352"/>
      <c r="J492" s="4919"/>
      <c r="K492" s="4920"/>
      <c r="L492" s="4920"/>
      <c r="M492" s="4920"/>
      <c r="N492" s="4920"/>
      <c r="O492" s="4921"/>
      <c r="P492" s="4921"/>
      <c r="Q492" s="4921"/>
      <c r="R492" s="4921"/>
      <c r="S492" s="4921"/>
      <c r="T492" s="4921"/>
      <c r="U492" s="4921"/>
      <c r="V492" s="122"/>
      <c r="W492" s="4921"/>
      <c r="X492" s="1975"/>
      <c r="Y492" s="1975"/>
      <c r="Z492" s="1951"/>
    </row>
    <row r="493" spans="1:30" s="2399" customFormat="1" ht="27" customHeight="1">
      <c r="A493" s="2402"/>
      <c r="B493" s="2403"/>
      <c r="C493" s="2410"/>
      <c r="D493" s="2400" t="s">
        <v>1994</v>
      </c>
      <c r="E493" s="2346"/>
      <c r="F493" s="2405"/>
      <c r="G493" s="4861"/>
      <c r="H493" s="2406"/>
      <c r="I493" s="2411"/>
      <c r="T493" s="4899"/>
      <c r="U493" s="4905"/>
      <c r="V493" s="4906"/>
      <c r="W493" s="4906"/>
      <c r="X493" s="4900"/>
      <c r="Y493" s="251"/>
    </row>
    <row r="494" spans="1:30" s="2399" customFormat="1" ht="13.5" customHeight="1">
      <c r="A494" s="4849"/>
      <c r="B494" s="4850"/>
      <c r="C494" s="4851"/>
      <c r="D494" s="4856" t="s">
        <v>6565</v>
      </c>
      <c r="E494" s="4852"/>
      <c r="F494" s="4853"/>
      <c r="G494" s="4871"/>
      <c r="H494" s="4854"/>
      <c r="I494" s="4855"/>
      <c r="T494" s="4899"/>
      <c r="U494" s="4905"/>
      <c r="V494" s="4906"/>
      <c r="W494" s="4906"/>
      <c r="X494" s="4900"/>
      <c r="Y494" s="251"/>
    </row>
    <row r="495" spans="1:30" s="2399" customFormat="1" ht="13.5" customHeight="1">
      <c r="A495" s="4857">
        <v>61</v>
      </c>
      <c r="B495" s="2346">
        <v>751</v>
      </c>
      <c r="C495" s="2346" t="s">
        <v>3476</v>
      </c>
      <c r="D495" s="2346" t="s">
        <v>3477</v>
      </c>
      <c r="E495" s="2346" t="s">
        <v>141</v>
      </c>
      <c r="F495" s="4859">
        <f>F502</f>
        <v>17.7</v>
      </c>
      <c r="G495" s="1641">
        <f>ROUND(SUM(H498:H501)/F495,2)</f>
        <v>0</v>
      </c>
      <c r="H495" s="2231">
        <f t="shared" ref="H495" si="94">ROUND(F495*G495,2)</f>
        <v>0</v>
      </c>
      <c r="I495" s="2352" t="s">
        <v>111</v>
      </c>
      <c r="J495" s="4897"/>
    </row>
    <row r="496" spans="1:30" s="2399" customFormat="1" ht="13.5" customHeight="1">
      <c r="A496" s="2398"/>
      <c r="B496" s="2346"/>
      <c r="C496" s="2346"/>
      <c r="D496" s="2400" t="s">
        <v>3478</v>
      </c>
      <c r="E496" s="2346"/>
      <c r="F496" s="2281"/>
      <c r="G496" s="4860"/>
      <c r="H496" s="2401"/>
      <c r="I496" s="2352"/>
      <c r="J496" s="4898"/>
      <c r="K496" s="147"/>
      <c r="L496" s="147"/>
      <c r="M496" s="4899"/>
      <c r="N496" s="4899"/>
      <c r="O496" s="4899"/>
      <c r="P496" s="4900"/>
      <c r="S496" s="4901"/>
    </row>
    <row r="497" spans="1:30" s="2399" customFormat="1" ht="27" customHeight="1">
      <c r="A497" s="2402"/>
      <c r="B497" s="2403"/>
      <c r="C497" s="2404"/>
      <c r="D497" s="2400" t="s">
        <v>3311</v>
      </c>
      <c r="E497" s="2346"/>
      <c r="F497" s="2405"/>
      <c r="G497" s="4861"/>
      <c r="H497" s="2406"/>
      <c r="I497" s="2407"/>
      <c r="J497" s="4898"/>
      <c r="K497" s="147"/>
      <c r="L497" s="1791"/>
      <c r="M497" s="1791"/>
      <c r="N497" s="251"/>
      <c r="O497" s="251"/>
      <c r="P497" s="4900"/>
      <c r="Q497" s="4903"/>
      <c r="R497" s="4904"/>
      <c r="S497" s="4901"/>
      <c r="T497" s="4899"/>
      <c r="U497" s="4905"/>
      <c r="V497" s="4906"/>
      <c r="W497" s="4906"/>
      <c r="X497" s="4900"/>
      <c r="Y497" s="251"/>
    </row>
    <row r="498" spans="1:30" s="251" customFormat="1" ht="27" customHeight="1">
      <c r="A498" s="4862" t="s">
        <v>6842</v>
      </c>
      <c r="B498" s="4863"/>
      <c r="C498" s="4864" t="s">
        <v>6749</v>
      </c>
      <c r="D498" s="4864" t="s">
        <v>6843</v>
      </c>
      <c r="E498" s="4864" t="s">
        <v>141</v>
      </c>
      <c r="F498" s="4865">
        <f>F495</f>
        <v>17.7</v>
      </c>
      <c r="G498" s="4873"/>
      <c r="H498" s="4866">
        <f t="shared" ref="H498:H501" si="95">ROUND(F498*G498,2)</f>
        <v>0</v>
      </c>
      <c r="I498" s="4697" t="s">
        <v>112</v>
      </c>
      <c r="J498" s="4908"/>
      <c r="K498" s="4909"/>
      <c r="L498" s="4909"/>
      <c r="M498" s="4910"/>
      <c r="N498" s="4910"/>
      <c r="O498" s="4910"/>
      <c r="P498" s="4911"/>
      <c r="Q498" s="4912"/>
      <c r="R498" s="4912"/>
      <c r="T498" s="4907"/>
      <c r="U498" s="4913"/>
      <c r="W498" s="4914"/>
      <c r="X498" s="4915"/>
      <c r="Y498" s="4916"/>
      <c r="Z498" s="1785"/>
      <c r="AA498" s="1785"/>
      <c r="AB498" s="1785"/>
      <c r="AC498" s="1785"/>
      <c r="AD498" s="1785"/>
    </row>
    <row r="499" spans="1:30" s="251" customFormat="1" ht="27" customHeight="1">
      <c r="A499" s="4862" t="s">
        <v>6844</v>
      </c>
      <c r="B499" s="4863"/>
      <c r="C499" s="4864" t="s">
        <v>6751</v>
      </c>
      <c r="D499" s="4864" t="s">
        <v>6845</v>
      </c>
      <c r="E499" s="4864" t="s">
        <v>141</v>
      </c>
      <c r="F499" s="4865">
        <f>(17.7)*1.05</f>
        <v>18.585000000000001</v>
      </c>
      <c r="G499" s="4873"/>
      <c r="H499" s="4866">
        <f t="shared" si="95"/>
        <v>0</v>
      </c>
      <c r="I499" s="4697" t="s">
        <v>112</v>
      </c>
      <c r="J499" s="4924"/>
      <c r="K499" s="4925"/>
      <c r="L499" s="4925"/>
      <c r="M499" s="1785"/>
      <c r="N499" s="4908"/>
      <c r="O499" s="1785"/>
      <c r="P499" s="1785"/>
      <c r="Q499" s="1785"/>
      <c r="R499" s="2091"/>
      <c r="T499" s="4907"/>
      <c r="U499" s="4913"/>
      <c r="W499" s="4914"/>
      <c r="X499" s="4915"/>
      <c r="Y499" s="4916"/>
      <c r="Z499" s="1785"/>
      <c r="AA499" s="1785"/>
      <c r="AB499" s="1785"/>
      <c r="AC499" s="1785"/>
      <c r="AD499" s="1785"/>
    </row>
    <row r="500" spans="1:30" s="251" customFormat="1" ht="27" customHeight="1">
      <c r="A500" s="4862" t="s">
        <v>6846</v>
      </c>
      <c r="B500" s="4863"/>
      <c r="C500" s="4864">
        <v>713411121</v>
      </c>
      <c r="D500" s="4864" t="s">
        <v>6847</v>
      </c>
      <c r="E500" s="4864" t="s">
        <v>163</v>
      </c>
      <c r="F500" s="4865">
        <f>(17.7)*2.8</f>
        <v>49.559999999999995</v>
      </c>
      <c r="G500" s="4873"/>
      <c r="H500" s="4866">
        <f t="shared" si="95"/>
        <v>0</v>
      </c>
      <c r="I500" s="4697" t="s">
        <v>137</v>
      </c>
      <c r="J500" s="4908"/>
      <c r="K500" s="4909"/>
      <c r="L500" s="1791"/>
      <c r="M500" s="1791"/>
      <c r="P500" s="4911"/>
      <c r="Q500" s="4917"/>
      <c r="R500" s="4918"/>
      <c r="T500" s="4907"/>
      <c r="U500" s="4913"/>
      <c r="W500" s="4914"/>
      <c r="X500" s="4915"/>
      <c r="Y500" s="4916"/>
      <c r="Z500" s="1785"/>
      <c r="AA500" s="1785"/>
      <c r="AB500" s="1785"/>
      <c r="AC500" s="1785"/>
      <c r="AD500" s="1785"/>
    </row>
    <row r="501" spans="1:30" s="251" customFormat="1" ht="27" customHeight="1">
      <c r="A501" s="4862" t="s">
        <v>6848</v>
      </c>
      <c r="B501" s="4863"/>
      <c r="C501" s="4867" t="s">
        <v>6571</v>
      </c>
      <c r="D501" s="4867" t="s">
        <v>6849</v>
      </c>
      <c r="E501" s="4867" t="s">
        <v>163</v>
      </c>
      <c r="F501" s="4868">
        <f>((17.7)*2.8)*1.1</f>
        <v>54.515999999999998</v>
      </c>
      <c r="G501" s="4874"/>
      <c r="H501" s="4869">
        <f t="shared" si="95"/>
        <v>0</v>
      </c>
      <c r="I501" s="4870" t="s">
        <v>112</v>
      </c>
      <c r="J501" s="4908"/>
      <c r="K501" s="4909"/>
      <c r="T501" s="4907"/>
      <c r="AA501" s="1785"/>
      <c r="AB501" s="1785"/>
      <c r="AC501" s="1785"/>
      <c r="AD501" s="1785"/>
    </row>
    <row r="502" spans="1:30" ht="13.5" customHeight="1">
      <c r="A502" s="2408"/>
      <c r="B502" s="2346"/>
      <c r="C502" s="2346"/>
      <c r="D502" s="2400" t="s">
        <v>3479</v>
      </c>
      <c r="E502" s="2346"/>
      <c r="F502" s="2409">
        <v>17.7</v>
      </c>
      <c r="G502" s="2387"/>
      <c r="H502" s="2387"/>
      <c r="I502" s="2352"/>
      <c r="J502" s="4919"/>
      <c r="K502" s="4920"/>
      <c r="L502" s="4920"/>
      <c r="M502" s="4920"/>
      <c r="N502" s="4920"/>
      <c r="O502" s="4921"/>
      <c r="P502" s="4921"/>
      <c r="Q502" s="4921"/>
      <c r="R502" s="4921"/>
      <c r="S502" s="4921"/>
      <c r="T502" s="4921"/>
      <c r="U502" s="4921"/>
      <c r="V502" s="122"/>
      <c r="W502" s="4921"/>
      <c r="X502" s="1975"/>
      <c r="Y502" s="1975"/>
      <c r="Z502" s="1951"/>
    </row>
    <row r="503" spans="1:30" s="2399" customFormat="1" ht="27" customHeight="1">
      <c r="A503" s="2402"/>
      <c r="B503" s="2403"/>
      <c r="C503" s="2410"/>
      <c r="D503" s="2400" t="s">
        <v>1994</v>
      </c>
      <c r="E503" s="2346"/>
      <c r="F503" s="2405"/>
      <c r="G503" s="4861"/>
      <c r="H503" s="2406"/>
      <c r="I503" s="2411"/>
      <c r="T503" s="4899"/>
      <c r="U503" s="4905"/>
      <c r="V503" s="4906"/>
      <c r="W503" s="4906"/>
      <c r="X503" s="4900"/>
      <c r="Y503" s="251"/>
    </row>
    <row r="504" spans="1:30" s="2399" customFormat="1" ht="13.5" customHeight="1">
      <c r="A504" s="4849"/>
      <c r="B504" s="4850"/>
      <c r="C504" s="4851"/>
      <c r="D504" s="4856" t="s">
        <v>6565</v>
      </c>
      <c r="E504" s="4852"/>
      <c r="F504" s="4853"/>
      <c r="G504" s="4871"/>
      <c r="H504" s="4854"/>
      <c r="I504" s="4855"/>
      <c r="T504" s="4899"/>
      <c r="U504" s="4905"/>
      <c r="V504" s="4906"/>
      <c r="W504" s="4906"/>
      <c r="X504" s="4900"/>
      <c r="Y504" s="251"/>
    </row>
    <row r="505" spans="1:30" s="2399" customFormat="1" ht="13.5" customHeight="1">
      <c r="A505" s="4857">
        <v>62</v>
      </c>
      <c r="B505" s="2346">
        <v>751</v>
      </c>
      <c r="C505" s="2346" t="s">
        <v>3480</v>
      </c>
      <c r="D505" s="2346" t="s">
        <v>3481</v>
      </c>
      <c r="E505" s="2346" t="s">
        <v>141</v>
      </c>
      <c r="F505" s="4859">
        <f>F512</f>
        <v>1.5</v>
      </c>
      <c r="G505" s="1641">
        <f>ROUND(SUM(H508:H511)/F505,2)</f>
        <v>0</v>
      </c>
      <c r="H505" s="2231">
        <f t="shared" ref="H505" si="96">ROUND(F505*G505,2)</f>
        <v>0</v>
      </c>
      <c r="I505" s="2352" t="s">
        <v>111</v>
      </c>
      <c r="J505" s="4897"/>
    </row>
    <row r="506" spans="1:30" s="2399" customFormat="1" ht="13.5" customHeight="1">
      <c r="A506" s="2398"/>
      <c r="B506" s="2346"/>
      <c r="C506" s="2346"/>
      <c r="D506" s="2400" t="s">
        <v>3482</v>
      </c>
      <c r="E506" s="2346"/>
      <c r="F506" s="2281"/>
      <c r="G506" s="4860"/>
      <c r="H506" s="2401"/>
      <c r="I506" s="2352"/>
      <c r="J506" s="4898"/>
      <c r="K506" s="147"/>
      <c r="L506" s="147"/>
      <c r="M506" s="4899"/>
      <c r="N506" s="4899"/>
      <c r="O506" s="4899"/>
      <c r="P506" s="4900"/>
      <c r="S506" s="4901"/>
    </row>
    <row r="507" spans="1:30" s="2399" customFormat="1" ht="27" customHeight="1">
      <c r="A507" s="2402"/>
      <c r="B507" s="2403"/>
      <c r="C507" s="2404"/>
      <c r="D507" s="2400" t="s">
        <v>3311</v>
      </c>
      <c r="E507" s="2346"/>
      <c r="F507" s="2405"/>
      <c r="G507" s="4861"/>
      <c r="H507" s="2406"/>
      <c r="I507" s="2407"/>
      <c r="J507" s="4898"/>
      <c r="K507" s="147"/>
      <c r="L507" s="1791"/>
      <c r="M507" s="1791"/>
      <c r="N507" s="251"/>
      <c r="O507" s="251"/>
      <c r="P507" s="4900"/>
      <c r="Q507" s="4903"/>
      <c r="R507" s="4904"/>
      <c r="S507" s="4901"/>
      <c r="T507" s="4899"/>
      <c r="U507" s="4905"/>
      <c r="V507" s="4906"/>
      <c r="W507" s="4906"/>
      <c r="X507" s="4900"/>
      <c r="Y507" s="251"/>
    </row>
    <row r="508" spans="1:30" s="251" customFormat="1" ht="27" customHeight="1">
      <c r="A508" s="4862" t="s">
        <v>6440</v>
      </c>
      <c r="B508" s="4863"/>
      <c r="C508" s="4864" t="s">
        <v>6632</v>
      </c>
      <c r="D508" s="4864" t="s">
        <v>6710</v>
      </c>
      <c r="E508" s="4864" t="s">
        <v>141</v>
      </c>
      <c r="F508" s="4865">
        <f>F505</f>
        <v>1.5</v>
      </c>
      <c r="G508" s="4873"/>
      <c r="H508" s="4866">
        <f t="shared" ref="H508:H511" si="97">ROUND(F508*G508,2)</f>
        <v>0</v>
      </c>
      <c r="I508" s="4697" t="s">
        <v>112</v>
      </c>
      <c r="J508" s="4908"/>
      <c r="K508" s="4909"/>
      <c r="L508" s="4909"/>
      <c r="M508" s="4910"/>
      <c r="N508" s="4910"/>
      <c r="O508" s="4910"/>
      <c r="P508" s="4911"/>
      <c r="Q508" s="4912"/>
      <c r="R508" s="4912"/>
      <c r="T508" s="4907"/>
      <c r="U508" s="4913"/>
      <c r="W508" s="4914"/>
      <c r="X508" s="4915"/>
      <c r="Y508" s="4916"/>
      <c r="Z508" s="1785"/>
      <c r="AA508" s="1785"/>
      <c r="AB508" s="1785"/>
      <c r="AC508" s="1785"/>
      <c r="AD508" s="1785"/>
    </row>
    <row r="509" spans="1:30" s="251" customFormat="1" ht="27" customHeight="1">
      <c r="A509" s="4862" t="s">
        <v>6441</v>
      </c>
      <c r="B509" s="4863"/>
      <c r="C509" s="4864" t="s">
        <v>6634</v>
      </c>
      <c r="D509" s="4864" t="s">
        <v>6712</v>
      </c>
      <c r="E509" s="4864" t="s">
        <v>141</v>
      </c>
      <c r="F509" s="4865">
        <f xml:space="preserve"> (1.5)*1.05</f>
        <v>1.5750000000000002</v>
      </c>
      <c r="G509" s="4873"/>
      <c r="H509" s="4866">
        <f t="shared" si="97"/>
        <v>0</v>
      </c>
      <c r="I509" s="4697" t="s">
        <v>112</v>
      </c>
      <c r="J509" s="4924"/>
      <c r="K509" s="4925"/>
      <c r="L509" s="4925"/>
      <c r="M509" s="1785"/>
      <c r="N509" s="4908"/>
      <c r="O509" s="1785"/>
      <c r="P509" s="1785"/>
      <c r="Q509" s="1785"/>
      <c r="R509" s="2091"/>
      <c r="T509" s="4907"/>
      <c r="U509" s="4913"/>
      <c r="W509" s="4914"/>
      <c r="X509" s="4915"/>
      <c r="Y509" s="4916"/>
      <c r="Z509" s="1785"/>
      <c r="AA509" s="1785"/>
      <c r="AB509" s="1785"/>
      <c r="AC509" s="1785"/>
      <c r="AD509" s="1785"/>
    </row>
    <row r="510" spans="1:30" s="251" customFormat="1" ht="27" customHeight="1">
      <c r="A510" s="4862" t="s">
        <v>6442</v>
      </c>
      <c r="B510" s="4863"/>
      <c r="C510" s="4864">
        <v>713411121</v>
      </c>
      <c r="D510" s="4864" t="s">
        <v>6850</v>
      </c>
      <c r="E510" s="4864" t="s">
        <v>163</v>
      </c>
      <c r="F510" s="4865">
        <f xml:space="preserve"> (1.5)*3.2</f>
        <v>4.8000000000000007</v>
      </c>
      <c r="G510" s="4873"/>
      <c r="H510" s="4866">
        <f t="shared" si="97"/>
        <v>0</v>
      </c>
      <c r="I510" s="4697" t="s">
        <v>137</v>
      </c>
      <c r="J510" s="4908"/>
      <c r="K510" s="4909"/>
      <c r="L510" s="1791"/>
      <c r="M510" s="1791"/>
      <c r="P510" s="4911"/>
      <c r="Q510" s="4917"/>
      <c r="R510" s="4918"/>
      <c r="T510" s="4907"/>
      <c r="U510" s="4913"/>
      <c r="W510" s="4914"/>
      <c r="X510" s="4915"/>
      <c r="Y510" s="4916"/>
      <c r="Z510" s="1785"/>
      <c r="AA510" s="1785"/>
      <c r="AB510" s="1785"/>
      <c r="AC510" s="1785"/>
      <c r="AD510" s="1785"/>
    </row>
    <row r="511" spans="1:30" s="251" customFormat="1" ht="27" customHeight="1">
      <c r="A511" s="4862" t="s">
        <v>6456</v>
      </c>
      <c r="B511" s="4863"/>
      <c r="C511" s="4867" t="s">
        <v>6571</v>
      </c>
      <c r="D511" s="4867" t="s">
        <v>6851</v>
      </c>
      <c r="E511" s="4867" t="s">
        <v>163</v>
      </c>
      <c r="F511" s="4868">
        <f xml:space="preserve"> ((1.5)*3.2)*1.1</f>
        <v>5.2800000000000011</v>
      </c>
      <c r="G511" s="4874"/>
      <c r="H511" s="4869">
        <f t="shared" si="97"/>
        <v>0</v>
      </c>
      <c r="I511" s="4870" t="s">
        <v>112</v>
      </c>
      <c r="J511" s="4908"/>
      <c r="K511" s="4909"/>
      <c r="T511" s="4907"/>
      <c r="AA511" s="1785"/>
      <c r="AB511" s="1785"/>
      <c r="AC511" s="1785"/>
      <c r="AD511" s="1785"/>
    </row>
    <row r="512" spans="1:30" ht="13.5" customHeight="1">
      <c r="A512" s="2408"/>
      <c r="B512" s="2346"/>
      <c r="C512" s="2346"/>
      <c r="D512" s="2400" t="s">
        <v>3483</v>
      </c>
      <c r="E512" s="2346"/>
      <c r="F512" s="2409">
        <v>1.5</v>
      </c>
      <c r="G512" s="2387"/>
      <c r="H512" s="2387"/>
      <c r="I512" s="2352"/>
      <c r="J512" s="4919"/>
      <c r="K512" s="4920"/>
      <c r="L512" s="4920"/>
      <c r="M512" s="4920"/>
      <c r="N512" s="4920"/>
      <c r="O512" s="4921"/>
      <c r="P512" s="4921"/>
      <c r="Q512" s="4921"/>
      <c r="R512" s="4921"/>
      <c r="S512" s="4921"/>
      <c r="T512" s="4921"/>
      <c r="U512" s="4921"/>
      <c r="V512" s="122"/>
      <c r="W512" s="4921"/>
      <c r="X512" s="1975"/>
      <c r="Y512" s="1975"/>
      <c r="Z512" s="1951"/>
    </row>
    <row r="513" spans="1:121" s="2399" customFormat="1" ht="27" customHeight="1">
      <c r="A513" s="2402"/>
      <c r="B513" s="2403"/>
      <c r="C513" s="2410"/>
      <c r="D513" s="2400" t="s">
        <v>1994</v>
      </c>
      <c r="E513" s="2346"/>
      <c r="F513" s="2405"/>
      <c r="G513" s="4861"/>
      <c r="H513" s="2406"/>
      <c r="I513" s="2411"/>
      <c r="T513" s="4899"/>
      <c r="U513" s="4905"/>
      <c r="V513" s="4906"/>
      <c r="W513" s="4906"/>
      <c r="X513" s="4900"/>
      <c r="Y513" s="251"/>
    </row>
    <row r="514" spans="1:121" s="2399" customFormat="1" ht="13.5" customHeight="1">
      <c r="A514" s="4849"/>
      <c r="B514" s="4850"/>
      <c r="C514" s="4851"/>
      <c r="D514" s="4856" t="s">
        <v>6565</v>
      </c>
      <c r="E514" s="4852"/>
      <c r="F514" s="4853"/>
      <c r="G514" s="4871"/>
      <c r="H514" s="4854"/>
      <c r="I514" s="4855"/>
      <c r="T514" s="4899"/>
      <c r="U514" s="4905"/>
      <c r="V514" s="4906"/>
      <c r="W514" s="4906"/>
      <c r="X514" s="4900"/>
      <c r="Y514" s="251"/>
    </row>
    <row r="515" spans="1:121" s="2399" customFormat="1" ht="13.5" customHeight="1">
      <c r="A515" s="4857">
        <v>63</v>
      </c>
      <c r="B515" s="2346">
        <v>751</v>
      </c>
      <c r="C515" s="2346" t="s">
        <v>3484</v>
      </c>
      <c r="D515" s="2346" t="s">
        <v>3485</v>
      </c>
      <c r="E515" s="2346" t="s">
        <v>141</v>
      </c>
      <c r="F515" s="4859">
        <f>F522</f>
        <v>1.7</v>
      </c>
      <c r="G515" s="1641">
        <f>ROUND(SUM(H518:H521)/F515,2)</f>
        <v>0</v>
      </c>
      <c r="H515" s="2231">
        <f t="shared" ref="H515" si="98">ROUND(F515*G515,2)</f>
        <v>0</v>
      </c>
      <c r="I515" s="2352" t="s">
        <v>111</v>
      </c>
      <c r="J515" s="4897"/>
    </row>
    <row r="516" spans="1:121" s="2399" customFormat="1" ht="13.5" customHeight="1">
      <c r="A516" s="2398"/>
      <c r="B516" s="2346"/>
      <c r="C516" s="2346"/>
      <c r="D516" s="2400" t="s">
        <v>3486</v>
      </c>
      <c r="E516" s="2346"/>
      <c r="F516" s="2281"/>
      <c r="G516" s="4860"/>
      <c r="H516" s="2401"/>
      <c r="I516" s="2352"/>
      <c r="J516" s="4898"/>
      <c r="K516" s="147"/>
      <c r="L516" s="147"/>
      <c r="M516" s="4899"/>
      <c r="N516" s="4899"/>
      <c r="O516" s="4899"/>
      <c r="P516" s="4900"/>
      <c r="S516" s="4901"/>
    </row>
    <row r="517" spans="1:121" s="2399" customFormat="1" ht="27" customHeight="1">
      <c r="A517" s="2402"/>
      <c r="B517" s="2403"/>
      <c r="C517" s="2404"/>
      <c r="D517" s="2400" t="s">
        <v>3311</v>
      </c>
      <c r="E517" s="2346"/>
      <c r="F517" s="2405"/>
      <c r="G517" s="4861"/>
      <c r="H517" s="2406"/>
      <c r="I517" s="2407"/>
      <c r="J517" s="4898"/>
      <c r="K517" s="147"/>
      <c r="L517" s="1791"/>
      <c r="M517" s="1791"/>
      <c r="N517" s="251"/>
      <c r="O517" s="251"/>
      <c r="P517" s="4900"/>
      <c r="Q517" s="4903"/>
      <c r="R517" s="4904"/>
      <c r="S517" s="4901"/>
      <c r="T517" s="4899"/>
      <c r="U517" s="4905"/>
      <c r="V517" s="4906"/>
      <c r="W517" s="4906"/>
      <c r="X517" s="4900"/>
      <c r="Y517" s="251"/>
    </row>
    <row r="518" spans="1:121" s="251" customFormat="1" ht="27" customHeight="1">
      <c r="A518" s="4862" t="s">
        <v>6429</v>
      </c>
      <c r="B518" s="4863"/>
      <c r="C518" s="4864" t="s">
        <v>6852</v>
      </c>
      <c r="D518" s="4864" t="s">
        <v>6853</v>
      </c>
      <c r="E518" s="4864" t="s">
        <v>141</v>
      </c>
      <c r="F518" s="4865">
        <f>F515</f>
        <v>1.7</v>
      </c>
      <c r="G518" s="4873"/>
      <c r="H518" s="4866">
        <f t="shared" ref="H518:H521" si="99">ROUND(F518*G518,2)</f>
        <v>0</v>
      </c>
      <c r="I518" s="4697" t="s">
        <v>112</v>
      </c>
      <c r="J518" s="4908"/>
      <c r="K518" s="4909"/>
      <c r="L518" s="4909"/>
      <c r="M518" s="4910"/>
      <c r="N518" s="4910"/>
      <c r="O518" s="4910"/>
      <c r="P518" s="4911"/>
      <c r="Q518" s="4912"/>
      <c r="R518" s="4912"/>
      <c r="T518" s="4907"/>
      <c r="U518" s="4913"/>
      <c r="W518" s="4914"/>
      <c r="X518" s="4915"/>
      <c r="Y518" s="4916"/>
      <c r="Z518" s="1785"/>
      <c r="AA518" s="1785"/>
      <c r="AB518" s="1785"/>
      <c r="AC518" s="1785"/>
      <c r="AD518" s="1785"/>
    </row>
    <row r="519" spans="1:121" s="251" customFormat="1" ht="27" customHeight="1">
      <c r="A519" s="4862" t="s">
        <v>6854</v>
      </c>
      <c r="B519" s="4863"/>
      <c r="C519" s="4864" t="s">
        <v>6855</v>
      </c>
      <c r="D519" s="4864" t="s">
        <v>6856</v>
      </c>
      <c r="E519" s="4864" t="s">
        <v>141</v>
      </c>
      <c r="F519" s="4865">
        <f xml:space="preserve"> (1.7)*1.05</f>
        <v>1.7849999999999999</v>
      </c>
      <c r="G519" s="4873"/>
      <c r="H519" s="4866">
        <f t="shared" si="99"/>
        <v>0</v>
      </c>
      <c r="I519" s="4697" t="s">
        <v>112</v>
      </c>
      <c r="J519" s="4924"/>
      <c r="K519" s="4925"/>
      <c r="L519" s="4925"/>
      <c r="M519" s="1785"/>
      <c r="N519" s="4908"/>
      <c r="O519" s="1785"/>
      <c r="P519" s="1785"/>
      <c r="Q519" s="1785"/>
      <c r="R519" s="2091"/>
      <c r="T519" s="4907"/>
      <c r="U519" s="4913"/>
      <c r="W519" s="4914"/>
      <c r="X519" s="4915"/>
      <c r="Y519" s="4916"/>
      <c r="Z519" s="1785"/>
      <c r="AA519" s="1785"/>
      <c r="AB519" s="1785"/>
      <c r="AC519" s="1785"/>
      <c r="AD519" s="1785"/>
    </row>
    <row r="520" spans="1:121" s="251" customFormat="1" ht="27" customHeight="1">
      <c r="A520" s="4862" t="s">
        <v>6857</v>
      </c>
      <c r="B520" s="4863"/>
      <c r="C520" s="4864">
        <v>713411121</v>
      </c>
      <c r="D520" s="4864" t="s">
        <v>6858</v>
      </c>
      <c r="E520" s="4864" t="s">
        <v>163</v>
      </c>
      <c r="F520" s="4865">
        <f>(1.7)*5.55</f>
        <v>9.4349999999999987</v>
      </c>
      <c r="G520" s="4873"/>
      <c r="H520" s="4866">
        <f t="shared" si="99"/>
        <v>0</v>
      </c>
      <c r="I520" s="4697" t="s">
        <v>137</v>
      </c>
      <c r="J520" s="4908"/>
      <c r="K520" s="4909"/>
      <c r="L520" s="1791"/>
      <c r="M520" s="1791"/>
      <c r="P520" s="4911"/>
      <c r="Q520" s="4917"/>
      <c r="R520" s="4918"/>
      <c r="T520" s="4907"/>
      <c r="U520" s="4913"/>
      <c r="W520" s="4914"/>
      <c r="X520" s="4915"/>
      <c r="Y520" s="4916"/>
      <c r="Z520" s="1785"/>
      <c r="AA520" s="1785"/>
      <c r="AB520" s="1785"/>
      <c r="AC520" s="1785"/>
      <c r="AD520" s="1785"/>
    </row>
    <row r="521" spans="1:121" s="251" customFormat="1" ht="27" customHeight="1">
      <c r="A521" s="4862" t="s">
        <v>6859</v>
      </c>
      <c r="B521" s="4863"/>
      <c r="C521" s="4867" t="s">
        <v>6571</v>
      </c>
      <c r="D521" s="4867" t="s">
        <v>6860</v>
      </c>
      <c r="E521" s="4867" t="s">
        <v>163</v>
      </c>
      <c r="F521" s="4868">
        <f>((1.7)*5.55)*1.1</f>
        <v>10.378499999999999</v>
      </c>
      <c r="G521" s="4874"/>
      <c r="H521" s="4869">
        <f t="shared" si="99"/>
        <v>0</v>
      </c>
      <c r="I521" s="4870" t="s">
        <v>112</v>
      </c>
      <c r="J521" s="4908"/>
      <c r="K521" s="4909"/>
      <c r="T521" s="4907"/>
      <c r="AA521" s="1785"/>
      <c r="AB521" s="1785"/>
      <c r="AC521" s="1785"/>
      <c r="AD521" s="1785"/>
    </row>
    <row r="522" spans="1:121" ht="13.5" customHeight="1">
      <c r="A522" s="2408"/>
      <c r="B522" s="2346"/>
      <c r="C522" s="2346"/>
      <c r="D522" s="2400" t="s">
        <v>3487</v>
      </c>
      <c r="E522" s="2346"/>
      <c r="F522" s="2409">
        <v>1.7</v>
      </c>
      <c r="G522" s="2387"/>
      <c r="H522" s="2387"/>
      <c r="I522" s="2352"/>
      <c r="J522" s="4919"/>
      <c r="K522" s="4920"/>
      <c r="L522" s="4920"/>
      <c r="M522" s="4920"/>
      <c r="N522" s="4920"/>
      <c r="O522" s="4921"/>
      <c r="P522" s="4921"/>
      <c r="Q522" s="4921"/>
      <c r="R522" s="4921"/>
      <c r="S522" s="4921"/>
      <c r="T522" s="4921"/>
      <c r="U522" s="4921"/>
      <c r="V522" s="122"/>
      <c r="W522" s="4921"/>
      <c r="X522" s="1975"/>
      <c r="Y522" s="1975"/>
      <c r="Z522" s="1951"/>
    </row>
    <row r="523" spans="1:121" s="2399" customFormat="1" ht="27" customHeight="1">
      <c r="A523" s="2402"/>
      <c r="B523" s="2403"/>
      <c r="C523" s="2410"/>
      <c r="D523" s="2400" t="s">
        <v>1994</v>
      </c>
      <c r="E523" s="2346"/>
      <c r="F523" s="2405"/>
      <c r="G523" s="4861"/>
      <c r="H523" s="2406"/>
      <c r="I523" s="2411"/>
      <c r="T523" s="4899"/>
      <c r="U523" s="4905"/>
      <c r="V523" s="4906"/>
      <c r="W523" s="4906"/>
      <c r="X523" s="4900"/>
      <c r="Y523" s="251"/>
    </row>
    <row r="524" spans="1:121" s="2399" customFormat="1" ht="13.5" customHeight="1">
      <c r="A524" s="4849"/>
      <c r="B524" s="4850"/>
      <c r="C524" s="4851"/>
      <c r="D524" s="4856" t="s">
        <v>6565</v>
      </c>
      <c r="E524" s="4852"/>
      <c r="F524" s="4853"/>
      <c r="G524" s="4871"/>
      <c r="H524" s="4854"/>
      <c r="I524" s="4855"/>
      <c r="T524" s="4899"/>
      <c r="U524" s="4905"/>
      <c r="V524" s="4906"/>
      <c r="W524" s="4906"/>
      <c r="X524" s="4900"/>
      <c r="Y524" s="251"/>
    </row>
    <row r="525" spans="1:121" s="2418" customFormat="1" ht="13.5" customHeight="1">
      <c r="A525" s="2412">
        <v>64</v>
      </c>
      <c r="B525" s="2413" t="s">
        <v>1984</v>
      </c>
      <c r="C525" s="2414" t="s">
        <v>3488</v>
      </c>
      <c r="D525" s="2415" t="s">
        <v>3489</v>
      </c>
      <c r="E525" s="2415" t="s">
        <v>49</v>
      </c>
      <c r="F525" s="2416">
        <f>SUM(F527:F527)</f>
        <v>1</v>
      </c>
      <c r="G525" s="4875"/>
      <c r="H525" s="2417">
        <f>F525*G525</f>
        <v>0</v>
      </c>
      <c r="I525" s="2352" t="s">
        <v>111</v>
      </c>
      <c r="J525" s="4927"/>
      <c r="K525" s="4928"/>
      <c r="L525" s="4929"/>
      <c r="M525" s="4929"/>
      <c r="N525" s="4929"/>
      <c r="O525" s="4929"/>
      <c r="P525" s="4929"/>
      <c r="Q525" s="4930"/>
      <c r="R525" s="4929"/>
      <c r="S525" s="4929"/>
      <c r="T525" s="232"/>
      <c r="U525" s="4929"/>
      <c r="V525" s="4931"/>
    </row>
    <row r="526" spans="1:121" s="2418" customFormat="1" ht="27" customHeight="1">
      <c r="A526" s="2419"/>
      <c r="B526" s="2420"/>
      <c r="C526" s="2420"/>
      <c r="D526" s="2421" t="s">
        <v>3490</v>
      </c>
      <c r="E526" s="2420"/>
      <c r="F526" s="2422"/>
      <c r="G526" s="4872"/>
      <c r="H526" s="2423"/>
      <c r="I526" s="2436"/>
      <c r="J526" s="4932"/>
      <c r="K526" s="4933"/>
      <c r="L526" s="4933"/>
      <c r="M526" s="4933"/>
      <c r="N526" s="4933"/>
      <c r="O526" s="4933"/>
      <c r="P526" s="4933"/>
      <c r="Q526" s="4933"/>
      <c r="R526" s="4933"/>
      <c r="S526" s="4933"/>
      <c r="T526" s="4933"/>
      <c r="U526" s="4933"/>
      <c r="V526" s="232"/>
      <c r="W526" s="4933"/>
      <c r="X526" s="2424"/>
      <c r="Y526" s="2424"/>
    </row>
    <row r="527" spans="1:121" s="2418" customFormat="1" ht="13.5" customHeight="1">
      <c r="A527" s="2419"/>
      <c r="B527" s="2420"/>
      <c r="C527" s="2420"/>
      <c r="D527" s="2421" t="s">
        <v>3491</v>
      </c>
      <c r="E527" s="2420"/>
      <c r="F527" s="2422">
        <v>1</v>
      </c>
      <c r="G527" s="4872"/>
      <c r="H527" s="2423"/>
      <c r="I527" s="2436"/>
      <c r="J527" s="4934"/>
    </row>
    <row r="528" spans="1:121" s="2426" customFormat="1" ht="13.5" customHeight="1">
      <c r="A528" s="2419"/>
      <c r="B528" s="2420"/>
      <c r="C528" s="2420"/>
      <c r="D528" s="2425" t="s">
        <v>3492</v>
      </c>
      <c r="E528" s="2420"/>
      <c r="F528" s="2422"/>
      <c r="G528" s="4872"/>
      <c r="H528" s="2423"/>
      <c r="I528" s="2436"/>
      <c r="J528" s="4934"/>
      <c r="K528" s="2418"/>
      <c r="L528" s="2418"/>
      <c r="M528" s="2418"/>
      <c r="N528" s="2418"/>
      <c r="O528" s="2418"/>
      <c r="P528" s="2418"/>
      <c r="Q528" s="2418"/>
      <c r="R528" s="2418"/>
      <c r="S528" s="2418"/>
      <c r="T528" s="2418"/>
      <c r="U528" s="2418"/>
      <c r="V528" s="2418"/>
      <c r="W528" s="2418"/>
      <c r="X528" s="2418"/>
      <c r="Y528" s="2418"/>
      <c r="Z528" s="2418"/>
      <c r="AA528" s="2418"/>
      <c r="AB528" s="2418"/>
      <c r="AC528" s="2418"/>
      <c r="AD528" s="2418"/>
      <c r="AE528" s="2418"/>
      <c r="AF528" s="2418"/>
      <c r="AG528" s="2418"/>
      <c r="AH528" s="2418"/>
      <c r="AI528" s="2418"/>
      <c r="AJ528" s="2418"/>
      <c r="AK528" s="2418"/>
      <c r="AL528" s="2418"/>
      <c r="AM528" s="2418"/>
      <c r="AN528" s="2418"/>
      <c r="AO528" s="2418"/>
      <c r="AP528" s="2418"/>
      <c r="AQ528" s="2418"/>
      <c r="AR528" s="2418"/>
      <c r="AS528" s="2418"/>
      <c r="AT528" s="2418"/>
      <c r="AU528" s="2418"/>
      <c r="AV528" s="2418"/>
      <c r="AW528" s="2418"/>
      <c r="AX528" s="2418"/>
      <c r="AY528" s="2418"/>
      <c r="AZ528" s="2418"/>
      <c r="BA528" s="2418"/>
      <c r="BB528" s="2418"/>
      <c r="BC528" s="2418"/>
      <c r="BD528" s="2418"/>
      <c r="BE528" s="2418"/>
      <c r="BF528" s="2418"/>
      <c r="BG528" s="2418"/>
      <c r="BH528" s="2418"/>
      <c r="BI528" s="2418"/>
      <c r="BJ528" s="2418"/>
      <c r="BK528" s="2418"/>
      <c r="BL528" s="2418"/>
      <c r="BM528" s="2418"/>
      <c r="BN528" s="2418"/>
      <c r="BO528" s="2418"/>
      <c r="BP528" s="2418"/>
      <c r="BQ528" s="2418"/>
      <c r="BR528" s="2418"/>
      <c r="BS528" s="2418"/>
      <c r="BT528" s="2418"/>
      <c r="BU528" s="2418"/>
      <c r="BV528" s="2418"/>
      <c r="BW528" s="2418"/>
      <c r="BX528" s="2418"/>
      <c r="BY528" s="2418"/>
      <c r="BZ528" s="2418"/>
      <c r="CA528" s="2418"/>
      <c r="CB528" s="2418"/>
      <c r="CC528" s="2418"/>
      <c r="CD528" s="2418"/>
      <c r="CE528" s="2418"/>
      <c r="CF528" s="2418"/>
      <c r="CG528" s="2418"/>
      <c r="CH528" s="2418"/>
      <c r="CI528" s="2418"/>
      <c r="CJ528" s="2418"/>
      <c r="CK528" s="2418"/>
      <c r="CL528" s="2418"/>
      <c r="CM528" s="2418"/>
      <c r="CN528" s="2418"/>
      <c r="CO528" s="2418"/>
      <c r="CP528" s="2418"/>
      <c r="CQ528" s="2418"/>
      <c r="CR528" s="2418"/>
      <c r="CS528" s="2418"/>
      <c r="CT528" s="2418"/>
      <c r="CU528" s="2418"/>
      <c r="CV528" s="2418"/>
      <c r="CW528" s="2418"/>
      <c r="CX528" s="2418"/>
      <c r="CY528" s="2418"/>
      <c r="CZ528" s="2418"/>
      <c r="DA528" s="2418"/>
      <c r="DB528" s="2418"/>
      <c r="DC528" s="2418"/>
      <c r="DD528" s="2418"/>
      <c r="DE528" s="2418"/>
      <c r="DF528" s="2418"/>
      <c r="DG528" s="2418"/>
      <c r="DH528" s="2418"/>
      <c r="DI528" s="2418"/>
      <c r="DJ528" s="2418"/>
      <c r="DK528" s="2418"/>
      <c r="DL528" s="2418"/>
      <c r="DM528" s="2418"/>
      <c r="DN528" s="2418"/>
      <c r="DO528" s="2418"/>
      <c r="DP528" s="2418"/>
      <c r="DQ528" s="2418"/>
    </row>
    <row r="529" spans="1:121" s="2426" customFormat="1" ht="13.5" customHeight="1">
      <c r="A529" s="2419"/>
      <c r="B529" s="2420"/>
      <c r="C529" s="2420"/>
      <c r="D529" s="2425" t="s">
        <v>6861</v>
      </c>
      <c r="E529" s="2420"/>
      <c r="F529" s="2422"/>
      <c r="G529" s="4872"/>
      <c r="H529" s="2423"/>
      <c r="I529" s="2436"/>
      <c r="J529" s="4934"/>
      <c r="K529" s="2418"/>
      <c r="L529" s="2418"/>
      <c r="M529" s="2418"/>
      <c r="N529" s="2418"/>
      <c r="O529" s="2418"/>
      <c r="P529" s="2418"/>
      <c r="Q529" s="2418"/>
      <c r="R529" s="2418"/>
      <c r="S529" s="2418"/>
      <c r="T529" s="2418"/>
      <c r="U529" s="2418"/>
      <c r="V529" s="2418"/>
      <c r="W529" s="2418"/>
      <c r="X529" s="2418"/>
      <c r="Y529" s="2418"/>
      <c r="Z529" s="2418"/>
      <c r="AA529" s="2418"/>
      <c r="AB529" s="2418"/>
      <c r="AC529" s="2418"/>
      <c r="AD529" s="2418"/>
      <c r="AE529" s="2418"/>
      <c r="AF529" s="2418"/>
      <c r="AG529" s="2418"/>
      <c r="AH529" s="2418"/>
      <c r="AI529" s="2418"/>
      <c r="AJ529" s="2418"/>
      <c r="AK529" s="2418"/>
      <c r="AL529" s="2418"/>
      <c r="AM529" s="2418"/>
      <c r="AN529" s="2418"/>
      <c r="AO529" s="2418"/>
      <c r="AP529" s="2418"/>
      <c r="AQ529" s="2418"/>
      <c r="AR529" s="2418"/>
      <c r="AS529" s="2418"/>
      <c r="AT529" s="2418"/>
      <c r="AU529" s="2418"/>
      <c r="AV529" s="2418"/>
      <c r="AW529" s="2418"/>
      <c r="AX529" s="2418"/>
      <c r="AY529" s="2418"/>
      <c r="AZ529" s="2418"/>
      <c r="BA529" s="2418"/>
      <c r="BB529" s="2418"/>
      <c r="BC529" s="2418"/>
      <c r="BD529" s="2418"/>
      <c r="BE529" s="2418"/>
      <c r="BF529" s="2418"/>
      <c r="BG529" s="2418"/>
      <c r="BH529" s="2418"/>
      <c r="BI529" s="2418"/>
      <c r="BJ529" s="2418"/>
      <c r="BK529" s="2418"/>
      <c r="BL529" s="2418"/>
      <c r="BM529" s="2418"/>
      <c r="BN529" s="2418"/>
      <c r="BO529" s="2418"/>
      <c r="BP529" s="2418"/>
      <c r="BQ529" s="2418"/>
      <c r="BR529" s="2418"/>
      <c r="BS529" s="2418"/>
      <c r="BT529" s="2418"/>
      <c r="BU529" s="2418"/>
      <c r="BV529" s="2418"/>
      <c r="BW529" s="2418"/>
      <c r="BX529" s="2418"/>
      <c r="BY529" s="2418"/>
      <c r="BZ529" s="2418"/>
      <c r="CA529" s="2418"/>
      <c r="CB529" s="2418"/>
      <c r="CC529" s="2418"/>
      <c r="CD529" s="2418"/>
      <c r="CE529" s="2418"/>
      <c r="CF529" s="2418"/>
      <c r="CG529" s="2418"/>
      <c r="CH529" s="2418"/>
      <c r="CI529" s="2418"/>
      <c r="CJ529" s="2418"/>
      <c r="CK529" s="2418"/>
      <c r="CL529" s="2418"/>
      <c r="CM529" s="2418"/>
      <c r="CN529" s="2418"/>
      <c r="CO529" s="2418"/>
      <c r="CP529" s="2418"/>
      <c r="CQ529" s="2418"/>
      <c r="CR529" s="2418"/>
      <c r="CS529" s="2418"/>
      <c r="CT529" s="2418"/>
      <c r="CU529" s="2418"/>
      <c r="CV529" s="2418"/>
      <c r="CW529" s="2418"/>
      <c r="CX529" s="2418"/>
      <c r="CY529" s="2418"/>
      <c r="CZ529" s="2418"/>
      <c r="DA529" s="2418"/>
      <c r="DB529" s="2418"/>
      <c r="DC529" s="2418"/>
      <c r="DD529" s="2418"/>
      <c r="DE529" s="2418"/>
      <c r="DF529" s="2418"/>
      <c r="DG529" s="2418"/>
      <c r="DH529" s="2418"/>
      <c r="DI529" s="2418"/>
      <c r="DJ529" s="2418"/>
      <c r="DK529" s="2418"/>
      <c r="DL529" s="2418"/>
      <c r="DM529" s="2418"/>
      <c r="DN529" s="2418"/>
      <c r="DO529" s="2418"/>
      <c r="DP529" s="2418"/>
      <c r="DQ529" s="2418"/>
    </row>
    <row r="530" spans="1:121" s="2426" customFormat="1" ht="13.5" customHeight="1">
      <c r="A530" s="2419"/>
      <c r="B530" s="2420"/>
      <c r="C530" s="2420"/>
      <c r="D530" s="2425" t="s">
        <v>6862</v>
      </c>
      <c r="E530" s="2420"/>
      <c r="F530" s="2422"/>
      <c r="G530" s="4872"/>
      <c r="H530" s="2423"/>
      <c r="I530" s="2436"/>
      <c r="J530" s="4934"/>
      <c r="K530" s="2418"/>
      <c r="L530" s="2418"/>
      <c r="M530" s="2418"/>
      <c r="N530" s="2418"/>
      <c r="O530" s="2418"/>
      <c r="P530" s="2418"/>
      <c r="Q530" s="2418"/>
      <c r="R530" s="2418"/>
      <c r="S530" s="2418"/>
      <c r="T530" s="2418"/>
      <c r="U530" s="2418"/>
      <c r="V530" s="2418"/>
      <c r="W530" s="2418"/>
      <c r="X530" s="2418"/>
      <c r="Y530" s="2418"/>
      <c r="Z530" s="2418"/>
      <c r="AA530" s="2418"/>
      <c r="AB530" s="2418"/>
      <c r="AC530" s="2418"/>
      <c r="AD530" s="2418"/>
      <c r="AE530" s="2418"/>
      <c r="AF530" s="2418"/>
      <c r="AG530" s="2418"/>
      <c r="AH530" s="2418"/>
      <c r="AI530" s="2418"/>
      <c r="AJ530" s="2418"/>
      <c r="AK530" s="2418"/>
      <c r="AL530" s="2418"/>
      <c r="AM530" s="2418"/>
      <c r="AN530" s="2418"/>
      <c r="AO530" s="2418"/>
      <c r="AP530" s="2418"/>
      <c r="AQ530" s="2418"/>
      <c r="AR530" s="2418"/>
      <c r="AS530" s="2418"/>
      <c r="AT530" s="2418"/>
      <c r="AU530" s="2418"/>
      <c r="AV530" s="2418"/>
      <c r="AW530" s="2418"/>
      <c r="AX530" s="2418"/>
      <c r="AY530" s="2418"/>
      <c r="AZ530" s="2418"/>
      <c r="BA530" s="2418"/>
      <c r="BB530" s="2418"/>
      <c r="BC530" s="2418"/>
      <c r="BD530" s="2418"/>
      <c r="BE530" s="2418"/>
      <c r="BF530" s="2418"/>
      <c r="BG530" s="2418"/>
      <c r="BH530" s="2418"/>
      <c r="BI530" s="2418"/>
      <c r="BJ530" s="2418"/>
      <c r="BK530" s="2418"/>
      <c r="BL530" s="2418"/>
      <c r="BM530" s="2418"/>
      <c r="BN530" s="2418"/>
      <c r="BO530" s="2418"/>
      <c r="BP530" s="2418"/>
      <c r="BQ530" s="2418"/>
      <c r="BR530" s="2418"/>
      <c r="BS530" s="2418"/>
      <c r="BT530" s="2418"/>
      <c r="BU530" s="2418"/>
      <c r="BV530" s="2418"/>
      <c r="BW530" s="2418"/>
      <c r="BX530" s="2418"/>
      <c r="BY530" s="2418"/>
      <c r="BZ530" s="2418"/>
      <c r="CA530" s="2418"/>
      <c r="CB530" s="2418"/>
      <c r="CC530" s="2418"/>
      <c r="CD530" s="2418"/>
      <c r="CE530" s="2418"/>
      <c r="CF530" s="2418"/>
      <c r="CG530" s="2418"/>
      <c r="CH530" s="2418"/>
      <c r="CI530" s="2418"/>
      <c r="CJ530" s="2418"/>
      <c r="CK530" s="2418"/>
      <c r="CL530" s="2418"/>
      <c r="CM530" s="2418"/>
      <c r="CN530" s="2418"/>
      <c r="CO530" s="2418"/>
      <c r="CP530" s="2418"/>
      <c r="CQ530" s="2418"/>
      <c r="CR530" s="2418"/>
      <c r="CS530" s="2418"/>
      <c r="CT530" s="2418"/>
      <c r="CU530" s="2418"/>
      <c r="CV530" s="2418"/>
      <c r="CW530" s="2418"/>
      <c r="CX530" s="2418"/>
      <c r="CY530" s="2418"/>
      <c r="CZ530" s="2418"/>
      <c r="DA530" s="2418"/>
      <c r="DB530" s="2418"/>
      <c r="DC530" s="2418"/>
      <c r="DD530" s="2418"/>
      <c r="DE530" s="2418"/>
      <c r="DF530" s="2418"/>
      <c r="DG530" s="2418"/>
      <c r="DH530" s="2418"/>
      <c r="DI530" s="2418"/>
      <c r="DJ530" s="2418"/>
      <c r="DK530" s="2418"/>
      <c r="DL530" s="2418"/>
      <c r="DM530" s="2418"/>
      <c r="DN530" s="2418"/>
      <c r="DO530" s="2418"/>
      <c r="DP530" s="2418"/>
      <c r="DQ530" s="2418"/>
    </row>
    <row r="531" spans="1:121" s="2426" customFormat="1" ht="13.5" customHeight="1">
      <c r="A531" s="2419"/>
      <c r="B531" s="2420"/>
      <c r="C531" s="2420"/>
      <c r="D531" s="2425" t="s">
        <v>3493</v>
      </c>
      <c r="E531" s="2420"/>
      <c r="F531" s="2422"/>
      <c r="G531" s="4872"/>
      <c r="H531" s="2423"/>
      <c r="I531" s="2436"/>
      <c r="J531" s="4934"/>
      <c r="K531" s="2418"/>
      <c r="L531" s="2418"/>
      <c r="M531" s="2418"/>
      <c r="N531" s="2418"/>
      <c r="O531" s="2418"/>
      <c r="P531" s="2418"/>
      <c r="Q531" s="2418"/>
      <c r="R531" s="2418"/>
      <c r="S531" s="2418"/>
      <c r="T531" s="2418"/>
      <c r="U531" s="2418"/>
      <c r="V531" s="2418"/>
      <c r="W531" s="2418"/>
      <c r="X531" s="2418"/>
      <c r="Y531" s="2418"/>
      <c r="Z531" s="2418"/>
      <c r="AA531" s="2418"/>
      <c r="AB531" s="2418"/>
      <c r="AC531" s="2418"/>
      <c r="AD531" s="2418"/>
      <c r="AE531" s="2418"/>
      <c r="AF531" s="2418"/>
      <c r="AG531" s="2418"/>
      <c r="AH531" s="2418"/>
      <c r="AI531" s="2418"/>
      <c r="AJ531" s="2418"/>
      <c r="AK531" s="2418"/>
      <c r="AL531" s="2418"/>
      <c r="AM531" s="2418"/>
      <c r="AN531" s="2418"/>
      <c r="AO531" s="2418"/>
      <c r="AP531" s="2418"/>
      <c r="AQ531" s="2418"/>
      <c r="AR531" s="2418"/>
      <c r="AS531" s="2418"/>
      <c r="AT531" s="2418"/>
      <c r="AU531" s="2418"/>
      <c r="AV531" s="2418"/>
      <c r="AW531" s="2418"/>
      <c r="AX531" s="2418"/>
      <c r="AY531" s="2418"/>
      <c r="AZ531" s="2418"/>
      <c r="BA531" s="2418"/>
      <c r="BB531" s="2418"/>
      <c r="BC531" s="2418"/>
      <c r="BD531" s="2418"/>
      <c r="BE531" s="2418"/>
      <c r="BF531" s="2418"/>
      <c r="BG531" s="2418"/>
      <c r="BH531" s="2418"/>
      <c r="BI531" s="2418"/>
      <c r="BJ531" s="2418"/>
      <c r="BK531" s="2418"/>
      <c r="BL531" s="2418"/>
      <c r="BM531" s="2418"/>
      <c r="BN531" s="2418"/>
      <c r="BO531" s="2418"/>
      <c r="BP531" s="2418"/>
      <c r="BQ531" s="2418"/>
      <c r="BR531" s="2418"/>
      <c r="BS531" s="2418"/>
      <c r="BT531" s="2418"/>
      <c r="BU531" s="2418"/>
      <c r="BV531" s="2418"/>
      <c r="BW531" s="2418"/>
      <c r="BX531" s="2418"/>
      <c r="BY531" s="2418"/>
      <c r="BZ531" s="2418"/>
      <c r="CA531" s="2418"/>
      <c r="CB531" s="2418"/>
      <c r="CC531" s="2418"/>
      <c r="CD531" s="2418"/>
      <c r="CE531" s="2418"/>
      <c r="CF531" s="2418"/>
      <c r="CG531" s="2418"/>
      <c r="CH531" s="2418"/>
      <c r="CI531" s="2418"/>
      <c r="CJ531" s="2418"/>
      <c r="CK531" s="2418"/>
      <c r="CL531" s="2418"/>
      <c r="CM531" s="2418"/>
      <c r="CN531" s="2418"/>
      <c r="CO531" s="2418"/>
      <c r="CP531" s="2418"/>
      <c r="CQ531" s="2418"/>
      <c r="CR531" s="2418"/>
      <c r="CS531" s="2418"/>
      <c r="CT531" s="2418"/>
      <c r="CU531" s="2418"/>
      <c r="CV531" s="2418"/>
      <c r="CW531" s="2418"/>
      <c r="CX531" s="2418"/>
      <c r="CY531" s="2418"/>
      <c r="CZ531" s="2418"/>
      <c r="DA531" s="2418"/>
      <c r="DB531" s="2418"/>
      <c r="DC531" s="2418"/>
      <c r="DD531" s="2418"/>
      <c r="DE531" s="2418"/>
      <c r="DF531" s="2418"/>
      <c r="DG531" s="2418"/>
      <c r="DH531" s="2418"/>
      <c r="DI531" s="2418"/>
      <c r="DJ531" s="2418"/>
      <c r="DK531" s="2418"/>
      <c r="DL531" s="2418"/>
      <c r="DM531" s="2418"/>
      <c r="DN531" s="2418"/>
      <c r="DO531" s="2418"/>
      <c r="DP531" s="2418"/>
      <c r="DQ531" s="2418"/>
    </row>
    <row r="532" spans="1:121" s="2426" customFormat="1" ht="13.5" customHeight="1">
      <c r="A532" s="2419"/>
      <c r="B532" s="2420"/>
      <c r="C532" s="2420"/>
      <c r="D532" s="2425" t="s">
        <v>3494</v>
      </c>
      <c r="E532" s="2420"/>
      <c r="F532" s="2422"/>
      <c r="G532" s="4872"/>
      <c r="H532" s="2423"/>
      <c r="I532" s="2436"/>
      <c r="J532" s="4934"/>
      <c r="K532" s="2418"/>
      <c r="L532" s="2418"/>
      <c r="M532" s="2418"/>
      <c r="N532" s="2418"/>
      <c r="O532" s="2418"/>
      <c r="P532" s="2418"/>
      <c r="Q532" s="2418"/>
      <c r="R532" s="2418"/>
      <c r="S532" s="2418"/>
      <c r="T532" s="2418"/>
      <c r="U532" s="2418"/>
      <c r="V532" s="2418"/>
      <c r="W532" s="2418"/>
      <c r="X532" s="2418"/>
      <c r="Y532" s="2418"/>
      <c r="Z532" s="2418"/>
      <c r="AA532" s="2418"/>
      <c r="AB532" s="2418"/>
      <c r="AC532" s="2418"/>
      <c r="AD532" s="2418"/>
      <c r="AE532" s="2418"/>
      <c r="AF532" s="2418"/>
      <c r="AG532" s="2418"/>
      <c r="AH532" s="2418"/>
      <c r="AI532" s="2418"/>
      <c r="AJ532" s="2418"/>
      <c r="AK532" s="2418"/>
      <c r="AL532" s="2418"/>
      <c r="AM532" s="2418"/>
      <c r="AN532" s="2418"/>
      <c r="AO532" s="2418"/>
      <c r="AP532" s="2418"/>
      <c r="AQ532" s="2418"/>
      <c r="AR532" s="2418"/>
      <c r="AS532" s="2418"/>
      <c r="AT532" s="2418"/>
      <c r="AU532" s="2418"/>
      <c r="AV532" s="2418"/>
      <c r="AW532" s="2418"/>
      <c r="AX532" s="2418"/>
      <c r="AY532" s="2418"/>
      <c r="AZ532" s="2418"/>
      <c r="BA532" s="2418"/>
      <c r="BB532" s="2418"/>
      <c r="BC532" s="2418"/>
      <c r="BD532" s="2418"/>
      <c r="BE532" s="2418"/>
      <c r="BF532" s="2418"/>
      <c r="BG532" s="2418"/>
      <c r="BH532" s="2418"/>
      <c r="BI532" s="2418"/>
      <c r="BJ532" s="2418"/>
      <c r="BK532" s="2418"/>
      <c r="BL532" s="2418"/>
      <c r="BM532" s="2418"/>
      <c r="BN532" s="2418"/>
      <c r="BO532" s="2418"/>
      <c r="BP532" s="2418"/>
      <c r="BQ532" s="2418"/>
      <c r="BR532" s="2418"/>
      <c r="BS532" s="2418"/>
      <c r="BT532" s="2418"/>
      <c r="BU532" s="2418"/>
      <c r="BV532" s="2418"/>
      <c r="BW532" s="2418"/>
      <c r="BX532" s="2418"/>
      <c r="BY532" s="2418"/>
      <c r="BZ532" s="2418"/>
      <c r="CA532" s="2418"/>
      <c r="CB532" s="2418"/>
      <c r="CC532" s="2418"/>
      <c r="CD532" s="2418"/>
      <c r="CE532" s="2418"/>
      <c r="CF532" s="2418"/>
      <c r="CG532" s="2418"/>
      <c r="CH532" s="2418"/>
      <c r="CI532" s="2418"/>
      <c r="CJ532" s="2418"/>
      <c r="CK532" s="2418"/>
      <c r="CL532" s="2418"/>
      <c r="CM532" s="2418"/>
      <c r="CN532" s="2418"/>
      <c r="CO532" s="2418"/>
      <c r="CP532" s="2418"/>
      <c r="CQ532" s="2418"/>
      <c r="CR532" s="2418"/>
      <c r="CS532" s="2418"/>
      <c r="CT532" s="2418"/>
      <c r="CU532" s="2418"/>
      <c r="CV532" s="2418"/>
      <c r="CW532" s="2418"/>
      <c r="CX532" s="2418"/>
      <c r="CY532" s="2418"/>
      <c r="CZ532" s="2418"/>
      <c r="DA532" s="2418"/>
      <c r="DB532" s="2418"/>
      <c r="DC532" s="2418"/>
      <c r="DD532" s="2418"/>
      <c r="DE532" s="2418"/>
      <c r="DF532" s="2418"/>
      <c r="DG532" s="2418"/>
      <c r="DH532" s="2418"/>
      <c r="DI532" s="2418"/>
      <c r="DJ532" s="2418"/>
      <c r="DK532" s="2418"/>
      <c r="DL532" s="2418"/>
      <c r="DM532" s="2418"/>
      <c r="DN532" s="2418"/>
      <c r="DO532" s="2418"/>
      <c r="DP532" s="2418"/>
      <c r="DQ532" s="2418"/>
    </row>
    <row r="533" spans="1:121" s="2426" customFormat="1" ht="13.5" customHeight="1">
      <c r="A533" s="2419"/>
      <c r="B533" s="2420"/>
      <c r="C533" s="2420"/>
      <c r="D533" s="2425" t="s">
        <v>3495</v>
      </c>
      <c r="E533" s="2420"/>
      <c r="F533" s="2422"/>
      <c r="G533" s="4872"/>
      <c r="H533" s="2423"/>
      <c r="I533" s="2436"/>
      <c r="J533" s="4934"/>
      <c r="K533" s="2418"/>
      <c r="L533" s="4935"/>
      <c r="M533" s="4935"/>
      <c r="N533" s="4935"/>
      <c r="O533" s="4935"/>
      <c r="P533" s="4935"/>
      <c r="Q533" s="4933"/>
      <c r="R533" s="2418"/>
      <c r="S533" s="2418"/>
      <c r="T533" s="2418"/>
      <c r="U533" s="2418"/>
      <c r="V533" s="2418"/>
      <c r="W533" s="2418"/>
      <c r="X533" s="2418"/>
      <c r="Y533" s="2418"/>
      <c r="Z533" s="2418"/>
      <c r="AA533" s="2418"/>
      <c r="AB533" s="2418"/>
      <c r="AC533" s="2418"/>
      <c r="AD533" s="2418"/>
      <c r="AE533" s="2418"/>
      <c r="AF533" s="2418"/>
      <c r="AG533" s="2418"/>
      <c r="AH533" s="2418"/>
      <c r="AI533" s="2418"/>
      <c r="AJ533" s="2418"/>
      <c r="AK533" s="2418"/>
      <c r="AL533" s="2418"/>
      <c r="AM533" s="2418"/>
      <c r="AN533" s="2418"/>
      <c r="AO533" s="2418"/>
      <c r="AP533" s="2418"/>
      <c r="AQ533" s="2418"/>
      <c r="AR533" s="2418"/>
      <c r="AS533" s="2418"/>
      <c r="AT533" s="2418"/>
      <c r="AU533" s="2418"/>
      <c r="AV533" s="2418"/>
      <c r="AW533" s="2418"/>
      <c r="AX533" s="2418"/>
      <c r="AY533" s="2418"/>
      <c r="AZ533" s="2418"/>
      <c r="BA533" s="2418"/>
      <c r="BB533" s="2418"/>
      <c r="BC533" s="2418"/>
      <c r="BD533" s="2418"/>
      <c r="BE533" s="2418"/>
      <c r="BF533" s="2418"/>
      <c r="BG533" s="2418"/>
      <c r="BH533" s="2418"/>
      <c r="BI533" s="2418"/>
      <c r="BJ533" s="2418"/>
      <c r="BK533" s="2418"/>
      <c r="BL533" s="2418"/>
      <c r="BM533" s="2418"/>
      <c r="BN533" s="2418"/>
      <c r="BO533" s="2418"/>
      <c r="BP533" s="2418"/>
      <c r="BQ533" s="2418"/>
      <c r="BR533" s="2418"/>
      <c r="BS533" s="2418"/>
      <c r="BT533" s="2418"/>
      <c r="BU533" s="2418"/>
      <c r="BV533" s="2418"/>
      <c r="BW533" s="2418"/>
      <c r="BX533" s="2418"/>
      <c r="BY533" s="2418"/>
      <c r="BZ533" s="2418"/>
      <c r="CA533" s="2418"/>
      <c r="CB533" s="2418"/>
      <c r="CC533" s="2418"/>
      <c r="CD533" s="2418"/>
      <c r="CE533" s="2418"/>
      <c r="CF533" s="2418"/>
      <c r="CG533" s="2418"/>
      <c r="CH533" s="2418"/>
      <c r="CI533" s="2418"/>
      <c r="CJ533" s="2418"/>
      <c r="CK533" s="2418"/>
      <c r="CL533" s="2418"/>
      <c r="CM533" s="2418"/>
      <c r="CN533" s="2418"/>
      <c r="CO533" s="2418"/>
      <c r="CP533" s="2418"/>
      <c r="CQ533" s="2418"/>
      <c r="CR533" s="2418"/>
      <c r="CS533" s="2418"/>
      <c r="CT533" s="2418"/>
      <c r="CU533" s="2418"/>
      <c r="CV533" s="2418"/>
      <c r="CW533" s="2418"/>
      <c r="CX533" s="2418"/>
      <c r="CY533" s="2418"/>
      <c r="CZ533" s="2418"/>
      <c r="DA533" s="2418"/>
      <c r="DB533" s="2418"/>
      <c r="DC533" s="2418"/>
      <c r="DD533" s="2418"/>
      <c r="DE533" s="2418"/>
      <c r="DF533" s="2418"/>
      <c r="DG533" s="2418"/>
      <c r="DH533" s="2418"/>
      <c r="DI533" s="2418"/>
      <c r="DJ533" s="2418"/>
      <c r="DK533" s="2418"/>
      <c r="DL533" s="2418"/>
      <c r="DM533" s="2418"/>
      <c r="DN533" s="2418"/>
      <c r="DO533" s="2418"/>
      <c r="DP533" s="2418"/>
      <c r="DQ533" s="2418"/>
    </row>
    <row r="534" spans="1:121" s="2426" customFormat="1" ht="13.5" customHeight="1">
      <c r="A534" s="2419"/>
      <c r="B534" s="2420"/>
      <c r="C534" s="2420"/>
      <c r="D534" s="2425" t="s">
        <v>3496</v>
      </c>
      <c r="E534" s="2420"/>
      <c r="F534" s="2422"/>
      <c r="G534" s="4872"/>
      <c r="H534" s="2423"/>
      <c r="I534" s="2436"/>
      <c r="J534" s="4934"/>
      <c r="K534" s="2418"/>
      <c r="L534" s="4935"/>
      <c r="M534" s="4935"/>
      <c r="N534" s="4935"/>
      <c r="O534" s="4935"/>
      <c r="P534" s="4935"/>
      <c r="Q534" s="2418"/>
      <c r="R534" s="2418"/>
      <c r="S534" s="2418"/>
      <c r="T534" s="2418"/>
      <c r="U534" s="2418"/>
      <c r="V534" s="2418"/>
      <c r="W534" s="2418"/>
      <c r="X534" s="2418"/>
      <c r="Y534" s="2418"/>
      <c r="Z534" s="2418"/>
      <c r="AA534" s="2418"/>
      <c r="AB534" s="2418"/>
      <c r="AC534" s="2418"/>
      <c r="AD534" s="2418"/>
      <c r="AE534" s="2418"/>
      <c r="AF534" s="2418"/>
      <c r="AG534" s="2418"/>
      <c r="AH534" s="2418"/>
      <c r="AI534" s="2418"/>
      <c r="AJ534" s="2418"/>
      <c r="AK534" s="2418"/>
      <c r="AL534" s="2418"/>
      <c r="AM534" s="2418"/>
      <c r="AN534" s="2418"/>
      <c r="AO534" s="2418"/>
      <c r="AP534" s="2418"/>
      <c r="AQ534" s="2418"/>
      <c r="AR534" s="2418"/>
      <c r="AS534" s="2418"/>
      <c r="AT534" s="2418"/>
      <c r="AU534" s="2418"/>
      <c r="AV534" s="2418"/>
      <c r="AW534" s="2418"/>
      <c r="AX534" s="2418"/>
      <c r="AY534" s="2418"/>
      <c r="AZ534" s="2418"/>
      <c r="BA534" s="2418"/>
      <c r="BB534" s="2418"/>
      <c r="BC534" s="2418"/>
      <c r="BD534" s="2418"/>
      <c r="BE534" s="2418"/>
      <c r="BF534" s="2418"/>
      <c r="BG534" s="2418"/>
      <c r="BH534" s="2418"/>
      <c r="BI534" s="2418"/>
      <c r="BJ534" s="2418"/>
      <c r="BK534" s="2418"/>
      <c r="BL534" s="2418"/>
      <c r="BM534" s="2418"/>
      <c r="BN534" s="2418"/>
      <c r="BO534" s="2418"/>
      <c r="BP534" s="2418"/>
      <c r="BQ534" s="2418"/>
      <c r="BR534" s="2418"/>
      <c r="BS534" s="2418"/>
      <c r="BT534" s="2418"/>
      <c r="BU534" s="2418"/>
      <c r="BV534" s="2418"/>
      <c r="BW534" s="2418"/>
      <c r="BX534" s="2418"/>
      <c r="BY534" s="2418"/>
      <c r="BZ534" s="2418"/>
      <c r="CA534" s="2418"/>
      <c r="CB534" s="2418"/>
      <c r="CC534" s="2418"/>
      <c r="CD534" s="2418"/>
      <c r="CE534" s="2418"/>
      <c r="CF534" s="2418"/>
      <c r="CG534" s="2418"/>
      <c r="CH534" s="2418"/>
      <c r="CI534" s="2418"/>
      <c r="CJ534" s="2418"/>
      <c r="CK534" s="2418"/>
      <c r="CL534" s="2418"/>
      <c r="CM534" s="2418"/>
      <c r="CN534" s="2418"/>
      <c r="CO534" s="2418"/>
      <c r="CP534" s="2418"/>
      <c r="CQ534" s="2418"/>
      <c r="CR534" s="2418"/>
      <c r="CS534" s="2418"/>
      <c r="CT534" s="2418"/>
      <c r="CU534" s="2418"/>
      <c r="CV534" s="2418"/>
      <c r="CW534" s="2418"/>
      <c r="CX534" s="2418"/>
      <c r="CY534" s="2418"/>
      <c r="CZ534" s="2418"/>
      <c r="DA534" s="2418"/>
      <c r="DB534" s="2418"/>
      <c r="DC534" s="2418"/>
      <c r="DD534" s="2418"/>
      <c r="DE534" s="2418"/>
      <c r="DF534" s="2418"/>
      <c r="DG534" s="2418"/>
      <c r="DH534" s="2418"/>
      <c r="DI534" s="2418"/>
      <c r="DJ534" s="2418"/>
      <c r="DK534" s="2418"/>
      <c r="DL534" s="2418"/>
      <c r="DM534" s="2418"/>
      <c r="DN534" s="2418"/>
      <c r="DO534" s="2418"/>
      <c r="DP534" s="2418"/>
      <c r="DQ534" s="2418"/>
    </row>
    <row r="535" spans="1:121" s="2426" customFormat="1" ht="13.5" customHeight="1">
      <c r="A535" s="2419"/>
      <c r="B535" s="2420"/>
      <c r="C535" s="2420"/>
      <c r="D535" s="2425" t="s">
        <v>3497</v>
      </c>
      <c r="E535" s="2420"/>
      <c r="F535" s="2422"/>
      <c r="G535" s="4872"/>
      <c r="H535" s="2423"/>
      <c r="I535" s="2436"/>
      <c r="J535" s="4934"/>
      <c r="K535" s="2418"/>
      <c r="L535" s="4935"/>
      <c r="M535" s="4935"/>
      <c r="N535" s="4935"/>
      <c r="O535" s="4935"/>
      <c r="P535" s="4935"/>
      <c r="Q535" s="2418"/>
      <c r="R535" s="2418"/>
      <c r="S535" s="2418"/>
      <c r="T535" s="2418"/>
      <c r="U535" s="2418"/>
      <c r="V535" s="2418"/>
      <c r="W535" s="2418"/>
      <c r="X535" s="2418"/>
      <c r="Y535" s="2418"/>
      <c r="Z535" s="2418"/>
      <c r="AA535" s="2418"/>
      <c r="AB535" s="2418"/>
      <c r="AC535" s="2418"/>
      <c r="AD535" s="2418"/>
      <c r="AE535" s="2418"/>
      <c r="AF535" s="2418"/>
      <c r="AG535" s="2418"/>
      <c r="AH535" s="2418"/>
      <c r="AI535" s="2418"/>
      <c r="AJ535" s="2418"/>
      <c r="AK535" s="2418"/>
      <c r="AL535" s="2418"/>
      <c r="AM535" s="2418"/>
      <c r="AN535" s="2418"/>
      <c r="AO535" s="2418"/>
      <c r="AP535" s="2418"/>
      <c r="AQ535" s="2418"/>
      <c r="AR535" s="2418"/>
      <c r="AS535" s="2418"/>
      <c r="AT535" s="2418"/>
      <c r="AU535" s="2418"/>
      <c r="AV535" s="2418"/>
      <c r="AW535" s="2418"/>
      <c r="AX535" s="2418"/>
      <c r="AY535" s="2418"/>
      <c r="AZ535" s="2418"/>
      <c r="BA535" s="2418"/>
      <c r="BB535" s="2418"/>
      <c r="BC535" s="2418"/>
      <c r="BD535" s="2418"/>
      <c r="BE535" s="2418"/>
      <c r="BF535" s="2418"/>
      <c r="BG535" s="2418"/>
      <c r="BH535" s="2418"/>
      <c r="BI535" s="2418"/>
      <c r="BJ535" s="2418"/>
      <c r="BK535" s="2418"/>
      <c r="BL535" s="2418"/>
      <c r="BM535" s="2418"/>
      <c r="BN535" s="2418"/>
      <c r="BO535" s="2418"/>
      <c r="BP535" s="2418"/>
      <c r="BQ535" s="2418"/>
      <c r="BR535" s="2418"/>
      <c r="BS535" s="2418"/>
      <c r="BT535" s="2418"/>
      <c r="BU535" s="2418"/>
      <c r="BV535" s="2418"/>
      <c r="BW535" s="2418"/>
      <c r="BX535" s="2418"/>
      <c r="BY535" s="2418"/>
      <c r="BZ535" s="2418"/>
      <c r="CA535" s="2418"/>
      <c r="CB535" s="2418"/>
      <c r="CC535" s="2418"/>
      <c r="CD535" s="2418"/>
      <c r="CE535" s="2418"/>
      <c r="CF535" s="2418"/>
      <c r="CG535" s="2418"/>
      <c r="CH535" s="2418"/>
      <c r="CI535" s="2418"/>
      <c r="CJ535" s="2418"/>
      <c r="CK535" s="2418"/>
      <c r="CL535" s="2418"/>
      <c r="CM535" s="2418"/>
      <c r="CN535" s="2418"/>
      <c r="CO535" s="2418"/>
      <c r="CP535" s="2418"/>
      <c r="CQ535" s="2418"/>
      <c r="CR535" s="2418"/>
      <c r="CS535" s="2418"/>
      <c r="CT535" s="2418"/>
      <c r="CU535" s="2418"/>
      <c r="CV535" s="2418"/>
      <c r="CW535" s="2418"/>
      <c r="CX535" s="2418"/>
      <c r="CY535" s="2418"/>
      <c r="CZ535" s="2418"/>
      <c r="DA535" s="2418"/>
      <c r="DB535" s="2418"/>
      <c r="DC535" s="2418"/>
      <c r="DD535" s="2418"/>
      <c r="DE535" s="2418"/>
      <c r="DF535" s="2418"/>
      <c r="DG535" s="2418"/>
      <c r="DH535" s="2418"/>
      <c r="DI535" s="2418"/>
      <c r="DJ535" s="2418"/>
      <c r="DK535" s="2418"/>
      <c r="DL535" s="2418"/>
      <c r="DM535" s="2418"/>
      <c r="DN535" s="2418"/>
      <c r="DO535" s="2418"/>
      <c r="DP535" s="2418"/>
      <c r="DQ535" s="2418"/>
    </row>
    <row r="536" spans="1:121" s="2426" customFormat="1" ht="13.5" customHeight="1">
      <c r="A536" s="2419"/>
      <c r="B536" s="2420"/>
      <c r="C536" s="2420"/>
      <c r="D536" s="2425" t="s">
        <v>3498</v>
      </c>
      <c r="E536" s="2420"/>
      <c r="F536" s="2422"/>
      <c r="G536" s="4872"/>
      <c r="H536" s="2423"/>
      <c r="I536" s="2436"/>
      <c r="J536" s="4934"/>
      <c r="K536" s="2418"/>
      <c r="L536" s="4935"/>
      <c r="M536" s="4935"/>
      <c r="N536" s="4935"/>
      <c r="O536" s="4935"/>
      <c r="P536" s="4935"/>
      <c r="Q536" s="2418"/>
      <c r="R536" s="2418"/>
      <c r="S536" s="2418"/>
      <c r="T536" s="2418"/>
      <c r="U536" s="2418"/>
      <c r="V536" s="2418"/>
      <c r="W536" s="2418"/>
      <c r="X536" s="2418"/>
      <c r="Y536" s="2418"/>
      <c r="Z536" s="2418"/>
      <c r="AA536" s="2418"/>
      <c r="AB536" s="2418"/>
      <c r="AC536" s="2418"/>
      <c r="AD536" s="2418"/>
      <c r="AE536" s="2418"/>
      <c r="AF536" s="2418"/>
      <c r="AG536" s="2418"/>
      <c r="AH536" s="2418"/>
      <c r="AI536" s="2418"/>
      <c r="AJ536" s="2418"/>
      <c r="AK536" s="2418"/>
      <c r="AL536" s="2418"/>
      <c r="AM536" s="2418"/>
      <c r="AN536" s="2418"/>
      <c r="AO536" s="2418"/>
      <c r="AP536" s="2418"/>
      <c r="AQ536" s="2418"/>
      <c r="AR536" s="2418"/>
      <c r="AS536" s="2418"/>
      <c r="AT536" s="2418"/>
      <c r="AU536" s="2418"/>
      <c r="AV536" s="2418"/>
      <c r="AW536" s="2418"/>
      <c r="AX536" s="2418"/>
      <c r="AY536" s="2418"/>
      <c r="AZ536" s="2418"/>
      <c r="BA536" s="2418"/>
      <c r="BB536" s="2418"/>
      <c r="BC536" s="2418"/>
      <c r="BD536" s="2418"/>
      <c r="BE536" s="2418"/>
      <c r="BF536" s="2418"/>
      <c r="BG536" s="2418"/>
      <c r="BH536" s="2418"/>
      <c r="BI536" s="2418"/>
      <c r="BJ536" s="2418"/>
      <c r="BK536" s="2418"/>
      <c r="BL536" s="2418"/>
      <c r="BM536" s="2418"/>
      <c r="BN536" s="2418"/>
      <c r="BO536" s="2418"/>
      <c r="BP536" s="2418"/>
      <c r="BQ536" s="2418"/>
      <c r="BR536" s="2418"/>
      <c r="BS536" s="2418"/>
      <c r="BT536" s="2418"/>
      <c r="BU536" s="2418"/>
      <c r="BV536" s="2418"/>
      <c r="BW536" s="2418"/>
      <c r="BX536" s="2418"/>
      <c r="BY536" s="2418"/>
      <c r="BZ536" s="2418"/>
      <c r="CA536" s="2418"/>
      <c r="CB536" s="2418"/>
      <c r="CC536" s="2418"/>
      <c r="CD536" s="2418"/>
      <c r="CE536" s="2418"/>
      <c r="CF536" s="2418"/>
      <c r="CG536" s="2418"/>
      <c r="CH536" s="2418"/>
      <c r="CI536" s="2418"/>
      <c r="CJ536" s="2418"/>
      <c r="CK536" s="2418"/>
      <c r="CL536" s="2418"/>
      <c r="CM536" s="2418"/>
      <c r="CN536" s="2418"/>
      <c r="CO536" s="2418"/>
      <c r="CP536" s="2418"/>
      <c r="CQ536" s="2418"/>
      <c r="CR536" s="2418"/>
      <c r="CS536" s="2418"/>
      <c r="CT536" s="2418"/>
      <c r="CU536" s="2418"/>
      <c r="CV536" s="2418"/>
      <c r="CW536" s="2418"/>
      <c r="CX536" s="2418"/>
      <c r="CY536" s="2418"/>
      <c r="CZ536" s="2418"/>
      <c r="DA536" s="2418"/>
      <c r="DB536" s="2418"/>
      <c r="DC536" s="2418"/>
      <c r="DD536" s="2418"/>
      <c r="DE536" s="2418"/>
      <c r="DF536" s="2418"/>
      <c r="DG536" s="2418"/>
      <c r="DH536" s="2418"/>
      <c r="DI536" s="2418"/>
      <c r="DJ536" s="2418"/>
      <c r="DK536" s="2418"/>
      <c r="DL536" s="2418"/>
      <c r="DM536" s="2418"/>
      <c r="DN536" s="2418"/>
      <c r="DO536" s="2418"/>
      <c r="DP536" s="2418"/>
      <c r="DQ536" s="2418"/>
    </row>
    <row r="537" spans="1:121" s="2426" customFormat="1" ht="13.5" customHeight="1">
      <c r="A537" s="2419"/>
      <c r="B537" s="2420"/>
      <c r="C537" s="2420"/>
      <c r="D537" s="2425" t="s">
        <v>3499</v>
      </c>
      <c r="E537" s="2420"/>
      <c r="F537" s="2422"/>
      <c r="G537" s="4872"/>
      <c r="H537" s="2423"/>
      <c r="I537" s="2436"/>
      <c r="J537" s="4934"/>
      <c r="K537" s="2418"/>
      <c r="L537" s="2418"/>
      <c r="M537" s="2418"/>
      <c r="N537" s="2418"/>
      <c r="O537" s="2418"/>
      <c r="P537" s="2418"/>
      <c r="Q537" s="2418"/>
      <c r="R537" s="2418"/>
      <c r="S537" s="2418"/>
      <c r="T537" s="2418"/>
      <c r="U537" s="2418"/>
      <c r="V537" s="2418"/>
      <c r="W537" s="2418"/>
      <c r="X537" s="2418"/>
      <c r="Y537" s="2418"/>
      <c r="Z537" s="2418"/>
      <c r="AA537" s="2418"/>
      <c r="AB537" s="2418"/>
      <c r="AC537" s="2418"/>
      <c r="AD537" s="2418"/>
      <c r="AE537" s="2418"/>
      <c r="AF537" s="2418"/>
      <c r="AG537" s="2418"/>
      <c r="AH537" s="2418"/>
      <c r="AI537" s="2418"/>
      <c r="AJ537" s="2418"/>
      <c r="AK537" s="2418"/>
      <c r="AL537" s="2418"/>
      <c r="AM537" s="2418"/>
      <c r="AN537" s="2418"/>
      <c r="AO537" s="2418"/>
      <c r="AP537" s="2418"/>
      <c r="AQ537" s="2418"/>
      <c r="AR537" s="2418"/>
      <c r="AS537" s="2418"/>
      <c r="AT537" s="2418"/>
      <c r="AU537" s="2418"/>
      <c r="AV537" s="2418"/>
      <c r="AW537" s="2418"/>
      <c r="AX537" s="2418"/>
      <c r="AY537" s="2418"/>
      <c r="AZ537" s="2418"/>
      <c r="BA537" s="2418"/>
      <c r="BB537" s="2418"/>
      <c r="BC537" s="2418"/>
      <c r="BD537" s="2418"/>
      <c r="BE537" s="2418"/>
      <c r="BF537" s="2418"/>
      <c r="BG537" s="2418"/>
      <c r="BH537" s="2418"/>
      <c r="BI537" s="2418"/>
      <c r="BJ537" s="2418"/>
      <c r="BK537" s="2418"/>
      <c r="BL537" s="2418"/>
      <c r="BM537" s="2418"/>
      <c r="BN537" s="2418"/>
      <c r="BO537" s="2418"/>
      <c r="BP537" s="2418"/>
      <c r="BQ537" s="2418"/>
      <c r="BR537" s="2418"/>
      <c r="BS537" s="2418"/>
      <c r="BT537" s="2418"/>
      <c r="BU537" s="2418"/>
      <c r="BV537" s="2418"/>
      <c r="BW537" s="2418"/>
      <c r="BX537" s="2418"/>
      <c r="BY537" s="2418"/>
      <c r="BZ537" s="2418"/>
      <c r="CA537" s="2418"/>
      <c r="CB537" s="2418"/>
      <c r="CC537" s="2418"/>
      <c r="CD537" s="2418"/>
      <c r="CE537" s="2418"/>
      <c r="CF537" s="2418"/>
      <c r="CG537" s="2418"/>
      <c r="CH537" s="2418"/>
      <c r="CI537" s="2418"/>
      <c r="CJ537" s="2418"/>
      <c r="CK537" s="2418"/>
      <c r="CL537" s="2418"/>
      <c r="CM537" s="2418"/>
      <c r="CN537" s="2418"/>
      <c r="CO537" s="2418"/>
      <c r="CP537" s="2418"/>
      <c r="CQ537" s="2418"/>
      <c r="CR537" s="2418"/>
      <c r="CS537" s="2418"/>
      <c r="CT537" s="2418"/>
      <c r="CU537" s="2418"/>
      <c r="CV537" s="2418"/>
      <c r="CW537" s="2418"/>
      <c r="CX537" s="2418"/>
      <c r="CY537" s="2418"/>
      <c r="CZ537" s="2418"/>
      <c r="DA537" s="2418"/>
      <c r="DB537" s="2418"/>
      <c r="DC537" s="2418"/>
      <c r="DD537" s="2418"/>
      <c r="DE537" s="2418"/>
      <c r="DF537" s="2418"/>
      <c r="DG537" s="2418"/>
      <c r="DH537" s="2418"/>
      <c r="DI537" s="2418"/>
      <c r="DJ537" s="2418"/>
      <c r="DK537" s="2418"/>
      <c r="DL537" s="2418"/>
      <c r="DM537" s="2418"/>
      <c r="DN537" s="2418"/>
      <c r="DO537" s="2418"/>
      <c r="DP537" s="2418"/>
      <c r="DQ537" s="2418"/>
    </row>
    <row r="538" spans="1:121" s="232" customFormat="1" ht="40.5" customHeight="1">
      <c r="A538" s="2427"/>
      <c r="B538" s="2428"/>
      <c r="C538" s="2428"/>
      <c r="D538" s="2421" t="s">
        <v>3500</v>
      </c>
      <c r="E538" s="2428"/>
      <c r="F538" s="2429"/>
      <c r="G538" s="2423"/>
      <c r="H538" s="2423"/>
      <c r="I538" s="2436"/>
      <c r="J538" s="4936"/>
      <c r="Y538" s="2424"/>
      <c r="Z538" s="2424"/>
      <c r="AA538" s="2424"/>
      <c r="AB538" s="2424"/>
      <c r="AC538" s="2424"/>
      <c r="AD538" s="2424"/>
      <c r="AE538" s="2424"/>
      <c r="AF538" s="2424"/>
      <c r="AG538" s="2424"/>
      <c r="AH538" s="2424"/>
      <c r="AI538" s="2424"/>
      <c r="AJ538" s="2424"/>
      <c r="AK538" s="2424"/>
      <c r="AL538" s="2424"/>
      <c r="AM538" s="2424"/>
      <c r="AN538" s="2424"/>
      <c r="AO538" s="2424"/>
      <c r="AP538" s="2424"/>
      <c r="AQ538" s="2424"/>
      <c r="AR538" s="2424"/>
      <c r="AS538" s="2424"/>
      <c r="AT538" s="2424"/>
      <c r="AU538" s="2424"/>
      <c r="AV538" s="2424"/>
      <c r="AW538" s="2424"/>
      <c r="AX538" s="2424"/>
      <c r="AY538" s="2424"/>
      <c r="AZ538" s="2424"/>
      <c r="BA538" s="2424"/>
      <c r="BB538" s="2424"/>
      <c r="BC538" s="2424"/>
      <c r="BD538" s="2424"/>
      <c r="BE538" s="2424"/>
      <c r="BF538" s="2424"/>
      <c r="BG538" s="2424"/>
      <c r="BH538" s="2424"/>
      <c r="BI538" s="2424"/>
      <c r="BJ538" s="2424"/>
      <c r="BK538" s="2424"/>
      <c r="BL538" s="2424"/>
      <c r="BM538" s="2424"/>
      <c r="BN538" s="2424"/>
      <c r="BO538" s="2424"/>
      <c r="BP538" s="2424"/>
      <c r="BQ538" s="2424"/>
    </row>
    <row r="539" spans="1:121" s="232" customFormat="1" ht="27" customHeight="1">
      <c r="A539" s="2427"/>
      <c r="B539" s="2428"/>
      <c r="C539" s="2428"/>
      <c r="D539" s="2432" t="s">
        <v>3501</v>
      </c>
      <c r="E539" s="2428"/>
      <c r="F539" s="2429"/>
      <c r="G539" s="2423"/>
      <c r="H539" s="2430"/>
      <c r="I539" s="2431"/>
      <c r="J539" s="4936"/>
      <c r="Y539" s="2424"/>
      <c r="Z539" s="2424"/>
      <c r="AA539" s="2424"/>
      <c r="AB539" s="2424"/>
      <c r="AC539" s="2424"/>
      <c r="AD539" s="2424"/>
      <c r="AE539" s="2424"/>
      <c r="AF539" s="2424"/>
      <c r="AG539" s="2424"/>
      <c r="AH539" s="2424"/>
      <c r="AI539" s="2424"/>
      <c r="AJ539" s="2424"/>
      <c r="AK539" s="2424"/>
      <c r="AL539" s="2424"/>
      <c r="AM539" s="2424"/>
      <c r="AN539" s="2424"/>
      <c r="AO539" s="2424"/>
      <c r="AP539" s="2424"/>
      <c r="AQ539" s="2424"/>
      <c r="AR539" s="2424"/>
      <c r="AS539" s="2424"/>
      <c r="AT539" s="2424"/>
      <c r="AU539" s="2424"/>
      <c r="AV539" s="2424"/>
      <c r="AW539" s="2424"/>
      <c r="AX539" s="2424"/>
      <c r="AY539" s="2424"/>
      <c r="AZ539" s="2424"/>
      <c r="BA539" s="2424"/>
      <c r="BB539" s="2424"/>
      <c r="BC539" s="2424"/>
      <c r="BD539" s="2424"/>
      <c r="BE539" s="2424"/>
      <c r="BF539" s="2424"/>
      <c r="BG539" s="2424"/>
      <c r="BH539" s="2424"/>
      <c r="BI539" s="2424"/>
      <c r="BJ539" s="2424"/>
      <c r="BK539" s="2424"/>
      <c r="BL539" s="2424"/>
      <c r="BM539" s="2424"/>
      <c r="BN539" s="2424"/>
      <c r="BO539" s="2424"/>
      <c r="BP539" s="2424"/>
      <c r="BQ539" s="2424"/>
    </row>
    <row r="540" spans="1:121" s="2418" customFormat="1" ht="27" customHeight="1">
      <c r="A540" s="2412">
        <v>65</v>
      </c>
      <c r="B540" s="2413" t="s">
        <v>1984</v>
      </c>
      <c r="C540" s="2414" t="s">
        <v>3502</v>
      </c>
      <c r="D540" s="2415" t="s">
        <v>3503</v>
      </c>
      <c r="E540" s="2415" t="s">
        <v>49</v>
      </c>
      <c r="F540" s="2416">
        <f>SUM(F542:F542)</f>
        <v>1</v>
      </c>
      <c r="G540" s="4876"/>
      <c r="H540" s="2417">
        <f>F540*G540</f>
        <v>0</v>
      </c>
      <c r="I540" s="2352" t="s">
        <v>111</v>
      </c>
      <c r="J540" s="4937"/>
      <c r="K540" s="4938"/>
      <c r="L540" s="4929"/>
      <c r="M540" s="4929"/>
      <c r="N540" s="4929"/>
      <c r="O540" s="4929"/>
      <c r="P540" s="4929"/>
      <c r="Q540" s="232"/>
      <c r="R540" s="232"/>
      <c r="S540" s="232"/>
      <c r="T540" s="232"/>
      <c r="U540" s="232"/>
      <c r="V540" s="4931"/>
      <c r="X540" s="4929"/>
      <c r="Y540" s="4929"/>
      <c r="Z540" s="4929"/>
      <c r="AA540" s="4929"/>
      <c r="AB540" s="4929"/>
    </row>
    <row r="541" spans="1:121" s="2418" customFormat="1" ht="13.5" customHeight="1">
      <c r="A541" s="2419"/>
      <c r="B541" s="2420"/>
      <c r="C541" s="2420"/>
      <c r="D541" s="2421" t="s">
        <v>3504</v>
      </c>
      <c r="E541" s="2420"/>
      <c r="F541" s="2422"/>
      <c r="G541" s="4872"/>
      <c r="H541" s="2423"/>
      <c r="I541" s="2433"/>
      <c r="J541" s="4939"/>
      <c r="K541" s="232"/>
      <c r="L541" s="232"/>
      <c r="M541" s="232"/>
      <c r="N541" s="232"/>
      <c r="O541" s="4928"/>
      <c r="P541" s="232"/>
      <c r="Q541" s="4940"/>
      <c r="R541" s="232"/>
      <c r="S541" s="4941"/>
      <c r="T541" s="4937"/>
      <c r="U541" s="2424"/>
      <c r="V541" s="2424"/>
      <c r="W541" s="2424"/>
      <c r="X541" s="4941"/>
      <c r="Y541" s="4941"/>
      <c r="Z541" s="4941"/>
      <c r="AA541" s="4941"/>
      <c r="AB541" s="4941"/>
    </row>
    <row r="542" spans="1:121" s="2418" customFormat="1" ht="13.5" customHeight="1">
      <c r="A542" s="2419"/>
      <c r="B542" s="2420"/>
      <c r="C542" s="2420"/>
      <c r="D542" s="2421" t="s">
        <v>3505</v>
      </c>
      <c r="E542" s="2420"/>
      <c r="F542" s="2422">
        <v>1</v>
      </c>
      <c r="G542" s="4872"/>
      <c r="H542" s="2423"/>
      <c r="I542" s="2436"/>
      <c r="J542" s="4936"/>
    </row>
    <row r="543" spans="1:121" s="2426" customFormat="1" ht="13.5" customHeight="1">
      <c r="A543" s="2419"/>
      <c r="B543" s="2420"/>
      <c r="C543" s="2420"/>
      <c r="D543" s="2425" t="s">
        <v>3506</v>
      </c>
      <c r="E543" s="2420"/>
      <c r="F543" s="2422"/>
      <c r="G543" s="4872"/>
      <c r="H543" s="2423"/>
      <c r="I543" s="2436"/>
      <c r="J543" s="4934"/>
      <c r="K543" s="2418"/>
      <c r="L543" s="2418"/>
      <c r="M543" s="2418"/>
      <c r="N543" s="2418"/>
      <c r="O543" s="2418"/>
      <c r="P543" s="2418"/>
      <c r="Q543" s="2418"/>
      <c r="R543" s="2418"/>
      <c r="S543" s="2418"/>
      <c r="T543" s="2418"/>
      <c r="U543" s="2418"/>
      <c r="V543" s="2418"/>
      <c r="W543" s="2418"/>
      <c r="X543" s="2418"/>
      <c r="Y543" s="2418"/>
      <c r="Z543" s="2418"/>
      <c r="AA543" s="2418"/>
      <c r="AB543" s="2418"/>
      <c r="AC543" s="2418"/>
      <c r="AD543" s="2418"/>
      <c r="AE543" s="2418"/>
      <c r="AF543" s="2418"/>
      <c r="AG543" s="2418"/>
      <c r="AH543" s="2418"/>
      <c r="AI543" s="2418"/>
      <c r="AJ543" s="2418"/>
      <c r="AK543" s="2418"/>
      <c r="AL543" s="2418"/>
      <c r="AM543" s="2418"/>
      <c r="AN543" s="2418"/>
      <c r="AO543" s="2418"/>
      <c r="AP543" s="2418"/>
      <c r="AQ543" s="2418"/>
      <c r="AR543" s="2418"/>
      <c r="AS543" s="2418"/>
      <c r="AT543" s="2418"/>
      <c r="AU543" s="2418"/>
      <c r="AV543" s="2418"/>
      <c r="AW543" s="2418"/>
      <c r="AX543" s="2418"/>
      <c r="AY543" s="2418"/>
      <c r="AZ543" s="2418"/>
      <c r="BA543" s="2418"/>
      <c r="BB543" s="2418"/>
      <c r="BC543" s="2418"/>
      <c r="BD543" s="2418"/>
      <c r="BE543" s="2418"/>
      <c r="BF543" s="2418"/>
      <c r="BG543" s="2418"/>
      <c r="BH543" s="2418"/>
      <c r="BI543" s="2418"/>
      <c r="BJ543" s="2418"/>
      <c r="BK543" s="2418"/>
      <c r="BL543" s="2418"/>
      <c r="BM543" s="2418"/>
      <c r="BN543" s="2418"/>
      <c r="BO543" s="2418"/>
      <c r="BP543" s="2418"/>
      <c r="BQ543" s="2418"/>
      <c r="BR543" s="2418"/>
      <c r="BS543" s="2418"/>
      <c r="BT543" s="2418"/>
      <c r="BU543" s="2418"/>
      <c r="BV543" s="2418"/>
      <c r="BW543" s="2418"/>
      <c r="BX543" s="2418"/>
      <c r="BY543" s="2418"/>
      <c r="BZ543" s="2418"/>
      <c r="CA543" s="2418"/>
      <c r="CB543" s="2418"/>
      <c r="CC543" s="2418"/>
      <c r="CD543" s="2418"/>
      <c r="CE543" s="2418"/>
      <c r="CF543" s="2418"/>
      <c r="CG543" s="2418"/>
      <c r="CH543" s="2418"/>
      <c r="CI543" s="2418"/>
      <c r="CJ543" s="2418"/>
      <c r="CK543" s="2418"/>
      <c r="CL543" s="2418"/>
      <c r="CM543" s="2418"/>
      <c r="CN543" s="2418"/>
      <c r="CO543" s="2418"/>
      <c r="CP543" s="2418"/>
      <c r="CQ543" s="2418"/>
      <c r="CR543" s="2418"/>
      <c r="CS543" s="2418"/>
      <c r="CT543" s="2418"/>
      <c r="CU543" s="2418"/>
      <c r="CV543" s="2418"/>
      <c r="CW543" s="2418"/>
      <c r="CX543" s="2418"/>
      <c r="CY543" s="2418"/>
      <c r="CZ543" s="2418"/>
      <c r="DA543" s="2418"/>
      <c r="DB543" s="2418"/>
      <c r="DC543" s="2418"/>
      <c r="DD543" s="2418"/>
      <c r="DE543" s="2418"/>
      <c r="DF543" s="2418"/>
      <c r="DG543" s="2418"/>
      <c r="DH543" s="2418"/>
      <c r="DI543" s="2418"/>
      <c r="DJ543" s="2418"/>
      <c r="DK543" s="2418"/>
      <c r="DL543" s="2418"/>
      <c r="DM543" s="2418"/>
      <c r="DN543" s="2418"/>
      <c r="DO543" s="2418"/>
      <c r="DP543" s="2418"/>
      <c r="DQ543" s="2418"/>
    </row>
    <row r="544" spans="1:121" s="2426" customFormat="1" ht="13.5" customHeight="1">
      <c r="A544" s="2419"/>
      <c r="B544" s="2420"/>
      <c r="C544" s="2420"/>
      <c r="D544" s="2425" t="s">
        <v>6563</v>
      </c>
      <c r="E544" s="2420"/>
      <c r="F544" s="2422"/>
      <c r="G544" s="4872"/>
      <c r="H544" s="2423"/>
      <c r="I544" s="2436"/>
      <c r="J544" s="4934"/>
      <c r="K544" s="2418"/>
      <c r="L544" s="2418"/>
      <c r="M544" s="2418"/>
      <c r="N544" s="2418"/>
      <c r="O544" s="2418"/>
      <c r="P544" s="2418"/>
      <c r="Q544" s="2418"/>
      <c r="R544" s="2418"/>
      <c r="S544" s="2418"/>
      <c r="T544" s="2418"/>
      <c r="U544" s="2418"/>
      <c r="V544" s="2418"/>
      <c r="W544" s="2418"/>
      <c r="X544" s="2418"/>
      <c r="Y544" s="2418"/>
      <c r="Z544" s="2418"/>
      <c r="AA544" s="2418"/>
      <c r="AB544" s="2418"/>
      <c r="AC544" s="2418"/>
      <c r="AD544" s="2418"/>
      <c r="AE544" s="2418"/>
      <c r="AF544" s="2418"/>
      <c r="AG544" s="2418"/>
      <c r="AH544" s="2418"/>
      <c r="AI544" s="2418"/>
      <c r="AJ544" s="2418"/>
      <c r="AK544" s="2418"/>
      <c r="AL544" s="2418"/>
      <c r="AM544" s="2418"/>
      <c r="AN544" s="2418"/>
      <c r="AO544" s="2418"/>
      <c r="AP544" s="2418"/>
      <c r="AQ544" s="2418"/>
      <c r="AR544" s="2418"/>
      <c r="AS544" s="2418"/>
      <c r="AT544" s="2418"/>
      <c r="AU544" s="2418"/>
      <c r="AV544" s="2418"/>
      <c r="AW544" s="2418"/>
      <c r="AX544" s="2418"/>
      <c r="AY544" s="2418"/>
      <c r="AZ544" s="2418"/>
      <c r="BA544" s="2418"/>
      <c r="BB544" s="2418"/>
      <c r="BC544" s="2418"/>
      <c r="BD544" s="2418"/>
      <c r="BE544" s="2418"/>
      <c r="BF544" s="2418"/>
      <c r="BG544" s="2418"/>
      <c r="BH544" s="2418"/>
      <c r="BI544" s="2418"/>
      <c r="BJ544" s="2418"/>
      <c r="BK544" s="2418"/>
      <c r="BL544" s="2418"/>
      <c r="BM544" s="2418"/>
      <c r="BN544" s="2418"/>
      <c r="BO544" s="2418"/>
      <c r="BP544" s="2418"/>
      <c r="BQ544" s="2418"/>
      <c r="BR544" s="2418"/>
      <c r="BS544" s="2418"/>
      <c r="BT544" s="2418"/>
      <c r="BU544" s="2418"/>
      <c r="BV544" s="2418"/>
      <c r="BW544" s="2418"/>
      <c r="BX544" s="2418"/>
      <c r="BY544" s="2418"/>
      <c r="BZ544" s="2418"/>
      <c r="CA544" s="2418"/>
      <c r="CB544" s="2418"/>
      <c r="CC544" s="2418"/>
      <c r="CD544" s="2418"/>
      <c r="CE544" s="2418"/>
      <c r="CF544" s="2418"/>
      <c r="CG544" s="2418"/>
      <c r="CH544" s="2418"/>
      <c r="CI544" s="2418"/>
      <c r="CJ544" s="2418"/>
      <c r="CK544" s="2418"/>
      <c r="CL544" s="2418"/>
      <c r="CM544" s="2418"/>
      <c r="CN544" s="2418"/>
      <c r="CO544" s="2418"/>
      <c r="CP544" s="2418"/>
      <c r="CQ544" s="2418"/>
      <c r="CR544" s="2418"/>
      <c r="CS544" s="2418"/>
      <c r="CT544" s="2418"/>
      <c r="CU544" s="2418"/>
      <c r="CV544" s="2418"/>
      <c r="CW544" s="2418"/>
      <c r="CX544" s="2418"/>
      <c r="CY544" s="2418"/>
      <c r="CZ544" s="2418"/>
      <c r="DA544" s="2418"/>
      <c r="DB544" s="2418"/>
      <c r="DC544" s="2418"/>
      <c r="DD544" s="2418"/>
      <c r="DE544" s="2418"/>
      <c r="DF544" s="2418"/>
      <c r="DG544" s="2418"/>
      <c r="DH544" s="2418"/>
      <c r="DI544" s="2418"/>
      <c r="DJ544" s="2418"/>
      <c r="DK544" s="2418"/>
      <c r="DL544" s="2418"/>
      <c r="DM544" s="2418"/>
      <c r="DN544" s="2418"/>
      <c r="DO544" s="2418"/>
      <c r="DP544" s="2418"/>
      <c r="DQ544" s="2418"/>
    </row>
    <row r="545" spans="1:121" s="2426" customFormat="1" ht="13.5" customHeight="1">
      <c r="A545" s="2419"/>
      <c r="B545" s="2420"/>
      <c r="C545" s="2420"/>
      <c r="D545" s="2425" t="s">
        <v>3507</v>
      </c>
      <c r="E545" s="2420"/>
      <c r="F545" s="2422"/>
      <c r="G545" s="4872"/>
      <c r="H545" s="2423"/>
      <c r="I545" s="2436"/>
      <c r="J545" s="4934"/>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8"/>
      <c r="AM545" s="2418"/>
      <c r="AN545" s="2418"/>
      <c r="AO545" s="2418"/>
      <c r="AP545" s="2418"/>
      <c r="AQ545" s="2418"/>
      <c r="AR545" s="2418"/>
      <c r="AS545" s="2418"/>
      <c r="AT545" s="2418"/>
      <c r="AU545" s="2418"/>
      <c r="AV545" s="2418"/>
      <c r="AW545" s="2418"/>
      <c r="AX545" s="2418"/>
      <c r="AY545" s="2418"/>
      <c r="AZ545" s="2418"/>
      <c r="BA545" s="2418"/>
      <c r="BB545" s="2418"/>
      <c r="BC545" s="2418"/>
      <c r="BD545" s="2418"/>
      <c r="BE545" s="2418"/>
      <c r="BF545" s="2418"/>
      <c r="BG545" s="2418"/>
      <c r="BH545" s="2418"/>
      <c r="BI545" s="2418"/>
      <c r="BJ545" s="2418"/>
      <c r="BK545" s="2418"/>
      <c r="BL545" s="2418"/>
      <c r="BM545" s="2418"/>
      <c r="BN545" s="2418"/>
      <c r="BO545" s="2418"/>
      <c r="BP545" s="2418"/>
      <c r="BQ545" s="2418"/>
      <c r="BR545" s="2418"/>
      <c r="BS545" s="2418"/>
      <c r="BT545" s="2418"/>
      <c r="BU545" s="2418"/>
      <c r="BV545" s="2418"/>
      <c r="BW545" s="2418"/>
      <c r="BX545" s="2418"/>
      <c r="BY545" s="2418"/>
      <c r="BZ545" s="2418"/>
      <c r="CA545" s="2418"/>
      <c r="CB545" s="2418"/>
      <c r="CC545" s="2418"/>
      <c r="CD545" s="2418"/>
      <c r="CE545" s="2418"/>
      <c r="CF545" s="2418"/>
      <c r="CG545" s="2418"/>
      <c r="CH545" s="2418"/>
      <c r="CI545" s="2418"/>
      <c r="CJ545" s="2418"/>
      <c r="CK545" s="2418"/>
      <c r="CL545" s="2418"/>
      <c r="CM545" s="2418"/>
      <c r="CN545" s="2418"/>
      <c r="CO545" s="2418"/>
      <c r="CP545" s="2418"/>
      <c r="CQ545" s="2418"/>
      <c r="CR545" s="2418"/>
      <c r="CS545" s="2418"/>
      <c r="CT545" s="2418"/>
      <c r="CU545" s="2418"/>
      <c r="CV545" s="2418"/>
      <c r="CW545" s="2418"/>
      <c r="CX545" s="2418"/>
      <c r="CY545" s="2418"/>
      <c r="CZ545" s="2418"/>
      <c r="DA545" s="2418"/>
      <c r="DB545" s="2418"/>
      <c r="DC545" s="2418"/>
      <c r="DD545" s="2418"/>
      <c r="DE545" s="2418"/>
      <c r="DF545" s="2418"/>
      <c r="DG545" s="2418"/>
      <c r="DH545" s="2418"/>
      <c r="DI545" s="2418"/>
      <c r="DJ545" s="2418"/>
      <c r="DK545" s="2418"/>
      <c r="DL545" s="2418"/>
      <c r="DM545" s="2418"/>
      <c r="DN545" s="2418"/>
      <c r="DO545" s="2418"/>
      <c r="DP545" s="2418"/>
      <c r="DQ545" s="2418"/>
    </row>
    <row r="546" spans="1:121" s="232" customFormat="1" ht="40.5" customHeight="1">
      <c r="A546" s="2427"/>
      <c r="B546" s="2428"/>
      <c r="C546" s="2428"/>
      <c r="D546" s="2421" t="s">
        <v>3508</v>
      </c>
      <c r="E546" s="2428"/>
      <c r="F546" s="2429"/>
      <c r="G546" s="2423"/>
      <c r="H546" s="2423"/>
      <c r="I546" s="2436"/>
      <c r="J546" s="4936"/>
      <c r="Y546" s="2424"/>
      <c r="Z546" s="2424"/>
      <c r="AA546" s="2424"/>
      <c r="AB546" s="2424"/>
      <c r="AC546" s="2424"/>
      <c r="AD546" s="2424"/>
      <c r="AE546" s="2424"/>
      <c r="AF546" s="2424"/>
      <c r="AG546" s="2424"/>
      <c r="AH546" s="2424"/>
      <c r="AI546" s="2424"/>
      <c r="AJ546" s="2424"/>
      <c r="AK546" s="2424"/>
      <c r="AL546" s="2424"/>
      <c r="AM546" s="2424"/>
      <c r="AN546" s="2424"/>
      <c r="AO546" s="2424"/>
      <c r="AP546" s="2424"/>
      <c r="AQ546" s="2424"/>
      <c r="AR546" s="2424"/>
      <c r="AS546" s="2424"/>
      <c r="AT546" s="2424"/>
      <c r="AU546" s="2424"/>
      <c r="AV546" s="2424"/>
      <c r="AW546" s="2424"/>
      <c r="AX546" s="2424"/>
      <c r="AY546" s="2424"/>
      <c r="AZ546" s="2424"/>
      <c r="BA546" s="2424"/>
      <c r="BB546" s="2424"/>
      <c r="BC546" s="2424"/>
      <c r="BD546" s="2424"/>
      <c r="BE546" s="2424"/>
      <c r="BF546" s="2424"/>
      <c r="BG546" s="2424"/>
      <c r="BH546" s="2424"/>
      <c r="BI546" s="2424"/>
      <c r="BJ546" s="2424"/>
      <c r="BK546" s="2424"/>
      <c r="BL546" s="2424"/>
      <c r="BM546" s="2424"/>
      <c r="BN546" s="2424"/>
      <c r="BO546" s="2424"/>
      <c r="BP546" s="2424"/>
      <c r="BQ546" s="2424"/>
    </row>
    <row r="547" spans="1:121" s="232" customFormat="1" ht="27" customHeight="1">
      <c r="A547" s="2427"/>
      <c r="B547" s="2428"/>
      <c r="C547" s="2428"/>
      <c r="D547" s="2432" t="s">
        <v>6564</v>
      </c>
      <c r="E547" s="2428"/>
      <c r="F547" s="2429"/>
      <c r="G547" s="2423"/>
      <c r="H547" s="2430"/>
      <c r="I547" s="2431"/>
      <c r="J547" s="4936"/>
      <c r="Y547" s="2424"/>
      <c r="Z547" s="2424"/>
      <c r="AA547" s="2424"/>
      <c r="AB547" s="2424"/>
      <c r="AC547" s="2424"/>
      <c r="AD547" s="2424"/>
      <c r="AE547" s="2424"/>
      <c r="AF547" s="2424"/>
      <c r="AG547" s="2424"/>
      <c r="AH547" s="2424"/>
      <c r="AI547" s="2424"/>
      <c r="AJ547" s="2424"/>
      <c r="AK547" s="2424"/>
      <c r="AL547" s="2424"/>
      <c r="AM547" s="2424"/>
      <c r="AN547" s="2424"/>
      <c r="AO547" s="2424"/>
      <c r="AP547" s="2424"/>
      <c r="AQ547" s="2424"/>
      <c r="AR547" s="2424"/>
      <c r="AS547" s="2424"/>
      <c r="AT547" s="2424"/>
      <c r="AU547" s="2424"/>
      <c r="AV547" s="2424"/>
      <c r="AW547" s="2424"/>
      <c r="AX547" s="2424"/>
      <c r="AY547" s="2424"/>
      <c r="AZ547" s="2424"/>
      <c r="BA547" s="2424"/>
      <c r="BB547" s="2424"/>
      <c r="BC547" s="2424"/>
      <c r="BD547" s="2424"/>
      <c r="BE547" s="2424"/>
      <c r="BF547" s="2424"/>
      <c r="BG547" s="2424"/>
      <c r="BH547" s="2424"/>
      <c r="BI547" s="2424"/>
      <c r="BJ547" s="2424"/>
      <c r="BK547" s="2424"/>
      <c r="BL547" s="2424"/>
      <c r="BM547" s="2424"/>
      <c r="BN547" s="2424"/>
      <c r="BO547" s="2424"/>
      <c r="BP547" s="2424"/>
      <c r="BQ547" s="2424"/>
    </row>
    <row r="548" spans="1:121" s="2418" customFormat="1" ht="13.5" customHeight="1">
      <c r="A548" s="2434">
        <v>66</v>
      </c>
      <c r="B548" s="2414">
        <v>751</v>
      </c>
      <c r="C548" s="2414" t="s">
        <v>3509</v>
      </c>
      <c r="D548" s="2415" t="s">
        <v>1836</v>
      </c>
      <c r="E548" s="2415" t="s">
        <v>49</v>
      </c>
      <c r="F548" s="2416">
        <f>SUM(F550)</f>
        <v>1</v>
      </c>
      <c r="G548" s="4876"/>
      <c r="H548" s="2417">
        <f>F548*G548</f>
        <v>0</v>
      </c>
      <c r="I548" s="2352" t="s">
        <v>111</v>
      </c>
    </row>
    <row r="549" spans="1:121" s="2418" customFormat="1" ht="27" customHeight="1">
      <c r="A549" s="2263"/>
      <c r="B549" s="2264"/>
      <c r="C549" s="2269"/>
      <c r="D549" s="2432" t="s">
        <v>3510</v>
      </c>
      <c r="E549" s="2435"/>
      <c r="F549" s="2422"/>
      <c r="G549" s="2423"/>
      <c r="H549" s="2423"/>
      <c r="I549" s="2436"/>
    </row>
    <row r="550" spans="1:121" s="2418" customFormat="1" ht="13.5" customHeight="1">
      <c r="A550" s="2263"/>
      <c r="B550" s="2264"/>
      <c r="C550" s="2269"/>
      <c r="D550" s="2421" t="s">
        <v>1838</v>
      </c>
      <c r="E550" s="2420"/>
      <c r="F550" s="2422">
        <v>1</v>
      </c>
      <c r="G550" s="4872"/>
      <c r="H550" s="2437"/>
      <c r="I550" s="2437"/>
    </row>
    <row r="551" spans="1:121" s="2418" customFormat="1" ht="13.5" customHeight="1">
      <c r="A551" s="2434">
        <v>67</v>
      </c>
      <c r="B551" s="2414">
        <v>751</v>
      </c>
      <c r="C551" s="2414" t="s">
        <v>3511</v>
      </c>
      <c r="D551" s="2415" t="s">
        <v>1881</v>
      </c>
      <c r="E551" s="2415" t="s">
        <v>49</v>
      </c>
      <c r="F551" s="2416">
        <f>SUM(F552)</f>
        <v>1</v>
      </c>
      <c r="G551" s="4876"/>
      <c r="H551" s="2417">
        <f>F551*G551</f>
        <v>0</v>
      </c>
      <c r="I551" s="2352" t="s">
        <v>111</v>
      </c>
    </row>
    <row r="552" spans="1:121" s="2438" customFormat="1" ht="27" customHeight="1">
      <c r="A552" s="2263"/>
      <c r="B552" s="2264"/>
      <c r="C552" s="2269"/>
      <c r="D552" s="2421" t="s">
        <v>1882</v>
      </c>
      <c r="E552" s="2435"/>
      <c r="F552" s="2422">
        <v>1</v>
      </c>
      <c r="G552" s="2423"/>
      <c r="H552" s="2423"/>
      <c r="I552" s="2436"/>
      <c r="J552" s="4942"/>
      <c r="M552" s="4943"/>
    </row>
    <row r="553" spans="1:121" s="2438" customFormat="1" ht="27" customHeight="1">
      <c r="A553" s="2263"/>
      <c r="B553" s="2264"/>
      <c r="C553" s="2269"/>
      <c r="D553" s="2421" t="s">
        <v>1883</v>
      </c>
      <c r="E553" s="2435"/>
      <c r="F553" s="2422"/>
      <c r="G553" s="2423"/>
      <c r="H553" s="2423"/>
      <c r="I553" s="2436"/>
      <c r="J553" s="4942"/>
      <c r="M553" s="4943"/>
    </row>
    <row r="554" spans="1:121" s="1952" customFormat="1" ht="13.5" customHeight="1">
      <c r="A554" s="2045">
        <v>68</v>
      </c>
      <c r="B554" s="2046" t="s">
        <v>1984</v>
      </c>
      <c r="C554" s="2046">
        <v>998751201</v>
      </c>
      <c r="D554" s="2046" t="s">
        <v>1988</v>
      </c>
      <c r="E554" s="2046" t="s">
        <v>10</v>
      </c>
      <c r="F554" s="2051">
        <v>0.28999999999999998</v>
      </c>
      <c r="G554" s="2559"/>
      <c r="H554" s="2100">
        <f>F554*G554</f>
        <v>0</v>
      </c>
      <c r="I554" s="2047" t="s">
        <v>137</v>
      </c>
      <c r="J554" s="4944"/>
      <c r="K554" s="2050"/>
      <c r="L554" s="2050"/>
      <c r="M554" s="2050"/>
      <c r="N554" s="2050"/>
      <c r="O554" s="2050"/>
      <c r="P554" s="2050"/>
      <c r="Q554" s="1951"/>
      <c r="R554" s="1951"/>
      <c r="S554" s="1951"/>
      <c r="T554" s="1951"/>
      <c r="U554" s="1951"/>
      <c r="V554" s="1951"/>
      <c r="W554" s="1951"/>
      <c r="X554" s="1951"/>
      <c r="Y554" s="1951"/>
      <c r="Z554" s="1951"/>
      <c r="AA554" s="1951"/>
      <c r="AB554" s="1951"/>
      <c r="AC554" s="1951"/>
      <c r="AD554" s="1951"/>
      <c r="AE554" s="1951"/>
      <c r="AF554" s="1951"/>
      <c r="AG554" s="1951"/>
      <c r="AH554" s="1951"/>
      <c r="AI554" s="1951"/>
      <c r="AJ554" s="1951"/>
      <c r="AK554" s="1951"/>
      <c r="AL554" s="1951"/>
      <c r="AM554" s="1951"/>
      <c r="AN554" s="1951"/>
      <c r="AO554" s="1951"/>
      <c r="AP554" s="1951"/>
      <c r="AQ554" s="1951"/>
      <c r="AR554" s="1951"/>
      <c r="AS554" s="1951"/>
      <c r="AT554" s="1951"/>
      <c r="AU554" s="1951"/>
      <c r="AV554" s="1951"/>
      <c r="AW554" s="1951"/>
      <c r="AX554" s="1951"/>
      <c r="AY554" s="1951"/>
      <c r="AZ554" s="1951"/>
      <c r="BA554" s="1951"/>
      <c r="BB554" s="1951"/>
      <c r="BC554" s="1951"/>
      <c r="BD554" s="1951"/>
      <c r="BE554" s="1951"/>
      <c r="BF554" s="1951"/>
      <c r="BG554" s="1951"/>
      <c r="BH554" s="1951"/>
      <c r="BI554" s="1951"/>
      <c r="BJ554" s="1951"/>
      <c r="BK554" s="1951"/>
      <c r="BL554" s="1951"/>
      <c r="BM554" s="1951"/>
      <c r="BN554" s="1951"/>
      <c r="BO554" s="1951"/>
      <c r="BP554" s="1951"/>
      <c r="BQ554" s="1951"/>
      <c r="BR554" s="1951"/>
      <c r="BS554" s="1951"/>
      <c r="BT554" s="1951"/>
      <c r="BU554" s="1951"/>
      <c r="BV554" s="1951"/>
      <c r="BW554" s="1951"/>
      <c r="BX554" s="1951"/>
      <c r="BY554" s="1951"/>
      <c r="BZ554" s="1951"/>
      <c r="CA554" s="1951"/>
      <c r="CB554" s="1951"/>
      <c r="CC554" s="1951"/>
      <c r="CD554" s="1951"/>
      <c r="CE554" s="1951"/>
      <c r="CF554" s="1951"/>
      <c r="CG554" s="1951"/>
      <c r="CH554" s="1951"/>
      <c r="CI554" s="1951"/>
      <c r="CJ554" s="1951"/>
      <c r="CK554" s="1951"/>
      <c r="CL554" s="1951"/>
      <c r="CM554" s="1951"/>
      <c r="CN554" s="1951"/>
      <c r="CO554" s="1951"/>
      <c r="CP554" s="1951"/>
      <c r="CQ554" s="1951"/>
      <c r="CR554" s="1951"/>
      <c r="CS554" s="1951"/>
    </row>
    <row r="555" spans="1:121" s="1952" customFormat="1" ht="13.5" customHeight="1">
      <c r="A555" s="2045">
        <v>69</v>
      </c>
      <c r="B555" s="2046" t="s">
        <v>362</v>
      </c>
      <c r="C555" s="2046" t="s">
        <v>1989</v>
      </c>
      <c r="D555" s="2046" t="s">
        <v>1990</v>
      </c>
      <c r="E555" s="2046" t="s">
        <v>69</v>
      </c>
      <c r="F555" s="2051">
        <f>F556</f>
        <v>20</v>
      </c>
      <c r="G555" s="2559"/>
      <c r="H555" s="2100">
        <f>F555*G555</f>
        <v>0</v>
      </c>
      <c r="I555" s="2047" t="s">
        <v>137</v>
      </c>
      <c r="J555" s="2020"/>
      <c r="K555" s="2050"/>
      <c r="L555" s="2050"/>
      <c r="M555" s="2050"/>
      <c r="N555" s="2050"/>
      <c r="O555" s="2050"/>
      <c r="P555" s="2050"/>
      <c r="Q555" s="1951"/>
      <c r="R555" s="1951"/>
      <c r="S555" s="1951"/>
      <c r="T555" s="1951"/>
      <c r="U555" s="1951"/>
      <c r="V555" s="1951"/>
      <c r="W555" s="1951"/>
      <c r="X555" s="1951"/>
      <c r="Y555" s="1951"/>
      <c r="Z555" s="1951"/>
      <c r="AA555" s="1951"/>
      <c r="AB555" s="1951"/>
      <c r="AC555" s="1951"/>
      <c r="AD555" s="1951"/>
      <c r="AE555" s="1951"/>
      <c r="AF555" s="1951"/>
      <c r="AG555" s="1951"/>
      <c r="AH555" s="1951"/>
      <c r="AI555" s="1951"/>
      <c r="AJ555" s="1951"/>
      <c r="AK555" s="1951"/>
      <c r="AL555" s="1951"/>
      <c r="AM555" s="1951"/>
      <c r="AN555" s="1951"/>
      <c r="AO555" s="1951"/>
      <c r="AP555" s="1951"/>
      <c r="AQ555" s="1951"/>
      <c r="AR555" s="1951"/>
      <c r="AS555" s="1951"/>
      <c r="AT555" s="1951"/>
      <c r="AU555" s="1951"/>
      <c r="AV555" s="1951"/>
      <c r="AW555" s="1951"/>
      <c r="AX555" s="1951"/>
      <c r="AY555" s="1951"/>
      <c r="AZ555" s="1951"/>
      <c r="BA555" s="1951"/>
      <c r="BB555" s="1951"/>
      <c r="BC555" s="1951"/>
      <c r="BD555" s="1951"/>
      <c r="BE555" s="1951"/>
      <c r="BF555" s="1951"/>
      <c r="BG555" s="1951"/>
      <c r="BH555" s="1951"/>
      <c r="BI555" s="1951"/>
      <c r="BJ555" s="1951"/>
      <c r="BK555" s="1951"/>
      <c r="BL555" s="1951"/>
      <c r="BM555" s="1951"/>
      <c r="BN555" s="1951"/>
      <c r="BO555" s="1951"/>
      <c r="BP555" s="1951"/>
      <c r="BQ555" s="1951"/>
      <c r="BR555" s="1951"/>
      <c r="BS555" s="1951"/>
      <c r="BT555" s="1951"/>
      <c r="BU555" s="1951"/>
      <c r="BV555" s="1951"/>
      <c r="BW555" s="1951"/>
      <c r="BX555" s="1951"/>
      <c r="BY555" s="1951"/>
      <c r="BZ555" s="1951"/>
      <c r="CA555" s="1951"/>
      <c r="CB555" s="1951"/>
      <c r="CC555" s="1951"/>
      <c r="CD555" s="1951"/>
      <c r="CE555" s="1951"/>
      <c r="CF555" s="1951"/>
      <c r="CG555" s="1951"/>
      <c r="CH555" s="1951"/>
      <c r="CI555" s="1951"/>
      <c r="CJ555" s="1951"/>
      <c r="CK555" s="1951"/>
      <c r="CL555" s="1951"/>
      <c r="CM555" s="1951"/>
      <c r="CN555" s="1951"/>
      <c r="CO555" s="1951"/>
      <c r="CP555" s="1951"/>
      <c r="CQ555" s="1951"/>
      <c r="CR555" s="1951"/>
      <c r="CS555" s="1951"/>
    </row>
    <row r="556" spans="1:121" s="1951" customFormat="1" ht="13.5" customHeight="1">
      <c r="A556" s="2384"/>
      <c r="B556" s="2385"/>
      <c r="C556" s="2385"/>
      <c r="D556" s="2107" t="s">
        <v>1991</v>
      </c>
      <c r="E556" s="2385"/>
      <c r="F556" s="2386">
        <v>20</v>
      </c>
      <c r="G556" s="2387"/>
      <c r="H556" s="2387"/>
      <c r="I556" s="2390"/>
      <c r="M556" s="4877"/>
      <c r="N556" s="4878"/>
      <c r="O556" s="4878"/>
      <c r="P556" s="4878"/>
      <c r="Q556" s="4878"/>
      <c r="R556" s="4878"/>
      <c r="S556" s="4878"/>
      <c r="T556" s="4878"/>
      <c r="U556" s="4878"/>
      <c r="V556" s="4878"/>
      <c r="W556" s="4878"/>
    </row>
    <row r="557" spans="1:121" s="1951" customFormat="1" ht="27" customHeight="1">
      <c r="A557" s="2384"/>
      <c r="B557" s="2385"/>
      <c r="C557" s="2385"/>
      <c r="D557" s="2396" t="s">
        <v>1992</v>
      </c>
      <c r="E557" s="2385"/>
      <c r="F557" s="2394"/>
      <c r="G557" s="2387"/>
      <c r="H557" s="2387"/>
      <c r="I557" s="2390"/>
      <c r="M557" s="4877"/>
      <c r="N557" s="4878"/>
      <c r="O557" s="4878"/>
      <c r="P557" s="4878"/>
      <c r="Q557" s="4878"/>
      <c r="R557" s="4878"/>
      <c r="S557" s="4878"/>
      <c r="T557" s="4878"/>
      <c r="U557" s="4878"/>
      <c r="V557" s="4878"/>
      <c r="W557" s="4878"/>
    </row>
    <row r="558" spans="1:121" s="251" customFormat="1" ht="13.5" customHeight="1">
      <c r="A558" s="2378"/>
      <c r="B558" s="2379"/>
      <c r="C558" s="2379">
        <v>751</v>
      </c>
      <c r="D558" s="2379" t="s">
        <v>1995</v>
      </c>
      <c r="E558" s="2379"/>
      <c r="F558" s="2397"/>
      <c r="G558" s="2560"/>
      <c r="H558" s="2381">
        <f>SUM(H559:H800)</f>
        <v>0</v>
      </c>
      <c r="I558" s="2382"/>
      <c r="J558" s="2390"/>
      <c r="K558" s="4945"/>
      <c r="L558" s="4878"/>
      <c r="M558" s="4878"/>
      <c r="N558" s="4878"/>
      <c r="O558" s="4878"/>
      <c r="P558" s="4878"/>
      <c r="Q558" s="4878"/>
      <c r="R558" s="4878"/>
      <c r="S558" s="4878"/>
      <c r="T558" s="4878"/>
      <c r="U558" s="4878"/>
      <c r="V558" s="4878"/>
      <c r="W558" s="4878"/>
    </row>
    <row r="559" spans="1:121" s="1951" customFormat="1" ht="13.5" customHeight="1">
      <c r="A559" s="2439">
        <v>70</v>
      </c>
      <c r="B559" s="2385">
        <v>751</v>
      </c>
      <c r="C559" s="2385" t="s">
        <v>1996</v>
      </c>
      <c r="D559" s="2385" t="s">
        <v>1997</v>
      </c>
      <c r="E559" s="2385" t="s">
        <v>49</v>
      </c>
      <c r="F559" s="2440">
        <f>F560*1</f>
        <v>1</v>
      </c>
      <c r="G559" s="5232" t="s">
        <v>3512</v>
      </c>
      <c r="H559" s="5233"/>
      <c r="I559" s="2390" t="s">
        <v>112</v>
      </c>
      <c r="J559" s="4878"/>
      <c r="K559" s="4945"/>
      <c r="L559" s="4878"/>
      <c r="M559" s="4946"/>
      <c r="N559" s="4878"/>
      <c r="O559" s="4878"/>
      <c r="P559" s="4878"/>
      <c r="Q559" s="4878"/>
      <c r="R559" s="4878"/>
      <c r="S559" s="4878"/>
      <c r="T559" s="4878"/>
      <c r="U559" s="4878"/>
      <c r="V559" s="4878"/>
      <c r="W559" s="4878"/>
    </row>
    <row r="560" spans="1:121" s="1951" customFormat="1" ht="13.5" customHeight="1">
      <c r="A560" s="2384"/>
      <c r="B560" s="2385"/>
      <c r="C560" s="2385"/>
      <c r="D560" s="2107" t="s">
        <v>1998</v>
      </c>
      <c r="E560" s="2385"/>
      <c r="F560" s="2441">
        <v>1</v>
      </c>
      <c r="G560" s="2559"/>
      <c r="H560" s="2387"/>
      <c r="I560" s="2390"/>
      <c r="J560" s="4947"/>
      <c r="K560" s="4945"/>
      <c r="L560" s="4878"/>
      <c r="M560" s="4946"/>
      <c r="N560" s="4878"/>
      <c r="O560" s="4878"/>
      <c r="P560" s="4878"/>
      <c r="Q560" s="4878"/>
      <c r="R560" s="4878"/>
      <c r="S560" s="4878"/>
      <c r="T560" s="4878"/>
      <c r="U560" s="4878"/>
      <c r="V560" s="4878"/>
      <c r="W560" s="4878"/>
    </row>
    <row r="561" spans="1:23" s="1951" customFormat="1" ht="55.5" customHeight="1">
      <c r="A561" s="2384"/>
      <c r="B561" s="2385"/>
      <c r="C561" s="2385"/>
      <c r="D561" s="2388" t="s">
        <v>1999</v>
      </c>
      <c r="E561" s="2385"/>
      <c r="F561" s="2442"/>
      <c r="G561" s="2559"/>
      <c r="H561" s="2387"/>
      <c r="I561" s="2390"/>
      <c r="J561" s="4948"/>
      <c r="K561" s="1806"/>
      <c r="M561" s="4877"/>
      <c r="N561" s="4878"/>
      <c r="O561" s="4878"/>
      <c r="P561" s="4878"/>
      <c r="Q561" s="4878"/>
      <c r="R561" s="4878"/>
      <c r="S561" s="4878"/>
      <c r="T561" s="4878"/>
      <c r="U561" s="4878"/>
      <c r="V561" s="4878"/>
      <c r="W561" s="4878"/>
    </row>
    <row r="562" spans="1:23" s="2447" customFormat="1" ht="13.5" customHeight="1">
      <c r="A562" s="263" t="s">
        <v>2974</v>
      </c>
      <c r="B562" s="265">
        <v>751</v>
      </c>
      <c r="C562" s="265" t="s">
        <v>3513</v>
      </c>
      <c r="D562" s="265" t="s">
        <v>3514</v>
      </c>
      <c r="E562" s="265" t="s">
        <v>205</v>
      </c>
      <c r="F562" s="2443">
        <f>ROUND(SUM(F564:F564),3)</f>
        <v>1</v>
      </c>
      <c r="G562" s="2561"/>
      <c r="H562" s="2445">
        <f t="shared" ref="H562" si="100">ROUND(F562*G562,2)</f>
        <v>0</v>
      </c>
      <c r="I562" s="2446" t="s">
        <v>111</v>
      </c>
      <c r="J562" s="4949"/>
      <c r="K562" s="233"/>
      <c r="L562" s="233"/>
      <c r="M562" s="233"/>
      <c r="N562" s="233"/>
      <c r="O562" s="233"/>
      <c r="P562" s="4949"/>
    </row>
    <row r="563" spans="1:23" s="2447" customFormat="1" ht="13.5" customHeight="1">
      <c r="A563" s="263"/>
      <c r="B563" s="265"/>
      <c r="C563" s="265"/>
      <c r="D563" s="265" t="s">
        <v>3515</v>
      </c>
      <c r="E563" s="2448"/>
      <c r="F563" s="267"/>
      <c r="G563" s="2562"/>
      <c r="H563" s="2449"/>
      <c r="I563" s="2446"/>
      <c r="J563" s="234"/>
      <c r="K563" s="4950"/>
      <c r="M563" s="4951"/>
    </row>
    <row r="564" spans="1:23" s="2447" customFormat="1" ht="13.5" customHeight="1">
      <c r="A564" s="2450"/>
      <c r="B564" s="2451"/>
      <c r="C564" s="2448"/>
      <c r="D564" s="2452" t="s">
        <v>260</v>
      </c>
      <c r="E564" s="2452"/>
      <c r="F564" s="2453">
        <v>1</v>
      </c>
      <c r="G564" s="2562"/>
      <c r="H564" s="2449"/>
      <c r="I564" s="2446"/>
      <c r="J564" s="234"/>
      <c r="K564" s="4952"/>
      <c r="M564" s="4953"/>
      <c r="T564" s="4949"/>
    </row>
    <row r="565" spans="1:23" s="2447" customFormat="1" ht="13.5" customHeight="1">
      <c r="A565" s="2450"/>
      <c r="B565" s="2451"/>
      <c r="C565" s="2448"/>
      <c r="D565" s="265" t="s">
        <v>3516</v>
      </c>
      <c r="E565" s="265"/>
      <c r="F565" s="2454"/>
      <c r="G565" s="2562"/>
      <c r="H565" s="2449"/>
      <c r="I565" s="2455"/>
      <c r="J565" s="4954"/>
    </row>
    <row r="566" spans="1:23" s="2447" customFormat="1" ht="13.5" customHeight="1">
      <c r="A566" s="263" t="s">
        <v>2975</v>
      </c>
      <c r="B566" s="265">
        <v>751</v>
      </c>
      <c r="C566" s="265" t="s">
        <v>3517</v>
      </c>
      <c r="D566" s="265" t="s">
        <v>3518</v>
      </c>
      <c r="E566" s="265" t="s">
        <v>205</v>
      </c>
      <c r="F566" s="2443">
        <f>ROUND(SUM(F568:F568),3)</f>
        <v>2</v>
      </c>
      <c r="G566" s="2561"/>
      <c r="H566" s="2445">
        <f t="shared" ref="H566" si="101">ROUND(F566*G566,2)</f>
        <v>0</v>
      </c>
      <c r="I566" s="2446" t="s">
        <v>111</v>
      </c>
      <c r="J566" s="4949"/>
      <c r="K566" s="233"/>
      <c r="L566" s="233"/>
      <c r="M566" s="233"/>
      <c r="N566" s="233"/>
      <c r="O566" s="233"/>
      <c r="P566" s="4949"/>
    </row>
    <row r="567" spans="1:23" s="2447" customFormat="1" ht="13.5" customHeight="1">
      <c r="A567" s="263"/>
      <c r="B567" s="265"/>
      <c r="C567" s="265"/>
      <c r="D567" s="265" t="s">
        <v>3515</v>
      </c>
      <c r="E567" s="2448"/>
      <c r="F567" s="267"/>
      <c r="G567" s="2562"/>
      <c r="H567" s="2449"/>
      <c r="I567" s="2446"/>
      <c r="J567" s="234"/>
      <c r="K567" s="4950"/>
      <c r="M567" s="4951"/>
    </row>
    <row r="568" spans="1:23" s="2447" customFormat="1" ht="13.5" customHeight="1">
      <c r="A568" s="2450"/>
      <c r="B568" s="2451"/>
      <c r="C568" s="2448"/>
      <c r="D568" s="2452" t="s">
        <v>3519</v>
      </c>
      <c r="E568" s="2452"/>
      <c r="F568" s="2453">
        <v>2</v>
      </c>
      <c r="G568" s="2562"/>
      <c r="H568" s="2449"/>
      <c r="I568" s="2446"/>
      <c r="J568" s="234"/>
      <c r="K568" s="4952"/>
      <c r="M568" s="4953"/>
      <c r="T568" s="4949"/>
    </row>
    <row r="569" spans="1:23" s="2447" customFormat="1" ht="13.5" customHeight="1">
      <c r="A569" s="2450"/>
      <c r="B569" s="2451"/>
      <c r="C569" s="2448"/>
      <c r="D569" s="265" t="s">
        <v>3516</v>
      </c>
      <c r="E569" s="265"/>
      <c r="F569" s="2454"/>
      <c r="G569" s="2562"/>
      <c r="H569" s="2449"/>
      <c r="I569" s="2455"/>
      <c r="J569" s="4954"/>
    </row>
    <row r="570" spans="1:23" s="2447" customFormat="1" ht="13.5" customHeight="1">
      <c r="A570" s="263" t="s">
        <v>2976</v>
      </c>
      <c r="B570" s="265">
        <v>751</v>
      </c>
      <c r="C570" s="265" t="s">
        <v>3520</v>
      </c>
      <c r="D570" s="265" t="s">
        <v>3521</v>
      </c>
      <c r="E570" s="265" t="s">
        <v>205</v>
      </c>
      <c r="F570" s="2443">
        <f>ROUND(SUM(F572:F573),3)</f>
        <v>18</v>
      </c>
      <c r="G570" s="2561"/>
      <c r="H570" s="2445">
        <f t="shared" ref="H570" si="102">ROUND(F570*G570,2)</f>
        <v>0</v>
      </c>
      <c r="I570" s="2446" t="s">
        <v>111</v>
      </c>
      <c r="J570" s="4949"/>
      <c r="K570" s="233"/>
      <c r="L570" s="233"/>
      <c r="M570" s="233"/>
      <c r="N570" s="233"/>
      <c r="O570" s="233"/>
      <c r="P570" s="4949"/>
    </row>
    <row r="571" spans="1:23" s="2447" customFormat="1" ht="13.5" customHeight="1">
      <c r="A571" s="263"/>
      <c r="B571" s="265"/>
      <c r="C571" s="265"/>
      <c r="D571" s="265" t="s">
        <v>3515</v>
      </c>
      <c r="E571" s="2448"/>
      <c r="F571" s="267"/>
      <c r="G571" s="2562"/>
      <c r="H571" s="2449"/>
      <c r="I571" s="2446"/>
      <c r="J571" s="234"/>
      <c r="K571" s="4950"/>
      <c r="M571" s="4951"/>
    </row>
    <row r="572" spans="1:23" s="2447" customFormat="1" ht="13.5" customHeight="1">
      <c r="A572" s="2450"/>
      <c r="B572" s="2451"/>
      <c r="C572" s="2448"/>
      <c r="D572" s="2452" t="s">
        <v>3522</v>
      </c>
      <c r="E572" s="2452"/>
      <c r="F572" s="2453">
        <v>12</v>
      </c>
      <c r="G572" s="2562"/>
      <c r="H572" s="2449"/>
      <c r="I572" s="2446"/>
      <c r="J572" s="234"/>
      <c r="K572" s="4952"/>
      <c r="M572" s="4953"/>
      <c r="T572" s="4949"/>
    </row>
    <row r="573" spans="1:23" s="2447" customFormat="1" ht="13.5" customHeight="1">
      <c r="A573" s="2450"/>
      <c r="B573" s="2451"/>
      <c r="C573" s="2448"/>
      <c r="D573" s="2452" t="s">
        <v>3523</v>
      </c>
      <c r="E573" s="2452"/>
      <c r="F573" s="2453">
        <v>6</v>
      </c>
      <c r="G573" s="2562"/>
      <c r="H573" s="2449"/>
      <c r="I573" s="2446"/>
      <c r="J573" s="234"/>
      <c r="K573" s="4952"/>
      <c r="M573" s="4953"/>
      <c r="T573" s="4949"/>
    </row>
    <row r="574" spans="1:23" s="2447" customFormat="1" ht="13.5" customHeight="1">
      <c r="A574" s="2450"/>
      <c r="B574" s="2451"/>
      <c r="C574" s="2448"/>
      <c r="D574" s="265" t="s">
        <v>3516</v>
      </c>
      <c r="E574" s="265"/>
      <c r="F574" s="2454"/>
      <c r="G574" s="2562"/>
      <c r="H574" s="2449"/>
      <c r="I574" s="2455"/>
      <c r="J574" s="4954"/>
    </row>
    <row r="575" spans="1:23" s="2447" customFormat="1" ht="13.5" customHeight="1">
      <c r="A575" s="263" t="s">
        <v>2977</v>
      </c>
      <c r="B575" s="265">
        <v>751</v>
      </c>
      <c r="C575" s="265" t="s">
        <v>3524</v>
      </c>
      <c r="D575" s="265" t="s">
        <v>3525</v>
      </c>
      <c r="E575" s="265" t="s">
        <v>205</v>
      </c>
      <c r="F575" s="2443">
        <f>ROUND(SUM(F577:F577),3)</f>
        <v>2</v>
      </c>
      <c r="G575" s="2561"/>
      <c r="H575" s="2445">
        <f t="shared" ref="H575" si="103">ROUND(F575*G575,2)</f>
        <v>0</v>
      </c>
      <c r="I575" s="2446" t="s">
        <v>111</v>
      </c>
      <c r="J575" s="4949"/>
      <c r="K575" s="233"/>
      <c r="L575" s="233"/>
      <c r="M575" s="233"/>
      <c r="N575" s="233"/>
      <c r="O575" s="233"/>
      <c r="P575" s="4949"/>
    </row>
    <row r="576" spans="1:23" s="2447" customFormat="1" ht="13.5" customHeight="1">
      <c r="A576" s="263"/>
      <c r="B576" s="265"/>
      <c r="C576" s="265"/>
      <c r="D576" s="265" t="s">
        <v>3515</v>
      </c>
      <c r="E576" s="2448"/>
      <c r="F576" s="267"/>
      <c r="G576" s="2562"/>
      <c r="H576" s="2449"/>
      <c r="I576" s="2446"/>
      <c r="J576" s="234"/>
      <c r="K576" s="4950"/>
      <c r="M576" s="4951"/>
    </row>
    <row r="577" spans="1:20" s="2447" customFormat="1" ht="13.5" customHeight="1">
      <c r="A577" s="2450"/>
      <c r="B577" s="2451"/>
      <c r="C577" s="2448"/>
      <c r="D577" s="2452" t="s">
        <v>3519</v>
      </c>
      <c r="E577" s="2452"/>
      <c r="F577" s="2453">
        <v>2</v>
      </c>
      <c r="G577" s="2562"/>
      <c r="H577" s="2449"/>
      <c r="I577" s="2446"/>
      <c r="J577" s="234"/>
      <c r="K577" s="4952"/>
      <c r="M577" s="4953"/>
      <c r="T577" s="4949"/>
    </row>
    <row r="578" spans="1:20" s="2447" customFormat="1" ht="13.5" customHeight="1">
      <c r="A578" s="2450"/>
      <c r="B578" s="2451"/>
      <c r="C578" s="2448"/>
      <c r="D578" s="265" t="s">
        <v>3516</v>
      </c>
      <c r="E578" s="265"/>
      <c r="F578" s="2454"/>
      <c r="G578" s="2562"/>
      <c r="H578" s="2449"/>
      <c r="I578" s="2455"/>
      <c r="J578" s="4954"/>
    </row>
    <row r="579" spans="1:20" s="2447" customFormat="1" ht="13.5" customHeight="1">
      <c r="A579" s="263" t="s">
        <v>3526</v>
      </c>
      <c r="B579" s="265">
        <v>751</v>
      </c>
      <c r="C579" s="265" t="s">
        <v>3527</v>
      </c>
      <c r="D579" s="265" t="s">
        <v>3528</v>
      </c>
      <c r="E579" s="265" t="s">
        <v>205</v>
      </c>
      <c r="F579" s="2443">
        <f>ROUND(SUM(F581:F581),3)</f>
        <v>2</v>
      </c>
      <c r="G579" s="2561"/>
      <c r="H579" s="2445">
        <f t="shared" ref="H579" si="104">ROUND(F579*G579,2)</f>
        <v>0</v>
      </c>
      <c r="I579" s="2446" t="s">
        <v>111</v>
      </c>
      <c r="J579" s="4949"/>
      <c r="K579" s="233"/>
      <c r="L579" s="233"/>
      <c r="M579" s="233"/>
      <c r="N579" s="233"/>
      <c r="O579" s="233"/>
      <c r="P579" s="4949"/>
    </row>
    <row r="580" spans="1:20" s="2447" customFormat="1" ht="13.5" customHeight="1">
      <c r="A580" s="263"/>
      <c r="B580" s="265"/>
      <c r="C580" s="265"/>
      <c r="D580" s="265" t="s">
        <v>3515</v>
      </c>
      <c r="E580" s="2448"/>
      <c r="F580" s="267"/>
      <c r="G580" s="2562"/>
      <c r="H580" s="2449"/>
      <c r="I580" s="2446"/>
      <c r="J580" s="234"/>
      <c r="K580" s="4950"/>
      <c r="M580" s="4951"/>
    </row>
    <row r="581" spans="1:20" s="2447" customFormat="1" ht="13.5" customHeight="1">
      <c r="A581" s="2450"/>
      <c r="B581" s="2451"/>
      <c r="C581" s="2448"/>
      <c r="D581" s="2452" t="s">
        <v>3529</v>
      </c>
      <c r="E581" s="2452"/>
      <c r="F581" s="2453">
        <v>2</v>
      </c>
      <c r="G581" s="2562"/>
      <c r="H581" s="2449"/>
      <c r="I581" s="2446"/>
      <c r="J581" s="234"/>
      <c r="K581" s="4952"/>
      <c r="M581" s="4953"/>
      <c r="T581" s="4949"/>
    </row>
    <row r="582" spans="1:20" s="2447" customFormat="1" ht="13.5" customHeight="1">
      <c r="A582" s="2450"/>
      <c r="B582" s="2451"/>
      <c r="C582" s="2448"/>
      <c r="D582" s="265" t="s">
        <v>3516</v>
      </c>
      <c r="E582" s="265"/>
      <c r="F582" s="2454"/>
      <c r="G582" s="2562"/>
      <c r="H582" s="2449"/>
      <c r="I582" s="2455"/>
      <c r="J582" s="4954"/>
    </row>
    <row r="583" spans="1:20" s="2447" customFormat="1" ht="13.5" customHeight="1">
      <c r="A583" s="263" t="s">
        <v>3530</v>
      </c>
      <c r="B583" s="265">
        <v>751</v>
      </c>
      <c r="C583" s="265" t="s">
        <v>3531</v>
      </c>
      <c r="D583" s="265" t="s">
        <v>3532</v>
      </c>
      <c r="E583" s="265" t="s">
        <v>205</v>
      </c>
      <c r="F583" s="2443">
        <f>ROUND(SUM(F585:F585),3)</f>
        <v>2</v>
      </c>
      <c r="G583" s="2561"/>
      <c r="H583" s="2445">
        <f t="shared" ref="H583" si="105">ROUND(F583*G583,2)</f>
        <v>0</v>
      </c>
      <c r="I583" s="2446" t="s">
        <v>111</v>
      </c>
      <c r="J583" s="4949"/>
      <c r="K583" s="233"/>
      <c r="L583" s="233"/>
      <c r="M583" s="233"/>
      <c r="N583" s="233"/>
      <c r="O583" s="233"/>
      <c r="P583" s="4949"/>
    </row>
    <row r="584" spans="1:20" s="2447" customFormat="1" ht="13.5" customHeight="1">
      <c r="A584" s="263"/>
      <c r="B584" s="265"/>
      <c r="C584" s="265"/>
      <c r="D584" s="265" t="s">
        <v>3515</v>
      </c>
      <c r="E584" s="2448"/>
      <c r="F584" s="267"/>
      <c r="G584" s="2562"/>
      <c r="H584" s="2449"/>
      <c r="I584" s="2446"/>
      <c r="J584" s="234"/>
      <c r="K584" s="4950"/>
      <c r="M584" s="4951"/>
    </row>
    <row r="585" spans="1:20" s="2447" customFormat="1" ht="13.5" customHeight="1">
      <c r="A585" s="2450"/>
      <c r="B585" s="2451"/>
      <c r="C585" s="2448"/>
      <c r="D585" s="2452" t="s">
        <v>3529</v>
      </c>
      <c r="E585" s="2452"/>
      <c r="F585" s="2453">
        <v>2</v>
      </c>
      <c r="G585" s="2562"/>
      <c r="H585" s="2449"/>
      <c r="I585" s="2446"/>
      <c r="J585" s="234"/>
      <c r="K585" s="4952"/>
      <c r="M585" s="4953"/>
      <c r="T585" s="4949"/>
    </row>
    <row r="586" spans="1:20" s="2447" customFormat="1" ht="13.5" customHeight="1">
      <c r="A586" s="2450"/>
      <c r="B586" s="2451"/>
      <c r="C586" s="2448"/>
      <c r="D586" s="265" t="s">
        <v>3516</v>
      </c>
      <c r="E586" s="265"/>
      <c r="F586" s="2454"/>
      <c r="G586" s="2562"/>
      <c r="H586" s="2449"/>
      <c r="I586" s="2455"/>
      <c r="J586" s="4954"/>
    </row>
    <row r="587" spans="1:20" s="2447" customFormat="1" ht="27" customHeight="1">
      <c r="A587" s="263" t="s">
        <v>3533</v>
      </c>
      <c r="B587" s="265">
        <v>751</v>
      </c>
      <c r="C587" s="265" t="s">
        <v>3534</v>
      </c>
      <c r="D587" s="265" t="s">
        <v>3535</v>
      </c>
      <c r="E587" s="265" t="s">
        <v>205</v>
      </c>
      <c r="F587" s="2443">
        <f>ROUND(SUM(F589),3)</f>
        <v>3</v>
      </c>
      <c r="G587" s="2561"/>
      <c r="H587" s="2445">
        <f t="shared" ref="H587" si="106">ROUND(F587*G587,2)</f>
        <v>0</v>
      </c>
      <c r="I587" s="2446" t="s">
        <v>111</v>
      </c>
      <c r="J587" s="4949"/>
      <c r="K587" s="4955"/>
      <c r="L587" s="4956"/>
      <c r="M587" s="4956"/>
      <c r="N587" s="4956"/>
      <c r="O587" s="4956"/>
      <c r="P587" s="4949"/>
    </row>
    <row r="588" spans="1:20" s="2447" customFormat="1" ht="13.5" customHeight="1">
      <c r="A588" s="263"/>
      <c r="B588" s="265"/>
      <c r="C588" s="265"/>
      <c r="D588" s="265" t="s">
        <v>3536</v>
      </c>
      <c r="E588" s="2448"/>
      <c r="F588" s="267"/>
      <c r="G588" s="2561"/>
      <c r="H588" s="2444"/>
      <c r="I588" s="2446"/>
      <c r="J588" s="4957"/>
      <c r="K588" s="4950"/>
      <c r="M588" s="4951"/>
    </row>
    <row r="589" spans="1:20" s="2447" customFormat="1" ht="13.5" customHeight="1">
      <c r="A589" s="2450"/>
      <c r="B589" s="2451"/>
      <c r="C589" s="2448"/>
      <c r="D589" s="2452" t="s">
        <v>3537</v>
      </c>
      <c r="E589" s="2452"/>
      <c r="F589" s="2453">
        <v>3</v>
      </c>
      <c r="G589" s="2562"/>
      <c r="H589" s="2449"/>
      <c r="I589" s="2446"/>
      <c r="J589" s="4954"/>
      <c r="K589" s="4952"/>
      <c r="M589" s="4951"/>
    </row>
    <row r="590" spans="1:20" s="2447" customFormat="1" ht="13.5" customHeight="1">
      <c r="A590" s="2450"/>
      <c r="B590" s="2451"/>
      <c r="C590" s="2448"/>
      <c r="D590" s="265" t="s">
        <v>3538</v>
      </c>
      <c r="E590" s="2452"/>
      <c r="F590" s="2453"/>
      <c r="G590" s="2562"/>
      <c r="H590" s="2449"/>
      <c r="I590" s="2446"/>
      <c r="J590" s="4958"/>
      <c r="K590" s="4952"/>
      <c r="M590" s="4951"/>
    </row>
    <row r="591" spans="1:20" s="2447" customFormat="1" ht="27" customHeight="1">
      <c r="A591" s="263" t="s">
        <v>3539</v>
      </c>
      <c r="B591" s="265">
        <v>751</v>
      </c>
      <c r="C591" s="265" t="s">
        <v>3540</v>
      </c>
      <c r="D591" s="265" t="s">
        <v>3541</v>
      </c>
      <c r="E591" s="265" t="s">
        <v>205</v>
      </c>
      <c r="F591" s="2443">
        <f>ROUND(SUM(F593),3)</f>
        <v>15</v>
      </c>
      <c r="G591" s="2561"/>
      <c r="H591" s="2445">
        <f t="shared" ref="H591" si="107">ROUND(F591*G591,2)</f>
        <v>0</v>
      </c>
      <c r="I591" s="2446" t="s">
        <v>111</v>
      </c>
      <c r="J591" s="4949"/>
      <c r="K591" s="4955"/>
      <c r="L591" s="4956"/>
      <c r="M591" s="4956"/>
      <c r="N591" s="4956"/>
      <c r="O591" s="4956"/>
      <c r="P591" s="4949"/>
    </row>
    <row r="592" spans="1:20" s="2447" customFormat="1" ht="13.5" customHeight="1">
      <c r="A592" s="263"/>
      <c r="B592" s="265"/>
      <c r="C592" s="265"/>
      <c r="D592" s="265" t="s">
        <v>3542</v>
      </c>
      <c r="E592" s="2448"/>
      <c r="F592" s="267"/>
      <c r="G592" s="2561"/>
      <c r="H592" s="2444"/>
      <c r="I592" s="2446"/>
      <c r="J592" s="4957"/>
      <c r="K592" s="4950"/>
      <c r="M592" s="4951"/>
    </row>
    <row r="593" spans="1:16" s="2447" customFormat="1" ht="13.5" customHeight="1">
      <c r="A593" s="2450"/>
      <c r="B593" s="2451"/>
      <c r="C593" s="2448"/>
      <c r="D593" s="2452" t="s">
        <v>3543</v>
      </c>
      <c r="E593" s="2452"/>
      <c r="F593" s="2453">
        <v>15</v>
      </c>
      <c r="G593" s="2562"/>
      <c r="H593" s="2449"/>
      <c r="I593" s="2446"/>
      <c r="J593" s="4954"/>
      <c r="K593" s="4952"/>
      <c r="M593" s="4951"/>
    </row>
    <row r="594" spans="1:16" s="2447" customFormat="1" ht="13.5" customHeight="1">
      <c r="A594" s="2450"/>
      <c r="B594" s="2451"/>
      <c r="C594" s="2448"/>
      <c r="D594" s="265" t="s">
        <v>3538</v>
      </c>
      <c r="E594" s="2452"/>
      <c r="F594" s="2453"/>
      <c r="G594" s="2562"/>
      <c r="H594" s="2449"/>
      <c r="I594" s="2446"/>
      <c r="J594" s="4958"/>
      <c r="K594" s="4952"/>
      <c r="M594" s="4951"/>
    </row>
    <row r="595" spans="1:16" s="2447" customFormat="1" ht="27" customHeight="1">
      <c r="A595" s="263" t="s">
        <v>3544</v>
      </c>
      <c r="B595" s="265">
        <v>751</v>
      </c>
      <c r="C595" s="265" t="s">
        <v>3545</v>
      </c>
      <c r="D595" s="265" t="s">
        <v>3546</v>
      </c>
      <c r="E595" s="265" t="s">
        <v>205</v>
      </c>
      <c r="F595" s="2443">
        <f>ROUND(SUM(F597),3)</f>
        <v>2</v>
      </c>
      <c r="G595" s="2561"/>
      <c r="H595" s="2445">
        <f t="shared" ref="H595" si="108">ROUND(F595*G595,2)</f>
        <v>0</v>
      </c>
      <c r="I595" s="2446" t="s">
        <v>111</v>
      </c>
      <c r="J595" s="4949"/>
      <c r="K595" s="4955"/>
      <c r="L595" s="4956"/>
      <c r="M595" s="4956"/>
      <c r="N595" s="4956"/>
      <c r="O595" s="4956"/>
      <c r="P595" s="4949"/>
    </row>
    <row r="596" spans="1:16" s="2447" customFormat="1" ht="13.5" customHeight="1">
      <c r="A596" s="263"/>
      <c r="B596" s="265"/>
      <c r="C596" s="265"/>
      <c r="D596" s="265" t="s">
        <v>3547</v>
      </c>
      <c r="E596" s="2448"/>
      <c r="F596" s="267"/>
      <c r="G596" s="2561"/>
      <c r="H596" s="2444"/>
      <c r="I596" s="2446"/>
      <c r="J596" s="4957"/>
      <c r="K596" s="4950"/>
      <c r="M596" s="4951"/>
    </row>
    <row r="597" spans="1:16" s="2447" customFormat="1" ht="13.5" customHeight="1">
      <c r="A597" s="2450"/>
      <c r="B597" s="2451"/>
      <c r="C597" s="2448"/>
      <c r="D597" s="2452" t="s">
        <v>3519</v>
      </c>
      <c r="E597" s="2452"/>
      <c r="F597" s="2453">
        <v>2</v>
      </c>
      <c r="G597" s="2562"/>
      <c r="H597" s="2449"/>
      <c r="I597" s="2446"/>
      <c r="J597" s="4954"/>
      <c r="K597" s="4952"/>
      <c r="M597" s="4951"/>
    </row>
    <row r="598" spans="1:16" s="2447" customFormat="1" ht="13.5" customHeight="1">
      <c r="A598" s="2450"/>
      <c r="B598" s="2451"/>
      <c r="C598" s="2448"/>
      <c r="D598" s="265" t="s">
        <v>3538</v>
      </c>
      <c r="E598" s="2452"/>
      <c r="F598" s="2453"/>
      <c r="G598" s="2562"/>
      <c r="H598" s="2449"/>
      <c r="I598" s="2446"/>
      <c r="J598" s="4958"/>
      <c r="K598" s="4952"/>
      <c r="M598" s="4951"/>
    </row>
    <row r="599" spans="1:16" s="2447" customFormat="1" ht="27" customHeight="1">
      <c r="A599" s="263" t="s">
        <v>3548</v>
      </c>
      <c r="B599" s="265">
        <v>751</v>
      </c>
      <c r="C599" s="265" t="s">
        <v>3549</v>
      </c>
      <c r="D599" s="265" t="s">
        <v>3550</v>
      </c>
      <c r="E599" s="265" t="s">
        <v>205</v>
      </c>
      <c r="F599" s="2443">
        <f>ROUND(SUM(F601),3)</f>
        <v>5</v>
      </c>
      <c r="G599" s="2561"/>
      <c r="H599" s="2445">
        <f t="shared" ref="H599" si="109">ROUND(F599*G599,2)</f>
        <v>0</v>
      </c>
      <c r="I599" s="2446" t="s">
        <v>111</v>
      </c>
      <c r="J599" s="4949"/>
      <c r="K599" s="4955"/>
      <c r="L599" s="4956"/>
      <c r="M599" s="4956"/>
      <c r="N599" s="4956"/>
      <c r="O599" s="4956"/>
      <c r="P599" s="4949"/>
    </row>
    <row r="600" spans="1:16" s="2447" customFormat="1" ht="13.5" customHeight="1">
      <c r="A600" s="263"/>
      <c r="B600" s="265"/>
      <c r="C600" s="265"/>
      <c r="D600" s="265" t="s">
        <v>3551</v>
      </c>
      <c r="E600" s="2448"/>
      <c r="F600" s="267"/>
      <c r="G600" s="2561"/>
      <c r="H600" s="2444"/>
      <c r="I600" s="2446"/>
      <c r="J600" s="4957"/>
      <c r="K600" s="4950"/>
      <c r="M600" s="4951"/>
    </row>
    <row r="601" spans="1:16" s="2447" customFormat="1" ht="13.5" customHeight="1">
      <c r="A601" s="2450"/>
      <c r="B601" s="2451"/>
      <c r="C601" s="2448"/>
      <c r="D601" s="2452" t="s">
        <v>3552</v>
      </c>
      <c r="E601" s="2452"/>
      <c r="F601" s="2453">
        <v>5</v>
      </c>
      <c r="G601" s="2562"/>
      <c r="H601" s="2449"/>
      <c r="I601" s="2446"/>
      <c r="J601" s="4954"/>
      <c r="K601" s="4952"/>
      <c r="M601" s="4953"/>
    </row>
    <row r="602" spans="1:16" s="2447" customFormat="1" ht="13.5" customHeight="1">
      <c r="A602" s="2450"/>
      <c r="B602" s="2451"/>
      <c r="C602" s="2448"/>
      <c r="D602" s="265" t="s">
        <v>3538</v>
      </c>
      <c r="E602" s="265"/>
      <c r="F602" s="2454"/>
      <c r="G602" s="2562"/>
      <c r="H602" s="2449"/>
      <c r="I602" s="2455"/>
      <c r="J602" s="4959"/>
    </row>
    <row r="603" spans="1:16" s="2447" customFormat="1" ht="27" customHeight="1">
      <c r="A603" s="263" t="s">
        <v>3553</v>
      </c>
      <c r="B603" s="265">
        <v>751</v>
      </c>
      <c r="C603" s="265" t="s">
        <v>3554</v>
      </c>
      <c r="D603" s="265" t="s">
        <v>3555</v>
      </c>
      <c r="E603" s="265" t="s">
        <v>205</v>
      </c>
      <c r="F603" s="2443">
        <f>ROUND(SUM(F605:F606),3)</f>
        <v>7</v>
      </c>
      <c r="G603" s="2561"/>
      <c r="H603" s="2445">
        <f t="shared" ref="H603" si="110">ROUND(F603*G603,2)</f>
        <v>0</v>
      </c>
      <c r="I603" s="2446" t="s">
        <v>111</v>
      </c>
      <c r="J603" s="4949"/>
      <c r="K603" s="4955"/>
      <c r="L603" s="4956"/>
      <c r="M603" s="4956"/>
      <c r="N603" s="4956"/>
      <c r="O603" s="4956"/>
      <c r="P603" s="4949"/>
    </row>
    <row r="604" spans="1:16" s="2447" customFormat="1" ht="13.5" customHeight="1">
      <c r="A604" s="263"/>
      <c r="B604" s="265"/>
      <c r="C604" s="265"/>
      <c r="D604" s="265" t="s">
        <v>3556</v>
      </c>
      <c r="E604" s="2448"/>
      <c r="F604" s="267"/>
      <c r="G604" s="2561"/>
      <c r="H604" s="2444"/>
      <c r="I604" s="2446"/>
      <c r="J604" s="4957"/>
      <c r="K604" s="4950"/>
      <c r="M604" s="4951"/>
    </row>
    <row r="605" spans="1:16" s="2447" customFormat="1" ht="13.5" customHeight="1">
      <c r="A605" s="2450"/>
      <c r="B605" s="2451"/>
      <c r="C605" s="2448"/>
      <c r="D605" s="2452" t="s">
        <v>3537</v>
      </c>
      <c r="E605" s="2452"/>
      <c r="F605" s="2453">
        <v>3</v>
      </c>
      <c r="G605" s="2562"/>
      <c r="H605" s="2449"/>
      <c r="I605" s="2446"/>
      <c r="J605" s="4954"/>
      <c r="K605" s="4952"/>
      <c r="M605" s="4953"/>
    </row>
    <row r="606" spans="1:16" s="2447" customFormat="1" ht="13.5" customHeight="1">
      <c r="A606" s="2450"/>
      <c r="B606" s="2451"/>
      <c r="C606" s="2448"/>
      <c r="D606" s="2452" t="s">
        <v>3557</v>
      </c>
      <c r="E606" s="2452"/>
      <c r="F606" s="2453">
        <v>4</v>
      </c>
      <c r="G606" s="2562"/>
      <c r="H606" s="2449"/>
      <c r="I606" s="2446"/>
      <c r="J606" s="4954"/>
      <c r="K606" s="4952"/>
      <c r="M606" s="4953"/>
    </row>
    <row r="607" spans="1:16" s="2447" customFormat="1" ht="13.5" customHeight="1">
      <c r="A607" s="2450"/>
      <c r="B607" s="2451"/>
      <c r="C607" s="2448"/>
      <c r="D607" s="265" t="s">
        <v>3538</v>
      </c>
      <c r="E607" s="265"/>
      <c r="F607" s="2454"/>
      <c r="G607" s="2562"/>
      <c r="H607" s="2449"/>
      <c r="I607" s="2455"/>
      <c r="J607" s="4959"/>
    </row>
    <row r="608" spans="1:16" s="2447" customFormat="1" ht="27" customHeight="1">
      <c r="A608" s="263" t="s">
        <v>3558</v>
      </c>
      <c r="B608" s="265">
        <v>751</v>
      </c>
      <c r="C608" s="265" t="s">
        <v>3559</v>
      </c>
      <c r="D608" s="265" t="s">
        <v>3560</v>
      </c>
      <c r="E608" s="265" t="s">
        <v>205</v>
      </c>
      <c r="F608" s="2443">
        <f>ROUND(SUM(F610:F610),3)</f>
        <v>2</v>
      </c>
      <c r="G608" s="2561"/>
      <c r="H608" s="2445">
        <f t="shared" ref="H608" si="111">ROUND(F608*G608,2)</f>
        <v>0</v>
      </c>
      <c r="I608" s="2446" t="s">
        <v>111</v>
      </c>
      <c r="J608" s="4949"/>
      <c r="K608" s="4955"/>
      <c r="L608" s="4956"/>
      <c r="M608" s="4956"/>
      <c r="N608" s="4956"/>
      <c r="O608" s="4956"/>
      <c r="P608" s="4949"/>
    </row>
    <row r="609" spans="1:17" s="2447" customFormat="1" ht="13.5" customHeight="1">
      <c r="A609" s="263"/>
      <c r="B609" s="265"/>
      <c r="C609" s="265"/>
      <c r="D609" s="265" t="s">
        <v>3561</v>
      </c>
      <c r="E609" s="2448"/>
      <c r="F609" s="267"/>
      <c r="G609" s="2561"/>
      <c r="H609" s="2444"/>
      <c r="I609" s="2446"/>
      <c r="J609" s="4957"/>
      <c r="K609" s="4950"/>
      <c r="M609" s="4951"/>
    </row>
    <row r="610" spans="1:17" s="2447" customFormat="1" ht="13.5" customHeight="1">
      <c r="A610" s="2450"/>
      <c r="B610" s="2451"/>
      <c r="C610" s="2448"/>
      <c r="D610" s="2452" t="s">
        <v>3519</v>
      </c>
      <c r="E610" s="2452"/>
      <c r="F610" s="2453">
        <v>2</v>
      </c>
      <c r="G610" s="2562"/>
      <c r="H610" s="2449"/>
      <c r="I610" s="2446"/>
      <c r="J610" s="4954"/>
      <c r="K610" s="4952"/>
      <c r="M610" s="4953"/>
    </row>
    <row r="611" spans="1:17" s="2447" customFormat="1" ht="13.5" customHeight="1">
      <c r="A611" s="2450"/>
      <c r="B611" s="2451"/>
      <c r="C611" s="2448"/>
      <c r="D611" s="265" t="s">
        <v>3538</v>
      </c>
      <c r="E611" s="265"/>
      <c r="F611" s="2454"/>
      <c r="G611" s="2562"/>
      <c r="H611" s="2449"/>
      <c r="I611" s="2455"/>
      <c r="J611" s="4959"/>
    </row>
    <row r="612" spans="1:17" s="2447" customFormat="1" ht="27" customHeight="1">
      <c r="A612" s="263" t="s">
        <v>3562</v>
      </c>
      <c r="B612" s="265">
        <v>751</v>
      </c>
      <c r="C612" s="265" t="s">
        <v>3563</v>
      </c>
      <c r="D612" s="265" t="s">
        <v>3564</v>
      </c>
      <c r="E612" s="265" t="s">
        <v>205</v>
      </c>
      <c r="F612" s="2443">
        <f>ROUND(SUM(F614:F614),3)</f>
        <v>6</v>
      </c>
      <c r="G612" s="2561"/>
      <c r="H612" s="2445">
        <f t="shared" ref="H612" si="112">ROUND(F612*G612,2)</f>
        <v>0</v>
      </c>
      <c r="I612" s="2446" t="s">
        <v>111</v>
      </c>
      <c r="J612" s="4949"/>
      <c r="K612" s="4955"/>
      <c r="L612" s="4956"/>
      <c r="M612" s="4956"/>
      <c r="N612" s="4956"/>
      <c r="O612" s="4956"/>
      <c r="P612" s="4949"/>
    </row>
    <row r="613" spans="1:17" s="2447" customFormat="1" ht="13.5" customHeight="1">
      <c r="A613" s="263"/>
      <c r="B613" s="265"/>
      <c r="C613" s="265"/>
      <c r="D613" s="265" t="s">
        <v>3565</v>
      </c>
      <c r="E613" s="2448"/>
      <c r="F613" s="267"/>
      <c r="G613" s="2561"/>
      <c r="H613" s="2444"/>
      <c r="I613" s="2446"/>
      <c r="J613" s="4957"/>
      <c r="K613" s="4950"/>
      <c r="M613" s="4951"/>
    </row>
    <row r="614" spans="1:17" s="2447" customFormat="1" ht="13.5" customHeight="1">
      <c r="A614" s="2450"/>
      <c r="B614" s="2451"/>
      <c r="C614" s="2448"/>
      <c r="D614" s="2452" t="s">
        <v>3523</v>
      </c>
      <c r="E614" s="2452"/>
      <c r="F614" s="2453">
        <v>6</v>
      </c>
      <c r="G614" s="2562"/>
      <c r="H614" s="2449"/>
      <c r="I614" s="2446"/>
      <c r="J614" s="4954"/>
      <c r="K614" s="4952"/>
      <c r="M614" s="4953"/>
    </row>
    <row r="615" spans="1:17" s="2447" customFormat="1" ht="13.5" customHeight="1">
      <c r="A615" s="2450"/>
      <c r="B615" s="2451"/>
      <c r="C615" s="2448"/>
      <c r="D615" s="265" t="s">
        <v>3538</v>
      </c>
      <c r="E615" s="265"/>
      <c r="F615" s="2454"/>
      <c r="G615" s="2562"/>
      <c r="H615" s="2449"/>
      <c r="I615" s="2455"/>
      <c r="J615" s="4959"/>
    </row>
    <row r="616" spans="1:17" s="233" customFormat="1" ht="13.5" customHeight="1">
      <c r="A616" s="263" t="s">
        <v>3566</v>
      </c>
      <c r="B616" s="265">
        <v>751</v>
      </c>
      <c r="C616" s="265" t="s">
        <v>3567</v>
      </c>
      <c r="D616" s="265" t="s">
        <v>3568</v>
      </c>
      <c r="E616" s="265" t="s">
        <v>205</v>
      </c>
      <c r="F616" s="2443">
        <f>ROUND(SUM(F618:F618),3)</f>
        <v>15</v>
      </c>
      <c r="G616" s="2561"/>
      <c r="H616" s="2445">
        <f t="shared" ref="H616" si="113">ROUND(F616*G616,2)</f>
        <v>0</v>
      </c>
      <c r="I616" s="2446" t="s">
        <v>111</v>
      </c>
      <c r="J616" s="4949"/>
      <c r="Q616" s="4949"/>
    </row>
    <row r="617" spans="1:17" s="233" customFormat="1" ht="13.5" customHeight="1">
      <c r="A617" s="2450"/>
      <c r="B617" s="2451"/>
      <c r="C617" s="2448"/>
      <c r="D617" s="265" t="s">
        <v>3569</v>
      </c>
      <c r="E617" s="2448"/>
      <c r="F617" s="2456"/>
      <c r="G617" s="2562"/>
      <c r="H617" s="2449"/>
      <c r="I617" s="2446"/>
      <c r="J617" s="4957"/>
      <c r="K617" s="2447"/>
      <c r="L617" s="4960"/>
      <c r="M617" s="4961"/>
      <c r="P617" s="4962"/>
    </row>
    <row r="618" spans="1:17" s="233" customFormat="1" ht="13.5" customHeight="1">
      <c r="A618" s="2450"/>
      <c r="B618" s="2451"/>
      <c r="C618" s="2448"/>
      <c r="D618" s="2452" t="s">
        <v>3570</v>
      </c>
      <c r="E618" s="2452"/>
      <c r="F618" s="2453">
        <v>15</v>
      </c>
      <c r="G618" s="2562"/>
      <c r="H618" s="2449"/>
      <c r="I618" s="2446"/>
      <c r="J618" s="4954"/>
      <c r="K618" s="2447"/>
      <c r="M618" s="4963"/>
      <c r="N618" s="4963"/>
      <c r="O618" s="2447"/>
      <c r="P618" s="4957"/>
    </row>
    <row r="619" spans="1:17" s="233" customFormat="1" ht="13.5" customHeight="1">
      <c r="A619" s="2439"/>
      <c r="B619" s="265"/>
      <c r="C619" s="265"/>
      <c r="D619" s="265" t="s">
        <v>3571</v>
      </c>
      <c r="E619" s="265"/>
      <c r="F619" s="267"/>
      <c r="G619" s="2562"/>
      <c r="H619" s="2444"/>
      <c r="I619" s="2446"/>
      <c r="L619" s="4964"/>
    </row>
    <row r="620" spans="1:17" s="233" customFormat="1" ht="13.5" customHeight="1">
      <c r="A620" s="263" t="s">
        <v>3572</v>
      </c>
      <c r="B620" s="265">
        <v>751</v>
      </c>
      <c r="C620" s="265" t="s">
        <v>3573</v>
      </c>
      <c r="D620" s="265" t="s">
        <v>3574</v>
      </c>
      <c r="E620" s="265" t="s">
        <v>205</v>
      </c>
      <c r="F620" s="2443">
        <f>ROUND(SUM(F622:F622),3)</f>
        <v>9</v>
      </c>
      <c r="G620" s="2561"/>
      <c r="H620" s="2445">
        <f t="shared" ref="H620" si="114">ROUND(F620*G620,2)</f>
        <v>0</v>
      </c>
      <c r="I620" s="2446" t="s">
        <v>111</v>
      </c>
      <c r="J620" s="4949"/>
      <c r="Q620" s="4949"/>
    </row>
    <row r="621" spans="1:17" s="233" customFormat="1" ht="13.5" customHeight="1">
      <c r="A621" s="2450"/>
      <c r="B621" s="2451"/>
      <c r="C621" s="2448"/>
      <c r="D621" s="265" t="s">
        <v>3569</v>
      </c>
      <c r="E621" s="2448"/>
      <c r="F621" s="2456"/>
      <c r="G621" s="2562"/>
      <c r="H621" s="2449"/>
      <c r="I621" s="2446"/>
      <c r="J621" s="4957"/>
      <c r="K621" s="2447"/>
      <c r="L621" s="4960"/>
      <c r="M621" s="4961"/>
      <c r="P621" s="4962"/>
    </row>
    <row r="622" spans="1:17" s="2447" customFormat="1" ht="13.5" customHeight="1">
      <c r="A622" s="2450"/>
      <c r="B622" s="2451"/>
      <c r="C622" s="2448"/>
      <c r="D622" s="2452" t="s">
        <v>3575</v>
      </c>
      <c r="E622" s="2452"/>
      <c r="F622" s="2453">
        <v>9</v>
      </c>
      <c r="G622" s="2562"/>
      <c r="H622" s="2449"/>
      <c r="I622" s="2446"/>
      <c r="J622" s="4954"/>
      <c r="K622" s="4952"/>
      <c r="M622" s="4953"/>
      <c r="P622" s="4949"/>
    </row>
    <row r="623" spans="1:17" s="233" customFormat="1" ht="13.5" customHeight="1">
      <c r="A623" s="2439"/>
      <c r="B623" s="265"/>
      <c r="C623" s="265"/>
      <c r="D623" s="265" t="s">
        <v>3571</v>
      </c>
      <c r="E623" s="265"/>
      <c r="F623" s="267"/>
      <c r="G623" s="2562"/>
      <c r="H623" s="2444"/>
      <c r="I623" s="2446"/>
      <c r="J623" s="4954"/>
      <c r="L623" s="4964"/>
    </row>
    <row r="624" spans="1:17" s="233" customFormat="1" ht="13.5" customHeight="1">
      <c r="A624" s="263" t="s">
        <v>3576</v>
      </c>
      <c r="B624" s="265">
        <v>751</v>
      </c>
      <c r="C624" s="265" t="s">
        <v>3577</v>
      </c>
      <c r="D624" s="265" t="s">
        <v>3578</v>
      </c>
      <c r="E624" s="265" t="s">
        <v>205</v>
      </c>
      <c r="F624" s="2443">
        <f>ROUND(SUM(F626:F626),3)</f>
        <v>3</v>
      </c>
      <c r="G624" s="2561"/>
      <c r="H624" s="2445">
        <f t="shared" ref="H624" si="115">ROUND(F624*G624,2)</f>
        <v>0</v>
      </c>
      <c r="I624" s="2446" t="s">
        <v>111</v>
      </c>
      <c r="J624" s="4949"/>
      <c r="Q624" s="4949"/>
    </row>
    <row r="625" spans="1:17" s="233" customFormat="1" ht="13.5" customHeight="1">
      <c r="A625" s="2450"/>
      <c r="B625" s="2451"/>
      <c r="C625" s="2448"/>
      <c r="D625" s="265" t="s">
        <v>3569</v>
      </c>
      <c r="E625" s="2448"/>
      <c r="F625" s="2456"/>
      <c r="G625" s="2562"/>
      <c r="H625" s="2449"/>
      <c r="I625" s="2446"/>
      <c r="J625" s="4957"/>
      <c r="K625" s="2447"/>
      <c r="L625" s="4960"/>
      <c r="M625" s="4961"/>
      <c r="P625" s="4962"/>
    </row>
    <row r="626" spans="1:17" s="2447" customFormat="1" ht="13.5" customHeight="1">
      <c r="A626" s="2450"/>
      <c r="B626" s="2451"/>
      <c r="C626" s="2448"/>
      <c r="D626" s="2452" t="s">
        <v>3537</v>
      </c>
      <c r="E626" s="2452"/>
      <c r="F626" s="2453">
        <v>3</v>
      </c>
      <c r="G626" s="2562"/>
      <c r="H626" s="2449"/>
      <c r="I626" s="2446"/>
      <c r="J626" s="4954"/>
      <c r="K626" s="4952"/>
      <c r="M626" s="4953"/>
      <c r="P626" s="4949"/>
    </row>
    <row r="627" spans="1:17" s="233" customFormat="1" ht="13.5" customHeight="1">
      <c r="A627" s="2439"/>
      <c r="B627" s="265"/>
      <c r="C627" s="265"/>
      <c r="D627" s="265" t="s">
        <v>3571</v>
      </c>
      <c r="E627" s="265"/>
      <c r="F627" s="267"/>
      <c r="G627" s="2562"/>
      <c r="H627" s="2444"/>
      <c r="I627" s="2446"/>
      <c r="J627" s="4954"/>
      <c r="L627" s="4964"/>
    </row>
    <row r="628" spans="1:17" s="233" customFormat="1" ht="13.5" customHeight="1">
      <c r="A628" s="263" t="s">
        <v>3579</v>
      </c>
      <c r="B628" s="265">
        <v>751</v>
      </c>
      <c r="C628" s="265" t="s">
        <v>3580</v>
      </c>
      <c r="D628" s="265" t="s">
        <v>3581</v>
      </c>
      <c r="E628" s="265" t="s">
        <v>205</v>
      </c>
      <c r="F628" s="2443">
        <f>ROUND(SUM(F630:F630),3)</f>
        <v>4</v>
      </c>
      <c r="G628" s="2561"/>
      <c r="H628" s="2445">
        <f t="shared" ref="H628" si="116">ROUND(F628*G628,2)</f>
        <v>0</v>
      </c>
      <c r="I628" s="2446" t="s">
        <v>111</v>
      </c>
      <c r="J628" s="4949"/>
      <c r="Q628" s="4949"/>
    </row>
    <row r="629" spans="1:17" s="233" customFormat="1" ht="13.5" customHeight="1">
      <c r="A629" s="2450"/>
      <c r="B629" s="2451"/>
      <c r="C629" s="2448"/>
      <c r="D629" s="265" t="s">
        <v>3569</v>
      </c>
      <c r="E629" s="2448"/>
      <c r="F629" s="2456"/>
      <c r="G629" s="2562"/>
      <c r="H629" s="2449"/>
      <c r="I629" s="2446"/>
      <c r="J629" s="4957"/>
      <c r="K629" s="2447"/>
      <c r="L629" s="4960"/>
      <c r="M629" s="4961"/>
      <c r="P629" s="4962"/>
    </row>
    <row r="630" spans="1:17" s="2447" customFormat="1" ht="13.5" customHeight="1">
      <c r="A630" s="2450"/>
      <c r="B630" s="2451"/>
      <c r="C630" s="2448"/>
      <c r="D630" s="2452" t="s">
        <v>3582</v>
      </c>
      <c r="E630" s="2452"/>
      <c r="F630" s="2453">
        <v>4</v>
      </c>
      <c r="G630" s="2562"/>
      <c r="H630" s="2449"/>
      <c r="I630" s="2446"/>
      <c r="J630" s="4954"/>
      <c r="K630" s="4952"/>
      <c r="M630" s="4953"/>
      <c r="P630" s="4949"/>
    </row>
    <row r="631" spans="1:17" s="233" customFormat="1" ht="13.5" customHeight="1">
      <c r="A631" s="2439"/>
      <c r="B631" s="265"/>
      <c r="C631" s="265"/>
      <c r="D631" s="265" t="s">
        <v>3571</v>
      </c>
      <c r="E631" s="265"/>
      <c r="F631" s="267"/>
      <c r="G631" s="2562"/>
      <c r="H631" s="2444"/>
      <c r="I631" s="2446"/>
      <c r="J631" s="4954"/>
      <c r="L631" s="4964"/>
    </row>
    <row r="632" spans="1:17" s="233" customFormat="1" ht="13.5" customHeight="1">
      <c r="A632" s="263" t="s">
        <v>3583</v>
      </c>
      <c r="B632" s="265">
        <v>751</v>
      </c>
      <c r="C632" s="265" t="s">
        <v>3584</v>
      </c>
      <c r="D632" s="265" t="s">
        <v>3585</v>
      </c>
      <c r="E632" s="265" t="s">
        <v>205</v>
      </c>
      <c r="F632" s="2443">
        <f>ROUND(SUM(F634:F635),3)</f>
        <v>5</v>
      </c>
      <c r="G632" s="2561"/>
      <c r="H632" s="2445">
        <f t="shared" ref="H632" si="117">ROUND(F632*G632,2)</f>
        <v>0</v>
      </c>
      <c r="I632" s="2446" t="s">
        <v>111</v>
      </c>
      <c r="J632" s="4949"/>
      <c r="Q632" s="4949"/>
    </row>
    <row r="633" spans="1:17" s="233" customFormat="1" ht="13.5" customHeight="1">
      <c r="A633" s="2450"/>
      <c r="B633" s="2451"/>
      <c r="C633" s="2448"/>
      <c r="D633" s="265" t="s">
        <v>3569</v>
      </c>
      <c r="E633" s="2448"/>
      <c r="F633" s="2456"/>
      <c r="G633" s="2562"/>
      <c r="H633" s="2449"/>
      <c r="I633" s="2446"/>
      <c r="J633" s="4957"/>
      <c r="K633" s="2447"/>
      <c r="L633" s="4960"/>
      <c r="M633" s="4961"/>
      <c r="P633" s="4962"/>
    </row>
    <row r="634" spans="1:17" s="2447" customFormat="1" ht="13.5" customHeight="1">
      <c r="A634" s="2450"/>
      <c r="B634" s="2451"/>
      <c r="C634" s="2448"/>
      <c r="D634" s="2452" t="s">
        <v>3586</v>
      </c>
      <c r="E634" s="2452"/>
      <c r="F634" s="2453">
        <v>1</v>
      </c>
      <c r="G634" s="2562"/>
      <c r="H634" s="2449"/>
      <c r="I634" s="2446"/>
      <c r="J634" s="4954"/>
      <c r="K634" s="4952"/>
      <c r="M634" s="4953"/>
      <c r="P634" s="4949"/>
    </row>
    <row r="635" spans="1:17" s="2447" customFormat="1" ht="13.5" customHeight="1">
      <c r="A635" s="2450"/>
      <c r="B635" s="2451"/>
      <c r="C635" s="2448"/>
      <c r="D635" s="2452" t="s">
        <v>3582</v>
      </c>
      <c r="E635" s="2452"/>
      <c r="F635" s="2453">
        <v>4</v>
      </c>
      <c r="G635" s="2562"/>
      <c r="H635" s="2449"/>
      <c r="I635" s="2446"/>
      <c r="J635" s="4954"/>
      <c r="K635" s="4952"/>
      <c r="M635" s="4953"/>
      <c r="P635" s="4949"/>
    </row>
    <row r="636" spans="1:17" s="233" customFormat="1" ht="13.5" customHeight="1">
      <c r="A636" s="2439"/>
      <c r="B636" s="265"/>
      <c r="C636" s="265"/>
      <c r="D636" s="265" t="s">
        <v>3571</v>
      </c>
      <c r="E636" s="265"/>
      <c r="F636" s="267"/>
      <c r="G636" s="2562"/>
      <c r="H636" s="2444"/>
      <c r="I636" s="2446"/>
      <c r="J636" s="4954"/>
      <c r="L636" s="4964"/>
    </row>
    <row r="637" spans="1:17" s="233" customFormat="1" ht="13.5" customHeight="1">
      <c r="A637" s="263" t="s">
        <v>3587</v>
      </c>
      <c r="B637" s="265">
        <v>751</v>
      </c>
      <c r="C637" s="265" t="s">
        <v>3588</v>
      </c>
      <c r="D637" s="265" t="s">
        <v>3589</v>
      </c>
      <c r="E637" s="265" t="s">
        <v>205</v>
      </c>
      <c r="F637" s="2443">
        <f>ROUND(SUM(F639:F640),3)</f>
        <v>4</v>
      </c>
      <c r="G637" s="2561"/>
      <c r="H637" s="2445">
        <f t="shared" ref="H637" si="118">ROUND(F637*G637,2)</f>
        <v>0</v>
      </c>
      <c r="I637" s="2446" t="s">
        <v>111</v>
      </c>
      <c r="J637" s="4949"/>
      <c r="Q637" s="4949"/>
    </row>
    <row r="638" spans="1:17" s="233" customFormat="1" ht="13.5" customHeight="1">
      <c r="A638" s="2450"/>
      <c r="B638" s="2451"/>
      <c r="C638" s="2448"/>
      <c r="D638" s="265" t="s">
        <v>3569</v>
      </c>
      <c r="E638" s="2448"/>
      <c r="F638" s="2456"/>
      <c r="G638" s="2562"/>
      <c r="H638" s="2449"/>
      <c r="I638" s="2446"/>
      <c r="J638" s="4957"/>
      <c r="K638" s="2447"/>
      <c r="L638" s="4960"/>
      <c r="M638" s="4961"/>
      <c r="P638" s="4962"/>
    </row>
    <row r="639" spans="1:17" s="2447" customFormat="1" ht="13.5" customHeight="1">
      <c r="A639" s="2450"/>
      <c r="B639" s="2451"/>
      <c r="C639" s="2448"/>
      <c r="D639" s="2452" t="s">
        <v>3590</v>
      </c>
      <c r="E639" s="2452"/>
      <c r="F639" s="2453">
        <v>3</v>
      </c>
      <c r="G639" s="2562"/>
      <c r="H639" s="2449"/>
      <c r="I639" s="2446"/>
      <c r="J639" s="4954"/>
      <c r="K639" s="4952"/>
      <c r="M639" s="4953"/>
      <c r="P639" s="4949"/>
    </row>
    <row r="640" spans="1:17" s="2447" customFormat="1" ht="13.5" customHeight="1">
      <c r="A640" s="2450"/>
      <c r="B640" s="2451"/>
      <c r="C640" s="2448"/>
      <c r="D640" s="2452" t="s">
        <v>3591</v>
      </c>
      <c r="E640" s="2452"/>
      <c r="F640" s="2453">
        <v>1</v>
      </c>
      <c r="G640" s="2562"/>
      <c r="H640" s="2449"/>
      <c r="I640" s="2446"/>
      <c r="J640" s="4954"/>
      <c r="K640" s="4952"/>
      <c r="M640" s="4953"/>
      <c r="P640" s="4949"/>
    </row>
    <row r="641" spans="1:19" s="233" customFormat="1" ht="13.5" customHeight="1">
      <c r="A641" s="2439"/>
      <c r="B641" s="265"/>
      <c r="C641" s="265"/>
      <c r="D641" s="265" t="s">
        <v>3571</v>
      </c>
      <c r="E641" s="265"/>
      <c r="F641" s="267"/>
      <c r="G641" s="2562"/>
      <c r="H641" s="2444"/>
      <c r="I641" s="2446"/>
      <c r="J641" s="4954"/>
      <c r="L641" s="4964"/>
    </row>
    <row r="642" spans="1:19" s="233" customFormat="1" ht="13.5" customHeight="1">
      <c r="A642" s="263" t="s">
        <v>3592</v>
      </c>
      <c r="B642" s="265">
        <v>751</v>
      </c>
      <c r="C642" s="265" t="s">
        <v>3593</v>
      </c>
      <c r="D642" s="265" t="s">
        <v>3594</v>
      </c>
      <c r="E642" s="265" t="s">
        <v>205</v>
      </c>
      <c r="F642" s="2443">
        <f>ROUND(SUM(F644:F644),3)</f>
        <v>1</v>
      </c>
      <c r="G642" s="2561"/>
      <c r="H642" s="2445">
        <f t="shared" ref="H642" si="119">ROUND(F642*G642,2)</f>
        <v>0</v>
      </c>
      <c r="I642" s="2446" t="s">
        <v>111</v>
      </c>
      <c r="J642" s="4949"/>
      <c r="Q642" s="4949"/>
    </row>
    <row r="643" spans="1:19" s="233" customFormat="1" ht="13.5" customHeight="1">
      <c r="A643" s="2450"/>
      <c r="B643" s="2451"/>
      <c r="C643" s="2448"/>
      <c r="D643" s="265" t="s">
        <v>3569</v>
      </c>
      <c r="E643" s="2448"/>
      <c r="F643" s="2456"/>
      <c r="G643" s="2562"/>
      <c r="H643" s="2449"/>
      <c r="I643" s="2446"/>
      <c r="J643" s="4957"/>
      <c r="K643" s="2447"/>
      <c r="L643" s="4960"/>
      <c r="M643" s="4961"/>
      <c r="P643" s="4962"/>
    </row>
    <row r="644" spans="1:19" s="2447" customFormat="1" ht="13.5" customHeight="1">
      <c r="A644" s="2450"/>
      <c r="B644" s="2451"/>
      <c r="C644" s="2448"/>
      <c r="D644" s="2452" t="s">
        <v>3586</v>
      </c>
      <c r="E644" s="2452"/>
      <c r="F644" s="2453">
        <v>1</v>
      </c>
      <c r="G644" s="2562"/>
      <c r="H644" s="2449"/>
      <c r="I644" s="2446"/>
      <c r="J644" s="4954"/>
      <c r="K644" s="4952"/>
      <c r="M644" s="4953"/>
      <c r="P644" s="4949"/>
    </row>
    <row r="645" spans="1:19" s="233" customFormat="1" ht="13.5" customHeight="1">
      <c r="A645" s="2439"/>
      <c r="B645" s="265"/>
      <c r="C645" s="265"/>
      <c r="D645" s="265" t="s">
        <v>3571</v>
      </c>
      <c r="E645" s="265"/>
      <c r="F645" s="267"/>
      <c r="G645" s="2562"/>
      <c r="H645" s="2444"/>
      <c r="I645" s="2446"/>
      <c r="J645" s="4954"/>
      <c r="L645" s="4964"/>
    </row>
    <row r="646" spans="1:19" s="233" customFormat="1" ht="13.5" customHeight="1">
      <c r="A646" s="263" t="s">
        <v>3595</v>
      </c>
      <c r="B646" s="265">
        <v>751</v>
      </c>
      <c r="C646" s="265" t="s">
        <v>3596</v>
      </c>
      <c r="D646" s="265" t="s">
        <v>3597</v>
      </c>
      <c r="E646" s="265" t="s">
        <v>205</v>
      </c>
      <c r="F646" s="2443">
        <f>ROUND(SUM(F648:F648),3)</f>
        <v>2</v>
      </c>
      <c r="G646" s="2561"/>
      <c r="H646" s="2445">
        <f t="shared" ref="H646" si="120">ROUND(F646*G646,2)</f>
        <v>0</v>
      </c>
      <c r="I646" s="2446" t="s">
        <v>111</v>
      </c>
      <c r="J646" s="4949"/>
      <c r="Q646" s="4949"/>
    </row>
    <row r="647" spans="1:19" s="233" customFormat="1" ht="13.5" customHeight="1">
      <c r="A647" s="2450"/>
      <c r="B647" s="2451"/>
      <c r="C647" s="2448"/>
      <c r="D647" s="265" t="s">
        <v>3598</v>
      </c>
      <c r="E647" s="2448"/>
      <c r="F647" s="2456"/>
      <c r="G647" s="2562"/>
      <c r="H647" s="2449"/>
      <c r="I647" s="2446"/>
      <c r="J647" s="4957"/>
      <c r="K647" s="2447"/>
      <c r="L647" s="4960"/>
      <c r="M647" s="4961"/>
      <c r="P647" s="4962"/>
    </row>
    <row r="648" spans="1:19" s="2447" customFormat="1" ht="13.5" customHeight="1">
      <c r="A648" s="2450"/>
      <c r="B648" s="2451"/>
      <c r="C648" s="2448"/>
      <c r="D648" s="2452" t="s">
        <v>3599</v>
      </c>
      <c r="E648" s="2452"/>
      <c r="F648" s="2453">
        <v>2</v>
      </c>
      <c r="G648" s="2562"/>
      <c r="H648" s="2449"/>
      <c r="I648" s="2446"/>
      <c r="J648" s="4954"/>
      <c r="K648" s="4952"/>
      <c r="M648" s="4953"/>
      <c r="P648" s="4949"/>
    </row>
    <row r="649" spans="1:19" s="233" customFormat="1" ht="13.5" customHeight="1">
      <c r="A649" s="2439"/>
      <c r="B649" s="265"/>
      <c r="C649" s="265"/>
      <c r="D649" s="265" t="s">
        <v>3571</v>
      </c>
      <c r="E649" s="265"/>
      <c r="F649" s="267"/>
      <c r="G649" s="2562"/>
      <c r="H649" s="2444"/>
      <c r="I649" s="2446"/>
      <c r="J649" s="4954"/>
      <c r="L649" s="4964"/>
    </row>
    <row r="650" spans="1:19" s="233" customFormat="1" ht="13.5" customHeight="1">
      <c r="A650" s="263" t="s">
        <v>3600</v>
      </c>
      <c r="B650" s="265">
        <v>751</v>
      </c>
      <c r="C650" s="265" t="s">
        <v>3601</v>
      </c>
      <c r="D650" s="265" t="s">
        <v>3602</v>
      </c>
      <c r="E650" s="265" t="s">
        <v>205</v>
      </c>
      <c r="F650" s="2443">
        <f>ROUND(SUM(F652),3)</f>
        <v>2</v>
      </c>
      <c r="G650" s="2561"/>
      <c r="H650" s="2445">
        <f t="shared" ref="H650" si="121">ROUND(F650*G650,2)</f>
        <v>0</v>
      </c>
      <c r="I650" s="2446" t="s">
        <v>111</v>
      </c>
      <c r="J650" s="4949"/>
      <c r="K650" s="4965"/>
      <c r="N650" s="4966"/>
      <c r="S650" s="4951"/>
    </row>
    <row r="651" spans="1:19" s="233" customFormat="1" ht="13.5" customHeight="1">
      <c r="A651" s="263"/>
      <c r="B651" s="265"/>
      <c r="C651" s="265"/>
      <c r="D651" s="265" t="s">
        <v>3603</v>
      </c>
      <c r="E651" s="265"/>
      <c r="F651" s="267"/>
      <c r="G651" s="2563"/>
      <c r="H651" s="266"/>
      <c r="I651" s="2446"/>
      <c r="J651" s="4967"/>
      <c r="K651" s="4955"/>
      <c r="L651" s="2457"/>
      <c r="M651" s="2457"/>
      <c r="N651" s="2457"/>
      <c r="O651" s="2457"/>
      <c r="P651" s="4968"/>
      <c r="Q651" s="2457"/>
      <c r="R651" s="2457"/>
      <c r="S651" s="4951"/>
    </row>
    <row r="652" spans="1:19" s="2447" customFormat="1" ht="13.5" customHeight="1">
      <c r="A652" s="2458"/>
      <c r="B652" s="2451"/>
      <c r="C652" s="2448"/>
      <c r="D652" s="2452" t="s">
        <v>3599</v>
      </c>
      <c r="E652" s="2452"/>
      <c r="F652" s="2453">
        <v>2</v>
      </c>
      <c r="G652" s="2564"/>
      <c r="H652" s="2459"/>
      <c r="I652" s="2446"/>
      <c r="J652" s="2460"/>
      <c r="K652" s="4950"/>
      <c r="M652" s="4969"/>
      <c r="N652" s="4963"/>
      <c r="O652" s="4963"/>
    </row>
    <row r="653" spans="1:19" s="2447" customFormat="1" ht="40.5" customHeight="1">
      <c r="A653" s="2461"/>
      <c r="B653" s="264"/>
      <c r="C653" s="265"/>
      <c r="D653" s="265" t="s">
        <v>3604</v>
      </c>
      <c r="E653" s="265"/>
      <c r="F653" s="267"/>
      <c r="G653" s="2561"/>
      <c r="H653" s="2444"/>
      <c r="I653" s="2462"/>
      <c r="J653" s="235"/>
      <c r="K653" s="233"/>
      <c r="L653" s="233"/>
      <c r="M653" s="233"/>
      <c r="N653" s="233"/>
      <c r="O653" s="233"/>
      <c r="P653" s="233"/>
      <c r="Q653" s="233"/>
      <c r="R653" s="233"/>
      <c r="S653" s="233"/>
    </row>
    <row r="654" spans="1:19" s="233" customFormat="1" ht="13.5" customHeight="1">
      <c r="A654" s="263" t="s">
        <v>3605</v>
      </c>
      <c r="B654" s="265">
        <v>751</v>
      </c>
      <c r="C654" s="265" t="s">
        <v>3606</v>
      </c>
      <c r="D654" s="265" t="s">
        <v>3607</v>
      </c>
      <c r="E654" s="265" t="s">
        <v>205</v>
      </c>
      <c r="F654" s="2443">
        <f>ROUND(SUM(F656),3)</f>
        <v>2</v>
      </c>
      <c r="G654" s="2561"/>
      <c r="H654" s="2445">
        <f t="shared" ref="H654" si="122">ROUND(F654*G654,2)</f>
        <v>0</v>
      </c>
      <c r="I654" s="2446" t="s">
        <v>111</v>
      </c>
      <c r="J654" s="4949"/>
      <c r="K654" s="4965"/>
      <c r="N654" s="4966"/>
      <c r="S654" s="4951"/>
    </row>
    <row r="655" spans="1:19" s="233" customFormat="1" ht="13.5" customHeight="1">
      <c r="A655" s="263"/>
      <c r="B655" s="265"/>
      <c r="C655" s="265"/>
      <c r="D655" s="265" t="s">
        <v>3608</v>
      </c>
      <c r="E655" s="265"/>
      <c r="F655" s="267"/>
      <c r="G655" s="2563"/>
      <c r="H655" s="266"/>
      <c r="I655" s="2446"/>
      <c r="J655" s="4967"/>
      <c r="K655" s="4955"/>
      <c r="L655" s="2457"/>
      <c r="M655" s="2457"/>
      <c r="N655" s="2457"/>
      <c r="O655" s="2457"/>
      <c r="P655" s="4968"/>
      <c r="Q655" s="2457"/>
      <c r="R655" s="2457"/>
      <c r="S655" s="4951"/>
    </row>
    <row r="656" spans="1:19" s="2447" customFormat="1" ht="13.5" customHeight="1">
      <c r="A656" s="2458"/>
      <c r="B656" s="2451"/>
      <c r="C656" s="2448"/>
      <c r="D656" s="2452" t="s">
        <v>3519</v>
      </c>
      <c r="E656" s="2452"/>
      <c r="F656" s="2453">
        <v>2</v>
      </c>
      <c r="G656" s="2564"/>
      <c r="H656" s="2459"/>
      <c r="I656" s="2446"/>
      <c r="J656" s="2460"/>
      <c r="K656" s="4950"/>
      <c r="M656" s="4969"/>
      <c r="N656" s="4963"/>
      <c r="O656" s="4963"/>
    </row>
    <row r="657" spans="1:51" s="2447" customFormat="1" ht="40.5" customHeight="1">
      <c r="A657" s="2461"/>
      <c r="B657" s="264"/>
      <c r="C657" s="265"/>
      <c r="D657" s="265" t="s">
        <v>3604</v>
      </c>
      <c r="E657" s="265"/>
      <c r="F657" s="267"/>
      <c r="G657" s="2561"/>
      <c r="H657" s="2444"/>
      <c r="I657" s="2462"/>
      <c r="J657" s="235"/>
      <c r="K657" s="233"/>
      <c r="L657" s="233"/>
      <c r="M657" s="233"/>
      <c r="N657" s="233"/>
      <c r="O657" s="233"/>
      <c r="P657" s="233"/>
      <c r="Q657" s="233"/>
      <c r="R657" s="233"/>
      <c r="S657" s="233"/>
    </row>
    <row r="658" spans="1:51" s="233" customFormat="1" ht="13.5" customHeight="1">
      <c r="A658" s="263" t="s">
        <v>3609</v>
      </c>
      <c r="B658" s="265">
        <v>751</v>
      </c>
      <c r="C658" s="265" t="s">
        <v>3610</v>
      </c>
      <c r="D658" s="265" t="s">
        <v>3611</v>
      </c>
      <c r="E658" s="265" t="s">
        <v>205</v>
      </c>
      <c r="F658" s="2443">
        <f>ROUND(SUM(F660),3)</f>
        <v>9</v>
      </c>
      <c r="G658" s="2561"/>
      <c r="H658" s="2445">
        <f t="shared" ref="H658" si="123">ROUND(F658*G658,2)</f>
        <v>0</v>
      </c>
      <c r="I658" s="2446" t="s">
        <v>111</v>
      </c>
      <c r="J658" s="4949"/>
      <c r="K658" s="4965"/>
      <c r="N658" s="4966"/>
      <c r="S658" s="4951"/>
    </row>
    <row r="659" spans="1:51" s="233" customFormat="1" ht="13.5" customHeight="1">
      <c r="A659" s="263"/>
      <c r="B659" s="265"/>
      <c r="C659" s="265"/>
      <c r="D659" s="265" t="s">
        <v>3612</v>
      </c>
      <c r="E659" s="265"/>
      <c r="F659" s="267"/>
      <c r="G659" s="2563"/>
      <c r="H659" s="266"/>
      <c r="I659" s="2446"/>
      <c r="J659" s="4967"/>
      <c r="K659" s="4955"/>
      <c r="L659" s="2457"/>
      <c r="M659" s="2457"/>
      <c r="N659" s="2457"/>
      <c r="O659" s="2457"/>
      <c r="P659" s="4968"/>
      <c r="Q659" s="2457"/>
      <c r="R659" s="2457"/>
      <c r="S659" s="4951"/>
    </row>
    <row r="660" spans="1:51" s="2447" customFormat="1" ht="13.5" customHeight="1">
      <c r="A660" s="2458"/>
      <c r="B660" s="2451"/>
      <c r="C660" s="2448"/>
      <c r="D660" s="2452" t="s">
        <v>3575</v>
      </c>
      <c r="E660" s="2452"/>
      <c r="F660" s="2453">
        <v>9</v>
      </c>
      <c r="G660" s="2564"/>
      <c r="H660" s="2459"/>
      <c r="I660" s="2446"/>
      <c r="J660" s="2460"/>
      <c r="K660" s="4950"/>
      <c r="M660" s="4969"/>
      <c r="N660" s="4963"/>
      <c r="O660" s="4963"/>
    </row>
    <row r="661" spans="1:51" s="2447" customFormat="1" ht="40.5" customHeight="1">
      <c r="A661" s="2461"/>
      <c r="B661" s="264"/>
      <c r="C661" s="265"/>
      <c r="D661" s="265" t="s">
        <v>3604</v>
      </c>
      <c r="E661" s="265"/>
      <c r="F661" s="267"/>
      <c r="G661" s="2561"/>
      <c r="H661" s="2444"/>
      <c r="I661" s="2462"/>
      <c r="J661" s="235"/>
      <c r="K661" s="233"/>
      <c r="L661" s="233"/>
      <c r="M661" s="233"/>
      <c r="N661" s="233"/>
      <c r="O661" s="233"/>
      <c r="P661" s="233"/>
      <c r="Q661" s="233"/>
      <c r="R661" s="233"/>
      <c r="S661" s="233"/>
    </row>
    <row r="662" spans="1:51" s="233" customFormat="1" ht="13.5" customHeight="1">
      <c r="A662" s="263" t="s">
        <v>3613</v>
      </c>
      <c r="B662" s="265">
        <v>751</v>
      </c>
      <c r="C662" s="265" t="s">
        <v>3614</v>
      </c>
      <c r="D662" s="265" t="s">
        <v>3602</v>
      </c>
      <c r="E662" s="265" t="s">
        <v>205</v>
      </c>
      <c r="F662" s="2443">
        <f>ROUND(SUM(F664),3)</f>
        <v>2</v>
      </c>
      <c r="G662" s="2561"/>
      <c r="H662" s="2445">
        <f t="shared" ref="H662" si="124">ROUND(F662*G662,2)</f>
        <v>0</v>
      </c>
      <c r="I662" s="2446" t="s">
        <v>111</v>
      </c>
      <c r="J662" s="4949"/>
      <c r="K662" s="4965"/>
      <c r="N662" s="4966"/>
      <c r="S662" s="4951"/>
    </row>
    <row r="663" spans="1:51" s="233" customFormat="1" ht="13.5" customHeight="1">
      <c r="A663" s="263"/>
      <c r="B663" s="265"/>
      <c r="C663" s="265"/>
      <c r="D663" s="265" t="s">
        <v>3603</v>
      </c>
      <c r="E663" s="265"/>
      <c r="F663" s="267"/>
      <c r="G663" s="2563"/>
      <c r="H663" s="266"/>
      <c r="I663" s="2446"/>
      <c r="J663" s="4967"/>
      <c r="K663" s="4955"/>
      <c r="L663" s="2457"/>
      <c r="M663" s="2457"/>
      <c r="N663" s="2457"/>
      <c r="O663" s="2457"/>
      <c r="P663" s="4968"/>
      <c r="Q663" s="2457"/>
      <c r="R663" s="2457"/>
      <c r="S663" s="4951"/>
    </row>
    <row r="664" spans="1:51" s="2447" customFormat="1" ht="13.5" customHeight="1">
      <c r="A664" s="2458"/>
      <c r="B664" s="2451"/>
      <c r="C664" s="2448"/>
      <c r="D664" s="2452" t="s">
        <v>3599</v>
      </c>
      <c r="E664" s="2452"/>
      <c r="F664" s="2453">
        <v>2</v>
      </c>
      <c r="G664" s="2564"/>
      <c r="H664" s="2459"/>
      <c r="I664" s="2446"/>
      <c r="J664" s="2460"/>
      <c r="K664" s="4950"/>
      <c r="M664" s="4969"/>
      <c r="N664" s="4963"/>
      <c r="O664" s="4963"/>
    </row>
    <row r="665" spans="1:51" s="2447" customFormat="1" ht="40.5" customHeight="1">
      <c r="A665" s="2461"/>
      <c r="B665" s="264"/>
      <c r="C665" s="265"/>
      <c r="D665" s="265" t="s">
        <v>3604</v>
      </c>
      <c r="E665" s="265"/>
      <c r="F665" s="267"/>
      <c r="G665" s="2561"/>
      <c r="H665" s="2444"/>
      <c r="I665" s="2462"/>
      <c r="J665" s="235"/>
      <c r="K665" s="233"/>
      <c r="L665" s="233"/>
      <c r="M665" s="233"/>
      <c r="N665" s="233"/>
      <c r="O665" s="233"/>
      <c r="P665" s="233"/>
      <c r="Q665" s="233"/>
      <c r="R665" s="233"/>
      <c r="S665" s="233"/>
    </row>
    <row r="666" spans="1:51" s="233" customFormat="1" ht="13.5" customHeight="1">
      <c r="A666" s="263" t="s">
        <v>3615</v>
      </c>
      <c r="B666" s="265">
        <v>751</v>
      </c>
      <c r="C666" s="265" t="s">
        <v>3616</v>
      </c>
      <c r="D666" s="265" t="s">
        <v>3617</v>
      </c>
      <c r="E666" s="265" t="s">
        <v>205</v>
      </c>
      <c r="F666" s="2443">
        <f>ROUND(SUM(F668),3)</f>
        <v>1</v>
      </c>
      <c r="G666" s="2561"/>
      <c r="H666" s="2445">
        <f t="shared" ref="H666" si="125">ROUND(F666*G666,2)</f>
        <v>0</v>
      </c>
      <c r="I666" s="2446" t="s">
        <v>111</v>
      </c>
      <c r="J666" s="4949"/>
      <c r="K666" s="4965"/>
      <c r="N666" s="4966"/>
      <c r="S666" s="4951"/>
    </row>
    <row r="667" spans="1:51" s="233" customFormat="1" ht="13.5" customHeight="1">
      <c r="A667" s="263"/>
      <c r="B667" s="265"/>
      <c r="C667" s="265"/>
      <c r="D667" s="265" t="s">
        <v>3618</v>
      </c>
      <c r="E667" s="265"/>
      <c r="F667" s="267"/>
      <c r="G667" s="2563"/>
      <c r="H667" s="266"/>
      <c r="I667" s="2446"/>
      <c r="J667" s="4967"/>
      <c r="K667" s="4955"/>
      <c r="L667" s="2457"/>
      <c r="M667" s="2457"/>
      <c r="N667" s="2457"/>
      <c r="O667" s="2457"/>
      <c r="P667" s="4968"/>
      <c r="Q667" s="2457"/>
      <c r="R667" s="2457"/>
      <c r="S667" s="4951"/>
    </row>
    <row r="668" spans="1:51" s="2447" customFormat="1" ht="13.5" customHeight="1">
      <c r="A668" s="2458"/>
      <c r="B668" s="2451"/>
      <c r="C668" s="2448"/>
      <c r="D668" s="2452" t="s">
        <v>3586</v>
      </c>
      <c r="E668" s="2452"/>
      <c r="F668" s="2453">
        <v>1</v>
      </c>
      <c r="G668" s="2564"/>
      <c r="H668" s="2459"/>
      <c r="I668" s="2446"/>
      <c r="J668" s="2460"/>
      <c r="K668" s="4950"/>
      <c r="M668" s="4969"/>
      <c r="N668" s="4963"/>
      <c r="O668" s="4963"/>
    </row>
    <row r="669" spans="1:51" s="2447" customFormat="1" ht="40.5" customHeight="1">
      <c r="A669" s="2461"/>
      <c r="B669" s="264"/>
      <c r="C669" s="265"/>
      <c r="D669" s="265" t="s">
        <v>3604</v>
      </c>
      <c r="E669" s="265"/>
      <c r="F669" s="267"/>
      <c r="G669" s="2561"/>
      <c r="H669" s="2444"/>
      <c r="I669" s="2462"/>
      <c r="J669" s="235"/>
      <c r="K669" s="233"/>
      <c r="L669" s="233"/>
      <c r="M669" s="233"/>
      <c r="N669" s="233"/>
      <c r="O669" s="233"/>
      <c r="P669" s="233"/>
      <c r="Q669" s="233"/>
      <c r="R669" s="233"/>
      <c r="S669" s="233"/>
    </row>
    <row r="670" spans="1:51" s="233" customFormat="1" ht="13.5" customHeight="1">
      <c r="A670" s="263" t="s">
        <v>3619</v>
      </c>
      <c r="B670" s="265">
        <v>751</v>
      </c>
      <c r="C670" s="265" t="s">
        <v>3620</v>
      </c>
      <c r="D670" s="265" t="s">
        <v>3621</v>
      </c>
      <c r="E670" s="265" t="s">
        <v>205</v>
      </c>
      <c r="F670" s="2443">
        <f>ROUND(SUM(F672:F672),3)</f>
        <v>6</v>
      </c>
      <c r="G670" s="2563"/>
      <c r="H670" s="2445">
        <f t="shared" ref="H670" si="126">ROUND(F670*G670,2)</f>
        <v>0</v>
      </c>
      <c r="I670" s="2446" t="s">
        <v>111</v>
      </c>
      <c r="J670" s="4951"/>
      <c r="K670" s="4970"/>
      <c r="L670" s="4965"/>
      <c r="M670" s="1832"/>
      <c r="N670" s="1832"/>
      <c r="O670" s="4966"/>
      <c r="P670" s="4965"/>
      <c r="S670" s="4951"/>
    </row>
    <row r="671" spans="1:51" s="2467" customFormat="1" ht="13.5" customHeight="1">
      <c r="A671" s="2463"/>
      <c r="B671" s="2464"/>
      <c r="C671" s="2464"/>
      <c r="D671" s="265" t="s">
        <v>3622</v>
      </c>
      <c r="E671" s="2464"/>
      <c r="F671" s="2465"/>
      <c r="G671" s="2563"/>
      <c r="H671" s="2466"/>
      <c r="I671" s="2446"/>
      <c r="J671" s="4967"/>
      <c r="K671" s="2457"/>
      <c r="L671" s="2457"/>
      <c r="M671" s="2457"/>
      <c r="N671" s="2457"/>
      <c r="O671" s="2457"/>
      <c r="P671" s="4968"/>
      <c r="Q671" s="2457"/>
      <c r="R671" s="2457"/>
      <c r="S671" s="4951"/>
      <c r="T671" s="4968"/>
      <c r="U671" s="2457"/>
      <c r="V671" s="2457"/>
      <c r="W671" s="2457"/>
      <c r="X671" s="2457"/>
      <c r="Y671" s="2457"/>
      <c r="Z671" s="2457"/>
      <c r="AA671" s="2457"/>
      <c r="AB671" s="2457"/>
      <c r="AC671" s="2457"/>
      <c r="AD671" s="2457"/>
      <c r="AE671" s="2457"/>
      <c r="AF671" s="2457"/>
      <c r="AG671" s="2457"/>
      <c r="AH671" s="2457"/>
      <c r="AI671" s="2457"/>
      <c r="AJ671" s="2457"/>
      <c r="AK671" s="2457"/>
      <c r="AL671" s="2457"/>
      <c r="AM671" s="2457"/>
      <c r="AN671" s="2457"/>
      <c r="AO671" s="2457"/>
      <c r="AP671" s="2457"/>
      <c r="AQ671" s="2457"/>
      <c r="AR671" s="2457"/>
      <c r="AS671" s="2457"/>
      <c r="AT671" s="2457"/>
      <c r="AU671" s="2457"/>
      <c r="AV671" s="2457"/>
      <c r="AW671" s="2457"/>
      <c r="AX671" s="2457"/>
      <c r="AY671" s="2457"/>
    </row>
    <row r="672" spans="1:51" s="2467" customFormat="1" ht="13.5" customHeight="1">
      <c r="A672" s="2463"/>
      <c r="B672" s="2464"/>
      <c r="C672" s="2464"/>
      <c r="D672" s="2452" t="s">
        <v>3523</v>
      </c>
      <c r="E672" s="2452"/>
      <c r="F672" s="2453">
        <v>6</v>
      </c>
      <c r="G672" s="2563"/>
      <c r="H672" s="2466"/>
      <c r="I672" s="2446"/>
      <c r="J672" s="2457"/>
      <c r="K672" s="2457"/>
      <c r="L672" s="2457"/>
      <c r="M672" s="2457"/>
      <c r="N672" s="2457"/>
      <c r="O672" s="2457"/>
      <c r="P672" s="2457"/>
      <c r="Q672" s="2457"/>
      <c r="R672" s="2457"/>
      <c r="S672" s="4971"/>
      <c r="T672" s="2457"/>
      <c r="U672" s="2457"/>
      <c r="V672" s="2457"/>
      <c r="W672" s="2457"/>
      <c r="X672" s="2457"/>
      <c r="Y672" s="2457"/>
      <c r="Z672" s="2457"/>
      <c r="AA672" s="2457"/>
      <c r="AB672" s="2457"/>
      <c r="AC672" s="2457"/>
      <c r="AD672" s="2457"/>
      <c r="AE672" s="2457"/>
      <c r="AF672" s="2457"/>
      <c r="AG672" s="2457"/>
      <c r="AH672" s="2457"/>
      <c r="AI672" s="2457"/>
      <c r="AJ672" s="2457"/>
      <c r="AK672" s="2457"/>
      <c r="AL672" s="2457"/>
      <c r="AM672" s="2457"/>
      <c r="AN672" s="2457"/>
      <c r="AO672" s="2457"/>
      <c r="AP672" s="2457"/>
      <c r="AQ672" s="2457"/>
      <c r="AR672" s="2457"/>
      <c r="AS672" s="2457"/>
      <c r="AT672" s="2457"/>
      <c r="AU672" s="2457"/>
      <c r="AV672" s="2457"/>
      <c r="AW672" s="2457"/>
      <c r="AX672" s="2457"/>
      <c r="AY672" s="2457"/>
    </row>
    <row r="673" spans="1:51" s="2468" customFormat="1" ht="27" customHeight="1">
      <c r="A673" s="2450"/>
      <c r="B673" s="2451"/>
      <c r="C673" s="2448"/>
      <c r="D673" s="265" t="s">
        <v>3623</v>
      </c>
      <c r="E673" s="2448"/>
      <c r="F673" s="2456"/>
      <c r="G673" s="2562"/>
      <c r="H673" s="2449"/>
      <c r="I673" s="2462"/>
      <c r="J673" s="4954"/>
      <c r="K673" s="2447"/>
      <c r="L673" s="2447"/>
      <c r="M673" s="2447"/>
      <c r="N673" s="2447"/>
      <c r="O673" s="2447"/>
      <c r="P673" s="2447"/>
      <c r="Q673" s="2447"/>
      <c r="R673" s="2447"/>
      <c r="S673" s="2447"/>
      <c r="T673" s="2447"/>
      <c r="U673" s="2447"/>
      <c r="V673" s="2447"/>
      <c r="W673" s="2447"/>
      <c r="X673" s="2447"/>
      <c r="Y673" s="2447"/>
      <c r="Z673" s="2447"/>
      <c r="AA673" s="2447"/>
      <c r="AB673" s="2447"/>
      <c r="AC673" s="2447"/>
      <c r="AD673" s="2447"/>
      <c r="AE673" s="2447"/>
      <c r="AF673" s="2447"/>
      <c r="AG673" s="2447"/>
      <c r="AH673" s="2447"/>
      <c r="AI673" s="2447"/>
      <c r="AJ673" s="2447"/>
      <c r="AK673" s="2447"/>
      <c r="AL673" s="2447"/>
      <c r="AM673" s="2447"/>
      <c r="AN673" s="2447"/>
      <c r="AO673" s="2447"/>
      <c r="AP673" s="2447"/>
      <c r="AQ673" s="2447"/>
      <c r="AR673" s="2447"/>
      <c r="AS673" s="2447"/>
      <c r="AT673" s="2447"/>
      <c r="AU673" s="2447"/>
      <c r="AV673" s="2447"/>
      <c r="AW673" s="2447"/>
      <c r="AX673" s="2447"/>
      <c r="AY673" s="2447"/>
    </row>
    <row r="674" spans="1:51" s="233" customFormat="1" ht="13.5" customHeight="1">
      <c r="A674" s="263" t="s">
        <v>3624</v>
      </c>
      <c r="B674" s="265">
        <v>751</v>
      </c>
      <c r="C674" s="265" t="s">
        <v>3625</v>
      </c>
      <c r="D674" s="265" t="s">
        <v>3626</v>
      </c>
      <c r="E674" s="265" t="s">
        <v>205</v>
      </c>
      <c r="F674" s="2443">
        <f>ROUND(SUM(F676:F677),3)</f>
        <v>7</v>
      </c>
      <c r="G674" s="2563"/>
      <c r="H674" s="2445">
        <f t="shared" ref="H674" si="127">ROUND(F674*G674,2)</f>
        <v>0</v>
      </c>
      <c r="I674" s="2446" t="s">
        <v>111</v>
      </c>
      <c r="J674" s="4951"/>
      <c r="K674" s="4970"/>
      <c r="L674" s="4965"/>
      <c r="M674" s="1832"/>
      <c r="N674" s="1832"/>
      <c r="O674" s="4966"/>
      <c r="P674" s="4965"/>
      <c r="S674" s="4951"/>
    </row>
    <row r="675" spans="1:51" s="2467" customFormat="1" ht="13.5" customHeight="1">
      <c r="A675" s="2463"/>
      <c r="B675" s="2464"/>
      <c r="C675" s="2464"/>
      <c r="D675" s="265" t="s">
        <v>3627</v>
      </c>
      <c r="E675" s="2464"/>
      <c r="F675" s="2465"/>
      <c r="G675" s="2563"/>
      <c r="H675" s="2466"/>
      <c r="I675" s="2446"/>
      <c r="J675" s="4967"/>
      <c r="K675" s="2457"/>
      <c r="L675" s="2457"/>
      <c r="M675" s="2457"/>
      <c r="N675" s="2457"/>
      <c r="O675" s="2457"/>
      <c r="P675" s="4968"/>
      <c r="Q675" s="2457"/>
      <c r="R675" s="2457"/>
      <c r="S675" s="4951"/>
      <c r="T675" s="4968"/>
      <c r="U675" s="2457"/>
      <c r="V675" s="2457"/>
      <c r="W675" s="2457"/>
      <c r="X675" s="2457"/>
      <c r="Y675" s="2457"/>
      <c r="Z675" s="2457"/>
      <c r="AA675" s="2457"/>
      <c r="AB675" s="2457"/>
      <c r="AC675" s="2457"/>
      <c r="AD675" s="2457"/>
      <c r="AE675" s="2457"/>
      <c r="AF675" s="2457"/>
      <c r="AG675" s="2457"/>
      <c r="AH675" s="2457"/>
      <c r="AI675" s="2457"/>
      <c r="AJ675" s="2457"/>
      <c r="AK675" s="2457"/>
      <c r="AL675" s="2457"/>
      <c r="AM675" s="2457"/>
      <c r="AN675" s="2457"/>
      <c r="AO675" s="2457"/>
      <c r="AP675" s="2457"/>
      <c r="AQ675" s="2457"/>
      <c r="AR675" s="2457"/>
      <c r="AS675" s="2457"/>
      <c r="AT675" s="2457"/>
      <c r="AU675" s="2457"/>
      <c r="AV675" s="2457"/>
      <c r="AW675" s="2457"/>
      <c r="AX675" s="2457"/>
      <c r="AY675" s="2457"/>
    </row>
    <row r="676" spans="1:51" s="2467" customFormat="1" ht="13.5" customHeight="1">
      <c r="A676" s="2463"/>
      <c r="B676" s="2464"/>
      <c r="C676" s="2464"/>
      <c r="D676" s="2452" t="s">
        <v>3537</v>
      </c>
      <c r="E676" s="2452"/>
      <c r="F676" s="2453">
        <v>3</v>
      </c>
      <c r="G676" s="2563"/>
      <c r="H676" s="2466"/>
      <c r="I676" s="2446"/>
      <c r="J676" s="2457"/>
      <c r="K676" s="2457"/>
      <c r="L676" s="2457"/>
      <c r="M676" s="2457"/>
      <c r="N676" s="2457"/>
      <c r="O676" s="2457"/>
      <c r="P676" s="2457"/>
      <c r="Q676" s="2457"/>
      <c r="R676" s="2457"/>
      <c r="S676" s="4971"/>
      <c r="T676" s="2457"/>
      <c r="U676" s="2457"/>
      <c r="V676" s="2457"/>
      <c r="W676" s="2457"/>
      <c r="X676" s="2457"/>
      <c r="Y676" s="2457"/>
      <c r="Z676" s="2457"/>
      <c r="AA676" s="2457"/>
      <c r="AB676" s="2457"/>
      <c r="AC676" s="2457"/>
      <c r="AD676" s="2457"/>
      <c r="AE676" s="2457"/>
      <c r="AF676" s="2457"/>
      <c r="AG676" s="2457"/>
      <c r="AH676" s="2457"/>
      <c r="AI676" s="2457"/>
      <c r="AJ676" s="2457"/>
      <c r="AK676" s="2457"/>
      <c r="AL676" s="2457"/>
      <c r="AM676" s="2457"/>
      <c r="AN676" s="2457"/>
      <c r="AO676" s="2457"/>
      <c r="AP676" s="2457"/>
      <c r="AQ676" s="2457"/>
      <c r="AR676" s="2457"/>
      <c r="AS676" s="2457"/>
      <c r="AT676" s="2457"/>
      <c r="AU676" s="2457"/>
      <c r="AV676" s="2457"/>
      <c r="AW676" s="2457"/>
      <c r="AX676" s="2457"/>
      <c r="AY676" s="2457"/>
    </row>
    <row r="677" spans="1:51" s="2467" customFormat="1" ht="13.5" customHeight="1">
      <c r="A677" s="2463"/>
      <c r="B677" s="2464"/>
      <c r="C677" s="2464"/>
      <c r="D677" s="2452" t="s">
        <v>3557</v>
      </c>
      <c r="E677" s="2452"/>
      <c r="F677" s="2453">
        <v>4</v>
      </c>
      <c r="G677" s="2563"/>
      <c r="H677" s="2466"/>
      <c r="I677" s="2469"/>
      <c r="J677" s="2457"/>
      <c r="K677" s="2457"/>
      <c r="L677" s="2457"/>
      <c r="M677" s="2457"/>
      <c r="N677" s="2457"/>
      <c r="O677" s="2457"/>
      <c r="P677" s="2457"/>
      <c r="Q677" s="2457"/>
      <c r="R677" s="2457"/>
      <c r="S677" s="4971"/>
      <c r="T677" s="2457"/>
      <c r="U677" s="2457"/>
      <c r="V677" s="2457"/>
      <c r="W677" s="2457"/>
      <c r="X677" s="2457"/>
      <c r="Y677" s="2457"/>
      <c r="Z677" s="2457"/>
      <c r="AA677" s="2457"/>
      <c r="AB677" s="2457"/>
      <c r="AC677" s="2457"/>
      <c r="AD677" s="2457"/>
      <c r="AE677" s="2457"/>
      <c r="AF677" s="2457"/>
      <c r="AG677" s="2457"/>
      <c r="AH677" s="2457"/>
      <c r="AI677" s="2457"/>
      <c r="AJ677" s="2457"/>
      <c r="AK677" s="2457"/>
      <c r="AL677" s="2457"/>
      <c r="AM677" s="2457"/>
      <c r="AN677" s="2457"/>
      <c r="AO677" s="2457"/>
      <c r="AP677" s="2457"/>
      <c r="AQ677" s="2457"/>
      <c r="AR677" s="2457"/>
      <c r="AS677" s="2457"/>
      <c r="AT677" s="2457"/>
      <c r="AU677" s="2457"/>
      <c r="AV677" s="2457"/>
      <c r="AW677" s="2457"/>
      <c r="AX677" s="2457"/>
      <c r="AY677" s="2457"/>
    </row>
    <row r="678" spans="1:51" s="2468" customFormat="1" ht="27" customHeight="1">
      <c r="A678" s="2450"/>
      <c r="B678" s="2451"/>
      <c r="C678" s="2448"/>
      <c r="D678" s="265" t="s">
        <v>3623</v>
      </c>
      <c r="E678" s="2448"/>
      <c r="F678" s="2456"/>
      <c r="G678" s="2562"/>
      <c r="H678" s="2449"/>
      <c r="I678" s="2462"/>
      <c r="J678" s="4954"/>
      <c r="K678" s="2447"/>
      <c r="L678" s="2447"/>
      <c r="M678" s="2447"/>
      <c r="N678" s="2447"/>
      <c r="O678" s="2447"/>
      <c r="P678" s="2447"/>
      <c r="Q678" s="2447"/>
      <c r="R678" s="2447"/>
      <c r="S678" s="2447"/>
      <c r="T678" s="2447"/>
      <c r="U678" s="2447"/>
      <c r="V678" s="2447"/>
      <c r="W678" s="2447"/>
      <c r="X678" s="2447"/>
      <c r="Y678" s="2447"/>
      <c r="Z678" s="2447"/>
      <c r="AA678" s="2447"/>
      <c r="AB678" s="2447"/>
      <c r="AC678" s="2447"/>
      <c r="AD678" s="2447"/>
      <c r="AE678" s="2447"/>
      <c r="AF678" s="2447"/>
      <c r="AG678" s="2447"/>
      <c r="AH678" s="2447"/>
      <c r="AI678" s="2447"/>
      <c r="AJ678" s="2447"/>
      <c r="AK678" s="2447"/>
      <c r="AL678" s="2447"/>
      <c r="AM678" s="2447"/>
      <c r="AN678" s="2447"/>
      <c r="AO678" s="2447"/>
      <c r="AP678" s="2447"/>
      <c r="AQ678" s="2447"/>
      <c r="AR678" s="2447"/>
      <c r="AS678" s="2447"/>
      <c r="AT678" s="2447"/>
      <c r="AU678" s="2447"/>
      <c r="AV678" s="2447"/>
      <c r="AW678" s="2447"/>
      <c r="AX678" s="2447"/>
      <c r="AY678" s="2447"/>
    </row>
    <row r="679" spans="1:51" s="233" customFormat="1" ht="13.5" customHeight="1">
      <c r="A679" s="263" t="s">
        <v>3628</v>
      </c>
      <c r="B679" s="265">
        <v>751</v>
      </c>
      <c r="C679" s="265" t="s">
        <v>3629</v>
      </c>
      <c r="D679" s="265" t="s">
        <v>3630</v>
      </c>
      <c r="E679" s="265" t="s">
        <v>205</v>
      </c>
      <c r="F679" s="2443">
        <f>ROUND(SUM(F681:F682),3)</f>
        <v>12</v>
      </c>
      <c r="G679" s="2563"/>
      <c r="H679" s="2445">
        <f t="shared" ref="H679" si="128">ROUND(F679*G679,2)</f>
        <v>0</v>
      </c>
      <c r="I679" s="2446" t="s">
        <v>111</v>
      </c>
      <c r="J679" s="4951"/>
      <c r="K679" s="4970"/>
      <c r="L679" s="4965"/>
      <c r="M679" s="1832"/>
      <c r="N679" s="1832"/>
      <c r="O679" s="4966"/>
      <c r="P679" s="4965"/>
      <c r="S679" s="4951"/>
    </row>
    <row r="680" spans="1:51" s="2467" customFormat="1" ht="13.5" customHeight="1">
      <c r="A680" s="2463"/>
      <c r="B680" s="2464"/>
      <c r="C680" s="2464"/>
      <c r="D680" s="265" t="s">
        <v>3631</v>
      </c>
      <c r="E680" s="2464"/>
      <c r="F680" s="2465"/>
      <c r="G680" s="2563"/>
      <c r="H680" s="2466"/>
      <c r="I680" s="2446"/>
      <c r="J680" s="4967"/>
      <c r="K680" s="2457"/>
      <c r="L680" s="2457"/>
      <c r="M680" s="2457"/>
      <c r="N680" s="2457"/>
      <c r="O680" s="2457"/>
      <c r="P680" s="4968"/>
      <c r="Q680" s="2457"/>
      <c r="R680" s="2457"/>
      <c r="S680" s="4951"/>
      <c r="T680" s="4968"/>
      <c r="U680" s="2457"/>
      <c r="V680" s="2457"/>
      <c r="W680" s="2457"/>
      <c r="X680" s="2457"/>
      <c r="Y680" s="2457"/>
      <c r="Z680" s="2457"/>
      <c r="AA680" s="2457"/>
      <c r="AB680" s="2457"/>
      <c r="AC680" s="2457"/>
      <c r="AD680" s="2457"/>
      <c r="AE680" s="2457"/>
      <c r="AF680" s="2457"/>
      <c r="AG680" s="2457"/>
      <c r="AH680" s="2457"/>
      <c r="AI680" s="2457"/>
      <c r="AJ680" s="2457"/>
      <c r="AK680" s="2457"/>
      <c r="AL680" s="2457"/>
      <c r="AM680" s="2457"/>
      <c r="AN680" s="2457"/>
      <c r="AO680" s="2457"/>
      <c r="AP680" s="2457"/>
      <c r="AQ680" s="2457"/>
      <c r="AR680" s="2457"/>
      <c r="AS680" s="2457"/>
      <c r="AT680" s="2457"/>
      <c r="AU680" s="2457"/>
      <c r="AV680" s="2457"/>
      <c r="AW680" s="2457"/>
      <c r="AX680" s="2457"/>
      <c r="AY680" s="2457"/>
    </row>
    <row r="681" spans="1:51" s="2467" customFormat="1" ht="13.5" customHeight="1">
      <c r="A681" s="2463"/>
      <c r="B681" s="2464"/>
      <c r="C681" s="2464"/>
      <c r="D681" s="2452" t="s">
        <v>3537</v>
      </c>
      <c r="E681" s="2452"/>
      <c r="F681" s="2453">
        <v>3</v>
      </c>
      <c r="G681" s="2563"/>
      <c r="H681" s="2466"/>
      <c r="I681" s="2446"/>
      <c r="J681" s="2457"/>
      <c r="K681" s="2457"/>
      <c r="L681" s="2457"/>
      <c r="M681" s="2457"/>
      <c r="N681" s="2457"/>
      <c r="O681" s="2457"/>
      <c r="P681" s="2457"/>
      <c r="Q681" s="2457"/>
      <c r="R681" s="2457"/>
      <c r="S681" s="4971"/>
      <c r="T681" s="2457"/>
      <c r="U681" s="2457"/>
      <c r="V681" s="2457"/>
      <c r="W681" s="2457"/>
      <c r="X681" s="2457"/>
      <c r="Y681" s="2457"/>
      <c r="Z681" s="2457"/>
      <c r="AA681" s="2457"/>
      <c r="AB681" s="2457"/>
      <c r="AC681" s="2457"/>
      <c r="AD681" s="2457"/>
      <c r="AE681" s="2457"/>
      <c r="AF681" s="2457"/>
      <c r="AG681" s="2457"/>
      <c r="AH681" s="2457"/>
      <c r="AI681" s="2457"/>
      <c r="AJ681" s="2457"/>
      <c r="AK681" s="2457"/>
      <c r="AL681" s="2457"/>
      <c r="AM681" s="2457"/>
      <c r="AN681" s="2457"/>
      <c r="AO681" s="2457"/>
      <c r="AP681" s="2457"/>
      <c r="AQ681" s="2457"/>
      <c r="AR681" s="2457"/>
      <c r="AS681" s="2457"/>
      <c r="AT681" s="2457"/>
      <c r="AU681" s="2457"/>
      <c r="AV681" s="2457"/>
      <c r="AW681" s="2457"/>
      <c r="AX681" s="2457"/>
      <c r="AY681" s="2457"/>
    </row>
    <row r="682" spans="1:51" s="2467" customFormat="1" ht="13.5" customHeight="1">
      <c r="A682" s="2463"/>
      <c r="B682" s="2464"/>
      <c r="C682" s="2464"/>
      <c r="D682" s="2452" t="s">
        <v>3632</v>
      </c>
      <c r="E682" s="2452"/>
      <c r="F682" s="2453">
        <v>9</v>
      </c>
      <c r="G682" s="2563"/>
      <c r="H682" s="2466"/>
      <c r="I682" s="2469"/>
      <c r="J682" s="2457"/>
      <c r="K682" s="2457"/>
      <c r="L682" s="2457"/>
      <c r="M682" s="2457"/>
      <c r="N682" s="2457"/>
      <c r="O682" s="2457"/>
      <c r="P682" s="2457"/>
      <c r="Q682" s="2457"/>
      <c r="R682" s="2457"/>
      <c r="S682" s="4971"/>
      <c r="T682" s="2457"/>
      <c r="U682" s="2457"/>
      <c r="V682" s="2457"/>
      <c r="W682" s="2457"/>
      <c r="X682" s="2457"/>
      <c r="Y682" s="2457"/>
      <c r="Z682" s="2457"/>
      <c r="AA682" s="2457"/>
      <c r="AB682" s="2457"/>
      <c r="AC682" s="2457"/>
      <c r="AD682" s="2457"/>
      <c r="AE682" s="2457"/>
      <c r="AF682" s="2457"/>
      <c r="AG682" s="2457"/>
      <c r="AH682" s="2457"/>
      <c r="AI682" s="2457"/>
      <c r="AJ682" s="2457"/>
      <c r="AK682" s="2457"/>
      <c r="AL682" s="2457"/>
      <c r="AM682" s="2457"/>
      <c r="AN682" s="2457"/>
      <c r="AO682" s="2457"/>
      <c r="AP682" s="2457"/>
      <c r="AQ682" s="2457"/>
      <c r="AR682" s="2457"/>
      <c r="AS682" s="2457"/>
      <c r="AT682" s="2457"/>
      <c r="AU682" s="2457"/>
      <c r="AV682" s="2457"/>
      <c r="AW682" s="2457"/>
      <c r="AX682" s="2457"/>
      <c r="AY682" s="2457"/>
    </row>
    <row r="683" spans="1:51" s="2468" customFormat="1" ht="27" customHeight="1">
      <c r="A683" s="2450"/>
      <c r="B683" s="2451"/>
      <c r="C683" s="2448"/>
      <c r="D683" s="265" t="s">
        <v>3623</v>
      </c>
      <c r="E683" s="2448"/>
      <c r="F683" s="2456"/>
      <c r="G683" s="2562"/>
      <c r="H683" s="2449"/>
      <c r="I683" s="2462"/>
      <c r="J683" s="4954"/>
      <c r="K683" s="2447"/>
      <c r="L683" s="2447"/>
      <c r="M683" s="2447"/>
      <c r="N683" s="2447"/>
      <c r="O683" s="2447"/>
      <c r="P683" s="2447"/>
      <c r="Q683" s="2447"/>
      <c r="R683" s="2447"/>
      <c r="S683" s="2447"/>
      <c r="T683" s="2447"/>
      <c r="U683" s="2447"/>
      <c r="V683" s="2447"/>
      <c r="W683" s="2447"/>
      <c r="X683" s="2447"/>
      <c r="Y683" s="2447"/>
      <c r="Z683" s="2447"/>
      <c r="AA683" s="2447"/>
      <c r="AB683" s="2447"/>
      <c r="AC683" s="2447"/>
      <c r="AD683" s="2447"/>
      <c r="AE683" s="2447"/>
      <c r="AF683" s="2447"/>
      <c r="AG683" s="2447"/>
      <c r="AH683" s="2447"/>
      <c r="AI683" s="2447"/>
      <c r="AJ683" s="2447"/>
      <c r="AK683" s="2447"/>
      <c r="AL683" s="2447"/>
      <c r="AM683" s="2447"/>
      <c r="AN683" s="2447"/>
      <c r="AO683" s="2447"/>
      <c r="AP683" s="2447"/>
      <c r="AQ683" s="2447"/>
      <c r="AR683" s="2447"/>
      <c r="AS683" s="2447"/>
      <c r="AT683" s="2447"/>
      <c r="AU683" s="2447"/>
      <c r="AV683" s="2447"/>
      <c r="AW683" s="2447"/>
      <c r="AX683" s="2447"/>
      <c r="AY683" s="2447"/>
    </row>
    <row r="684" spans="1:51" s="233" customFormat="1" ht="13.5" customHeight="1">
      <c r="A684" s="263" t="s">
        <v>3633</v>
      </c>
      <c r="B684" s="265">
        <v>751</v>
      </c>
      <c r="C684" s="265" t="s">
        <v>3634</v>
      </c>
      <c r="D684" s="265" t="s">
        <v>3635</v>
      </c>
      <c r="E684" s="265" t="s">
        <v>205</v>
      </c>
      <c r="F684" s="2443">
        <f>ROUND(SUM(F686:F686),3)</f>
        <v>21</v>
      </c>
      <c r="G684" s="2563"/>
      <c r="H684" s="2445">
        <f t="shared" ref="H684" si="129">ROUND(F684*G684,2)</f>
        <v>0</v>
      </c>
      <c r="I684" s="2446" t="s">
        <v>111</v>
      </c>
      <c r="J684" s="4951"/>
      <c r="K684" s="4970"/>
      <c r="L684" s="4965"/>
      <c r="M684" s="1832"/>
      <c r="N684" s="1832"/>
      <c r="O684" s="4966"/>
      <c r="P684" s="4965"/>
      <c r="S684" s="4951"/>
    </row>
    <row r="685" spans="1:51" s="2467" customFormat="1" ht="13.5" customHeight="1">
      <c r="A685" s="2463"/>
      <c r="B685" s="2464"/>
      <c r="C685" s="2464"/>
      <c r="D685" s="265" t="s">
        <v>3636</v>
      </c>
      <c r="E685" s="2464"/>
      <c r="F685" s="2465"/>
      <c r="G685" s="2563"/>
      <c r="H685" s="2466"/>
      <c r="I685" s="2446"/>
      <c r="J685" s="4967"/>
      <c r="K685" s="2457"/>
      <c r="L685" s="2457"/>
      <c r="M685" s="2457"/>
      <c r="N685" s="2457"/>
      <c r="O685" s="2457"/>
      <c r="P685" s="4968"/>
      <c r="Q685" s="2457"/>
      <c r="R685" s="2457"/>
      <c r="S685" s="4951"/>
      <c r="T685" s="4968"/>
      <c r="U685" s="2457"/>
      <c r="V685" s="2457"/>
      <c r="W685" s="2457"/>
      <c r="X685" s="2457"/>
      <c r="Y685" s="2457"/>
      <c r="Z685" s="2457"/>
      <c r="AA685" s="2457"/>
      <c r="AB685" s="2457"/>
      <c r="AC685" s="2457"/>
      <c r="AD685" s="2457"/>
      <c r="AE685" s="2457"/>
      <c r="AF685" s="2457"/>
      <c r="AG685" s="2457"/>
      <c r="AH685" s="2457"/>
      <c r="AI685" s="2457"/>
      <c r="AJ685" s="2457"/>
      <c r="AK685" s="2457"/>
      <c r="AL685" s="2457"/>
      <c r="AM685" s="2457"/>
      <c r="AN685" s="2457"/>
      <c r="AO685" s="2457"/>
      <c r="AP685" s="2457"/>
      <c r="AQ685" s="2457"/>
      <c r="AR685" s="2457"/>
      <c r="AS685" s="2457"/>
      <c r="AT685" s="2457"/>
      <c r="AU685" s="2457"/>
      <c r="AV685" s="2457"/>
      <c r="AW685" s="2457"/>
      <c r="AX685" s="2457"/>
      <c r="AY685" s="2457"/>
    </row>
    <row r="686" spans="1:51" s="2467" customFormat="1" ht="13.5" customHeight="1">
      <c r="A686" s="2463"/>
      <c r="B686" s="2464"/>
      <c r="C686" s="2464"/>
      <c r="D686" s="2452" t="s">
        <v>3637</v>
      </c>
      <c r="E686" s="2452"/>
      <c r="F686" s="2453">
        <v>21</v>
      </c>
      <c r="G686" s="2563"/>
      <c r="H686" s="2466"/>
      <c r="I686" s="2446"/>
      <c r="J686" s="2457"/>
      <c r="K686" s="2457"/>
      <c r="L686" s="2457"/>
      <c r="M686" s="2457"/>
      <c r="N686" s="2457"/>
      <c r="O686" s="2457"/>
      <c r="P686" s="2457"/>
      <c r="Q686" s="2457"/>
      <c r="R686" s="2457"/>
      <c r="S686" s="4971"/>
      <c r="T686" s="2457"/>
      <c r="U686" s="2457"/>
      <c r="V686" s="2457"/>
      <c r="W686" s="2457"/>
      <c r="X686" s="2457"/>
      <c r="Y686" s="2457"/>
      <c r="Z686" s="2457"/>
      <c r="AA686" s="2457"/>
      <c r="AB686" s="2457"/>
      <c r="AC686" s="2457"/>
      <c r="AD686" s="2457"/>
      <c r="AE686" s="2457"/>
      <c r="AF686" s="2457"/>
      <c r="AG686" s="2457"/>
      <c r="AH686" s="2457"/>
      <c r="AI686" s="2457"/>
      <c r="AJ686" s="2457"/>
      <c r="AK686" s="2457"/>
      <c r="AL686" s="2457"/>
      <c r="AM686" s="2457"/>
      <c r="AN686" s="2457"/>
      <c r="AO686" s="2457"/>
      <c r="AP686" s="2457"/>
      <c r="AQ686" s="2457"/>
      <c r="AR686" s="2457"/>
      <c r="AS686" s="2457"/>
      <c r="AT686" s="2457"/>
      <c r="AU686" s="2457"/>
      <c r="AV686" s="2457"/>
      <c r="AW686" s="2457"/>
      <c r="AX686" s="2457"/>
      <c r="AY686" s="2457"/>
    </row>
    <row r="687" spans="1:51" s="2468" customFormat="1" ht="27" customHeight="1">
      <c r="A687" s="2450"/>
      <c r="B687" s="2451"/>
      <c r="C687" s="2448"/>
      <c r="D687" s="265" t="s">
        <v>3623</v>
      </c>
      <c r="E687" s="2448"/>
      <c r="F687" s="2456"/>
      <c r="G687" s="2562"/>
      <c r="H687" s="2449"/>
      <c r="I687" s="2462"/>
      <c r="J687" s="4954"/>
      <c r="K687" s="2447"/>
      <c r="L687" s="2447"/>
      <c r="M687" s="2447"/>
      <c r="N687" s="2447"/>
      <c r="O687" s="2447"/>
      <c r="P687" s="2447"/>
      <c r="Q687" s="2447"/>
      <c r="R687" s="2447"/>
      <c r="S687" s="2447"/>
      <c r="T687" s="2447"/>
      <c r="U687" s="2447"/>
      <c r="V687" s="2447"/>
      <c r="W687" s="2447"/>
      <c r="X687" s="2447"/>
      <c r="Y687" s="2447"/>
      <c r="Z687" s="2447"/>
      <c r="AA687" s="2447"/>
      <c r="AB687" s="2447"/>
      <c r="AC687" s="2447"/>
      <c r="AD687" s="2447"/>
      <c r="AE687" s="2447"/>
      <c r="AF687" s="2447"/>
      <c r="AG687" s="2447"/>
      <c r="AH687" s="2447"/>
      <c r="AI687" s="2447"/>
      <c r="AJ687" s="2447"/>
      <c r="AK687" s="2447"/>
      <c r="AL687" s="2447"/>
      <c r="AM687" s="2447"/>
      <c r="AN687" s="2447"/>
      <c r="AO687" s="2447"/>
      <c r="AP687" s="2447"/>
      <c r="AQ687" s="2447"/>
      <c r="AR687" s="2447"/>
      <c r="AS687" s="2447"/>
      <c r="AT687" s="2447"/>
      <c r="AU687" s="2447"/>
      <c r="AV687" s="2447"/>
      <c r="AW687" s="2447"/>
      <c r="AX687" s="2447"/>
      <c r="AY687" s="2447"/>
    </row>
    <row r="688" spans="1:51" s="233" customFormat="1" ht="27" customHeight="1">
      <c r="A688" s="263" t="s">
        <v>3638</v>
      </c>
      <c r="B688" s="265">
        <v>751</v>
      </c>
      <c r="C688" s="265" t="s">
        <v>3639</v>
      </c>
      <c r="D688" s="265" t="s">
        <v>3640</v>
      </c>
      <c r="E688" s="265" t="s">
        <v>205</v>
      </c>
      <c r="F688" s="2443">
        <f>ROUND(SUM(F690),3)</f>
        <v>8</v>
      </c>
      <c r="G688" s="2563"/>
      <c r="H688" s="2445">
        <f t="shared" ref="H688" si="130">ROUND(F688*G688,2)</f>
        <v>0</v>
      </c>
      <c r="I688" s="2446" t="s">
        <v>111</v>
      </c>
      <c r="J688" s="4951"/>
      <c r="K688" s="4970"/>
      <c r="L688" s="4965"/>
      <c r="M688" s="1832"/>
      <c r="N688" s="1832"/>
      <c r="O688" s="4966"/>
      <c r="P688" s="4965"/>
      <c r="S688" s="4951"/>
    </row>
    <row r="689" spans="1:51" s="2467" customFormat="1" ht="13.5" customHeight="1">
      <c r="A689" s="2463"/>
      <c r="B689" s="2464"/>
      <c r="C689" s="2464"/>
      <c r="D689" s="265" t="s">
        <v>3641</v>
      </c>
      <c r="E689" s="2464"/>
      <c r="F689" s="2465"/>
      <c r="G689" s="2563"/>
      <c r="H689" s="2466"/>
      <c r="I689" s="2446"/>
      <c r="J689" s="4967"/>
      <c r="K689" s="2457"/>
      <c r="L689" s="2457"/>
      <c r="M689" s="2457"/>
      <c r="N689" s="2457"/>
      <c r="O689" s="2457"/>
      <c r="P689" s="4968"/>
      <c r="Q689" s="2457"/>
      <c r="R689" s="2457"/>
      <c r="S689" s="4951"/>
      <c r="T689" s="4968"/>
      <c r="U689" s="2457"/>
      <c r="V689" s="2457"/>
      <c r="W689" s="2457"/>
      <c r="X689" s="2457"/>
      <c r="Y689" s="2457"/>
      <c r="Z689" s="2457"/>
      <c r="AA689" s="2457"/>
      <c r="AB689" s="2457"/>
      <c r="AC689" s="2457"/>
      <c r="AD689" s="2457"/>
      <c r="AE689" s="2457"/>
      <c r="AF689" s="2457"/>
      <c r="AG689" s="2457"/>
      <c r="AH689" s="2457"/>
      <c r="AI689" s="2457"/>
      <c r="AJ689" s="2457"/>
      <c r="AK689" s="2457"/>
      <c r="AL689" s="2457"/>
      <c r="AM689" s="2457"/>
      <c r="AN689" s="2457"/>
      <c r="AO689" s="2457"/>
      <c r="AP689" s="2457"/>
      <c r="AQ689" s="2457"/>
      <c r="AR689" s="2457"/>
      <c r="AS689" s="2457"/>
      <c r="AT689" s="2457"/>
      <c r="AU689" s="2457"/>
      <c r="AV689" s="2457"/>
      <c r="AW689" s="2457"/>
      <c r="AX689" s="2457"/>
      <c r="AY689" s="2457"/>
    </row>
    <row r="690" spans="1:51" s="2467" customFormat="1" ht="13.5" customHeight="1">
      <c r="A690" s="2463"/>
      <c r="B690" s="2464"/>
      <c r="C690" s="2464"/>
      <c r="D690" s="2452" t="s">
        <v>3642</v>
      </c>
      <c r="E690" s="2452"/>
      <c r="F690" s="2453">
        <v>8</v>
      </c>
      <c r="G690" s="2563"/>
      <c r="H690" s="2466"/>
      <c r="I690" s="2446"/>
      <c r="J690" s="4968"/>
      <c r="K690" s="2457"/>
      <c r="L690" s="2457"/>
      <c r="M690" s="2457"/>
      <c r="N690" s="2457"/>
      <c r="O690" s="2457"/>
      <c r="P690" s="2457"/>
      <c r="Q690" s="2457"/>
      <c r="R690" s="2457"/>
      <c r="S690" s="4971"/>
      <c r="T690" s="2457"/>
      <c r="U690" s="2457"/>
      <c r="V690" s="2457"/>
      <c r="W690" s="2457"/>
      <c r="X690" s="2457"/>
      <c r="Y690" s="2457"/>
      <c r="Z690" s="2457"/>
      <c r="AA690" s="2457"/>
      <c r="AB690" s="2457"/>
      <c r="AC690" s="2457"/>
      <c r="AD690" s="2457"/>
      <c r="AE690" s="2457"/>
      <c r="AF690" s="2457"/>
      <c r="AG690" s="2457"/>
      <c r="AH690" s="2457"/>
      <c r="AI690" s="2457"/>
      <c r="AJ690" s="2457"/>
      <c r="AK690" s="2457"/>
      <c r="AL690" s="2457"/>
      <c r="AM690" s="2457"/>
      <c r="AN690" s="2457"/>
      <c r="AO690" s="2457"/>
      <c r="AP690" s="2457"/>
      <c r="AQ690" s="2457"/>
      <c r="AR690" s="2457"/>
      <c r="AS690" s="2457"/>
      <c r="AT690" s="2457"/>
      <c r="AU690" s="2457"/>
      <c r="AV690" s="2457"/>
      <c r="AW690" s="2457"/>
      <c r="AX690" s="2457"/>
      <c r="AY690" s="2457"/>
    </row>
    <row r="691" spans="1:51" s="2468" customFormat="1" ht="27" customHeight="1">
      <c r="A691" s="2450"/>
      <c r="B691" s="2451"/>
      <c r="C691" s="2448"/>
      <c r="D691" s="265" t="s">
        <v>3643</v>
      </c>
      <c r="E691" s="2448"/>
      <c r="F691" s="2456"/>
      <c r="G691" s="2562"/>
      <c r="H691" s="2449"/>
      <c r="I691" s="2462"/>
      <c r="J691" s="4954"/>
      <c r="K691" s="2447"/>
      <c r="L691" s="2447"/>
      <c r="M691" s="2447"/>
      <c r="N691" s="2447"/>
      <c r="O691" s="2447"/>
      <c r="P691" s="2447"/>
      <c r="Q691" s="2447"/>
      <c r="R691" s="2447"/>
      <c r="S691" s="2447"/>
      <c r="T691" s="2447"/>
      <c r="U691" s="2447"/>
      <c r="V691" s="2447"/>
      <c r="W691" s="2447"/>
      <c r="X691" s="2447"/>
      <c r="Y691" s="2447"/>
      <c r="Z691" s="2447"/>
      <c r="AA691" s="2447"/>
      <c r="AB691" s="2447"/>
      <c r="AC691" s="2447"/>
      <c r="AD691" s="2447"/>
      <c r="AE691" s="2447"/>
      <c r="AF691" s="2447"/>
      <c r="AG691" s="2447"/>
      <c r="AH691" s="2447"/>
      <c r="AI691" s="2447"/>
      <c r="AJ691" s="2447"/>
      <c r="AK691" s="2447"/>
      <c r="AL691" s="2447"/>
      <c r="AM691" s="2447"/>
      <c r="AN691" s="2447"/>
      <c r="AO691" s="2447"/>
      <c r="AP691" s="2447"/>
      <c r="AQ691" s="2447"/>
      <c r="AR691" s="2447"/>
      <c r="AS691" s="2447"/>
      <c r="AT691" s="2447"/>
      <c r="AU691" s="2447"/>
      <c r="AV691" s="2447"/>
      <c r="AW691" s="2447"/>
      <c r="AX691" s="2447"/>
      <c r="AY691" s="2447"/>
    </row>
    <row r="692" spans="1:51" s="233" customFormat="1" ht="27" customHeight="1">
      <c r="A692" s="263" t="s">
        <v>3644</v>
      </c>
      <c r="B692" s="265">
        <v>751</v>
      </c>
      <c r="C692" s="265" t="s">
        <v>3645</v>
      </c>
      <c r="D692" s="265" t="s">
        <v>3646</v>
      </c>
      <c r="E692" s="265" t="s">
        <v>205</v>
      </c>
      <c r="F692" s="2443">
        <f>ROUND(SUM(F694),3)</f>
        <v>8</v>
      </c>
      <c r="G692" s="2563"/>
      <c r="H692" s="2445">
        <f t="shared" ref="H692" si="131">ROUND(F692*G692,2)</f>
        <v>0</v>
      </c>
      <c r="I692" s="2446" t="s">
        <v>111</v>
      </c>
      <c r="J692" s="4951"/>
      <c r="K692" s="4970"/>
      <c r="L692" s="4965"/>
      <c r="M692" s="1832"/>
      <c r="N692" s="1832"/>
      <c r="O692" s="4966"/>
      <c r="P692" s="4965"/>
      <c r="S692" s="4951"/>
    </row>
    <row r="693" spans="1:51" s="2467" customFormat="1" ht="13.5" customHeight="1">
      <c r="A693" s="2463"/>
      <c r="B693" s="2464"/>
      <c r="C693" s="2464"/>
      <c r="D693" s="265" t="s">
        <v>3647</v>
      </c>
      <c r="E693" s="2464"/>
      <c r="F693" s="2465"/>
      <c r="G693" s="2563"/>
      <c r="H693" s="2466"/>
      <c r="I693" s="2446"/>
      <c r="J693" s="4967"/>
      <c r="K693" s="2457"/>
      <c r="L693" s="2457"/>
      <c r="M693" s="2457"/>
      <c r="N693" s="2457"/>
      <c r="O693" s="2457"/>
      <c r="P693" s="4968"/>
      <c r="Q693" s="2457"/>
      <c r="R693" s="2457"/>
      <c r="S693" s="4951"/>
      <c r="T693" s="4968"/>
      <c r="U693" s="2457"/>
      <c r="V693" s="2457"/>
      <c r="W693" s="2457"/>
      <c r="X693" s="2457"/>
      <c r="Y693" s="2457"/>
      <c r="Z693" s="2457"/>
      <c r="AA693" s="2457"/>
      <c r="AB693" s="2457"/>
      <c r="AC693" s="2457"/>
      <c r="AD693" s="2457"/>
      <c r="AE693" s="2457"/>
      <c r="AF693" s="2457"/>
      <c r="AG693" s="2457"/>
      <c r="AH693" s="2457"/>
      <c r="AI693" s="2457"/>
      <c r="AJ693" s="2457"/>
      <c r="AK693" s="2457"/>
      <c r="AL693" s="2457"/>
      <c r="AM693" s="2457"/>
      <c r="AN693" s="2457"/>
      <c r="AO693" s="2457"/>
      <c r="AP693" s="2457"/>
      <c r="AQ693" s="2457"/>
      <c r="AR693" s="2457"/>
      <c r="AS693" s="2457"/>
      <c r="AT693" s="2457"/>
      <c r="AU693" s="2457"/>
      <c r="AV693" s="2457"/>
      <c r="AW693" s="2457"/>
      <c r="AX693" s="2457"/>
      <c r="AY693" s="2457"/>
    </row>
    <row r="694" spans="1:51" s="2467" customFormat="1" ht="13.5" customHeight="1">
      <c r="A694" s="2463"/>
      <c r="B694" s="2464"/>
      <c r="C694" s="2464"/>
      <c r="D694" s="2452" t="s">
        <v>3642</v>
      </c>
      <c r="E694" s="2452"/>
      <c r="F694" s="2453">
        <v>8</v>
      </c>
      <c r="G694" s="2563"/>
      <c r="H694" s="2466"/>
      <c r="I694" s="2446"/>
      <c r="J694" s="4968"/>
      <c r="K694" s="2457"/>
      <c r="L694" s="2457"/>
      <c r="M694" s="2457"/>
      <c r="N694" s="2457"/>
      <c r="O694" s="2457"/>
      <c r="P694" s="2457"/>
      <c r="Q694" s="2457"/>
      <c r="R694" s="2457"/>
      <c r="S694" s="4971"/>
      <c r="T694" s="2457"/>
      <c r="U694" s="2457"/>
      <c r="V694" s="2457"/>
      <c r="W694" s="2457"/>
      <c r="X694" s="2457"/>
      <c r="Y694" s="2457"/>
      <c r="Z694" s="2457"/>
      <c r="AA694" s="2457"/>
      <c r="AB694" s="2457"/>
      <c r="AC694" s="2457"/>
      <c r="AD694" s="2457"/>
      <c r="AE694" s="2457"/>
      <c r="AF694" s="2457"/>
      <c r="AG694" s="2457"/>
      <c r="AH694" s="2457"/>
      <c r="AI694" s="2457"/>
      <c r="AJ694" s="2457"/>
      <c r="AK694" s="2457"/>
      <c r="AL694" s="2457"/>
      <c r="AM694" s="2457"/>
      <c r="AN694" s="2457"/>
      <c r="AO694" s="2457"/>
      <c r="AP694" s="2457"/>
      <c r="AQ694" s="2457"/>
      <c r="AR694" s="2457"/>
      <c r="AS694" s="2457"/>
      <c r="AT694" s="2457"/>
      <c r="AU694" s="2457"/>
      <c r="AV694" s="2457"/>
      <c r="AW694" s="2457"/>
      <c r="AX694" s="2457"/>
      <c r="AY694" s="2457"/>
    </row>
    <row r="695" spans="1:51" s="2468" customFormat="1" ht="27" customHeight="1">
      <c r="A695" s="2450"/>
      <c r="B695" s="2451"/>
      <c r="C695" s="2448"/>
      <c r="D695" s="265" t="s">
        <v>3643</v>
      </c>
      <c r="E695" s="2448"/>
      <c r="F695" s="2456"/>
      <c r="G695" s="2562"/>
      <c r="H695" s="2449"/>
      <c r="I695" s="2462"/>
      <c r="J695" s="4954"/>
      <c r="K695" s="2447"/>
      <c r="L695" s="2447"/>
      <c r="M695" s="2447"/>
      <c r="N695" s="2447"/>
      <c r="O695" s="2447"/>
      <c r="P695" s="2447"/>
      <c r="Q695" s="2447"/>
      <c r="R695" s="2447"/>
      <c r="S695" s="2447"/>
      <c r="T695" s="2447"/>
      <c r="U695" s="2447"/>
      <c r="V695" s="2447"/>
      <c r="W695" s="2447"/>
      <c r="X695" s="2447"/>
      <c r="Y695" s="2447"/>
      <c r="Z695" s="2447"/>
      <c r="AA695" s="2447"/>
      <c r="AB695" s="2447"/>
      <c r="AC695" s="2447"/>
      <c r="AD695" s="2447"/>
      <c r="AE695" s="2447"/>
      <c r="AF695" s="2447"/>
      <c r="AG695" s="2447"/>
      <c r="AH695" s="2447"/>
      <c r="AI695" s="2447"/>
      <c r="AJ695" s="2447"/>
      <c r="AK695" s="2447"/>
      <c r="AL695" s="2447"/>
      <c r="AM695" s="2447"/>
      <c r="AN695" s="2447"/>
      <c r="AO695" s="2447"/>
      <c r="AP695" s="2447"/>
      <c r="AQ695" s="2447"/>
      <c r="AR695" s="2447"/>
      <c r="AS695" s="2447"/>
      <c r="AT695" s="2447"/>
      <c r="AU695" s="2447"/>
      <c r="AV695" s="2447"/>
      <c r="AW695" s="2447"/>
      <c r="AX695" s="2447"/>
      <c r="AY695" s="2447"/>
    </row>
    <row r="696" spans="1:51" s="233" customFormat="1" ht="27" customHeight="1">
      <c r="A696" s="263" t="s">
        <v>3648</v>
      </c>
      <c r="B696" s="265">
        <v>751</v>
      </c>
      <c r="C696" s="265" t="s">
        <v>3649</v>
      </c>
      <c r="D696" s="265" t="s">
        <v>3650</v>
      </c>
      <c r="E696" s="265" t="s">
        <v>205</v>
      </c>
      <c r="F696" s="2443">
        <f>ROUND(SUM(F698:F699),3)</f>
        <v>1</v>
      </c>
      <c r="G696" s="2563"/>
      <c r="H696" s="2445">
        <f t="shared" ref="H696" si="132">ROUND(F696*G696,2)</f>
        <v>0</v>
      </c>
      <c r="I696" s="2446" t="s">
        <v>111</v>
      </c>
      <c r="J696" s="4951"/>
      <c r="K696" s="4970"/>
      <c r="L696" s="4960"/>
      <c r="M696" s="4960"/>
      <c r="N696" s="4966"/>
      <c r="O696" s="4960"/>
      <c r="P696" s="4962"/>
      <c r="Q696" s="4960"/>
      <c r="R696" s="4951"/>
      <c r="S696" s="4957"/>
    </row>
    <row r="697" spans="1:51" s="2467" customFormat="1" ht="27" customHeight="1">
      <c r="A697" s="2463"/>
      <c r="B697" s="2464"/>
      <c r="C697" s="2464"/>
      <c r="D697" s="265" t="s">
        <v>3651</v>
      </c>
      <c r="E697" s="2464"/>
      <c r="F697" s="2465"/>
      <c r="G697" s="2563"/>
      <c r="H697" s="2466"/>
      <c r="I697" s="2446"/>
      <c r="J697" s="4967"/>
      <c r="K697" s="2457"/>
      <c r="L697" s="236"/>
      <c r="M697" s="2457"/>
      <c r="N697" s="2457"/>
      <c r="O697" s="2457"/>
      <c r="P697" s="4968"/>
      <c r="Q697" s="2457"/>
      <c r="R697" s="4951"/>
      <c r="S697" s="2457"/>
      <c r="T697" s="2457"/>
      <c r="U697" s="2457"/>
      <c r="V697" s="2457"/>
      <c r="W697" s="2457"/>
      <c r="X697" s="2457"/>
      <c r="Y697" s="2457"/>
      <c r="Z697" s="2457"/>
      <c r="AA697" s="2457"/>
      <c r="AB697" s="2457"/>
      <c r="AC697" s="2457"/>
      <c r="AD697" s="2457"/>
      <c r="AE697" s="2457"/>
      <c r="AF697" s="2457"/>
      <c r="AG697" s="2457"/>
      <c r="AH697" s="2457"/>
      <c r="AI697" s="2457"/>
      <c r="AJ697" s="2457"/>
      <c r="AK697" s="2457"/>
      <c r="AL697" s="2457"/>
      <c r="AM697" s="2457"/>
      <c r="AN697" s="2457"/>
      <c r="AO697" s="2457"/>
      <c r="AP697" s="2457"/>
      <c r="AQ697" s="2457"/>
      <c r="AR697" s="2457"/>
      <c r="AS697" s="2457"/>
      <c r="AT697" s="2457"/>
      <c r="AU697" s="2457"/>
      <c r="AV697" s="2457"/>
      <c r="AW697" s="2457"/>
      <c r="AX697" s="2457"/>
      <c r="AY697" s="2457"/>
    </row>
    <row r="698" spans="1:51" s="2467" customFormat="1" ht="13.5" customHeight="1">
      <c r="A698" s="2463"/>
      <c r="B698" s="2464"/>
      <c r="C698" s="2464"/>
      <c r="D698" s="2452" t="s">
        <v>260</v>
      </c>
      <c r="E698" s="2452"/>
      <c r="F698" s="2453">
        <v>1</v>
      </c>
      <c r="G698" s="2563"/>
      <c r="H698" s="2466"/>
      <c r="I698" s="2446"/>
      <c r="J698" s="236"/>
      <c r="K698" s="4955"/>
      <c r="L698" s="2457"/>
      <c r="M698" s="4967"/>
      <c r="N698" s="2457"/>
      <c r="O698" s="2457"/>
      <c r="P698" s="2457"/>
      <c r="Q698" s="2457"/>
      <c r="R698" s="4951"/>
      <c r="S698" s="2457"/>
      <c r="T698" s="2457"/>
      <c r="U698" s="2457"/>
      <c r="V698" s="2457"/>
      <c r="W698" s="2457"/>
      <c r="X698" s="2457"/>
      <c r="Y698" s="2457"/>
      <c r="Z698" s="2457"/>
      <c r="AA698" s="2457"/>
      <c r="AB698" s="2457"/>
      <c r="AC698" s="2457"/>
      <c r="AD698" s="2457"/>
      <c r="AE698" s="2457"/>
      <c r="AF698" s="2457"/>
      <c r="AG698" s="2457"/>
      <c r="AH698" s="2457"/>
      <c r="AI698" s="2457"/>
      <c r="AJ698" s="2457"/>
      <c r="AK698" s="2457"/>
      <c r="AL698" s="2457"/>
      <c r="AM698" s="2457"/>
      <c r="AN698" s="2457"/>
      <c r="AO698" s="2457"/>
      <c r="AP698" s="2457"/>
      <c r="AQ698" s="2457"/>
      <c r="AR698" s="2457"/>
      <c r="AS698" s="2457"/>
      <c r="AT698" s="2457"/>
      <c r="AU698" s="2457"/>
      <c r="AV698" s="2457"/>
      <c r="AW698" s="2457"/>
      <c r="AX698" s="2457"/>
      <c r="AY698" s="2457"/>
    </row>
    <row r="699" spans="1:51" s="2467" customFormat="1" ht="27" customHeight="1">
      <c r="A699" s="2463"/>
      <c r="B699" s="2464"/>
      <c r="C699" s="2464"/>
      <c r="D699" s="265" t="s">
        <v>3623</v>
      </c>
      <c r="E699" s="2452"/>
      <c r="F699" s="2453"/>
      <c r="G699" s="2563"/>
      <c r="H699" s="2466"/>
      <c r="I699" s="2446"/>
      <c r="J699" s="4967"/>
      <c r="K699" s="2457"/>
      <c r="L699" s="2457"/>
      <c r="M699" s="2470"/>
      <c r="N699" s="2457"/>
      <c r="O699" s="2457"/>
      <c r="P699" s="2457"/>
      <c r="Q699" s="2457"/>
      <c r="R699" s="4951"/>
      <c r="S699" s="2457"/>
      <c r="T699" s="2457"/>
      <c r="U699" s="2457"/>
      <c r="V699" s="2457"/>
      <c r="W699" s="2457"/>
      <c r="X699" s="2457"/>
      <c r="Y699" s="2457"/>
      <c r="Z699" s="2457"/>
      <c r="AA699" s="2457"/>
      <c r="AB699" s="2457"/>
      <c r="AC699" s="2457"/>
      <c r="AD699" s="2457"/>
      <c r="AE699" s="2457"/>
      <c r="AF699" s="2457"/>
      <c r="AG699" s="2457"/>
      <c r="AH699" s="2457"/>
      <c r="AI699" s="2457"/>
      <c r="AJ699" s="2457"/>
      <c r="AK699" s="2457"/>
      <c r="AL699" s="2457"/>
      <c r="AM699" s="2457"/>
      <c r="AN699" s="2457"/>
      <c r="AO699" s="2457"/>
      <c r="AP699" s="2457"/>
      <c r="AQ699" s="2457"/>
      <c r="AR699" s="2457"/>
      <c r="AS699" s="2457"/>
      <c r="AT699" s="2457"/>
      <c r="AU699" s="2457"/>
      <c r="AV699" s="2457"/>
      <c r="AW699" s="2457"/>
      <c r="AX699" s="2457"/>
      <c r="AY699" s="2457"/>
    </row>
    <row r="700" spans="1:51" s="233" customFormat="1" ht="27" customHeight="1">
      <c r="A700" s="263" t="s">
        <v>3652</v>
      </c>
      <c r="B700" s="265">
        <v>751</v>
      </c>
      <c r="C700" s="265" t="s">
        <v>3653</v>
      </c>
      <c r="D700" s="265" t="s">
        <v>3654</v>
      </c>
      <c r="E700" s="265" t="s">
        <v>205</v>
      </c>
      <c r="F700" s="2443">
        <f>ROUND(SUM(F702:F703),3)</f>
        <v>1</v>
      </c>
      <c r="G700" s="2563"/>
      <c r="H700" s="2445">
        <f t="shared" ref="H700" si="133">ROUND(F700*G700,2)</f>
        <v>0</v>
      </c>
      <c r="I700" s="2446" t="s">
        <v>111</v>
      </c>
      <c r="J700" s="4951"/>
      <c r="K700" s="4970"/>
      <c r="L700" s="4960"/>
      <c r="M700" s="4960"/>
      <c r="N700" s="4966"/>
      <c r="O700" s="4960"/>
      <c r="P700" s="4962"/>
      <c r="Q700" s="4960"/>
      <c r="R700" s="4951"/>
      <c r="S700" s="4957"/>
    </row>
    <row r="701" spans="1:51" s="2467" customFormat="1" ht="27" customHeight="1">
      <c r="A701" s="2463"/>
      <c r="B701" s="2464"/>
      <c r="C701" s="2464"/>
      <c r="D701" s="265" t="s">
        <v>3655</v>
      </c>
      <c r="E701" s="2464"/>
      <c r="F701" s="2465"/>
      <c r="G701" s="2563"/>
      <c r="H701" s="2466"/>
      <c r="I701" s="2446"/>
      <c r="J701" s="4967"/>
      <c r="K701" s="2457"/>
      <c r="L701" s="4972"/>
      <c r="M701" s="2457"/>
      <c r="N701" s="2457"/>
      <c r="O701" s="2457"/>
      <c r="P701" s="4968"/>
      <c r="Q701" s="2457"/>
      <c r="R701" s="4951"/>
      <c r="S701" s="2457"/>
      <c r="T701" s="2457"/>
      <c r="U701" s="2457"/>
      <c r="V701" s="2457"/>
      <c r="W701" s="2457"/>
      <c r="X701" s="2457"/>
      <c r="Y701" s="2457"/>
      <c r="Z701" s="2457"/>
      <c r="AA701" s="2457"/>
      <c r="AB701" s="2457"/>
      <c r="AC701" s="2457"/>
      <c r="AD701" s="2457"/>
      <c r="AE701" s="2457"/>
      <c r="AF701" s="2457"/>
      <c r="AG701" s="2457"/>
      <c r="AH701" s="2457"/>
      <c r="AI701" s="2457"/>
      <c r="AJ701" s="2457"/>
      <c r="AK701" s="2457"/>
      <c r="AL701" s="2457"/>
      <c r="AM701" s="2457"/>
      <c r="AN701" s="2457"/>
      <c r="AO701" s="2457"/>
      <c r="AP701" s="2457"/>
      <c r="AQ701" s="2457"/>
      <c r="AR701" s="2457"/>
      <c r="AS701" s="2457"/>
      <c r="AT701" s="2457"/>
      <c r="AU701" s="2457"/>
      <c r="AV701" s="2457"/>
      <c r="AW701" s="2457"/>
      <c r="AX701" s="2457"/>
      <c r="AY701" s="2457"/>
    </row>
    <row r="702" spans="1:51" s="2467" customFormat="1" ht="13.5" customHeight="1">
      <c r="A702" s="2463"/>
      <c r="B702" s="2464"/>
      <c r="C702" s="2464"/>
      <c r="D702" s="2452" t="s">
        <v>260</v>
      </c>
      <c r="E702" s="2452"/>
      <c r="F702" s="2453">
        <v>1</v>
      </c>
      <c r="G702" s="2563"/>
      <c r="H702" s="2466"/>
      <c r="I702" s="2446"/>
      <c r="J702" s="4967"/>
      <c r="K702" s="2457"/>
      <c r="L702" s="4972"/>
      <c r="M702" s="2457"/>
      <c r="N702" s="2457"/>
      <c r="O702" s="2457"/>
      <c r="P702" s="4968"/>
      <c r="Q702" s="2457"/>
      <c r="R702" s="4951"/>
      <c r="S702" s="2457"/>
      <c r="T702" s="2457"/>
      <c r="U702" s="2457"/>
      <c r="V702" s="2457"/>
      <c r="W702" s="2457"/>
      <c r="X702" s="2457"/>
      <c r="Y702" s="2457"/>
      <c r="Z702" s="2457"/>
      <c r="AA702" s="2457"/>
      <c r="AB702" s="2457"/>
      <c r="AC702" s="2457"/>
      <c r="AD702" s="2457"/>
      <c r="AE702" s="2457"/>
      <c r="AF702" s="2457"/>
      <c r="AG702" s="2457"/>
      <c r="AH702" s="2457"/>
      <c r="AI702" s="2457"/>
      <c r="AJ702" s="2457"/>
      <c r="AK702" s="2457"/>
      <c r="AL702" s="2457"/>
      <c r="AM702" s="2457"/>
      <c r="AN702" s="2457"/>
      <c r="AO702" s="2457"/>
      <c r="AP702" s="2457"/>
      <c r="AQ702" s="2457"/>
      <c r="AR702" s="2457"/>
      <c r="AS702" s="2457"/>
      <c r="AT702" s="2457"/>
      <c r="AU702" s="2457"/>
      <c r="AV702" s="2457"/>
      <c r="AW702" s="2457"/>
      <c r="AX702" s="2457"/>
      <c r="AY702" s="2457"/>
    </row>
    <row r="703" spans="1:51" s="2467" customFormat="1" ht="27" customHeight="1">
      <c r="A703" s="2463"/>
      <c r="B703" s="2464"/>
      <c r="C703" s="2464"/>
      <c r="D703" s="265" t="s">
        <v>3623</v>
      </c>
      <c r="E703" s="2452"/>
      <c r="F703" s="2453"/>
      <c r="G703" s="2563"/>
      <c r="H703" s="2466"/>
      <c r="I703" s="2446"/>
      <c r="J703" s="4973"/>
      <c r="K703" s="2457"/>
      <c r="L703" s="2457"/>
      <c r="M703" s="4951"/>
      <c r="N703" s="2457"/>
      <c r="O703" s="2457"/>
      <c r="P703" s="4967"/>
      <c r="Q703" s="2457"/>
      <c r="R703" s="2457"/>
      <c r="S703" s="4951"/>
      <c r="T703" s="2457"/>
      <c r="U703" s="2457"/>
      <c r="V703" s="2457"/>
      <c r="W703" s="2457"/>
      <c r="X703" s="2457"/>
      <c r="Y703" s="2457"/>
      <c r="Z703" s="2457"/>
      <c r="AA703" s="2457"/>
      <c r="AB703" s="2457"/>
      <c r="AC703" s="2457"/>
      <c r="AD703" s="2457"/>
      <c r="AE703" s="2457"/>
      <c r="AF703" s="2457"/>
      <c r="AG703" s="2457"/>
      <c r="AH703" s="2457"/>
      <c r="AI703" s="2457"/>
      <c r="AJ703" s="2457"/>
      <c r="AK703" s="2457"/>
      <c r="AL703" s="2457"/>
      <c r="AM703" s="2457"/>
      <c r="AN703" s="2457"/>
      <c r="AO703" s="2457"/>
      <c r="AP703" s="2457"/>
      <c r="AQ703" s="2457"/>
      <c r="AR703" s="2457"/>
      <c r="AS703" s="2457"/>
      <c r="AT703" s="2457"/>
      <c r="AU703" s="2457"/>
      <c r="AV703" s="2457"/>
      <c r="AW703" s="2457"/>
      <c r="AX703" s="2457"/>
      <c r="AY703" s="2457"/>
    </row>
    <row r="704" spans="1:51" s="233" customFormat="1" ht="27" customHeight="1">
      <c r="A704" s="263" t="s">
        <v>3656</v>
      </c>
      <c r="B704" s="265">
        <v>751</v>
      </c>
      <c r="C704" s="265" t="s">
        <v>3657</v>
      </c>
      <c r="D704" s="265" t="s">
        <v>3658</v>
      </c>
      <c r="E704" s="265" t="s">
        <v>205</v>
      </c>
      <c r="F704" s="2443">
        <f>ROUND(SUM(F706:F706),3)</f>
        <v>2</v>
      </c>
      <c r="G704" s="2563"/>
      <c r="H704" s="2445">
        <f t="shared" ref="H704" si="134">ROUND(F704*G704,2)</f>
        <v>0</v>
      </c>
      <c r="I704" s="2446" t="s">
        <v>111</v>
      </c>
      <c r="J704" s="4951"/>
      <c r="K704" s="4970"/>
      <c r="L704" s="4960"/>
      <c r="M704" s="4960"/>
      <c r="N704" s="4966"/>
      <c r="O704" s="4960"/>
      <c r="P704" s="4962"/>
      <c r="Q704" s="4960"/>
      <c r="R704" s="4951"/>
      <c r="S704" s="4957"/>
    </row>
    <row r="705" spans="1:51" s="2467" customFormat="1" ht="27" customHeight="1">
      <c r="A705" s="2463"/>
      <c r="B705" s="2464"/>
      <c r="C705" s="2464"/>
      <c r="D705" s="265" t="s">
        <v>3659</v>
      </c>
      <c r="E705" s="2464"/>
      <c r="F705" s="2465"/>
      <c r="G705" s="2563"/>
      <c r="H705" s="2466"/>
      <c r="I705" s="2446"/>
      <c r="J705" s="4967"/>
      <c r="K705" s="2457"/>
      <c r="L705" s="236"/>
      <c r="M705" s="2457"/>
      <c r="N705" s="2457"/>
      <c r="O705" s="2457"/>
      <c r="P705" s="4968"/>
      <c r="Q705" s="2457"/>
      <c r="R705" s="4951"/>
      <c r="S705" s="2457"/>
      <c r="T705" s="2457"/>
      <c r="U705" s="2457"/>
      <c r="V705" s="2457"/>
      <c r="W705" s="2457"/>
      <c r="X705" s="2457"/>
      <c r="Y705" s="2457"/>
      <c r="Z705" s="2457"/>
      <c r="AA705" s="2457"/>
      <c r="AB705" s="2457"/>
      <c r="AC705" s="2457"/>
      <c r="AD705" s="2457"/>
      <c r="AE705" s="2457"/>
      <c r="AF705" s="2457"/>
      <c r="AG705" s="2457"/>
      <c r="AH705" s="2457"/>
      <c r="AI705" s="2457"/>
      <c r="AJ705" s="2457"/>
      <c r="AK705" s="2457"/>
      <c r="AL705" s="2457"/>
      <c r="AM705" s="2457"/>
      <c r="AN705" s="2457"/>
      <c r="AO705" s="2457"/>
      <c r="AP705" s="2457"/>
      <c r="AQ705" s="2457"/>
      <c r="AR705" s="2457"/>
      <c r="AS705" s="2457"/>
      <c r="AT705" s="2457"/>
      <c r="AU705" s="2457"/>
      <c r="AV705" s="2457"/>
      <c r="AW705" s="2457"/>
      <c r="AX705" s="2457"/>
      <c r="AY705" s="2457"/>
    </row>
    <row r="706" spans="1:51" s="2467" customFormat="1" ht="13.5" customHeight="1">
      <c r="A706" s="2463"/>
      <c r="B706" s="2464"/>
      <c r="C706" s="2464"/>
      <c r="D706" s="2452" t="s">
        <v>3519</v>
      </c>
      <c r="E706" s="2452"/>
      <c r="F706" s="2453">
        <v>2</v>
      </c>
      <c r="G706" s="2563"/>
      <c r="H706" s="2466"/>
      <c r="I706" s="2446"/>
      <c r="J706" s="4973"/>
      <c r="K706" s="2457"/>
      <c r="L706" s="2457"/>
      <c r="M706" s="4951"/>
      <c r="N706" s="2457"/>
      <c r="O706" s="2457"/>
      <c r="P706" s="2457"/>
      <c r="Q706" s="2457"/>
      <c r="R706" s="4971"/>
      <c r="S706" s="2457"/>
      <c r="T706" s="2457"/>
      <c r="U706" s="2457"/>
      <c r="V706" s="2457"/>
      <c r="W706" s="2457"/>
      <c r="X706" s="2457"/>
      <c r="Y706" s="2457"/>
      <c r="Z706" s="2457"/>
      <c r="AA706" s="2457"/>
      <c r="AB706" s="2457"/>
      <c r="AC706" s="2457"/>
      <c r="AD706" s="2457"/>
      <c r="AE706" s="2457"/>
      <c r="AF706" s="2457"/>
      <c r="AG706" s="2457"/>
      <c r="AH706" s="2457"/>
      <c r="AI706" s="2457"/>
      <c r="AJ706" s="2457"/>
      <c r="AK706" s="2457"/>
      <c r="AL706" s="2457"/>
      <c r="AM706" s="2457"/>
      <c r="AN706" s="2457"/>
      <c r="AO706" s="2457"/>
      <c r="AP706" s="2457"/>
      <c r="AQ706" s="2457"/>
      <c r="AR706" s="2457"/>
      <c r="AS706" s="2457"/>
      <c r="AT706" s="2457"/>
      <c r="AU706" s="2457"/>
      <c r="AV706" s="2457"/>
      <c r="AW706" s="2457"/>
      <c r="AX706" s="2457"/>
      <c r="AY706" s="2457"/>
    </row>
    <row r="707" spans="1:51" s="2468" customFormat="1" ht="27" customHeight="1">
      <c r="A707" s="2450"/>
      <c r="B707" s="2451"/>
      <c r="C707" s="2448"/>
      <c r="D707" s="265" t="s">
        <v>3623</v>
      </c>
      <c r="E707" s="2448"/>
      <c r="F707" s="2456"/>
      <c r="G707" s="2562"/>
      <c r="H707" s="2449"/>
      <c r="I707" s="2455"/>
      <c r="J707" s="4967"/>
      <c r="K707" s="2457"/>
      <c r="L707" s="2457"/>
      <c r="M707" s="4951"/>
      <c r="N707" s="2457"/>
      <c r="O707" s="2457"/>
      <c r="P707" s="2457"/>
      <c r="Q707" s="2457"/>
      <c r="R707" s="4951"/>
      <c r="S707" s="2447"/>
      <c r="T707" s="2447"/>
      <c r="U707" s="2447"/>
      <c r="V707" s="2447"/>
      <c r="W707" s="2447"/>
      <c r="X707" s="2447"/>
      <c r="Y707" s="2447"/>
      <c r="Z707" s="2447"/>
      <c r="AA707" s="2447"/>
      <c r="AB707" s="2447"/>
      <c r="AC707" s="2447"/>
      <c r="AD707" s="2447"/>
      <c r="AE707" s="2447"/>
      <c r="AF707" s="2447"/>
      <c r="AG707" s="2447"/>
      <c r="AH707" s="2447"/>
      <c r="AI707" s="2447"/>
      <c r="AJ707" s="2447"/>
      <c r="AK707" s="2447"/>
      <c r="AL707" s="2447"/>
      <c r="AM707" s="2447"/>
      <c r="AN707" s="2447"/>
      <c r="AO707" s="2447"/>
      <c r="AP707" s="2447"/>
      <c r="AQ707" s="2447"/>
      <c r="AR707" s="2447"/>
      <c r="AS707" s="2447"/>
      <c r="AT707" s="2447"/>
      <c r="AU707" s="2447"/>
      <c r="AV707" s="2447"/>
      <c r="AW707" s="2447"/>
      <c r="AX707" s="2447"/>
      <c r="AY707" s="2447"/>
    </row>
    <row r="708" spans="1:51" s="233" customFormat="1" ht="27" customHeight="1">
      <c r="A708" s="263" t="s">
        <v>3660</v>
      </c>
      <c r="B708" s="265">
        <v>751</v>
      </c>
      <c r="C708" s="265" t="s">
        <v>3661</v>
      </c>
      <c r="D708" s="265" t="s">
        <v>3662</v>
      </c>
      <c r="E708" s="265" t="s">
        <v>205</v>
      </c>
      <c r="F708" s="2443">
        <f>ROUND(SUM(F710:F710),3)</f>
        <v>5</v>
      </c>
      <c r="G708" s="2563"/>
      <c r="H708" s="2445">
        <f t="shared" ref="H708" si="135">ROUND(F708*G708,2)</f>
        <v>0</v>
      </c>
      <c r="I708" s="2446" t="s">
        <v>111</v>
      </c>
      <c r="J708" s="4951"/>
      <c r="K708" s="4970"/>
      <c r="L708" s="4960"/>
      <c r="M708" s="4960"/>
      <c r="N708" s="4966"/>
      <c r="O708" s="4960"/>
      <c r="P708" s="4962"/>
      <c r="Q708" s="4960"/>
      <c r="R708" s="4951"/>
      <c r="S708" s="4957"/>
    </row>
    <row r="709" spans="1:51" s="2467" customFormat="1" ht="27" customHeight="1">
      <c r="A709" s="2463"/>
      <c r="B709" s="2464"/>
      <c r="C709" s="2464"/>
      <c r="D709" s="265" t="s">
        <v>3663</v>
      </c>
      <c r="E709" s="2464"/>
      <c r="F709" s="2465"/>
      <c r="G709" s="2563"/>
      <c r="H709" s="2466"/>
      <c r="I709" s="2446"/>
      <c r="J709" s="4967"/>
      <c r="K709" s="2457"/>
      <c r="L709" s="236"/>
      <c r="M709" s="2457"/>
      <c r="N709" s="2457"/>
      <c r="O709" s="2457"/>
      <c r="P709" s="4968"/>
      <c r="Q709" s="2457"/>
      <c r="R709" s="4951"/>
      <c r="S709" s="2457"/>
      <c r="T709" s="2457"/>
      <c r="U709" s="2457"/>
      <c r="V709" s="2457"/>
      <c r="W709" s="2457"/>
      <c r="X709" s="2457"/>
      <c r="Y709" s="2457"/>
      <c r="Z709" s="2457"/>
      <c r="AA709" s="2457"/>
      <c r="AB709" s="2457"/>
      <c r="AC709" s="2457"/>
      <c r="AD709" s="2457"/>
      <c r="AE709" s="2457"/>
      <c r="AF709" s="2457"/>
      <c r="AG709" s="2457"/>
      <c r="AH709" s="2457"/>
      <c r="AI709" s="2457"/>
      <c r="AJ709" s="2457"/>
      <c r="AK709" s="2457"/>
      <c r="AL709" s="2457"/>
      <c r="AM709" s="2457"/>
      <c r="AN709" s="2457"/>
      <c r="AO709" s="2457"/>
      <c r="AP709" s="2457"/>
      <c r="AQ709" s="2457"/>
      <c r="AR709" s="2457"/>
      <c r="AS709" s="2457"/>
      <c r="AT709" s="2457"/>
      <c r="AU709" s="2457"/>
      <c r="AV709" s="2457"/>
      <c r="AW709" s="2457"/>
      <c r="AX709" s="2457"/>
      <c r="AY709" s="2457"/>
    </row>
    <row r="710" spans="1:51" s="2467" customFormat="1" ht="13.5" customHeight="1">
      <c r="A710" s="2463"/>
      <c r="B710" s="2464"/>
      <c r="C710" s="2464"/>
      <c r="D710" s="2452" t="s">
        <v>3552</v>
      </c>
      <c r="E710" s="2452"/>
      <c r="F710" s="2453">
        <v>5</v>
      </c>
      <c r="G710" s="2563"/>
      <c r="H710" s="2466"/>
      <c r="I710" s="2446"/>
      <c r="J710" s="4973"/>
      <c r="K710" s="2457"/>
      <c r="L710" s="2457"/>
      <c r="M710" s="4951"/>
      <c r="N710" s="2457"/>
      <c r="O710" s="2457"/>
      <c r="P710" s="2457"/>
      <c r="Q710" s="2457"/>
      <c r="R710" s="4971"/>
      <c r="S710" s="2457"/>
      <c r="T710" s="2457"/>
      <c r="U710" s="2457"/>
      <c r="V710" s="2457"/>
      <c r="W710" s="2457"/>
      <c r="X710" s="2457"/>
      <c r="Y710" s="2457"/>
      <c r="Z710" s="2457"/>
      <c r="AA710" s="2457"/>
      <c r="AB710" s="2457"/>
      <c r="AC710" s="2457"/>
      <c r="AD710" s="2457"/>
      <c r="AE710" s="2457"/>
      <c r="AF710" s="2457"/>
      <c r="AG710" s="2457"/>
      <c r="AH710" s="2457"/>
      <c r="AI710" s="2457"/>
      <c r="AJ710" s="2457"/>
      <c r="AK710" s="2457"/>
      <c r="AL710" s="2457"/>
      <c r="AM710" s="2457"/>
      <c r="AN710" s="2457"/>
      <c r="AO710" s="2457"/>
      <c r="AP710" s="2457"/>
      <c r="AQ710" s="2457"/>
      <c r="AR710" s="2457"/>
      <c r="AS710" s="2457"/>
      <c r="AT710" s="2457"/>
      <c r="AU710" s="2457"/>
      <c r="AV710" s="2457"/>
      <c r="AW710" s="2457"/>
      <c r="AX710" s="2457"/>
      <c r="AY710" s="2457"/>
    </row>
    <row r="711" spans="1:51" s="2468" customFormat="1" ht="27" customHeight="1">
      <c r="A711" s="2450"/>
      <c r="B711" s="2451"/>
      <c r="C711" s="2448"/>
      <c r="D711" s="265" t="s">
        <v>3623</v>
      </c>
      <c r="E711" s="2448"/>
      <c r="F711" s="2456"/>
      <c r="G711" s="2562"/>
      <c r="H711" s="2449"/>
      <c r="I711" s="2455"/>
      <c r="J711" s="4967"/>
      <c r="K711" s="2457"/>
      <c r="L711" s="2457"/>
      <c r="M711" s="4951"/>
      <c r="N711" s="2457"/>
      <c r="O711" s="2457"/>
      <c r="P711" s="2457"/>
      <c r="Q711" s="2457"/>
      <c r="R711" s="4951"/>
      <c r="S711" s="2447"/>
      <c r="T711" s="2447"/>
      <c r="U711" s="2447"/>
      <c r="V711" s="2447"/>
      <c r="W711" s="2447"/>
      <c r="X711" s="2447"/>
      <c r="Y711" s="2447"/>
      <c r="Z711" s="2447"/>
      <c r="AA711" s="2447"/>
      <c r="AB711" s="2447"/>
      <c r="AC711" s="2447"/>
      <c r="AD711" s="2447"/>
      <c r="AE711" s="2447"/>
      <c r="AF711" s="2447"/>
      <c r="AG711" s="2447"/>
      <c r="AH711" s="2447"/>
      <c r="AI711" s="2447"/>
      <c r="AJ711" s="2447"/>
      <c r="AK711" s="2447"/>
      <c r="AL711" s="2447"/>
      <c r="AM711" s="2447"/>
      <c r="AN711" s="2447"/>
      <c r="AO711" s="2447"/>
      <c r="AP711" s="2447"/>
      <c r="AQ711" s="2447"/>
      <c r="AR711" s="2447"/>
      <c r="AS711" s="2447"/>
      <c r="AT711" s="2447"/>
      <c r="AU711" s="2447"/>
      <c r="AV711" s="2447"/>
      <c r="AW711" s="2447"/>
      <c r="AX711" s="2447"/>
      <c r="AY711" s="2447"/>
    </row>
    <row r="712" spans="1:51" s="233" customFormat="1" ht="27" customHeight="1">
      <c r="A712" s="263" t="s">
        <v>3664</v>
      </c>
      <c r="B712" s="265">
        <v>751</v>
      </c>
      <c r="C712" s="265" t="s">
        <v>3665</v>
      </c>
      <c r="D712" s="265" t="s">
        <v>3666</v>
      </c>
      <c r="E712" s="265" t="s">
        <v>205</v>
      </c>
      <c r="F712" s="2443">
        <f>ROUND(SUM(F714:F714),3)</f>
        <v>1</v>
      </c>
      <c r="G712" s="2563"/>
      <c r="H712" s="2445">
        <f t="shared" ref="H712" si="136">ROUND(F712*G712,2)</f>
        <v>0</v>
      </c>
      <c r="I712" s="2446" t="s">
        <v>111</v>
      </c>
      <c r="J712" s="4951"/>
      <c r="K712" s="4970"/>
      <c r="L712" s="4960"/>
      <c r="M712" s="4960"/>
      <c r="N712" s="4966"/>
      <c r="O712" s="4960"/>
      <c r="P712" s="4962"/>
      <c r="Q712" s="4960"/>
      <c r="R712" s="4951"/>
      <c r="S712" s="4957"/>
    </row>
    <row r="713" spans="1:51" s="2467" customFormat="1" ht="27" customHeight="1">
      <c r="A713" s="2463"/>
      <c r="B713" s="2464"/>
      <c r="C713" s="2464"/>
      <c r="D713" s="265" t="s">
        <v>3667</v>
      </c>
      <c r="E713" s="2464"/>
      <c r="F713" s="2465"/>
      <c r="G713" s="2563"/>
      <c r="H713" s="2466"/>
      <c r="I713" s="2446"/>
      <c r="J713" s="4967"/>
      <c r="K713" s="2457"/>
      <c r="L713" s="236"/>
      <c r="M713" s="2457"/>
      <c r="N713" s="2457"/>
      <c r="O713" s="2457"/>
      <c r="P713" s="4968"/>
      <c r="Q713" s="2457"/>
      <c r="R713" s="4951"/>
      <c r="S713" s="2457"/>
      <c r="T713" s="2457"/>
      <c r="U713" s="2457"/>
      <c r="V713" s="2457"/>
      <c r="W713" s="2457"/>
      <c r="X713" s="2457"/>
      <c r="Y713" s="2457"/>
      <c r="Z713" s="2457"/>
      <c r="AA713" s="2457"/>
      <c r="AB713" s="2457"/>
      <c r="AC713" s="2457"/>
      <c r="AD713" s="2457"/>
      <c r="AE713" s="2457"/>
      <c r="AF713" s="2457"/>
      <c r="AG713" s="2457"/>
      <c r="AH713" s="2457"/>
      <c r="AI713" s="2457"/>
      <c r="AJ713" s="2457"/>
      <c r="AK713" s="2457"/>
      <c r="AL713" s="2457"/>
      <c r="AM713" s="2457"/>
      <c r="AN713" s="2457"/>
      <c r="AO713" s="2457"/>
      <c r="AP713" s="2457"/>
      <c r="AQ713" s="2457"/>
      <c r="AR713" s="2457"/>
      <c r="AS713" s="2457"/>
      <c r="AT713" s="2457"/>
      <c r="AU713" s="2457"/>
      <c r="AV713" s="2457"/>
      <c r="AW713" s="2457"/>
      <c r="AX713" s="2457"/>
      <c r="AY713" s="2457"/>
    </row>
    <row r="714" spans="1:51" s="2467" customFormat="1" ht="13.5" customHeight="1">
      <c r="A714" s="2463"/>
      <c r="B714" s="2464"/>
      <c r="C714" s="2464"/>
      <c r="D714" s="2452" t="s">
        <v>260</v>
      </c>
      <c r="E714" s="2452"/>
      <c r="F714" s="2453">
        <v>1</v>
      </c>
      <c r="G714" s="2563"/>
      <c r="H714" s="2466"/>
      <c r="I714" s="2446"/>
      <c r="J714" s="4973"/>
      <c r="K714" s="2457"/>
      <c r="L714" s="2457"/>
      <c r="M714" s="4951"/>
      <c r="N714" s="2457"/>
      <c r="O714" s="2457"/>
      <c r="P714" s="2457"/>
      <c r="Q714" s="2457"/>
      <c r="R714" s="4971"/>
      <c r="S714" s="2457"/>
      <c r="T714" s="2457"/>
      <c r="U714" s="2457"/>
      <c r="V714" s="2457"/>
      <c r="W714" s="2457"/>
      <c r="X714" s="2457"/>
      <c r="Y714" s="2457"/>
      <c r="Z714" s="2457"/>
      <c r="AA714" s="2457"/>
      <c r="AB714" s="2457"/>
      <c r="AC714" s="2457"/>
      <c r="AD714" s="2457"/>
      <c r="AE714" s="2457"/>
      <c r="AF714" s="2457"/>
      <c r="AG714" s="2457"/>
      <c r="AH714" s="2457"/>
      <c r="AI714" s="2457"/>
      <c r="AJ714" s="2457"/>
      <c r="AK714" s="2457"/>
      <c r="AL714" s="2457"/>
      <c r="AM714" s="2457"/>
      <c r="AN714" s="2457"/>
      <c r="AO714" s="2457"/>
      <c r="AP714" s="2457"/>
      <c r="AQ714" s="2457"/>
      <c r="AR714" s="2457"/>
      <c r="AS714" s="2457"/>
      <c r="AT714" s="2457"/>
      <c r="AU714" s="2457"/>
      <c r="AV714" s="2457"/>
      <c r="AW714" s="2457"/>
      <c r="AX714" s="2457"/>
      <c r="AY714" s="2457"/>
    </row>
    <row r="715" spans="1:51" s="2468" customFormat="1" ht="27" customHeight="1">
      <c r="A715" s="2450"/>
      <c r="B715" s="2451"/>
      <c r="C715" s="2448"/>
      <c r="D715" s="265" t="s">
        <v>3623</v>
      </c>
      <c r="E715" s="2448"/>
      <c r="F715" s="2456"/>
      <c r="G715" s="2562"/>
      <c r="H715" s="2449"/>
      <c r="I715" s="2455"/>
      <c r="J715" s="4967"/>
      <c r="K715" s="2457"/>
      <c r="L715" s="2457"/>
      <c r="M715" s="4951"/>
      <c r="N715" s="2457"/>
      <c r="O715" s="2457"/>
      <c r="P715" s="2457"/>
      <c r="Q715" s="2457"/>
      <c r="R715" s="4951"/>
      <c r="S715" s="2447"/>
      <c r="T715" s="2447"/>
      <c r="U715" s="2447"/>
      <c r="V715" s="2447"/>
      <c r="W715" s="2447"/>
      <c r="X715" s="2447"/>
      <c r="Y715" s="2447"/>
      <c r="Z715" s="2447"/>
      <c r="AA715" s="2447"/>
      <c r="AB715" s="2447"/>
      <c r="AC715" s="2447"/>
      <c r="AD715" s="2447"/>
      <c r="AE715" s="2447"/>
      <c r="AF715" s="2447"/>
      <c r="AG715" s="2447"/>
      <c r="AH715" s="2447"/>
      <c r="AI715" s="2447"/>
      <c r="AJ715" s="2447"/>
      <c r="AK715" s="2447"/>
      <c r="AL715" s="2447"/>
      <c r="AM715" s="2447"/>
      <c r="AN715" s="2447"/>
      <c r="AO715" s="2447"/>
      <c r="AP715" s="2447"/>
      <c r="AQ715" s="2447"/>
      <c r="AR715" s="2447"/>
      <c r="AS715" s="2447"/>
      <c r="AT715" s="2447"/>
      <c r="AU715" s="2447"/>
      <c r="AV715" s="2447"/>
      <c r="AW715" s="2447"/>
      <c r="AX715" s="2447"/>
      <c r="AY715" s="2447"/>
    </row>
    <row r="716" spans="1:51" s="233" customFormat="1" ht="27" customHeight="1">
      <c r="A716" s="263" t="s">
        <v>3668</v>
      </c>
      <c r="B716" s="265">
        <v>751</v>
      </c>
      <c r="C716" s="265" t="s">
        <v>3669</v>
      </c>
      <c r="D716" s="265" t="s">
        <v>3670</v>
      </c>
      <c r="E716" s="265" t="s">
        <v>205</v>
      </c>
      <c r="F716" s="2443">
        <f>ROUND(SUM(F718:F718),3)</f>
        <v>4</v>
      </c>
      <c r="G716" s="2563"/>
      <c r="H716" s="2445">
        <f t="shared" ref="H716" si="137">ROUND(F716*G716,2)</f>
        <v>0</v>
      </c>
      <c r="I716" s="2446" t="s">
        <v>111</v>
      </c>
      <c r="J716" s="4951"/>
      <c r="K716" s="4970"/>
      <c r="L716" s="4960"/>
      <c r="M716" s="4960"/>
      <c r="N716" s="4966"/>
      <c r="O716" s="4960"/>
      <c r="P716" s="4962"/>
      <c r="Q716" s="4960"/>
      <c r="R716" s="4951"/>
      <c r="S716" s="4957"/>
    </row>
    <row r="717" spans="1:51" s="2467" customFormat="1" ht="27" customHeight="1">
      <c r="A717" s="2463"/>
      <c r="B717" s="2464"/>
      <c r="C717" s="2464"/>
      <c r="D717" s="265" t="s">
        <v>3671</v>
      </c>
      <c r="E717" s="2464"/>
      <c r="F717" s="2465"/>
      <c r="G717" s="2563"/>
      <c r="H717" s="2466"/>
      <c r="I717" s="2446"/>
      <c r="J717" s="4967"/>
      <c r="K717" s="2457"/>
      <c r="L717" s="236"/>
      <c r="M717" s="2457"/>
      <c r="N717" s="2457"/>
      <c r="O717" s="2457"/>
      <c r="P717" s="4968"/>
      <c r="Q717" s="2457"/>
      <c r="R717" s="4951"/>
      <c r="S717" s="2457"/>
      <c r="T717" s="2457"/>
      <c r="U717" s="2457"/>
      <c r="V717" s="2457"/>
      <c r="W717" s="2457"/>
      <c r="X717" s="2457"/>
      <c r="Y717" s="2457"/>
      <c r="Z717" s="2457"/>
      <c r="AA717" s="2457"/>
      <c r="AB717" s="2457"/>
      <c r="AC717" s="2457"/>
      <c r="AD717" s="2457"/>
      <c r="AE717" s="2457"/>
      <c r="AF717" s="2457"/>
      <c r="AG717" s="2457"/>
      <c r="AH717" s="2457"/>
      <c r="AI717" s="2457"/>
      <c r="AJ717" s="2457"/>
      <c r="AK717" s="2457"/>
      <c r="AL717" s="2457"/>
      <c r="AM717" s="2457"/>
      <c r="AN717" s="2457"/>
      <c r="AO717" s="2457"/>
      <c r="AP717" s="2457"/>
      <c r="AQ717" s="2457"/>
      <c r="AR717" s="2457"/>
      <c r="AS717" s="2457"/>
      <c r="AT717" s="2457"/>
      <c r="AU717" s="2457"/>
      <c r="AV717" s="2457"/>
      <c r="AW717" s="2457"/>
      <c r="AX717" s="2457"/>
      <c r="AY717" s="2457"/>
    </row>
    <row r="718" spans="1:51" s="2467" customFormat="1" ht="13.5" customHeight="1">
      <c r="A718" s="2463"/>
      <c r="B718" s="2464"/>
      <c r="C718" s="2464"/>
      <c r="D718" s="2452" t="s">
        <v>3582</v>
      </c>
      <c r="E718" s="2452"/>
      <c r="F718" s="2453">
        <v>4</v>
      </c>
      <c r="G718" s="2563"/>
      <c r="H718" s="2466"/>
      <c r="I718" s="2446"/>
      <c r="J718" s="4973"/>
      <c r="K718" s="2457"/>
      <c r="L718" s="2457"/>
      <c r="M718" s="4951"/>
      <c r="N718" s="2457"/>
      <c r="O718" s="2457"/>
      <c r="P718" s="2457"/>
      <c r="Q718" s="2457"/>
      <c r="R718" s="4971"/>
      <c r="S718" s="2457"/>
      <c r="T718" s="2457"/>
      <c r="U718" s="2457"/>
      <c r="V718" s="2457"/>
      <c r="W718" s="2457"/>
      <c r="X718" s="2457"/>
      <c r="Y718" s="2457"/>
      <c r="Z718" s="2457"/>
      <c r="AA718" s="2457"/>
      <c r="AB718" s="2457"/>
      <c r="AC718" s="2457"/>
      <c r="AD718" s="2457"/>
      <c r="AE718" s="2457"/>
      <c r="AF718" s="2457"/>
      <c r="AG718" s="2457"/>
      <c r="AH718" s="2457"/>
      <c r="AI718" s="2457"/>
      <c r="AJ718" s="2457"/>
      <c r="AK718" s="2457"/>
      <c r="AL718" s="2457"/>
      <c r="AM718" s="2457"/>
      <c r="AN718" s="2457"/>
      <c r="AO718" s="2457"/>
      <c r="AP718" s="2457"/>
      <c r="AQ718" s="2457"/>
      <c r="AR718" s="2457"/>
      <c r="AS718" s="2457"/>
      <c r="AT718" s="2457"/>
      <c r="AU718" s="2457"/>
      <c r="AV718" s="2457"/>
      <c r="AW718" s="2457"/>
      <c r="AX718" s="2457"/>
      <c r="AY718" s="2457"/>
    </row>
    <row r="719" spans="1:51" s="2468" customFormat="1" ht="27" customHeight="1">
      <c r="A719" s="2450"/>
      <c r="B719" s="2451"/>
      <c r="C719" s="2448"/>
      <c r="D719" s="265" t="s">
        <v>3623</v>
      </c>
      <c r="E719" s="2448"/>
      <c r="F719" s="2456"/>
      <c r="G719" s="2562"/>
      <c r="H719" s="2449"/>
      <c r="I719" s="2455"/>
      <c r="J719" s="4967"/>
      <c r="K719" s="2457"/>
      <c r="L719" s="2457"/>
      <c r="M719" s="4951"/>
      <c r="N719" s="2457"/>
      <c r="O719" s="2457"/>
      <c r="P719" s="2457"/>
      <c r="Q719" s="2457"/>
      <c r="R719" s="4951"/>
      <c r="S719" s="2447"/>
      <c r="T719" s="2447"/>
      <c r="U719" s="2447"/>
      <c r="V719" s="2447"/>
      <c r="W719" s="2447"/>
      <c r="X719" s="2447"/>
      <c r="Y719" s="2447"/>
      <c r="Z719" s="2447"/>
      <c r="AA719" s="2447"/>
      <c r="AB719" s="2447"/>
      <c r="AC719" s="2447"/>
      <c r="AD719" s="2447"/>
      <c r="AE719" s="2447"/>
      <c r="AF719" s="2447"/>
      <c r="AG719" s="2447"/>
      <c r="AH719" s="2447"/>
      <c r="AI719" s="2447"/>
      <c r="AJ719" s="2447"/>
      <c r="AK719" s="2447"/>
      <c r="AL719" s="2447"/>
      <c r="AM719" s="2447"/>
      <c r="AN719" s="2447"/>
      <c r="AO719" s="2447"/>
      <c r="AP719" s="2447"/>
      <c r="AQ719" s="2447"/>
      <c r="AR719" s="2447"/>
      <c r="AS719" s="2447"/>
      <c r="AT719" s="2447"/>
      <c r="AU719" s="2447"/>
      <c r="AV719" s="2447"/>
      <c r="AW719" s="2447"/>
      <c r="AX719" s="2447"/>
      <c r="AY719" s="2447"/>
    </row>
    <row r="720" spans="1:51" s="233" customFormat="1" ht="27" customHeight="1">
      <c r="A720" s="263" t="s">
        <v>3672</v>
      </c>
      <c r="B720" s="265">
        <v>751</v>
      </c>
      <c r="C720" s="265" t="s">
        <v>3673</v>
      </c>
      <c r="D720" s="265" t="s">
        <v>3674</v>
      </c>
      <c r="E720" s="265" t="s">
        <v>205</v>
      </c>
      <c r="F720" s="2443">
        <f>ROUND(SUM(F722:F722),3)</f>
        <v>1</v>
      </c>
      <c r="G720" s="2563"/>
      <c r="H720" s="2445">
        <f t="shared" ref="H720" si="138">ROUND(F720*G720,2)</f>
        <v>0</v>
      </c>
      <c r="I720" s="2446" t="s">
        <v>111</v>
      </c>
      <c r="J720" s="4951"/>
      <c r="K720" s="4970"/>
      <c r="L720" s="4960"/>
      <c r="M720" s="4960"/>
      <c r="N720" s="4966"/>
      <c r="O720" s="4960"/>
      <c r="P720" s="4962"/>
      <c r="Q720" s="4960"/>
      <c r="R720" s="4951"/>
      <c r="S720" s="4957"/>
    </row>
    <row r="721" spans="1:51" s="2467" customFormat="1" ht="27" customHeight="1">
      <c r="A721" s="2463"/>
      <c r="B721" s="2464"/>
      <c r="C721" s="2464"/>
      <c r="D721" s="265" t="s">
        <v>3675</v>
      </c>
      <c r="E721" s="2464"/>
      <c r="F721" s="2465"/>
      <c r="G721" s="2563"/>
      <c r="H721" s="2466"/>
      <c r="I721" s="2446"/>
      <c r="J721" s="4967"/>
      <c r="K721" s="2457"/>
      <c r="L721" s="236"/>
      <c r="M721" s="2457"/>
      <c r="N721" s="2457"/>
      <c r="O721" s="2457"/>
      <c r="P721" s="4968"/>
      <c r="Q721" s="2457"/>
      <c r="R721" s="4951"/>
      <c r="S721" s="2457"/>
      <c r="T721" s="2457"/>
      <c r="U721" s="2457"/>
      <c r="V721" s="2457"/>
      <c r="W721" s="2457"/>
      <c r="X721" s="2457"/>
      <c r="Y721" s="2457"/>
      <c r="Z721" s="2457"/>
      <c r="AA721" s="2457"/>
      <c r="AB721" s="2457"/>
      <c r="AC721" s="2457"/>
      <c r="AD721" s="2457"/>
      <c r="AE721" s="2457"/>
      <c r="AF721" s="2457"/>
      <c r="AG721" s="2457"/>
      <c r="AH721" s="2457"/>
      <c r="AI721" s="2457"/>
      <c r="AJ721" s="2457"/>
      <c r="AK721" s="2457"/>
      <c r="AL721" s="2457"/>
      <c r="AM721" s="2457"/>
      <c r="AN721" s="2457"/>
      <c r="AO721" s="2457"/>
      <c r="AP721" s="2457"/>
      <c r="AQ721" s="2457"/>
      <c r="AR721" s="2457"/>
      <c r="AS721" s="2457"/>
      <c r="AT721" s="2457"/>
      <c r="AU721" s="2457"/>
      <c r="AV721" s="2457"/>
      <c r="AW721" s="2457"/>
      <c r="AX721" s="2457"/>
      <c r="AY721" s="2457"/>
    </row>
    <row r="722" spans="1:51" s="2467" customFormat="1" ht="13.5" customHeight="1">
      <c r="A722" s="2463"/>
      <c r="B722" s="2464"/>
      <c r="C722" s="2464"/>
      <c r="D722" s="2452" t="s">
        <v>260</v>
      </c>
      <c r="E722" s="2452"/>
      <c r="F722" s="2453">
        <v>1</v>
      </c>
      <c r="G722" s="2563"/>
      <c r="H722" s="2466"/>
      <c r="I722" s="2446"/>
      <c r="J722" s="4973"/>
      <c r="K722" s="2457"/>
      <c r="L722" s="2457"/>
      <c r="M722" s="4951"/>
      <c r="N722" s="2457"/>
      <c r="O722" s="2457"/>
      <c r="P722" s="2457"/>
      <c r="Q722" s="2457"/>
      <c r="R722" s="4971"/>
      <c r="S722" s="2457"/>
      <c r="T722" s="2457"/>
      <c r="U722" s="2457"/>
      <c r="V722" s="2457"/>
      <c r="W722" s="2457"/>
      <c r="X722" s="2457"/>
      <c r="Y722" s="2457"/>
      <c r="Z722" s="2457"/>
      <c r="AA722" s="2457"/>
      <c r="AB722" s="2457"/>
      <c r="AC722" s="2457"/>
      <c r="AD722" s="2457"/>
      <c r="AE722" s="2457"/>
      <c r="AF722" s="2457"/>
      <c r="AG722" s="2457"/>
      <c r="AH722" s="2457"/>
      <c r="AI722" s="2457"/>
      <c r="AJ722" s="2457"/>
      <c r="AK722" s="2457"/>
      <c r="AL722" s="2457"/>
      <c r="AM722" s="2457"/>
      <c r="AN722" s="2457"/>
      <c r="AO722" s="2457"/>
      <c r="AP722" s="2457"/>
      <c r="AQ722" s="2457"/>
      <c r="AR722" s="2457"/>
      <c r="AS722" s="2457"/>
      <c r="AT722" s="2457"/>
      <c r="AU722" s="2457"/>
      <c r="AV722" s="2457"/>
      <c r="AW722" s="2457"/>
      <c r="AX722" s="2457"/>
      <c r="AY722" s="2457"/>
    </row>
    <row r="723" spans="1:51" s="2468" customFormat="1" ht="27" customHeight="1">
      <c r="A723" s="2450"/>
      <c r="B723" s="2451"/>
      <c r="C723" s="2448"/>
      <c r="D723" s="265" t="s">
        <v>3623</v>
      </c>
      <c r="E723" s="2448"/>
      <c r="F723" s="2456"/>
      <c r="G723" s="2562"/>
      <c r="H723" s="2449"/>
      <c r="I723" s="2455"/>
      <c r="J723" s="4967"/>
      <c r="K723" s="2457"/>
      <c r="L723" s="2457"/>
      <c r="M723" s="4951"/>
      <c r="N723" s="2457"/>
      <c r="O723" s="2457"/>
      <c r="P723" s="2457"/>
      <c r="Q723" s="2457"/>
      <c r="R723" s="4951"/>
      <c r="S723" s="2447"/>
      <c r="T723" s="2447"/>
      <c r="U723" s="2447"/>
      <c r="V723" s="2447"/>
      <c r="W723" s="2447"/>
      <c r="X723" s="2447"/>
      <c r="Y723" s="2447"/>
      <c r="Z723" s="2447"/>
      <c r="AA723" s="2447"/>
      <c r="AB723" s="2447"/>
      <c r="AC723" s="2447"/>
      <c r="AD723" s="2447"/>
      <c r="AE723" s="2447"/>
      <c r="AF723" s="2447"/>
      <c r="AG723" s="2447"/>
      <c r="AH723" s="2447"/>
      <c r="AI723" s="2447"/>
      <c r="AJ723" s="2447"/>
      <c r="AK723" s="2447"/>
      <c r="AL723" s="2447"/>
      <c r="AM723" s="2447"/>
      <c r="AN723" s="2447"/>
      <c r="AO723" s="2447"/>
      <c r="AP723" s="2447"/>
      <c r="AQ723" s="2447"/>
      <c r="AR723" s="2447"/>
      <c r="AS723" s="2447"/>
      <c r="AT723" s="2447"/>
      <c r="AU723" s="2447"/>
      <c r="AV723" s="2447"/>
      <c r="AW723" s="2447"/>
      <c r="AX723" s="2447"/>
      <c r="AY723" s="2447"/>
    </row>
    <row r="724" spans="1:51" s="233" customFormat="1" ht="27" customHeight="1">
      <c r="A724" s="263" t="s">
        <v>3676</v>
      </c>
      <c r="B724" s="265">
        <v>751</v>
      </c>
      <c r="C724" s="265" t="s">
        <v>3677</v>
      </c>
      <c r="D724" s="265" t="s">
        <v>3678</v>
      </c>
      <c r="E724" s="265" t="s">
        <v>205</v>
      </c>
      <c r="F724" s="2443">
        <f>ROUND(SUM(F726),3)</f>
        <v>1</v>
      </c>
      <c r="G724" s="2563"/>
      <c r="H724" s="2445">
        <f t="shared" ref="H724" si="139">ROUND(F724*G724,2)</f>
        <v>0</v>
      </c>
      <c r="I724" s="2446" t="s">
        <v>111</v>
      </c>
      <c r="J724" s="4951"/>
      <c r="K724" s="4970"/>
      <c r="L724" s="4960"/>
      <c r="M724" s="4960"/>
      <c r="N724" s="4966"/>
      <c r="O724" s="4960"/>
      <c r="P724" s="4962"/>
      <c r="Q724" s="4960"/>
      <c r="R724" s="4951"/>
      <c r="S724" s="4957"/>
    </row>
    <row r="725" spans="1:51" s="2467" customFormat="1" ht="27" customHeight="1">
      <c r="A725" s="2463"/>
      <c r="B725" s="2464"/>
      <c r="C725" s="2464"/>
      <c r="D725" s="265" t="s">
        <v>3679</v>
      </c>
      <c r="E725" s="2464"/>
      <c r="F725" s="2465"/>
      <c r="G725" s="2563"/>
      <c r="H725" s="2466"/>
      <c r="I725" s="2446"/>
      <c r="J725" s="4967"/>
      <c r="K725" s="2457"/>
      <c r="L725" s="236"/>
      <c r="M725" s="2457"/>
      <c r="N725" s="2457"/>
      <c r="O725" s="2457"/>
      <c r="P725" s="4968"/>
      <c r="Q725" s="2457"/>
      <c r="R725" s="4951"/>
      <c r="S725" s="2457"/>
      <c r="T725" s="2457"/>
      <c r="U725" s="2457"/>
      <c r="V725" s="2457"/>
      <c r="W725" s="2457"/>
      <c r="X725" s="2457"/>
      <c r="Y725" s="2457"/>
      <c r="Z725" s="2457"/>
      <c r="AA725" s="2457"/>
      <c r="AB725" s="2457"/>
      <c r="AC725" s="2457"/>
      <c r="AD725" s="2457"/>
      <c r="AE725" s="2457"/>
      <c r="AF725" s="2457"/>
      <c r="AG725" s="2457"/>
      <c r="AH725" s="2457"/>
      <c r="AI725" s="2457"/>
      <c r="AJ725" s="2457"/>
      <c r="AK725" s="2457"/>
      <c r="AL725" s="2457"/>
      <c r="AM725" s="2457"/>
      <c r="AN725" s="2457"/>
      <c r="AO725" s="2457"/>
      <c r="AP725" s="2457"/>
      <c r="AQ725" s="2457"/>
      <c r="AR725" s="2457"/>
      <c r="AS725" s="2457"/>
      <c r="AT725" s="2457"/>
      <c r="AU725" s="2457"/>
      <c r="AV725" s="2457"/>
      <c r="AW725" s="2457"/>
      <c r="AX725" s="2457"/>
      <c r="AY725" s="2457"/>
    </row>
    <row r="726" spans="1:51" s="2467" customFormat="1" ht="13.5" customHeight="1">
      <c r="A726" s="2463"/>
      <c r="B726" s="2464"/>
      <c r="C726" s="2464"/>
      <c r="D726" s="2452" t="s">
        <v>260</v>
      </c>
      <c r="E726" s="2452"/>
      <c r="F726" s="2453">
        <v>1</v>
      </c>
      <c r="G726" s="2563"/>
      <c r="H726" s="2466"/>
      <c r="I726" s="2446"/>
      <c r="J726" s="4967"/>
      <c r="K726" s="2457"/>
      <c r="L726" s="2457"/>
      <c r="M726" s="4951"/>
      <c r="N726" s="2457"/>
      <c r="O726" s="2457"/>
      <c r="P726" s="2457"/>
      <c r="Q726" s="2457"/>
      <c r="R726" s="4951"/>
      <c r="S726" s="2457"/>
      <c r="T726" s="2457"/>
      <c r="U726" s="2457"/>
      <c r="V726" s="2457"/>
      <c r="W726" s="2457"/>
      <c r="X726" s="2457"/>
      <c r="Y726" s="2457"/>
      <c r="Z726" s="2457"/>
      <c r="AA726" s="2457"/>
      <c r="AB726" s="2457"/>
      <c r="AC726" s="2457"/>
      <c r="AD726" s="2457"/>
      <c r="AE726" s="2457"/>
      <c r="AF726" s="2457"/>
      <c r="AG726" s="2457"/>
      <c r="AH726" s="2457"/>
      <c r="AI726" s="2457"/>
      <c r="AJ726" s="2457"/>
      <c r="AK726" s="2457"/>
      <c r="AL726" s="2457"/>
      <c r="AM726" s="2457"/>
      <c r="AN726" s="2457"/>
      <c r="AO726" s="2457"/>
      <c r="AP726" s="2457"/>
      <c r="AQ726" s="2457"/>
      <c r="AR726" s="2457"/>
      <c r="AS726" s="2457"/>
      <c r="AT726" s="2457"/>
      <c r="AU726" s="2457"/>
      <c r="AV726" s="2457"/>
      <c r="AW726" s="2457"/>
      <c r="AX726" s="2457"/>
      <c r="AY726" s="2457"/>
    </row>
    <row r="727" spans="1:51" s="2468" customFormat="1" ht="27" customHeight="1">
      <c r="A727" s="2450"/>
      <c r="B727" s="2451"/>
      <c r="C727" s="2448"/>
      <c r="D727" s="265" t="s">
        <v>3623</v>
      </c>
      <c r="E727" s="2448"/>
      <c r="F727" s="2456"/>
      <c r="G727" s="2562"/>
      <c r="H727" s="2449"/>
      <c r="I727" s="2462"/>
      <c r="J727" s="2471"/>
      <c r="K727" s="2447"/>
      <c r="L727" s="2447"/>
      <c r="M727" s="2447"/>
      <c r="N727" s="2447"/>
      <c r="O727" s="2447"/>
      <c r="P727" s="2447"/>
      <c r="Q727" s="2447"/>
      <c r="R727" s="4971"/>
      <c r="S727" s="2447"/>
      <c r="T727" s="2447"/>
      <c r="U727" s="2447"/>
      <c r="V727" s="2447"/>
      <c r="W727" s="2447"/>
      <c r="X727" s="2447"/>
      <c r="Y727" s="2447"/>
      <c r="Z727" s="2447"/>
      <c r="AA727" s="2447"/>
      <c r="AB727" s="2447"/>
      <c r="AC727" s="2447"/>
      <c r="AD727" s="2447"/>
      <c r="AE727" s="2447"/>
      <c r="AF727" s="2447"/>
      <c r="AG727" s="2447"/>
      <c r="AH727" s="2447"/>
      <c r="AI727" s="2447"/>
      <c r="AJ727" s="2447"/>
      <c r="AK727" s="2447"/>
      <c r="AL727" s="2447"/>
      <c r="AM727" s="2447"/>
      <c r="AN727" s="2447"/>
      <c r="AO727" s="2447"/>
      <c r="AP727" s="2447"/>
      <c r="AQ727" s="2447"/>
      <c r="AR727" s="2447"/>
      <c r="AS727" s="2447"/>
      <c r="AT727" s="2447"/>
      <c r="AU727" s="2447"/>
      <c r="AV727" s="2447"/>
      <c r="AW727" s="2447"/>
      <c r="AX727" s="2447"/>
      <c r="AY727" s="2447"/>
    </row>
    <row r="728" spans="1:51" s="233" customFormat="1" ht="27" customHeight="1">
      <c r="A728" s="263" t="s">
        <v>3680</v>
      </c>
      <c r="B728" s="265">
        <v>751</v>
      </c>
      <c r="C728" s="265" t="s">
        <v>3681</v>
      </c>
      <c r="D728" s="265" t="s">
        <v>3682</v>
      </c>
      <c r="E728" s="265" t="s">
        <v>205</v>
      </c>
      <c r="F728" s="2443">
        <f>ROUND(SUM(F730),3)</f>
        <v>1</v>
      </c>
      <c r="G728" s="2563"/>
      <c r="H728" s="2445">
        <f t="shared" ref="H728" si="140">ROUND(F728*G728,2)</f>
        <v>0</v>
      </c>
      <c r="I728" s="2446" t="s">
        <v>111</v>
      </c>
      <c r="J728" s="4951"/>
      <c r="K728" s="4970"/>
      <c r="L728" s="4960"/>
      <c r="M728" s="4960"/>
      <c r="N728" s="4966"/>
      <c r="O728" s="4960"/>
      <c r="P728" s="4962"/>
      <c r="Q728" s="4960"/>
      <c r="R728" s="4951"/>
      <c r="S728" s="4957"/>
    </row>
    <row r="729" spans="1:51" s="2467" customFormat="1" ht="27" customHeight="1">
      <c r="A729" s="2463"/>
      <c r="B729" s="2464"/>
      <c r="C729" s="2464"/>
      <c r="D729" s="265" t="s">
        <v>3683</v>
      </c>
      <c r="E729" s="2464"/>
      <c r="F729" s="2465"/>
      <c r="G729" s="2563"/>
      <c r="H729" s="2466"/>
      <c r="I729" s="2446"/>
      <c r="J729" s="4967"/>
      <c r="K729" s="2457"/>
      <c r="L729" s="236"/>
      <c r="M729" s="2457"/>
      <c r="N729" s="2457"/>
      <c r="O729" s="2457"/>
      <c r="P729" s="4968"/>
      <c r="Q729" s="2457"/>
      <c r="R729" s="4951"/>
      <c r="S729" s="2457"/>
      <c r="T729" s="2457"/>
      <c r="U729" s="2457"/>
      <c r="V729" s="2457"/>
      <c r="W729" s="2457"/>
      <c r="X729" s="2457"/>
      <c r="Y729" s="2457"/>
      <c r="Z729" s="2457"/>
      <c r="AA729" s="2457"/>
      <c r="AB729" s="2457"/>
      <c r="AC729" s="2457"/>
      <c r="AD729" s="2457"/>
      <c r="AE729" s="2457"/>
      <c r="AF729" s="2457"/>
      <c r="AG729" s="2457"/>
      <c r="AH729" s="2457"/>
      <c r="AI729" s="2457"/>
      <c r="AJ729" s="2457"/>
      <c r="AK729" s="2457"/>
      <c r="AL729" s="2457"/>
      <c r="AM729" s="2457"/>
      <c r="AN729" s="2457"/>
      <c r="AO729" s="2457"/>
      <c r="AP729" s="2457"/>
      <c r="AQ729" s="2457"/>
      <c r="AR729" s="2457"/>
      <c r="AS729" s="2457"/>
      <c r="AT729" s="2457"/>
      <c r="AU729" s="2457"/>
      <c r="AV729" s="2457"/>
      <c r="AW729" s="2457"/>
      <c r="AX729" s="2457"/>
      <c r="AY729" s="2457"/>
    </row>
    <row r="730" spans="1:51" s="2467" customFormat="1" ht="13.5" customHeight="1">
      <c r="A730" s="2463"/>
      <c r="B730" s="2464"/>
      <c r="C730" s="2464"/>
      <c r="D730" s="2452" t="s">
        <v>260</v>
      </c>
      <c r="E730" s="2452"/>
      <c r="F730" s="2453">
        <v>1</v>
      </c>
      <c r="G730" s="2563"/>
      <c r="H730" s="2466"/>
      <c r="I730" s="2446"/>
      <c r="J730" s="4967"/>
      <c r="K730" s="2457"/>
      <c r="L730" s="2457"/>
      <c r="M730" s="4951"/>
      <c r="N730" s="2457"/>
      <c r="O730" s="2457"/>
      <c r="P730" s="2457"/>
      <c r="Q730" s="2457"/>
      <c r="R730" s="4951"/>
      <c r="S730" s="2457"/>
      <c r="T730" s="2457"/>
      <c r="U730" s="2457"/>
      <c r="V730" s="2457"/>
      <c r="W730" s="2457"/>
      <c r="X730" s="2457"/>
      <c r="Y730" s="2457"/>
      <c r="Z730" s="2457"/>
      <c r="AA730" s="2457"/>
      <c r="AB730" s="2457"/>
      <c r="AC730" s="2457"/>
      <c r="AD730" s="2457"/>
      <c r="AE730" s="2457"/>
      <c r="AF730" s="2457"/>
      <c r="AG730" s="2457"/>
      <c r="AH730" s="2457"/>
      <c r="AI730" s="2457"/>
      <c r="AJ730" s="2457"/>
      <c r="AK730" s="2457"/>
      <c r="AL730" s="2457"/>
      <c r="AM730" s="2457"/>
      <c r="AN730" s="2457"/>
      <c r="AO730" s="2457"/>
      <c r="AP730" s="2457"/>
      <c r="AQ730" s="2457"/>
      <c r="AR730" s="2457"/>
      <c r="AS730" s="2457"/>
      <c r="AT730" s="2457"/>
      <c r="AU730" s="2457"/>
      <c r="AV730" s="2457"/>
      <c r="AW730" s="2457"/>
      <c r="AX730" s="2457"/>
      <c r="AY730" s="2457"/>
    </row>
    <row r="731" spans="1:51" s="2468" customFormat="1" ht="27" customHeight="1">
      <c r="A731" s="2450"/>
      <c r="B731" s="2451"/>
      <c r="C731" s="2448"/>
      <c r="D731" s="265" t="s">
        <v>3623</v>
      </c>
      <c r="E731" s="2448"/>
      <c r="F731" s="2456"/>
      <c r="G731" s="2562"/>
      <c r="H731" s="2449"/>
      <c r="I731" s="2462"/>
      <c r="J731" s="2471"/>
      <c r="K731" s="2447"/>
      <c r="L731" s="2447"/>
      <c r="M731" s="2447"/>
      <c r="N731" s="2447"/>
      <c r="O731" s="2447"/>
      <c r="P731" s="2447"/>
      <c r="Q731" s="2447"/>
      <c r="R731" s="4971"/>
      <c r="S731" s="2447"/>
      <c r="T731" s="2447"/>
      <c r="U731" s="2447"/>
      <c r="V731" s="2447"/>
      <c r="W731" s="2447"/>
      <c r="X731" s="2447"/>
      <c r="Y731" s="2447"/>
      <c r="Z731" s="2447"/>
      <c r="AA731" s="2447"/>
      <c r="AB731" s="2447"/>
      <c r="AC731" s="2447"/>
      <c r="AD731" s="2447"/>
      <c r="AE731" s="2447"/>
      <c r="AF731" s="2447"/>
      <c r="AG731" s="2447"/>
      <c r="AH731" s="2447"/>
      <c r="AI731" s="2447"/>
      <c r="AJ731" s="2447"/>
      <c r="AK731" s="2447"/>
      <c r="AL731" s="2447"/>
      <c r="AM731" s="2447"/>
      <c r="AN731" s="2447"/>
      <c r="AO731" s="2447"/>
      <c r="AP731" s="2447"/>
      <c r="AQ731" s="2447"/>
      <c r="AR731" s="2447"/>
      <c r="AS731" s="2447"/>
      <c r="AT731" s="2447"/>
      <c r="AU731" s="2447"/>
      <c r="AV731" s="2447"/>
      <c r="AW731" s="2447"/>
      <c r="AX731" s="2447"/>
      <c r="AY731" s="2447"/>
    </row>
    <row r="732" spans="1:51" s="233" customFormat="1" ht="27" customHeight="1">
      <c r="A732" s="263" t="s">
        <v>3684</v>
      </c>
      <c r="B732" s="265">
        <v>751</v>
      </c>
      <c r="C732" s="265" t="s">
        <v>3685</v>
      </c>
      <c r="D732" s="265" t="s">
        <v>4154</v>
      </c>
      <c r="E732" s="265" t="s">
        <v>205</v>
      </c>
      <c r="F732" s="2443">
        <f>ROUND(SUM(F734:F734),3)</f>
        <v>2</v>
      </c>
      <c r="G732" s="2563"/>
      <c r="H732" s="2445">
        <f t="shared" ref="H732" si="141">ROUND(F732*G732,2)</f>
        <v>0</v>
      </c>
      <c r="I732" s="2446" t="s">
        <v>111</v>
      </c>
      <c r="J732" s="4967"/>
      <c r="K732" s="4970"/>
      <c r="L732" s="4960"/>
      <c r="M732" s="4960"/>
      <c r="N732" s="4966"/>
      <c r="O732" s="4960"/>
      <c r="P732" s="4962"/>
      <c r="Q732" s="4960"/>
      <c r="R732" s="4951"/>
      <c r="S732" s="4957"/>
    </row>
    <row r="733" spans="1:51" s="2467" customFormat="1" ht="27" customHeight="1">
      <c r="A733" s="2463"/>
      <c r="B733" s="2464"/>
      <c r="C733" s="2464"/>
      <c r="D733" s="265" t="s">
        <v>4159</v>
      </c>
      <c r="E733" s="2464"/>
      <c r="F733" s="2465"/>
      <c r="G733" s="2563"/>
      <c r="H733" s="2466"/>
      <c r="I733" s="2446"/>
      <c r="J733" s="480"/>
      <c r="K733" s="4974"/>
      <c r="L733" s="4975"/>
      <c r="M733" s="4975"/>
      <c r="N733" s="4976"/>
      <c r="O733" s="4975"/>
      <c r="P733" s="4977"/>
      <c r="Q733" s="4975"/>
      <c r="R733" s="481"/>
      <c r="S733" s="2457"/>
      <c r="T733" s="2457"/>
      <c r="U733" s="2457"/>
      <c r="V733" s="2457"/>
      <c r="W733" s="2457"/>
      <c r="X733" s="2457"/>
      <c r="Y733" s="2457"/>
      <c r="Z733" s="2457"/>
      <c r="AA733" s="2457"/>
      <c r="AB733" s="2457"/>
      <c r="AC733" s="2457"/>
      <c r="AD733" s="2457"/>
      <c r="AE733" s="2457"/>
      <c r="AF733" s="2457"/>
      <c r="AG733" s="2457"/>
      <c r="AH733" s="2457"/>
      <c r="AI733" s="2457"/>
      <c r="AJ733" s="2457"/>
      <c r="AK733" s="2457"/>
      <c r="AL733" s="2457"/>
      <c r="AM733" s="2457"/>
      <c r="AN733" s="2457"/>
      <c r="AO733" s="2457"/>
      <c r="AP733" s="2457"/>
      <c r="AQ733" s="2457"/>
      <c r="AR733" s="2457"/>
      <c r="AS733" s="2457"/>
      <c r="AT733" s="2457"/>
      <c r="AU733" s="2457"/>
      <c r="AV733" s="2457"/>
      <c r="AW733" s="2457"/>
      <c r="AX733" s="2457"/>
      <c r="AY733" s="2457"/>
    </row>
    <row r="734" spans="1:51" s="2467" customFormat="1" ht="13.5" customHeight="1">
      <c r="A734" s="2463"/>
      <c r="B734" s="2464"/>
      <c r="C734" s="2464"/>
      <c r="D734" s="2452" t="s">
        <v>3519</v>
      </c>
      <c r="E734" s="2452"/>
      <c r="F734" s="2453">
        <v>2</v>
      </c>
      <c r="G734" s="2563"/>
      <c r="H734" s="2466"/>
      <c r="I734" s="2446"/>
      <c r="J734" s="482"/>
      <c r="K734" s="593"/>
      <c r="L734" s="270"/>
      <c r="M734" s="593"/>
      <c r="N734" s="593"/>
      <c r="O734" s="593"/>
      <c r="P734" s="1562"/>
      <c r="Q734" s="593"/>
      <c r="R734" s="481"/>
      <c r="S734" s="4978"/>
      <c r="T734" s="2457"/>
      <c r="U734" s="2457"/>
      <c r="V734" s="2457"/>
      <c r="W734" s="2457"/>
      <c r="X734" s="2457"/>
      <c r="Y734" s="2457"/>
      <c r="Z734" s="2457"/>
      <c r="AA734" s="2457"/>
      <c r="AB734" s="2457"/>
      <c r="AC734" s="2457"/>
      <c r="AD734" s="2457"/>
      <c r="AE734" s="2457"/>
      <c r="AF734" s="2457"/>
      <c r="AG734" s="2457"/>
      <c r="AH734" s="2457"/>
      <c r="AI734" s="2457"/>
      <c r="AJ734" s="2457"/>
      <c r="AK734" s="2457"/>
      <c r="AL734" s="2457"/>
      <c r="AM734" s="2457"/>
      <c r="AN734" s="2457"/>
      <c r="AO734" s="2457"/>
      <c r="AP734" s="2457"/>
      <c r="AQ734" s="2457"/>
      <c r="AR734" s="2457"/>
      <c r="AS734" s="2457"/>
      <c r="AT734" s="2457"/>
      <c r="AU734" s="2457"/>
      <c r="AV734" s="2457"/>
      <c r="AW734" s="2457"/>
      <c r="AX734" s="2457"/>
      <c r="AY734" s="2457"/>
    </row>
    <row r="735" spans="1:51" s="2468" customFormat="1" ht="27" customHeight="1">
      <c r="A735" s="2450"/>
      <c r="B735" s="2451"/>
      <c r="C735" s="2448"/>
      <c r="D735" s="265" t="s">
        <v>3643</v>
      </c>
      <c r="E735" s="2448"/>
      <c r="F735" s="2456"/>
      <c r="G735" s="2562"/>
      <c r="H735" s="2449"/>
      <c r="I735" s="2455"/>
      <c r="J735" s="2472"/>
      <c r="K735" s="236"/>
      <c r="L735" s="2457"/>
      <c r="M735" s="4951"/>
      <c r="N735" s="2457"/>
      <c r="O735" s="2457"/>
      <c r="P735" s="2457"/>
      <c r="Q735" s="2457"/>
      <c r="R735" s="481"/>
      <c r="S735" s="2447"/>
      <c r="T735" s="2447"/>
      <c r="U735" s="2447"/>
      <c r="V735" s="2447"/>
      <c r="W735" s="2447"/>
      <c r="X735" s="2447"/>
      <c r="Y735" s="2447"/>
      <c r="Z735" s="2447"/>
      <c r="AA735" s="2447"/>
      <c r="AB735" s="2447"/>
      <c r="AC735" s="2447"/>
      <c r="AD735" s="2447"/>
      <c r="AE735" s="2447"/>
      <c r="AF735" s="2447"/>
      <c r="AG735" s="2447"/>
      <c r="AH735" s="2447"/>
      <c r="AI735" s="2447"/>
      <c r="AJ735" s="2447"/>
      <c r="AK735" s="2447"/>
      <c r="AL735" s="2447"/>
      <c r="AM735" s="2447"/>
      <c r="AN735" s="2447"/>
      <c r="AO735" s="2447"/>
      <c r="AP735" s="2447"/>
      <c r="AQ735" s="2447"/>
      <c r="AR735" s="2447"/>
      <c r="AS735" s="2447"/>
      <c r="AT735" s="2447"/>
      <c r="AU735" s="2447"/>
      <c r="AV735" s="2447"/>
      <c r="AW735" s="2447"/>
      <c r="AX735" s="2447"/>
      <c r="AY735" s="2447"/>
    </row>
    <row r="736" spans="1:51" s="233" customFormat="1" ht="27" customHeight="1">
      <c r="A736" s="263" t="s">
        <v>3686</v>
      </c>
      <c r="B736" s="265">
        <v>751</v>
      </c>
      <c r="C736" s="265" t="s">
        <v>3687</v>
      </c>
      <c r="D736" s="265" t="s">
        <v>4155</v>
      </c>
      <c r="E736" s="265" t="s">
        <v>205</v>
      </c>
      <c r="F736" s="2443">
        <f>ROUND(SUM(F738:F738),3)</f>
        <v>3</v>
      </c>
      <c r="G736" s="2563"/>
      <c r="H736" s="2445">
        <f t="shared" ref="H736" si="142">ROUND(F736*G736,2)</f>
        <v>0</v>
      </c>
      <c r="I736" s="2446" t="s">
        <v>111</v>
      </c>
      <c r="J736" s="4967"/>
      <c r="K736" s="4970"/>
      <c r="L736" s="4960"/>
      <c r="M736" s="4960"/>
      <c r="N736" s="4966"/>
      <c r="O736" s="4960"/>
      <c r="P736" s="4962"/>
      <c r="Q736" s="4960"/>
      <c r="R736" s="4951"/>
      <c r="S736" s="4957"/>
    </row>
    <row r="737" spans="1:51" s="2467" customFormat="1" ht="27" customHeight="1">
      <c r="A737" s="2463"/>
      <c r="B737" s="2464"/>
      <c r="C737" s="2464"/>
      <c r="D737" s="265" t="s">
        <v>4160</v>
      </c>
      <c r="E737" s="2464"/>
      <c r="F737" s="2465"/>
      <c r="G737" s="2563"/>
      <c r="H737" s="2466"/>
      <c r="I737" s="2446"/>
      <c r="J737" s="480"/>
      <c r="K737" s="4974"/>
      <c r="L737" s="4975"/>
      <c r="M737" s="4975"/>
      <c r="N737" s="4976"/>
      <c r="O737" s="4975"/>
      <c r="P737" s="4977"/>
      <c r="Q737" s="4975"/>
      <c r="R737" s="481"/>
      <c r="S737" s="2457"/>
      <c r="T737" s="2457"/>
      <c r="U737" s="2457"/>
      <c r="V737" s="2457"/>
      <c r="W737" s="2457"/>
      <c r="X737" s="2457"/>
      <c r="Y737" s="2457"/>
      <c r="Z737" s="2457"/>
      <c r="AA737" s="2457"/>
      <c r="AB737" s="2457"/>
      <c r="AC737" s="2457"/>
      <c r="AD737" s="2457"/>
      <c r="AE737" s="2457"/>
      <c r="AF737" s="2457"/>
      <c r="AG737" s="2457"/>
      <c r="AH737" s="2457"/>
      <c r="AI737" s="2457"/>
      <c r="AJ737" s="2457"/>
      <c r="AK737" s="2457"/>
      <c r="AL737" s="2457"/>
      <c r="AM737" s="2457"/>
      <c r="AN737" s="2457"/>
      <c r="AO737" s="2457"/>
      <c r="AP737" s="2457"/>
      <c r="AQ737" s="2457"/>
      <c r="AR737" s="2457"/>
      <c r="AS737" s="2457"/>
      <c r="AT737" s="2457"/>
      <c r="AU737" s="2457"/>
      <c r="AV737" s="2457"/>
      <c r="AW737" s="2457"/>
      <c r="AX737" s="2457"/>
      <c r="AY737" s="2457"/>
    </row>
    <row r="738" spans="1:51" s="2467" customFormat="1" ht="13.5" customHeight="1">
      <c r="A738" s="2463"/>
      <c r="B738" s="2464"/>
      <c r="C738" s="2464"/>
      <c r="D738" s="2452" t="s">
        <v>3537</v>
      </c>
      <c r="E738" s="2452"/>
      <c r="F738" s="2453">
        <v>3</v>
      </c>
      <c r="G738" s="2563"/>
      <c r="H738" s="2466"/>
      <c r="I738" s="2446"/>
      <c r="J738" s="482"/>
      <c r="K738" s="593"/>
      <c r="L738" s="270"/>
      <c r="M738" s="593"/>
      <c r="N738" s="593"/>
      <c r="O738" s="593"/>
      <c r="P738" s="1562"/>
      <c r="Q738" s="593"/>
      <c r="R738" s="481"/>
      <c r="S738" s="4978"/>
      <c r="T738" s="2457"/>
      <c r="U738" s="2457"/>
      <c r="V738" s="2457"/>
      <c r="W738" s="2457"/>
      <c r="X738" s="2457"/>
      <c r="Y738" s="2457"/>
      <c r="Z738" s="2457"/>
      <c r="AA738" s="2457"/>
      <c r="AB738" s="2457"/>
      <c r="AC738" s="2457"/>
      <c r="AD738" s="2457"/>
      <c r="AE738" s="2457"/>
      <c r="AF738" s="2457"/>
      <c r="AG738" s="2457"/>
      <c r="AH738" s="2457"/>
      <c r="AI738" s="2457"/>
      <c r="AJ738" s="2457"/>
      <c r="AK738" s="2457"/>
      <c r="AL738" s="2457"/>
      <c r="AM738" s="2457"/>
      <c r="AN738" s="2457"/>
      <c r="AO738" s="2457"/>
      <c r="AP738" s="2457"/>
      <c r="AQ738" s="2457"/>
      <c r="AR738" s="2457"/>
      <c r="AS738" s="2457"/>
      <c r="AT738" s="2457"/>
      <c r="AU738" s="2457"/>
      <c r="AV738" s="2457"/>
      <c r="AW738" s="2457"/>
      <c r="AX738" s="2457"/>
      <c r="AY738" s="2457"/>
    </row>
    <row r="739" spans="1:51" s="2468" customFormat="1" ht="27" customHeight="1">
      <c r="A739" s="2450"/>
      <c r="B739" s="2451"/>
      <c r="C739" s="2448"/>
      <c r="D739" s="265" t="s">
        <v>3643</v>
      </c>
      <c r="E739" s="2448"/>
      <c r="F739" s="2456"/>
      <c r="G739" s="2562"/>
      <c r="H739" s="2449"/>
      <c r="I739" s="2455"/>
      <c r="J739" s="2472"/>
      <c r="K739" s="236"/>
      <c r="L739" s="2457"/>
      <c r="M739" s="4951"/>
      <c r="N739" s="2457"/>
      <c r="O739" s="2457"/>
      <c r="P739" s="2457"/>
      <c r="Q739" s="2457"/>
      <c r="R739" s="481"/>
      <c r="S739" s="2447"/>
      <c r="T739" s="2447"/>
      <c r="U739" s="2447"/>
      <c r="V739" s="2447"/>
      <c r="W739" s="2447"/>
      <c r="X739" s="2447"/>
      <c r="Y739" s="2447"/>
      <c r="Z739" s="2447"/>
      <c r="AA739" s="2447"/>
      <c r="AB739" s="2447"/>
      <c r="AC739" s="2447"/>
      <c r="AD739" s="2447"/>
      <c r="AE739" s="2447"/>
      <c r="AF739" s="2447"/>
      <c r="AG739" s="2447"/>
      <c r="AH739" s="2447"/>
      <c r="AI739" s="2447"/>
      <c r="AJ739" s="2447"/>
      <c r="AK739" s="2447"/>
      <c r="AL739" s="2447"/>
      <c r="AM739" s="2447"/>
      <c r="AN739" s="2447"/>
      <c r="AO739" s="2447"/>
      <c r="AP739" s="2447"/>
      <c r="AQ739" s="2447"/>
      <c r="AR739" s="2447"/>
      <c r="AS739" s="2447"/>
      <c r="AT739" s="2447"/>
      <c r="AU739" s="2447"/>
      <c r="AV739" s="2447"/>
      <c r="AW739" s="2447"/>
      <c r="AX739" s="2447"/>
      <c r="AY739" s="2447"/>
    </row>
    <row r="740" spans="1:51" s="233" customFormat="1" ht="27" customHeight="1">
      <c r="A740" s="263" t="s">
        <v>3688</v>
      </c>
      <c r="B740" s="265">
        <v>751</v>
      </c>
      <c r="C740" s="265" t="s">
        <v>3689</v>
      </c>
      <c r="D740" s="265" t="s">
        <v>4156</v>
      </c>
      <c r="E740" s="265" t="s">
        <v>205</v>
      </c>
      <c r="F740" s="2443">
        <f>ROUND(SUM(F742:F742),3)</f>
        <v>1</v>
      </c>
      <c r="G740" s="2563"/>
      <c r="H740" s="2445">
        <f t="shared" ref="H740" si="143">ROUND(F740*G740,2)</f>
        <v>0</v>
      </c>
      <c r="I740" s="2446" t="s">
        <v>111</v>
      </c>
      <c r="J740" s="4967"/>
      <c r="K740" s="4970"/>
      <c r="L740" s="4960"/>
      <c r="M740" s="4960"/>
      <c r="N740" s="4966"/>
      <c r="O740" s="4960"/>
      <c r="P740" s="4962"/>
      <c r="Q740" s="4960"/>
      <c r="R740" s="4951"/>
      <c r="S740" s="4957"/>
    </row>
    <row r="741" spans="1:51" s="2467" customFormat="1" ht="27" customHeight="1">
      <c r="A741" s="2463"/>
      <c r="B741" s="2464"/>
      <c r="C741" s="2464"/>
      <c r="D741" s="265" t="s">
        <v>4161</v>
      </c>
      <c r="E741" s="2464"/>
      <c r="F741" s="2465"/>
      <c r="G741" s="2563"/>
      <c r="H741" s="2466"/>
      <c r="I741" s="2446"/>
      <c r="J741" s="480"/>
      <c r="K741" s="4974"/>
      <c r="L741" s="4975"/>
      <c r="M741" s="4975"/>
      <c r="N741" s="4976"/>
      <c r="O741" s="4975"/>
      <c r="P741" s="4977"/>
      <c r="Q741" s="4975"/>
      <c r="R741" s="481"/>
      <c r="S741" s="2457"/>
      <c r="T741" s="2457"/>
      <c r="U741" s="2457"/>
      <c r="V741" s="2457"/>
      <c r="W741" s="2457"/>
      <c r="X741" s="2457"/>
      <c r="Y741" s="2457"/>
      <c r="Z741" s="2457"/>
      <c r="AA741" s="2457"/>
      <c r="AB741" s="2457"/>
      <c r="AC741" s="2457"/>
      <c r="AD741" s="2457"/>
      <c r="AE741" s="2457"/>
      <c r="AF741" s="2457"/>
      <c r="AG741" s="2457"/>
      <c r="AH741" s="2457"/>
      <c r="AI741" s="2457"/>
      <c r="AJ741" s="2457"/>
      <c r="AK741" s="2457"/>
      <c r="AL741" s="2457"/>
      <c r="AM741" s="2457"/>
      <c r="AN741" s="2457"/>
      <c r="AO741" s="2457"/>
      <c r="AP741" s="2457"/>
      <c r="AQ741" s="2457"/>
      <c r="AR741" s="2457"/>
      <c r="AS741" s="2457"/>
      <c r="AT741" s="2457"/>
      <c r="AU741" s="2457"/>
      <c r="AV741" s="2457"/>
      <c r="AW741" s="2457"/>
      <c r="AX741" s="2457"/>
      <c r="AY741" s="2457"/>
    </row>
    <row r="742" spans="1:51" s="2467" customFormat="1" ht="13.5" customHeight="1">
      <c r="A742" s="2463"/>
      <c r="B742" s="2464"/>
      <c r="C742" s="2464"/>
      <c r="D742" s="2452" t="s">
        <v>260</v>
      </c>
      <c r="E742" s="2452"/>
      <c r="F742" s="2453">
        <v>1</v>
      </c>
      <c r="G742" s="2563"/>
      <c r="H742" s="2466"/>
      <c r="I742" s="2446"/>
      <c r="J742" s="482"/>
      <c r="K742" s="593"/>
      <c r="L742" s="270"/>
      <c r="M742" s="593"/>
      <c r="N742" s="593"/>
      <c r="O742" s="593"/>
      <c r="P742" s="1562"/>
      <c r="Q742" s="593"/>
      <c r="R742" s="481"/>
      <c r="S742" s="2457"/>
      <c r="T742" s="2457"/>
      <c r="U742" s="2457"/>
      <c r="V742" s="2457"/>
      <c r="W742" s="2457"/>
      <c r="X742" s="2457"/>
      <c r="Y742" s="2457"/>
      <c r="Z742" s="2457"/>
      <c r="AA742" s="2457"/>
      <c r="AB742" s="2457"/>
      <c r="AC742" s="2457"/>
      <c r="AD742" s="2457"/>
      <c r="AE742" s="2457"/>
      <c r="AF742" s="2457"/>
      <c r="AG742" s="2457"/>
      <c r="AH742" s="2457"/>
      <c r="AI742" s="2457"/>
      <c r="AJ742" s="2457"/>
      <c r="AK742" s="2457"/>
      <c r="AL742" s="2457"/>
      <c r="AM742" s="2457"/>
      <c r="AN742" s="2457"/>
      <c r="AO742" s="2457"/>
      <c r="AP742" s="2457"/>
      <c r="AQ742" s="2457"/>
      <c r="AR742" s="2457"/>
      <c r="AS742" s="2457"/>
      <c r="AT742" s="2457"/>
      <c r="AU742" s="2457"/>
      <c r="AV742" s="2457"/>
      <c r="AW742" s="2457"/>
      <c r="AX742" s="2457"/>
      <c r="AY742" s="2457"/>
    </row>
    <row r="743" spans="1:51" s="2468" customFormat="1" ht="27" customHeight="1">
      <c r="A743" s="2450"/>
      <c r="B743" s="2451"/>
      <c r="C743" s="2448"/>
      <c r="D743" s="265" t="s">
        <v>3643</v>
      </c>
      <c r="E743" s="2448"/>
      <c r="F743" s="2456"/>
      <c r="G743" s="2562"/>
      <c r="H743" s="2449"/>
      <c r="I743" s="2455"/>
      <c r="J743" s="2472"/>
      <c r="K743" s="236"/>
      <c r="L743" s="2457"/>
      <c r="M743" s="4951"/>
      <c r="N743" s="2457"/>
      <c r="O743" s="2457"/>
      <c r="P743" s="2457"/>
      <c r="Q743" s="2457"/>
      <c r="R743" s="4971"/>
      <c r="S743" s="2447"/>
      <c r="T743" s="2447"/>
      <c r="U743" s="2447"/>
      <c r="V743" s="2447"/>
      <c r="W743" s="2447"/>
      <c r="X743" s="2447"/>
      <c r="Y743" s="2447"/>
      <c r="Z743" s="2447"/>
      <c r="AA743" s="2447"/>
      <c r="AB743" s="2447"/>
      <c r="AC743" s="2447"/>
      <c r="AD743" s="2447"/>
      <c r="AE743" s="2447"/>
      <c r="AF743" s="2447"/>
      <c r="AG743" s="2447"/>
      <c r="AH743" s="2447"/>
      <c r="AI743" s="2447"/>
      <c r="AJ743" s="2447"/>
      <c r="AK743" s="2447"/>
      <c r="AL743" s="2447"/>
      <c r="AM743" s="2447"/>
      <c r="AN743" s="2447"/>
      <c r="AO743" s="2447"/>
      <c r="AP743" s="2447"/>
      <c r="AQ743" s="2447"/>
      <c r="AR743" s="2447"/>
      <c r="AS743" s="2447"/>
      <c r="AT743" s="2447"/>
      <c r="AU743" s="2447"/>
      <c r="AV743" s="2447"/>
      <c r="AW743" s="2447"/>
      <c r="AX743" s="2447"/>
      <c r="AY743" s="2447"/>
    </row>
    <row r="744" spans="1:51" s="233" customFormat="1" ht="27" customHeight="1">
      <c r="A744" s="263" t="s">
        <v>3690</v>
      </c>
      <c r="B744" s="265">
        <v>751</v>
      </c>
      <c r="C744" s="265" t="s">
        <v>3691</v>
      </c>
      <c r="D744" s="265" t="s">
        <v>4157</v>
      </c>
      <c r="E744" s="265" t="s">
        <v>205</v>
      </c>
      <c r="F744" s="2443">
        <f>ROUND(SUM(F746:F746),3)</f>
        <v>1</v>
      </c>
      <c r="G744" s="2563"/>
      <c r="H744" s="2445">
        <f t="shared" ref="H744" si="144">ROUND(F744*G744,2)</f>
        <v>0</v>
      </c>
      <c r="I744" s="2446" t="s">
        <v>111</v>
      </c>
      <c r="J744" s="4967"/>
      <c r="K744" s="4970"/>
      <c r="L744" s="4960"/>
      <c r="M744" s="4960"/>
      <c r="N744" s="4966"/>
      <c r="O744" s="4960"/>
      <c r="P744" s="4962"/>
      <c r="Q744" s="4960"/>
      <c r="R744" s="4951"/>
      <c r="S744" s="4957"/>
    </row>
    <row r="745" spans="1:51" s="2467" customFormat="1" ht="27" customHeight="1">
      <c r="A745" s="2463"/>
      <c r="B745" s="2464"/>
      <c r="C745" s="2464"/>
      <c r="D745" s="265" t="s">
        <v>4162</v>
      </c>
      <c r="E745" s="2464"/>
      <c r="F745" s="2465"/>
      <c r="G745" s="2563"/>
      <c r="H745" s="2466"/>
      <c r="I745" s="2446"/>
      <c r="J745" s="480"/>
      <c r="K745" s="4974"/>
      <c r="L745" s="4975"/>
      <c r="M745" s="4975"/>
      <c r="N745" s="4976"/>
      <c r="O745" s="4975"/>
      <c r="P745" s="4977"/>
      <c r="Q745" s="4975"/>
      <c r="R745" s="481"/>
      <c r="S745" s="2457"/>
      <c r="T745" s="2457"/>
      <c r="U745" s="2457"/>
      <c r="V745" s="2457"/>
      <c r="W745" s="2457"/>
      <c r="X745" s="2457"/>
      <c r="Y745" s="2457"/>
      <c r="Z745" s="2457"/>
      <c r="AA745" s="2457"/>
      <c r="AB745" s="2457"/>
      <c r="AC745" s="2457"/>
      <c r="AD745" s="2457"/>
      <c r="AE745" s="2457"/>
      <c r="AF745" s="2457"/>
      <c r="AG745" s="2457"/>
      <c r="AH745" s="2457"/>
      <c r="AI745" s="2457"/>
      <c r="AJ745" s="2457"/>
      <c r="AK745" s="2457"/>
      <c r="AL745" s="2457"/>
      <c r="AM745" s="2457"/>
      <c r="AN745" s="2457"/>
      <c r="AO745" s="2457"/>
      <c r="AP745" s="2457"/>
      <c r="AQ745" s="2457"/>
      <c r="AR745" s="2457"/>
      <c r="AS745" s="2457"/>
      <c r="AT745" s="2457"/>
      <c r="AU745" s="2457"/>
      <c r="AV745" s="2457"/>
      <c r="AW745" s="2457"/>
      <c r="AX745" s="2457"/>
      <c r="AY745" s="2457"/>
    </row>
    <row r="746" spans="1:51" s="2467" customFormat="1" ht="13.5" customHeight="1">
      <c r="A746" s="2463"/>
      <c r="B746" s="2464"/>
      <c r="C746" s="2464"/>
      <c r="D746" s="2452" t="s">
        <v>260</v>
      </c>
      <c r="E746" s="2452"/>
      <c r="F746" s="2453">
        <v>1</v>
      </c>
      <c r="G746" s="2563"/>
      <c r="H746" s="2466"/>
      <c r="I746" s="2446"/>
      <c r="J746" s="482"/>
      <c r="K746" s="593"/>
      <c r="L746" s="270"/>
      <c r="M746" s="593"/>
      <c r="N746" s="593"/>
      <c r="O746" s="593"/>
      <c r="P746" s="1562"/>
      <c r="Q746" s="593"/>
      <c r="R746" s="481"/>
      <c r="S746" s="4978"/>
      <c r="T746" s="2457"/>
      <c r="U746" s="2457"/>
      <c r="V746" s="2457"/>
      <c r="W746" s="2457"/>
      <c r="X746" s="2457"/>
      <c r="Y746" s="2457"/>
      <c r="Z746" s="2457"/>
      <c r="AA746" s="2457"/>
      <c r="AB746" s="2457"/>
      <c r="AC746" s="2457"/>
      <c r="AD746" s="2457"/>
      <c r="AE746" s="2457"/>
      <c r="AF746" s="2457"/>
      <c r="AG746" s="2457"/>
      <c r="AH746" s="2457"/>
      <c r="AI746" s="2457"/>
      <c r="AJ746" s="2457"/>
      <c r="AK746" s="2457"/>
      <c r="AL746" s="2457"/>
      <c r="AM746" s="2457"/>
      <c r="AN746" s="2457"/>
      <c r="AO746" s="2457"/>
      <c r="AP746" s="2457"/>
      <c r="AQ746" s="2457"/>
      <c r="AR746" s="2457"/>
      <c r="AS746" s="2457"/>
      <c r="AT746" s="2457"/>
      <c r="AU746" s="2457"/>
      <c r="AV746" s="2457"/>
      <c r="AW746" s="2457"/>
      <c r="AX746" s="2457"/>
      <c r="AY746" s="2457"/>
    </row>
    <row r="747" spans="1:51" s="2468" customFormat="1" ht="27" customHeight="1">
      <c r="A747" s="2450"/>
      <c r="B747" s="2451"/>
      <c r="C747" s="2448"/>
      <c r="D747" s="265" t="s">
        <v>3643</v>
      </c>
      <c r="E747" s="2448"/>
      <c r="F747" s="2456"/>
      <c r="G747" s="2562"/>
      <c r="H747" s="2449"/>
      <c r="I747" s="2455"/>
      <c r="J747" s="4954"/>
      <c r="K747" s="4979"/>
      <c r="L747" s="2447"/>
      <c r="M747" s="2447"/>
      <c r="N747" s="2447"/>
      <c r="O747" s="2447"/>
      <c r="P747" s="2447"/>
      <c r="Q747" s="2447"/>
      <c r="R747" s="4971"/>
      <c r="S747" s="2447"/>
      <c r="T747" s="2447"/>
      <c r="U747" s="2447"/>
      <c r="V747" s="2447"/>
      <c r="W747" s="2447"/>
      <c r="X747" s="2447"/>
      <c r="Y747" s="2447"/>
      <c r="Z747" s="2447"/>
      <c r="AA747" s="2447"/>
      <c r="AB747" s="2447"/>
      <c r="AC747" s="2447"/>
      <c r="AD747" s="2447"/>
      <c r="AE747" s="2447"/>
      <c r="AF747" s="2447"/>
      <c r="AG747" s="2447"/>
      <c r="AH747" s="2447"/>
      <c r="AI747" s="2447"/>
      <c r="AJ747" s="2447"/>
      <c r="AK747" s="2447"/>
      <c r="AL747" s="2447"/>
      <c r="AM747" s="2447"/>
      <c r="AN747" s="2447"/>
      <c r="AO747" s="2447"/>
      <c r="AP747" s="2447"/>
      <c r="AQ747" s="2447"/>
      <c r="AR747" s="2447"/>
      <c r="AS747" s="2447"/>
      <c r="AT747" s="2447"/>
      <c r="AU747" s="2447"/>
      <c r="AV747" s="2447"/>
      <c r="AW747" s="2447"/>
      <c r="AX747" s="2447"/>
      <c r="AY747" s="2447"/>
    </row>
    <row r="748" spans="1:51" s="233" customFormat="1" ht="27" customHeight="1">
      <c r="A748" s="263" t="s">
        <v>3692</v>
      </c>
      <c r="B748" s="265">
        <v>751</v>
      </c>
      <c r="C748" s="265" t="s">
        <v>3693</v>
      </c>
      <c r="D748" s="265" t="s">
        <v>4158</v>
      </c>
      <c r="E748" s="265" t="s">
        <v>205</v>
      </c>
      <c r="F748" s="2443">
        <f>ROUND(SUM(F750:F750),3)</f>
        <v>2</v>
      </c>
      <c r="G748" s="2563"/>
      <c r="H748" s="2445">
        <f t="shared" ref="H748" si="145">ROUND(F748*G748,2)</f>
        <v>0</v>
      </c>
      <c r="I748" s="2446" t="s">
        <v>111</v>
      </c>
      <c r="J748" s="4967"/>
      <c r="K748" s="4970"/>
      <c r="L748" s="4960"/>
      <c r="M748" s="4960"/>
      <c r="N748" s="4966"/>
      <c r="O748" s="4960"/>
      <c r="P748" s="4962"/>
      <c r="Q748" s="4960"/>
      <c r="R748" s="4951"/>
      <c r="S748" s="4957"/>
    </row>
    <row r="749" spans="1:51" s="2467" customFormat="1" ht="27" customHeight="1">
      <c r="A749" s="2463"/>
      <c r="B749" s="2464"/>
      <c r="C749" s="2464"/>
      <c r="D749" s="265" t="s">
        <v>4163</v>
      </c>
      <c r="E749" s="2464"/>
      <c r="F749" s="2465"/>
      <c r="G749" s="2563"/>
      <c r="H749" s="2466"/>
      <c r="I749" s="2446"/>
      <c r="J749" s="480"/>
      <c r="K749" s="4974"/>
      <c r="L749" s="4975"/>
      <c r="M749" s="4975"/>
      <c r="N749" s="4976"/>
      <c r="O749" s="4975"/>
      <c r="P749" s="4977"/>
      <c r="Q749" s="4975"/>
      <c r="R749" s="481"/>
      <c r="S749" s="2457"/>
      <c r="T749" s="2457"/>
      <c r="U749" s="2457"/>
      <c r="V749" s="2457"/>
      <c r="W749" s="2457"/>
      <c r="X749" s="2457"/>
      <c r="Y749" s="2457"/>
      <c r="Z749" s="2457"/>
      <c r="AA749" s="2457"/>
      <c r="AB749" s="2457"/>
      <c r="AC749" s="2457"/>
      <c r="AD749" s="2457"/>
      <c r="AE749" s="2457"/>
      <c r="AF749" s="2457"/>
      <c r="AG749" s="2457"/>
      <c r="AH749" s="2457"/>
      <c r="AI749" s="2457"/>
      <c r="AJ749" s="2457"/>
      <c r="AK749" s="2457"/>
      <c r="AL749" s="2457"/>
      <c r="AM749" s="2457"/>
      <c r="AN749" s="2457"/>
      <c r="AO749" s="2457"/>
      <c r="AP749" s="2457"/>
      <c r="AQ749" s="2457"/>
      <c r="AR749" s="2457"/>
      <c r="AS749" s="2457"/>
      <c r="AT749" s="2457"/>
      <c r="AU749" s="2457"/>
      <c r="AV749" s="2457"/>
      <c r="AW749" s="2457"/>
      <c r="AX749" s="2457"/>
      <c r="AY749" s="2457"/>
    </row>
    <row r="750" spans="1:51" s="2467" customFormat="1" ht="13.5" customHeight="1">
      <c r="A750" s="2463"/>
      <c r="B750" s="2464"/>
      <c r="C750" s="2464"/>
      <c r="D750" s="2452" t="s">
        <v>3519</v>
      </c>
      <c r="E750" s="2452"/>
      <c r="F750" s="2453">
        <v>2</v>
      </c>
      <c r="G750" s="2563"/>
      <c r="H750" s="2466"/>
      <c r="I750" s="2446"/>
      <c r="J750" s="482"/>
      <c r="K750" s="593"/>
      <c r="L750" s="270"/>
      <c r="M750" s="593"/>
      <c r="N750" s="593"/>
      <c r="O750" s="593"/>
      <c r="P750" s="1562"/>
      <c r="Q750" s="593"/>
      <c r="R750" s="481"/>
      <c r="S750" s="2457"/>
      <c r="T750" s="2457"/>
      <c r="U750" s="2457"/>
      <c r="V750" s="2457"/>
      <c r="W750" s="2457"/>
      <c r="X750" s="2457"/>
      <c r="Y750" s="2457"/>
      <c r="Z750" s="2457"/>
      <c r="AA750" s="2457"/>
      <c r="AB750" s="2457"/>
      <c r="AC750" s="2457"/>
      <c r="AD750" s="2457"/>
      <c r="AE750" s="2457"/>
      <c r="AF750" s="2457"/>
      <c r="AG750" s="2457"/>
      <c r="AH750" s="2457"/>
      <c r="AI750" s="2457"/>
      <c r="AJ750" s="2457"/>
      <c r="AK750" s="2457"/>
      <c r="AL750" s="2457"/>
      <c r="AM750" s="2457"/>
      <c r="AN750" s="2457"/>
      <c r="AO750" s="2457"/>
      <c r="AP750" s="2457"/>
      <c r="AQ750" s="2457"/>
      <c r="AR750" s="2457"/>
      <c r="AS750" s="2457"/>
      <c r="AT750" s="2457"/>
      <c r="AU750" s="2457"/>
      <c r="AV750" s="2457"/>
      <c r="AW750" s="2457"/>
      <c r="AX750" s="2457"/>
      <c r="AY750" s="2457"/>
    </row>
    <row r="751" spans="1:51" s="2468" customFormat="1" ht="27" customHeight="1">
      <c r="A751" s="2450"/>
      <c r="B751" s="2451"/>
      <c r="C751" s="2448"/>
      <c r="D751" s="265" t="s">
        <v>3643</v>
      </c>
      <c r="E751" s="2448"/>
      <c r="F751" s="2456"/>
      <c r="G751" s="2562"/>
      <c r="H751" s="2449"/>
      <c r="I751" s="2455"/>
      <c r="J751" s="4954"/>
      <c r="K751" s="4979"/>
      <c r="L751" s="2447"/>
      <c r="M751" s="2447"/>
      <c r="N751" s="2447"/>
      <c r="O751" s="2447"/>
      <c r="P751" s="2447"/>
      <c r="Q751" s="2447"/>
      <c r="R751" s="4971"/>
      <c r="S751" s="2447"/>
      <c r="T751" s="2447"/>
      <c r="U751" s="2447"/>
      <c r="V751" s="2447"/>
      <c r="W751" s="2447"/>
      <c r="X751" s="2447"/>
      <c r="Y751" s="2447"/>
      <c r="Z751" s="2447"/>
      <c r="AA751" s="2447"/>
      <c r="AB751" s="2447"/>
      <c r="AC751" s="2447"/>
      <c r="AD751" s="2447"/>
      <c r="AE751" s="2447"/>
      <c r="AF751" s="2447"/>
      <c r="AG751" s="2447"/>
      <c r="AH751" s="2447"/>
      <c r="AI751" s="2447"/>
      <c r="AJ751" s="2447"/>
      <c r="AK751" s="2447"/>
      <c r="AL751" s="2447"/>
      <c r="AM751" s="2447"/>
      <c r="AN751" s="2447"/>
      <c r="AO751" s="2447"/>
      <c r="AP751" s="2447"/>
      <c r="AQ751" s="2447"/>
      <c r="AR751" s="2447"/>
      <c r="AS751" s="2447"/>
      <c r="AT751" s="2447"/>
      <c r="AU751" s="2447"/>
      <c r="AV751" s="2447"/>
      <c r="AW751" s="2447"/>
      <c r="AX751" s="2447"/>
      <c r="AY751" s="2447"/>
    </row>
    <row r="752" spans="1:51" s="233" customFormat="1" ht="27" customHeight="1">
      <c r="A752" s="263" t="s">
        <v>3694</v>
      </c>
      <c r="B752" s="265">
        <v>751</v>
      </c>
      <c r="C752" s="265" t="s">
        <v>3695</v>
      </c>
      <c r="D752" s="2464" t="s">
        <v>3696</v>
      </c>
      <c r="E752" s="265" t="s">
        <v>205</v>
      </c>
      <c r="F752" s="2443">
        <f>ROUND(SUM(F754:F754),3)</f>
        <v>1</v>
      </c>
      <c r="G752" s="2563"/>
      <c r="H752" s="2445">
        <f t="shared" ref="H752" si="146">ROUND(F752*G752,2)</f>
        <v>0</v>
      </c>
      <c r="I752" s="2446" t="s">
        <v>111</v>
      </c>
      <c r="J752" s="4951"/>
      <c r="K752" s="4970"/>
      <c r="L752" s="4965"/>
      <c r="M752" s="1832"/>
      <c r="N752" s="1832"/>
      <c r="O752" s="4966"/>
      <c r="P752" s="4965"/>
      <c r="S752" s="4951"/>
    </row>
    <row r="753" spans="1:51" s="2467" customFormat="1" ht="13.5" customHeight="1">
      <c r="A753" s="2463"/>
      <c r="B753" s="2464"/>
      <c r="C753" s="2464"/>
      <c r="D753" s="265" t="s">
        <v>3697</v>
      </c>
      <c r="E753" s="2464"/>
      <c r="F753" s="2465"/>
      <c r="G753" s="2563"/>
      <c r="H753" s="2466"/>
      <c r="I753" s="2446"/>
      <c r="J753" s="4967"/>
      <c r="K753" s="4963"/>
      <c r="L753" s="4963"/>
      <c r="M753" s="2447"/>
      <c r="N753" s="2447"/>
      <c r="O753" s="2447"/>
      <c r="P753" s="4951"/>
      <c r="Q753" s="2457"/>
      <c r="R753" s="2457"/>
      <c r="S753" s="4951"/>
      <c r="T753" s="2457"/>
      <c r="U753" s="2457"/>
      <c r="V753" s="2457"/>
      <c r="W753" s="2457"/>
      <c r="X753" s="2457"/>
      <c r="Y753" s="2457"/>
      <c r="Z753" s="2457"/>
      <c r="AA753" s="2457"/>
      <c r="AB753" s="2457"/>
      <c r="AC753" s="2457"/>
      <c r="AD753" s="2457"/>
      <c r="AE753" s="2457"/>
      <c r="AF753" s="2457"/>
      <c r="AG753" s="2457"/>
      <c r="AH753" s="2457"/>
      <c r="AI753" s="2457"/>
      <c r="AJ753" s="2457"/>
      <c r="AK753" s="2457"/>
      <c r="AL753" s="2457"/>
      <c r="AM753" s="2457"/>
      <c r="AN753" s="2457"/>
      <c r="AO753" s="2457"/>
      <c r="AP753" s="2457"/>
      <c r="AQ753" s="2457"/>
      <c r="AR753" s="2457"/>
      <c r="AS753" s="2457"/>
      <c r="AT753" s="2457"/>
      <c r="AU753" s="2457"/>
      <c r="AV753" s="2457"/>
      <c r="AW753" s="2457"/>
      <c r="AX753" s="2457"/>
      <c r="AY753" s="2457"/>
    </row>
    <row r="754" spans="1:51" s="2447" customFormat="1" ht="13.5" customHeight="1">
      <c r="A754" s="263"/>
      <c r="B754" s="2451"/>
      <c r="C754" s="2448"/>
      <c r="D754" s="2452" t="s">
        <v>260</v>
      </c>
      <c r="E754" s="2452"/>
      <c r="F754" s="2453">
        <v>1</v>
      </c>
      <c r="G754" s="2563"/>
      <c r="H754" s="266"/>
      <c r="I754" s="2446"/>
      <c r="J754" s="4967"/>
      <c r="K754" s="4955"/>
      <c r="L754" s="2457"/>
      <c r="M754" s="2457"/>
      <c r="N754" s="2457"/>
      <c r="O754" s="2457"/>
      <c r="P754" s="2457"/>
      <c r="Q754" s="2457"/>
      <c r="R754" s="2457"/>
      <c r="S754" s="4951"/>
    </row>
    <row r="755" spans="1:51" s="233" customFormat="1" ht="27" customHeight="1">
      <c r="A755" s="2439"/>
      <c r="B755" s="265"/>
      <c r="C755" s="265"/>
      <c r="D755" s="265" t="s">
        <v>3643</v>
      </c>
      <c r="E755" s="265"/>
      <c r="F755" s="267"/>
      <c r="G755" s="2561"/>
      <c r="H755" s="2473"/>
      <c r="I755" s="2474"/>
      <c r="J755" s="4952"/>
      <c r="K755" s="4950"/>
      <c r="L755" s="2447"/>
      <c r="M755" s="4969"/>
      <c r="N755" s="4963"/>
      <c r="O755" s="4963"/>
      <c r="P755" s="2447"/>
      <c r="Q755" s="2460"/>
      <c r="R755" s="2447"/>
      <c r="S755" s="4951"/>
    </row>
    <row r="756" spans="1:51" s="233" customFormat="1" ht="27" customHeight="1">
      <c r="A756" s="263" t="s">
        <v>3698</v>
      </c>
      <c r="B756" s="265">
        <v>751</v>
      </c>
      <c r="C756" s="265" t="s">
        <v>3699</v>
      </c>
      <c r="D756" s="2464" t="s">
        <v>3700</v>
      </c>
      <c r="E756" s="265" t="s">
        <v>205</v>
      </c>
      <c r="F756" s="2443">
        <f>ROUND(SUM(F758:F758),3)</f>
        <v>2</v>
      </c>
      <c r="G756" s="2563"/>
      <c r="H756" s="2445">
        <f t="shared" ref="H756" si="147">ROUND(F756*G756,2)</f>
        <v>0</v>
      </c>
      <c r="I756" s="2446" t="s">
        <v>111</v>
      </c>
      <c r="J756" s="4951"/>
      <c r="K756" s="4970"/>
      <c r="L756" s="4965"/>
      <c r="M756" s="1832"/>
      <c r="N756" s="1832"/>
      <c r="O756" s="4966"/>
      <c r="P756" s="4965"/>
      <c r="S756" s="4951"/>
    </row>
    <row r="757" spans="1:51" s="2467" customFormat="1" ht="13.5" customHeight="1">
      <c r="A757" s="2463"/>
      <c r="B757" s="2464"/>
      <c r="C757" s="2464"/>
      <c r="D757" s="265" t="s">
        <v>3701</v>
      </c>
      <c r="E757" s="2464"/>
      <c r="F757" s="2465"/>
      <c r="G757" s="2563"/>
      <c r="H757" s="2466"/>
      <c r="I757" s="2446"/>
      <c r="J757" s="4967"/>
      <c r="K757" s="4963"/>
      <c r="L757" s="4963"/>
      <c r="M757" s="2447"/>
      <c r="N757" s="2447"/>
      <c r="O757" s="2447"/>
      <c r="P757" s="4951"/>
      <c r="Q757" s="2457"/>
      <c r="R757" s="2457"/>
      <c r="S757" s="4951"/>
      <c r="T757" s="2457"/>
      <c r="U757" s="2457"/>
      <c r="V757" s="2457"/>
      <c r="W757" s="2457"/>
      <c r="X757" s="2457"/>
      <c r="Y757" s="2457"/>
      <c r="Z757" s="2457"/>
      <c r="AA757" s="2457"/>
      <c r="AB757" s="2457"/>
      <c r="AC757" s="2457"/>
      <c r="AD757" s="2457"/>
      <c r="AE757" s="2457"/>
      <c r="AF757" s="2457"/>
      <c r="AG757" s="2457"/>
      <c r="AH757" s="2457"/>
      <c r="AI757" s="2457"/>
      <c r="AJ757" s="2457"/>
      <c r="AK757" s="2457"/>
      <c r="AL757" s="2457"/>
      <c r="AM757" s="2457"/>
      <c r="AN757" s="2457"/>
      <c r="AO757" s="2457"/>
      <c r="AP757" s="2457"/>
      <c r="AQ757" s="2457"/>
      <c r="AR757" s="2457"/>
      <c r="AS757" s="2457"/>
      <c r="AT757" s="2457"/>
      <c r="AU757" s="2457"/>
      <c r="AV757" s="2457"/>
      <c r="AW757" s="2457"/>
      <c r="AX757" s="2457"/>
      <c r="AY757" s="2457"/>
    </row>
    <row r="758" spans="1:51" s="2447" customFormat="1" ht="13.5" customHeight="1">
      <c r="A758" s="263"/>
      <c r="B758" s="2451"/>
      <c r="C758" s="2448"/>
      <c r="D758" s="2452" t="s">
        <v>3519</v>
      </c>
      <c r="E758" s="2452"/>
      <c r="F758" s="2453">
        <v>2</v>
      </c>
      <c r="G758" s="2563"/>
      <c r="H758" s="266"/>
      <c r="I758" s="2446"/>
      <c r="J758" s="4967"/>
      <c r="K758" s="4955"/>
      <c r="L758" s="2457"/>
      <c r="M758" s="2457"/>
      <c r="N758" s="2457"/>
      <c r="O758" s="2457"/>
      <c r="P758" s="2457"/>
      <c r="Q758" s="2457"/>
      <c r="R758" s="2457"/>
      <c r="S758" s="4951"/>
    </row>
    <row r="759" spans="1:51" s="233" customFormat="1" ht="27" customHeight="1">
      <c r="A759" s="2439"/>
      <c r="B759" s="265"/>
      <c r="C759" s="265"/>
      <c r="D759" s="265" t="s">
        <v>3643</v>
      </c>
      <c r="E759" s="265"/>
      <c r="F759" s="267"/>
      <c r="G759" s="2561"/>
      <c r="H759" s="2473"/>
      <c r="I759" s="2474"/>
      <c r="J759" s="4952"/>
      <c r="K759" s="4950"/>
      <c r="L759" s="2447"/>
      <c r="M759" s="4969"/>
      <c r="N759" s="4963"/>
      <c r="O759" s="4963"/>
      <c r="P759" s="2447"/>
      <c r="Q759" s="2460"/>
      <c r="R759" s="2447"/>
      <c r="S759" s="4951"/>
    </row>
    <row r="760" spans="1:51" s="2447" customFormat="1" ht="27" customHeight="1">
      <c r="A760" s="263" t="s">
        <v>3702</v>
      </c>
      <c r="B760" s="265">
        <v>751</v>
      </c>
      <c r="C760" s="265" t="s">
        <v>3703</v>
      </c>
      <c r="D760" s="265" t="s">
        <v>3704</v>
      </c>
      <c r="E760" s="265" t="s">
        <v>205</v>
      </c>
      <c r="F760" s="2443">
        <f>ROUND(SUM(F762:F762),3)</f>
        <v>1</v>
      </c>
      <c r="G760" s="2563"/>
      <c r="H760" s="2445">
        <f t="shared" ref="H760" si="148">ROUND(F760*G760,2)</f>
        <v>0</v>
      </c>
      <c r="I760" s="2446" t="s">
        <v>111</v>
      </c>
      <c r="J760" s="4951"/>
      <c r="K760" s="4970"/>
      <c r="L760" s="4965"/>
      <c r="M760" s="1832"/>
      <c r="N760" s="1832"/>
      <c r="O760" s="4966"/>
      <c r="P760" s="4965"/>
      <c r="Q760" s="233"/>
      <c r="R760" s="233"/>
      <c r="S760" s="4951"/>
    </row>
    <row r="761" spans="1:51" s="2447" customFormat="1" ht="13.5" customHeight="1">
      <c r="A761" s="2439"/>
      <c r="B761" s="265"/>
      <c r="C761" s="265"/>
      <c r="D761" s="265" t="s">
        <v>3705</v>
      </c>
      <c r="E761" s="265"/>
      <c r="F761" s="2475"/>
      <c r="G761" s="2561"/>
      <c r="H761" s="2444"/>
      <c r="I761" s="2446"/>
      <c r="J761" s="4967"/>
      <c r="S761" s="4951"/>
    </row>
    <row r="762" spans="1:51" s="2447" customFormat="1" ht="13.5" customHeight="1">
      <c r="A762" s="2439"/>
      <c r="B762" s="265"/>
      <c r="C762" s="265"/>
      <c r="D762" s="265" t="s">
        <v>260</v>
      </c>
      <c r="E762" s="265"/>
      <c r="F762" s="2453">
        <v>1</v>
      </c>
      <c r="G762" s="2561"/>
      <c r="H762" s="2444"/>
      <c r="I762" s="2446"/>
      <c r="J762" s="4967"/>
      <c r="K762" s="4950"/>
      <c r="L762" s="4979"/>
    </row>
    <row r="763" spans="1:51" s="2447" customFormat="1" ht="13.5" customHeight="1">
      <c r="A763" s="2439"/>
      <c r="B763" s="265"/>
      <c r="C763" s="265"/>
      <c r="D763" s="265" t="s">
        <v>3706</v>
      </c>
      <c r="E763" s="265"/>
      <c r="F763" s="2475"/>
      <c r="G763" s="2562"/>
      <c r="H763" s="2449"/>
      <c r="I763" s="2476"/>
      <c r="J763" s="4967"/>
      <c r="K763" s="2460"/>
      <c r="O763" s="4980"/>
    </row>
    <row r="764" spans="1:51" s="2447" customFormat="1" ht="27" customHeight="1">
      <c r="A764" s="263" t="s">
        <v>3707</v>
      </c>
      <c r="B764" s="265">
        <v>751</v>
      </c>
      <c r="C764" s="265" t="s">
        <v>3708</v>
      </c>
      <c r="D764" s="265" t="s">
        <v>3709</v>
      </c>
      <c r="E764" s="265" t="s">
        <v>205</v>
      </c>
      <c r="F764" s="2443">
        <f>ROUND(SUM(F766:F766),3)</f>
        <v>1</v>
      </c>
      <c r="G764" s="2563"/>
      <c r="H764" s="2445">
        <f t="shared" ref="H764" si="149">ROUND(F764*G764,2)</f>
        <v>0</v>
      </c>
      <c r="I764" s="2446" t="s">
        <v>111</v>
      </c>
      <c r="J764" s="4951"/>
      <c r="K764" s="4970"/>
      <c r="L764" s="4965"/>
      <c r="M764" s="1832"/>
      <c r="N764" s="1832"/>
      <c r="O764" s="4966"/>
      <c r="P764" s="4965"/>
      <c r="Q764" s="233"/>
      <c r="R764" s="233"/>
      <c r="S764" s="4951"/>
    </row>
    <row r="765" spans="1:51" s="2447" customFormat="1" ht="13.5" customHeight="1">
      <c r="A765" s="2439"/>
      <c r="B765" s="265"/>
      <c r="C765" s="265"/>
      <c r="D765" s="265" t="s">
        <v>3705</v>
      </c>
      <c r="E765" s="265"/>
      <c r="F765" s="2475"/>
      <c r="G765" s="2561"/>
      <c r="H765" s="2444"/>
      <c r="I765" s="2446"/>
      <c r="J765" s="4967"/>
      <c r="S765" s="4951"/>
    </row>
    <row r="766" spans="1:51" s="2447" customFormat="1" ht="13.5" customHeight="1">
      <c r="A766" s="2439"/>
      <c r="B766" s="265"/>
      <c r="C766" s="265"/>
      <c r="D766" s="265" t="s">
        <v>260</v>
      </c>
      <c r="E766" s="265"/>
      <c r="F766" s="2453">
        <v>1</v>
      </c>
      <c r="G766" s="2561"/>
      <c r="H766" s="2444"/>
      <c r="I766" s="2446"/>
      <c r="J766" s="4967"/>
      <c r="K766" s="4950"/>
      <c r="L766" s="4979"/>
    </row>
    <row r="767" spans="1:51" s="2447" customFormat="1" ht="13.5" customHeight="1">
      <c r="A767" s="2439"/>
      <c r="B767" s="265"/>
      <c r="C767" s="265"/>
      <c r="D767" s="265" t="s">
        <v>3706</v>
      </c>
      <c r="E767" s="265"/>
      <c r="F767" s="2475"/>
      <c r="G767" s="2562"/>
      <c r="H767" s="2449"/>
      <c r="I767" s="2476"/>
      <c r="J767" s="4967"/>
      <c r="K767" s="2460"/>
      <c r="O767" s="4980"/>
    </row>
    <row r="768" spans="1:51" s="2447" customFormat="1" ht="27" customHeight="1">
      <c r="A768" s="263" t="s">
        <v>3710</v>
      </c>
      <c r="B768" s="265">
        <v>751</v>
      </c>
      <c r="C768" s="265" t="s">
        <v>3711</v>
      </c>
      <c r="D768" s="265" t="s">
        <v>3712</v>
      </c>
      <c r="E768" s="265" t="s">
        <v>205</v>
      </c>
      <c r="F768" s="2443">
        <f>ROUND(SUM(F770:F770),3)</f>
        <v>4</v>
      </c>
      <c r="G768" s="2563"/>
      <c r="H768" s="2445">
        <f t="shared" ref="H768" si="150">ROUND(F768*G768,2)</f>
        <v>0</v>
      </c>
      <c r="I768" s="2446" t="s">
        <v>111</v>
      </c>
      <c r="J768" s="4951"/>
      <c r="K768" s="4970"/>
      <c r="L768" s="4965"/>
      <c r="M768" s="1832"/>
      <c r="N768" s="1832"/>
      <c r="O768" s="4966"/>
      <c r="P768" s="4965"/>
      <c r="Q768" s="233"/>
      <c r="R768" s="233"/>
      <c r="S768" s="4951"/>
    </row>
    <row r="769" spans="1:19" s="2447" customFormat="1" ht="13.5" customHeight="1">
      <c r="A769" s="2439"/>
      <c r="B769" s="265"/>
      <c r="C769" s="265"/>
      <c r="D769" s="265" t="s">
        <v>3705</v>
      </c>
      <c r="E769" s="265"/>
      <c r="F769" s="2475"/>
      <c r="G769" s="2561"/>
      <c r="H769" s="2444"/>
      <c r="I769" s="2446"/>
      <c r="J769" s="4967"/>
      <c r="S769" s="4951"/>
    </row>
    <row r="770" spans="1:19" s="2447" customFormat="1" ht="13.5" customHeight="1">
      <c r="A770" s="2439"/>
      <c r="B770" s="265"/>
      <c r="C770" s="265"/>
      <c r="D770" s="265" t="s">
        <v>3557</v>
      </c>
      <c r="E770" s="265"/>
      <c r="F770" s="2453">
        <v>4</v>
      </c>
      <c r="G770" s="2561"/>
      <c r="H770" s="2444"/>
      <c r="I770" s="2446"/>
      <c r="J770" s="4967"/>
      <c r="K770" s="4950"/>
      <c r="L770" s="4979"/>
    </row>
    <row r="771" spans="1:19" s="2447" customFormat="1" ht="13.5" customHeight="1">
      <c r="A771" s="2439"/>
      <c r="B771" s="265"/>
      <c r="C771" s="265"/>
      <c r="D771" s="265" t="s">
        <v>3706</v>
      </c>
      <c r="E771" s="265"/>
      <c r="F771" s="2475"/>
      <c r="G771" s="2562"/>
      <c r="H771" s="2449"/>
      <c r="I771" s="2476"/>
      <c r="J771" s="4967"/>
      <c r="K771" s="2460"/>
      <c r="O771" s="4980"/>
    </row>
    <row r="772" spans="1:19" s="2447" customFormat="1" ht="27" customHeight="1">
      <c r="A772" s="263" t="s">
        <v>3713</v>
      </c>
      <c r="B772" s="265">
        <v>751</v>
      </c>
      <c r="C772" s="265" t="s">
        <v>3714</v>
      </c>
      <c r="D772" s="265" t="s">
        <v>3715</v>
      </c>
      <c r="E772" s="265" t="s">
        <v>205</v>
      </c>
      <c r="F772" s="2443">
        <f>ROUND(SUM(F774:F774),3)</f>
        <v>3</v>
      </c>
      <c r="G772" s="2563"/>
      <c r="H772" s="2445">
        <f t="shared" ref="H772" si="151">ROUND(F772*G772,2)</f>
        <v>0</v>
      </c>
      <c r="I772" s="2446" t="s">
        <v>111</v>
      </c>
      <c r="J772" s="4951"/>
      <c r="K772" s="4970"/>
      <c r="L772" s="4965"/>
      <c r="M772" s="1832"/>
      <c r="N772" s="1832"/>
      <c r="O772" s="4966"/>
      <c r="P772" s="4965"/>
      <c r="Q772" s="233"/>
      <c r="R772" s="233"/>
      <c r="S772" s="4951"/>
    </row>
    <row r="773" spans="1:19" s="2447" customFormat="1" ht="13.5" customHeight="1">
      <c r="A773" s="2439"/>
      <c r="B773" s="265"/>
      <c r="C773" s="265"/>
      <c r="D773" s="265" t="s">
        <v>3705</v>
      </c>
      <c r="E773" s="265"/>
      <c r="F773" s="2475"/>
      <c r="G773" s="2561"/>
      <c r="H773" s="2444"/>
      <c r="I773" s="2446"/>
      <c r="J773" s="4967"/>
      <c r="S773" s="4951"/>
    </row>
    <row r="774" spans="1:19" s="2447" customFormat="1" ht="13.5" customHeight="1">
      <c r="A774" s="2439"/>
      <c r="B774" s="265"/>
      <c r="C774" s="265"/>
      <c r="D774" s="265" t="s">
        <v>3537</v>
      </c>
      <c r="E774" s="265"/>
      <c r="F774" s="2453">
        <v>3</v>
      </c>
      <c r="G774" s="2561"/>
      <c r="H774" s="2444"/>
      <c r="I774" s="2446"/>
      <c r="J774" s="4967"/>
      <c r="K774" s="4950"/>
      <c r="L774" s="4979"/>
    </row>
    <row r="775" spans="1:19" s="2447" customFormat="1" ht="13.5" customHeight="1">
      <c r="A775" s="2439"/>
      <c r="B775" s="265"/>
      <c r="C775" s="265"/>
      <c r="D775" s="265" t="s">
        <v>3706</v>
      </c>
      <c r="E775" s="265"/>
      <c r="F775" s="2475"/>
      <c r="G775" s="2562"/>
      <c r="H775" s="2449"/>
      <c r="I775" s="2476"/>
      <c r="J775" s="4967"/>
      <c r="K775" s="2460"/>
      <c r="O775" s="4980"/>
    </row>
    <row r="776" spans="1:19" s="2447" customFormat="1" ht="27" customHeight="1">
      <c r="A776" s="263" t="s">
        <v>3716</v>
      </c>
      <c r="B776" s="265">
        <v>751</v>
      </c>
      <c r="C776" s="265" t="s">
        <v>3717</v>
      </c>
      <c r="D776" s="265" t="s">
        <v>3718</v>
      </c>
      <c r="E776" s="265" t="s">
        <v>205</v>
      </c>
      <c r="F776" s="2443">
        <f>ROUND(SUM(F778:F778),3)</f>
        <v>14</v>
      </c>
      <c r="G776" s="2563"/>
      <c r="H776" s="2445">
        <f t="shared" ref="H776" si="152">ROUND(F776*G776,2)</f>
        <v>0</v>
      </c>
      <c r="I776" s="2446" t="s">
        <v>111</v>
      </c>
      <c r="J776" s="4951"/>
      <c r="K776" s="4970"/>
      <c r="L776" s="4965"/>
      <c r="M776" s="1832"/>
      <c r="N776" s="1832"/>
      <c r="O776" s="4966"/>
      <c r="P776" s="4965"/>
      <c r="Q776" s="233"/>
      <c r="R776" s="233"/>
      <c r="S776" s="4951"/>
    </row>
    <row r="777" spans="1:19" s="2447" customFormat="1" ht="13.5" customHeight="1">
      <c r="A777" s="2439"/>
      <c r="B777" s="265"/>
      <c r="C777" s="265"/>
      <c r="D777" s="265" t="s">
        <v>3719</v>
      </c>
      <c r="E777" s="265"/>
      <c r="F777" s="2475"/>
      <c r="G777" s="2561"/>
      <c r="H777" s="2444"/>
      <c r="I777" s="2446"/>
      <c r="J777" s="4967"/>
      <c r="S777" s="4951"/>
    </row>
    <row r="778" spans="1:19" s="2447" customFormat="1" ht="13.5" customHeight="1">
      <c r="A778" s="2439"/>
      <c r="B778" s="265"/>
      <c r="C778" s="265"/>
      <c r="D778" s="265" t="s">
        <v>3720</v>
      </c>
      <c r="E778" s="265"/>
      <c r="F778" s="2453">
        <v>14</v>
      </c>
      <c r="G778" s="2561"/>
      <c r="H778" s="2444"/>
      <c r="I778" s="2446"/>
      <c r="J778" s="4967"/>
      <c r="K778" s="4950"/>
      <c r="L778" s="4979"/>
    </row>
    <row r="779" spans="1:19" s="2447" customFormat="1" ht="13.5" customHeight="1">
      <c r="A779" s="2439"/>
      <c r="B779" s="265"/>
      <c r="C779" s="265"/>
      <c r="D779" s="265" t="s">
        <v>3706</v>
      </c>
      <c r="E779" s="265"/>
      <c r="F779" s="2475"/>
      <c r="G779" s="2562"/>
      <c r="H779" s="2449"/>
      <c r="I779" s="2476"/>
      <c r="J779" s="4967"/>
      <c r="K779" s="2460"/>
      <c r="O779" s="4980"/>
      <c r="P779" s="4981"/>
    </row>
    <row r="780" spans="1:19" s="2447" customFormat="1" ht="27" customHeight="1">
      <c r="A780" s="263" t="s">
        <v>3721</v>
      </c>
      <c r="B780" s="265">
        <v>751</v>
      </c>
      <c r="C780" s="265" t="s">
        <v>3722</v>
      </c>
      <c r="D780" s="265" t="s">
        <v>3723</v>
      </c>
      <c r="E780" s="265" t="s">
        <v>205</v>
      </c>
      <c r="F780" s="2443">
        <f>ROUND(SUM(F782:F783),3)</f>
        <v>18</v>
      </c>
      <c r="G780" s="2563"/>
      <c r="H780" s="2445">
        <f t="shared" ref="H780" si="153">ROUND(F780*G780,2)</f>
        <v>0</v>
      </c>
      <c r="I780" s="2446" t="s">
        <v>111</v>
      </c>
      <c r="J780" s="4951"/>
      <c r="K780" s="4970"/>
      <c r="L780" s="4965"/>
      <c r="M780" s="1832"/>
      <c r="N780" s="1832"/>
      <c r="O780" s="4966"/>
      <c r="P780" s="4965"/>
      <c r="Q780" s="233"/>
      <c r="R780" s="233"/>
      <c r="S780" s="4951"/>
    </row>
    <row r="781" spans="1:19" s="2447" customFormat="1" ht="13.5" customHeight="1">
      <c r="A781" s="2439"/>
      <c r="B781" s="265"/>
      <c r="C781" s="265"/>
      <c r="D781" s="265" t="s">
        <v>3719</v>
      </c>
      <c r="E781" s="265"/>
      <c r="F781" s="2475"/>
      <c r="G781" s="2561"/>
      <c r="H781" s="2444"/>
      <c r="I781" s="2446"/>
      <c r="J781" s="4967"/>
      <c r="S781" s="4951"/>
    </row>
    <row r="782" spans="1:19" s="2447" customFormat="1" ht="13.5" customHeight="1">
      <c r="A782" s="2439"/>
      <c r="B782" s="265"/>
      <c r="C782" s="265"/>
      <c r="D782" s="265" t="s">
        <v>3519</v>
      </c>
      <c r="E782" s="265"/>
      <c r="F782" s="2453">
        <v>2</v>
      </c>
      <c r="G782" s="2561"/>
      <c r="H782" s="2444"/>
      <c r="I782" s="2446"/>
      <c r="J782" s="4967"/>
      <c r="K782" s="4950"/>
      <c r="L782" s="4979"/>
    </row>
    <row r="783" spans="1:19" s="2447" customFormat="1" ht="13.5" customHeight="1">
      <c r="A783" s="2439"/>
      <c r="B783" s="265"/>
      <c r="C783" s="265"/>
      <c r="D783" s="265" t="s">
        <v>3724</v>
      </c>
      <c r="E783" s="265"/>
      <c r="F783" s="2453">
        <v>16</v>
      </c>
      <c r="G783" s="2561"/>
      <c r="H783" s="2444"/>
      <c r="I783" s="2446"/>
      <c r="J783" s="4967"/>
      <c r="K783" s="4950"/>
      <c r="L783" s="4979"/>
    </row>
    <row r="784" spans="1:19" s="2447" customFormat="1" ht="13.5" customHeight="1">
      <c r="A784" s="2439"/>
      <c r="B784" s="265"/>
      <c r="C784" s="265"/>
      <c r="D784" s="265" t="s">
        <v>3706</v>
      </c>
      <c r="E784" s="265"/>
      <c r="F784" s="2475"/>
      <c r="G784" s="2562"/>
      <c r="H784" s="2449"/>
      <c r="I784" s="2476"/>
      <c r="J784" s="4967"/>
      <c r="K784" s="2460"/>
      <c r="O784" s="4980"/>
      <c r="P784" s="4981"/>
    </row>
    <row r="785" spans="1:97" s="2447" customFormat="1" ht="27" customHeight="1">
      <c r="A785" s="263" t="s">
        <v>3725</v>
      </c>
      <c r="B785" s="265">
        <v>751</v>
      </c>
      <c r="C785" s="265" t="s">
        <v>3726</v>
      </c>
      <c r="D785" s="265" t="s">
        <v>3727</v>
      </c>
      <c r="E785" s="265" t="s">
        <v>205</v>
      </c>
      <c r="F785" s="2443">
        <f>ROUND(SUM(F787:F787),3)</f>
        <v>16</v>
      </c>
      <c r="G785" s="2563"/>
      <c r="H785" s="2445">
        <f t="shared" ref="H785" si="154">ROUND(F785*G785,2)</f>
        <v>0</v>
      </c>
      <c r="I785" s="2446" t="s">
        <v>111</v>
      </c>
      <c r="J785" s="4951"/>
      <c r="K785" s="4970"/>
      <c r="L785" s="4965"/>
      <c r="M785" s="1832"/>
      <c r="N785" s="1832"/>
      <c r="O785" s="4966"/>
      <c r="P785" s="4965"/>
      <c r="Q785" s="233"/>
      <c r="R785" s="233"/>
      <c r="S785" s="4951"/>
    </row>
    <row r="786" spans="1:97" s="2447" customFormat="1" ht="13.5" customHeight="1">
      <c r="A786" s="2439"/>
      <c r="B786" s="265"/>
      <c r="C786" s="265"/>
      <c r="D786" s="265" t="s">
        <v>3728</v>
      </c>
      <c r="E786" s="265"/>
      <c r="F786" s="267"/>
      <c r="G786" s="2561"/>
      <c r="H786" s="2444"/>
      <c r="I786" s="2446"/>
      <c r="R786" s="4982"/>
    </row>
    <row r="787" spans="1:97" s="2447" customFormat="1" ht="13.5" customHeight="1">
      <c r="A787" s="2439"/>
      <c r="B787" s="265"/>
      <c r="C787" s="265"/>
      <c r="D787" s="2452" t="s">
        <v>3724</v>
      </c>
      <c r="E787" s="2452"/>
      <c r="F787" s="2453">
        <v>16</v>
      </c>
      <c r="G787" s="2561"/>
      <c r="H787" s="2444"/>
      <c r="I787" s="2446"/>
      <c r="J787" s="4967"/>
      <c r="K787" s="4950"/>
      <c r="L787" s="4979"/>
      <c r="R787" s="4982"/>
    </row>
    <row r="788" spans="1:97" s="2447" customFormat="1" ht="13.5" customHeight="1">
      <c r="A788" s="2450"/>
      <c r="B788" s="2451"/>
      <c r="C788" s="2448"/>
      <c r="D788" s="265" t="s">
        <v>3706</v>
      </c>
      <c r="E788" s="265"/>
      <c r="F788" s="267"/>
      <c r="G788" s="2562"/>
      <c r="H788" s="2449"/>
      <c r="I788" s="2477"/>
      <c r="J788" s="2478"/>
      <c r="O788" s="4966"/>
      <c r="R788" s="4982"/>
    </row>
    <row r="789" spans="1:97" s="233" customFormat="1" ht="13.5" customHeight="1">
      <c r="A789" s="2479" t="s">
        <v>3729</v>
      </c>
      <c r="B789" s="2480">
        <v>751</v>
      </c>
      <c r="C789" s="2480" t="s">
        <v>3730</v>
      </c>
      <c r="D789" s="2480" t="s">
        <v>3731</v>
      </c>
      <c r="E789" s="2480" t="s">
        <v>205</v>
      </c>
      <c r="F789" s="2443">
        <f>ROUND(SUM(F791:F791),3)</f>
        <v>3</v>
      </c>
      <c r="G789" s="2565"/>
      <c r="H789" s="2445">
        <f t="shared" ref="H789" si="155">ROUND(F789*G789,2)</f>
        <v>0</v>
      </c>
      <c r="I789" s="2481" t="s">
        <v>111</v>
      </c>
      <c r="J789" s="4951"/>
      <c r="K789" s="4970"/>
      <c r="L789" s="4960"/>
      <c r="M789" s="4960"/>
      <c r="N789" s="4966"/>
      <c r="O789" s="4960"/>
      <c r="P789" s="4983"/>
      <c r="Q789" s="4960"/>
      <c r="T789" s="4951"/>
    </row>
    <row r="790" spans="1:97" s="2467" customFormat="1" ht="13.5" customHeight="1">
      <c r="A790" s="2482"/>
      <c r="B790" s="2483"/>
      <c r="C790" s="2483"/>
      <c r="D790" s="2484" t="s">
        <v>3732</v>
      </c>
      <c r="E790" s="2483"/>
      <c r="F790" s="2485"/>
      <c r="G790" s="2565"/>
      <c r="H790" s="2486"/>
      <c r="I790" s="2481"/>
      <c r="J790" s="4967"/>
      <c r="K790" s="236"/>
      <c r="L790" s="2457"/>
      <c r="M790" s="4951"/>
      <c r="N790" s="2457"/>
      <c r="O790" s="2457"/>
      <c r="P790" s="2457"/>
      <c r="Q790" s="2457"/>
      <c r="R790" s="4951"/>
      <c r="S790" s="2457"/>
      <c r="T790" s="4951"/>
      <c r="U790" s="2457"/>
      <c r="V790" s="2457"/>
      <c r="W790" s="2457"/>
      <c r="X790" s="2457"/>
      <c r="Y790" s="2457"/>
      <c r="Z790" s="2457"/>
      <c r="AA790" s="2457"/>
      <c r="AB790" s="2457"/>
      <c r="AC790" s="2457"/>
      <c r="AD790" s="2457"/>
      <c r="AE790" s="2457"/>
      <c r="AF790" s="2457"/>
      <c r="AG790" s="2457"/>
      <c r="AH790" s="2457"/>
      <c r="AI790" s="2457"/>
      <c r="AJ790" s="2457"/>
      <c r="AK790" s="2457"/>
      <c r="AL790" s="2457"/>
      <c r="AM790" s="2457"/>
      <c r="AN790" s="2457"/>
      <c r="AO790" s="2457"/>
      <c r="AP790" s="2457"/>
      <c r="AQ790" s="2457"/>
      <c r="AR790" s="2457"/>
      <c r="AS790" s="2457"/>
      <c r="AT790" s="2457"/>
      <c r="AU790" s="2457"/>
      <c r="AV790" s="2457"/>
      <c r="AW790" s="2457"/>
      <c r="AX790" s="2457"/>
      <c r="AY790" s="2457"/>
    </row>
    <row r="791" spans="1:97" s="2467" customFormat="1" ht="13.5" customHeight="1">
      <c r="A791" s="2482"/>
      <c r="B791" s="2483"/>
      <c r="C791" s="2483"/>
      <c r="D791" s="2452" t="s">
        <v>3733</v>
      </c>
      <c r="E791" s="2452"/>
      <c r="F791" s="2453">
        <v>3</v>
      </c>
      <c r="G791" s="2565"/>
      <c r="H791" s="2486"/>
      <c r="I791" s="2481"/>
      <c r="J791" s="2471"/>
      <c r="K791" s="2447"/>
      <c r="L791" s="2447"/>
      <c r="M791" s="2447"/>
      <c r="N791" s="2447"/>
      <c r="O791" s="2447"/>
      <c r="P791" s="2447"/>
      <c r="Q791" s="2447"/>
      <c r="R791" s="4971"/>
      <c r="S791" s="2457"/>
      <c r="T791" s="4951"/>
      <c r="U791" s="2457"/>
      <c r="V791" s="2457"/>
      <c r="W791" s="2457"/>
      <c r="X791" s="2457"/>
      <c r="Y791" s="2457"/>
      <c r="Z791" s="2457"/>
      <c r="AA791" s="2457"/>
      <c r="AB791" s="2457"/>
      <c r="AC791" s="2457"/>
      <c r="AD791" s="2457"/>
      <c r="AE791" s="2457"/>
      <c r="AF791" s="2457"/>
      <c r="AG791" s="2457"/>
      <c r="AH791" s="2457"/>
      <c r="AI791" s="2457"/>
      <c r="AJ791" s="2457"/>
      <c r="AK791" s="2457"/>
      <c r="AL791" s="2457"/>
      <c r="AM791" s="2457"/>
      <c r="AN791" s="2457"/>
      <c r="AO791" s="2457"/>
      <c r="AP791" s="2457"/>
      <c r="AQ791" s="2457"/>
      <c r="AR791" s="2457"/>
      <c r="AS791" s="2457"/>
      <c r="AT791" s="2457"/>
      <c r="AU791" s="2457"/>
      <c r="AV791" s="2457"/>
      <c r="AW791" s="2457"/>
      <c r="AX791" s="2457"/>
      <c r="AY791" s="2457"/>
    </row>
    <row r="792" spans="1:97" s="2468" customFormat="1" ht="27" customHeight="1">
      <c r="A792" s="2487"/>
      <c r="B792" s="2488"/>
      <c r="C792" s="2489"/>
      <c r="D792" s="2484" t="s">
        <v>3623</v>
      </c>
      <c r="E792" s="2489"/>
      <c r="F792" s="2490"/>
      <c r="G792" s="2566"/>
      <c r="H792" s="2491"/>
      <c r="I792" s="2492"/>
      <c r="J792" s="4979"/>
      <c r="K792" s="2447"/>
      <c r="L792" s="2447"/>
      <c r="M792" s="2447"/>
      <c r="N792" s="2447"/>
      <c r="O792" s="2447"/>
      <c r="P792" s="2447"/>
      <c r="Q792" s="2447"/>
      <c r="R792" s="4982"/>
      <c r="S792" s="2447"/>
      <c r="T792" s="2447"/>
      <c r="U792" s="2447"/>
      <c r="V792" s="2447"/>
      <c r="W792" s="2447"/>
      <c r="X792" s="2447"/>
      <c r="Y792" s="2447"/>
      <c r="Z792" s="2447"/>
      <c r="AA792" s="2447"/>
      <c r="AB792" s="2447"/>
      <c r="AC792" s="2447"/>
      <c r="AD792" s="2447"/>
      <c r="AE792" s="2447"/>
      <c r="AF792" s="2447"/>
      <c r="AG792" s="2447"/>
      <c r="AH792" s="2447"/>
      <c r="AI792" s="2447"/>
      <c r="AJ792" s="2447"/>
      <c r="AK792" s="2447"/>
      <c r="AL792" s="2447"/>
      <c r="AM792" s="2447"/>
      <c r="AN792" s="2447"/>
      <c r="AO792" s="2447"/>
      <c r="AP792" s="2447"/>
      <c r="AQ792" s="2447"/>
      <c r="AR792" s="2447"/>
      <c r="AS792" s="2447"/>
      <c r="AT792" s="2447"/>
      <c r="AU792" s="2447"/>
      <c r="AV792" s="2447"/>
      <c r="AW792" s="2447"/>
      <c r="AX792" s="2447"/>
      <c r="AY792" s="2447"/>
    </row>
    <row r="793" spans="1:97" s="233" customFormat="1" ht="13.5" customHeight="1">
      <c r="A793" s="2493" t="s">
        <v>3734</v>
      </c>
      <c r="B793" s="2484">
        <v>751</v>
      </c>
      <c r="C793" s="2484" t="s">
        <v>3735</v>
      </c>
      <c r="D793" s="2484" t="s">
        <v>3736</v>
      </c>
      <c r="E793" s="2484" t="s">
        <v>205</v>
      </c>
      <c r="F793" s="2443">
        <f>ROUND(SUM(F795:F795),3)</f>
        <v>2</v>
      </c>
      <c r="G793" s="2565"/>
      <c r="H793" s="2445">
        <f t="shared" ref="H793" si="156">ROUND(F793*G793,2)</f>
        <v>0</v>
      </c>
      <c r="I793" s="2481" t="s">
        <v>111</v>
      </c>
      <c r="J793" s="4951"/>
      <c r="K793" s="4970"/>
      <c r="L793" s="4960"/>
      <c r="M793" s="4960"/>
      <c r="N793" s="4966"/>
      <c r="O793" s="4960"/>
      <c r="P793" s="4983"/>
      <c r="Q793" s="4960"/>
      <c r="T793" s="4951"/>
    </row>
    <row r="794" spans="1:97" s="2467" customFormat="1" ht="13.5" customHeight="1">
      <c r="A794" s="2482"/>
      <c r="B794" s="2483"/>
      <c r="C794" s="2483"/>
      <c r="D794" s="2484" t="s">
        <v>3737</v>
      </c>
      <c r="E794" s="2483"/>
      <c r="F794" s="2485"/>
      <c r="G794" s="2565"/>
      <c r="H794" s="2486"/>
      <c r="I794" s="2481"/>
      <c r="J794" s="480"/>
      <c r="K794" s="4974"/>
      <c r="L794" s="2457"/>
      <c r="M794" s="4951"/>
      <c r="N794" s="2457"/>
      <c r="O794" s="2457"/>
      <c r="P794" s="2457"/>
      <c r="Q794" s="4984"/>
      <c r="R794" s="4951"/>
      <c r="S794" s="2457"/>
      <c r="T794" s="4951"/>
      <c r="U794" s="2457"/>
      <c r="V794" s="2457"/>
      <c r="W794" s="2457"/>
      <c r="X794" s="2457"/>
      <c r="Y794" s="2457"/>
      <c r="Z794" s="2457"/>
      <c r="AA794" s="2457"/>
      <c r="AB794" s="2457"/>
      <c r="AC794" s="2457"/>
      <c r="AD794" s="2457"/>
      <c r="AE794" s="2457"/>
      <c r="AF794" s="2457"/>
      <c r="AG794" s="2457"/>
      <c r="AH794" s="2457"/>
      <c r="AI794" s="2457"/>
      <c r="AJ794" s="2457"/>
      <c r="AK794" s="2457"/>
      <c r="AL794" s="2457"/>
      <c r="AM794" s="2457"/>
      <c r="AN794" s="2457"/>
      <c r="AO794" s="2457"/>
      <c r="AP794" s="2457"/>
      <c r="AQ794" s="2457"/>
      <c r="AR794" s="2457"/>
      <c r="AS794" s="2457"/>
      <c r="AT794" s="2457"/>
      <c r="AU794" s="2457"/>
      <c r="AV794" s="2457"/>
      <c r="AW794" s="2457"/>
      <c r="AX794" s="2457"/>
      <c r="AY794" s="2457"/>
    </row>
    <row r="795" spans="1:97" s="2467" customFormat="1" ht="13.5" customHeight="1">
      <c r="A795" s="2482"/>
      <c r="B795" s="2483"/>
      <c r="C795" s="2483"/>
      <c r="D795" s="2452" t="s">
        <v>3738</v>
      </c>
      <c r="E795" s="2452"/>
      <c r="F795" s="2453">
        <v>2</v>
      </c>
      <c r="G795" s="2565"/>
      <c r="H795" s="2486"/>
      <c r="I795" s="2481"/>
      <c r="J795" s="270"/>
      <c r="K795" s="2447"/>
      <c r="L795" s="2447"/>
      <c r="M795" s="482"/>
      <c r="N795" s="2447"/>
      <c r="O795" s="2447"/>
      <c r="P795" s="2447"/>
      <c r="Q795" s="2447"/>
      <c r="R795" s="4971"/>
      <c r="S795" s="2457"/>
      <c r="T795" s="4951"/>
      <c r="U795" s="2457"/>
      <c r="V795" s="2457"/>
      <c r="W795" s="2457"/>
      <c r="X795" s="2457"/>
      <c r="Y795" s="2457"/>
      <c r="Z795" s="2457"/>
      <c r="AA795" s="2457"/>
      <c r="AB795" s="2457"/>
      <c r="AC795" s="2457"/>
      <c r="AD795" s="2457"/>
      <c r="AE795" s="2457"/>
      <c r="AF795" s="2457"/>
      <c r="AG795" s="2457"/>
      <c r="AH795" s="2457"/>
      <c r="AI795" s="2457"/>
      <c r="AJ795" s="2457"/>
      <c r="AK795" s="2457"/>
      <c r="AL795" s="2457"/>
      <c r="AM795" s="2457"/>
      <c r="AN795" s="2457"/>
      <c r="AO795" s="2457"/>
      <c r="AP795" s="2457"/>
      <c r="AQ795" s="2457"/>
      <c r="AR795" s="2457"/>
      <c r="AS795" s="2457"/>
      <c r="AT795" s="2457"/>
      <c r="AU795" s="2457"/>
      <c r="AV795" s="2457"/>
      <c r="AW795" s="2457"/>
      <c r="AX795" s="2457"/>
      <c r="AY795" s="2457"/>
    </row>
    <row r="796" spans="1:97" s="2468" customFormat="1" ht="27" customHeight="1">
      <c r="A796" s="2487"/>
      <c r="B796" s="2488"/>
      <c r="C796" s="2489"/>
      <c r="D796" s="2484" t="s">
        <v>3623</v>
      </c>
      <c r="E796" s="2489"/>
      <c r="F796" s="2490"/>
      <c r="G796" s="2566"/>
      <c r="H796" s="2491"/>
      <c r="I796" s="2492"/>
      <c r="J796" s="4979"/>
      <c r="K796" s="2447"/>
      <c r="L796" s="2447"/>
      <c r="M796" s="2447"/>
      <c r="N796" s="2447"/>
      <c r="O796" s="2447"/>
      <c r="P796" s="2447"/>
      <c r="Q796" s="2447"/>
      <c r="R796" s="4982"/>
      <c r="S796" s="2447"/>
      <c r="T796" s="2447"/>
      <c r="U796" s="2447"/>
      <c r="V796" s="2447"/>
      <c r="W796" s="2447"/>
      <c r="X796" s="2447"/>
      <c r="Y796" s="2447"/>
      <c r="Z796" s="2447"/>
      <c r="AA796" s="2447"/>
      <c r="AB796" s="2447"/>
      <c r="AC796" s="2447"/>
      <c r="AD796" s="2447"/>
      <c r="AE796" s="2447"/>
      <c r="AF796" s="2447"/>
      <c r="AG796" s="2447"/>
      <c r="AH796" s="2447"/>
      <c r="AI796" s="2447"/>
      <c r="AJ796" s="2447"/>
      <c r="AK796" s="2447"/>
      <c r="AL796" s="2447"/>
      <c r="AM796" s="2447"/>
      <c r="AN796" s="2447"/>
      <c r="AO796" s="2447"/>
      <c r="AP796" s="2447"/>
      <c r="AQ796" s="2447"/>
      <c r="AR796" s="2447"/>
      <c r="AS796" s="2447"/>
      <c r="AT796" s="2447"/>
      <c r="AU796" s="2447"/>
      <c r="AV796" s="2447"/>
      <c r="AW796" s="2447"/>
      <c r="AX796" s="2447"/>
      <c r="AY796" s="2447"/>
    </row>
    <row r="797" spans="1:97" s="1952" customFormat="1" ht="13.5" customHeight="1">
      <c r="A797" s="2045">
        <v>71</v>
      </c>
      <c r="B797" s="2046" t="s">
        <v>1984</v>
      </c>
      <c r="C797" s="2046">
        <v>998751201</v>
      </c>
      <c r="D797" s="2046" t="s">
        <v>1988</v>
      </c>
      <c r="E797" s="2046" t="s">
        <v>10</v>
      </c>
      <c r="F797" s="2051">
        <v>0.28999999999999998</v>
      </c>
      <c r="G797" s="2559"/>
      <c r="H797" s="2100">
        <f>F797*G797</f>
        <v>0</v>
      </c>
      <c r="I797" s="2047" t="s">
        <v>137</v>
      </c>
      <c r="J797" s="4944"/>
      <c r="K797" s="2050"/>
      <c r="L797" s="2050"/>
      <c r="M797" s="2050"/>
      <c r="N797" s="2050"/>
      <c r="O797" s="2050"/>
      <c r="P797" s="2050"/>
      <c r="Q797" s="1951"/>
      <c r="R797" s="1951"/>
      <c r="S797" s="1951"/>
      <c r="T797" s="1951"/>
      <c r="U797" s="1951"/>
      <c r="V797" s="1951"/>
      <c r="W797" s="1951"/>
      <c r="X797" s="1951"/>
      <c r="Y797" s="1951"/>
      <c r="Z797" s="1951"/>
      <c r="AA797" s="1951"/>
      <c r="AB797" s="1951"/>
      <c r="AC797" s="1951"/>
      <c r="AD797" s="1951"/>
      <c r="AE797" s="1951"/>
      <c r="AF797" s="1951"/>
      <c r="AG797" s="1951"/>
      <c r="AH797" s="1951"/>
      <c r="AI797" s="1951"/>
      <c r="AJ797" s="1951"/>
      <c r="AK797" s="1951"/>
      <c r="AL797" s="1951"/>
      <c r="AM797" s="1951"/>
      <c r="AN797" s="1951"/>
      <c r="AO797" s="1951"/>
      <c r="AP797" s="1951"/>
      <c r="AQ797" s="1951"/>
      <c r="AR797" s="1951"/>
      <c r="AS797" s="1951"/>
      <c r="AT797" s="1951"/>
      <c r="AU797" s="1951"/>
      <c r="AV797" s="1951"/>
      <c r="AW797" s="1951"/>
      <c r="AX797" s="1951"/>
      <c r="AY797" s="1951"/>
      <c r="AZ797" s="1951"/>
      <c r="BA797" s="1951"/>
      <c r="BB797" s="1951"/>
      <c r="BC797" s="1951"/>
      <c r="BD797" s="1951"/>
      <c r="BE797" s="1951"/>
      <c r="BF797" s="1951"/>
      <c r="BG797" s="1951"/>
      <c r="BH797" s="1951"/>
      <c r="BI797" s="1951"/>
      <c r="BJ797" s="1951"/>
      <c r="BK797" s="1951"/>
      <c r="BL797" s="1951"/>
      <c r="BM797" s="1951"/>
      <c r="BN797" s="1951"/>
      <c r="BO797" s="1951"/>
      <c r="BP797" s="1951"/>
      <c r="BQ797" s="1951"/>
      <c r="BR797" s="1951"/>
      <c r="BS797" s="1951"/>
      <c r="BT797" s="1951"/>
      <c r="BU797" s="1951"/>
      <c r="BV797" s="1951"/>
      <c r="BW797" s="1951"/>
      <c r="BX797" s="1951"/>
      <c r="BY797" s="1951"/>
      <c r="BZ797" s="1951"/>
      <c r="CA797" s="1951"/>
      <c r="CB797" s="1951"/>
      <c r="CC797" s="1951"/>
      <c r="CD797" s="1951"/>
      <c r="CE797" s="1951"/>
      <c r="CF797" s="1951"/>
      <c r="CG797" s="1951"/>
      <c r="CH797" s="1951"/>
      <c r="CI797" s="1951"/>
      <c r="CJ797" s="1951"/>
      <c r="CK797" s="1951"/>
      <c r="CL797" s="1951"/>
      <c r="CM797" s="1951"/>
      <c r="CN797" s="1951"/>
      <c r="CO797" s="1951"/>
      <c r="CP797" s="1951"/>
      <c r="CQ797" s="1951"/>
      <c r="CR797" s="1951"/>
      <c r="CS797" s="1951"/>
    </row>
    <row r="798" spans="1:97" s="1952" customFormat="1" ht="13.5" customHeight="1">
      <c r="A798" s="2045">
        <v>72</v>
      </c>
      <c r="B798" s="2046" t="s">
        <v>362</v>
      </c>
      <c r="C798" s="2046" t="s">
        <v>1989</v>
      </c>
      <c r="D798" s="2046" t="s">
        <v>1990</v>
      </c>
      <c r="E798" s="2046" t="s">
        <v>69</v>
      </c>
      <c r="F798" s="2051">
        <f>F799</f>
        <v>30</v>
      </c>
      <c r="G798" s="2559"/>
      <c r="H798" s="2100">
        <f>F798*G798</f>
        <v>0</v>
      </c>
      <c r="I798" s="2047" t="s">
        <v>137</v>
      </c>
      <c r="J798" s="2020"/>
      <c r="K798" s="2050"/>
      <c r="L798" s="2050"/>
      <c r="M798" s="2050"/>
      <c r="N798" s="2050"/>
      <c r="O798" s="2050"/>
      <c r="P798" s="2050"/>
      <c r="Q798" s="1951"/>
      <c r="R798" s="1951"/>
      <c r="S798" s="1951"/>
      <c r="T798" s="1951"/>
      <c r="U798" s="1951"/>
      <c r="V798" s="1951"/>
      <c r="W798" s="1951"/>
      <c r="X798" s="1951"/>
      <c r="Y798" s="1951"/>
      <c r="Z798" s="1951"/>
      <c r="AA798" s="1951"/>
      <c r="AB798" s="1951"/>
      <c r="AC798" s="1951"/>
      <c r="AD798" s="1951"/>
      <c r="AE798" s="1951"/>
      <c r="AF798" s="1951"/>
      <c r="AG798" s="1951"/>
      <c r="AH798" s="1951"/>
      <c r="AI798" s="1951"/>
      <c r="AJ798" s="1951"/>
      <c r="AK798" s="1951"/>
      <c r="AL798" s="1951"/>
      <c r="AM798" s="1951"/>
      <c r="AN798" s="1951"/>
      <c r="AO798" s="1951"/>
      <c r="AP798" s="1951"/>
      <c r="AQ798" s="1951"/>
      <c r="AR798" s="1951"/>
      <c r="AS798" s="1951"/>
      <c r="AT798" s="1951"/>
      <c r="AU798" s="1951"/>
      <c r="AV798" s="1951"/>
      <c r="AW798" s="1951"/>
      <c r="AX798" s="1951"/>
      <c r="AY798" s="1951"/>
      <c r="AZ798" s="1951"/>
      <c r="BA798" s="1951"/>
      <c r="BB798" s="1951"/>
      <c r="BC798" s="1951"/>
      <c r="BD798" s="1951"/>
      <c r="BE798" s="1951"/>
      <c r="BF798" s="1951"/>
      <c r="BG798" s="1951"/>
      <c r="BH798" s="1951"/>
      <c r="BI798" s="1951"/>
      <c r="BJ798" s="1951"/>
      <c r="BK798" s="1951"/>
      <c r="BL798" s="1951"/>
      <c r="BM798" s="1951"/>
      <c r="BN798" s="1951"/>
      <c r="BO798" s="1951"/>
      <c r="BP798" s="1951"/>
      <c r="BQ798" s="1951"/>
      <c r="BR798" s="1951"/>
      <c r="BS798" s="1951"/>
      <c r="BT798" s="1951"/>
      <c r="BU798" s="1951"/>
      <c r="BV798" s="1951"/>
      <c r="BW798" s="1951"/>
      <c r="BX798" s="1951"/>
      <c r="BY798" s="1951"/>
      <c r="BZ798" s="1951"/>
      <c r="CA798" s="1951"/>
      <c r="CB798" s="1951"/>
      <c r="CC798" s="1951"/>
      <c r="CD798" s="1951"/>
      <c r="CE798" s="1951"/>
      <c r="CF798" s="1951"/>
      <c r="CG798" s="1951"/>
      <c r="CH798" s="1951"/>
      <c r="CI798" s="1951"/>
      <c r="CJ798" s="1951"/>
      <c r="CK798" s="1951"/>
      <c r="CL798" s="1951"/>
      <c r="CM798" s="1951"/>
      <c r="CN798" s="1951"/>
      <c r="CO798" s="1951"/>
      <c r="CP798" s="1951"/>
      <c r="CQ798" s="1951"/>
      <c r="CR798" s="1951"/>
      <c r="CS798" s="1951"/>
    </row>
    <row r="799" spans="1:97" s="1951" customFormat="1" ht="13.5" customHeight="1">
      <c r="A799" s="2384"/>
      <c r="B799" s="2385"/>
      <c r="C799" s="2385"/>
      <c r="D799" s="2107" t="s">
        <v>1991</v>
      </c>
      <c r="E799" s="2385"/>
      <c r="F799" s="2386">
        <v>30</v>
      </c>
      <c r="G799" s="2559"/>
      <c r="H799" s="2387"/>
      <c r="I799" s="2390"/>
      <c r="J799" s="4886"/>
      <c r="K799" s="4889"/>
    </row>
    <row r="800" spans="1:97" s="1951" customFormat="1" ht="27" customHeight="1">
      <c r="A800" s="2384"/>
      <c r="B800" s="2385"/>
      <c r="C800" s="2385"/>
      <c r="D800" s="2396" t="s">
        <v>1992</v>
      </c>
      <c r="E800" s="2385"/>
      <c r="F800" s="2394"/>
      <c r="G800" s="2559"/>
      <c r="H800" s="2387"/>
      <c r="I800" s="2390"/>
      <c r="M800" s="4877"/>
      <c r="N800" s="4878"/>
      <c r="O800" s="4878"/>
      <c r="P800" s="4878"/>
      <c r="Q800" s="4878"/>
      <c r="R800" s="4878"/>
      <c r="S800" s="4878"/>
      <c r="T800" s="4878"/>
      <c r="U800" s="4878"/>
      <c r="V800" s="4878"/>
      <c r="W800" s="4878"/>
    </row>
    <row r="801" spans="1:97" s="251" customFormat="1" ht="13.5" customHeight="1">
      <c r="A801" s="2378"/>
      <c r="B801" s="2379"/>
      <c r="C801" s="2379">
        <v>751</v>
      </c>
      <c r="D801" s="2379" t="s">
        <v>2000</v>
      </c>
      <c r="E801" s="2379"/>
      <c r="F801" s="2397"/>
      <c r="G801" s="2560"/>
      <c r="H801" s="2381">
        <f>SUM(H802:H813)</f>
        <v>0</v>
      </c>
      <c r="I801" s="2382"/>
      <c r="M801" s="4877"/>
      <c r="N801" s="4878"/>
      <c r="O801" s="4878"/>
      <c r="P801" s="4878"/>
      <c r="Q801" s="4878"/>
      <c r="R801" s="4878"/>
      <c r="S801" s="4878"/>
      <c r="T801" s="4878"/>
      <c r="U801" s="4878"/>
      <c r="V801" s="4878"/>
      <c r="W801" s="4878"/>
    </row>
    <row r="802" spans="1:97" s="1952" customFormat="1" ht="13.5" customHeight="1">
      <c r="A802" s="2045">
        <v>73</v>
      </c>
      <c r="B802" s="2046" t="s">
        <v>1984</v>
      </c>
      <c r="C802" s="2046" t="s">
        <v>2001</v>
      </c>
      <c r="D802" s="2046" t="s">
        <v>2002</v>
      </c>
      <c r="E802" s="2046" t="s">
        <v>49</v>
      </c>
      <c r="F802" s="2051">
        <v>1</v>
      </c>
      <c r="G802" s="2559"/>
      <c r="H802" s="2100">
        <f>F802*G802</f>
        <v>0</v>
      </c>
      <c r="I802" s="2047" t="s">
        <v>112</v>
      </c>
      <c r="J802" s="2020"/>
      <c r="K802" s="2050"/>
      <c r="L802" s="2050"/>
      <c r="M802" s="2050"/>
      <c r="N802" s="2050"/>
      <c r="O802" s="2050"/>
      <c r="P802" s="2050"/>
      <c r="Q802" s="1951"/>
      <c r="R802" s="1951"/>
      <c r="S802" s="1951"/>
      <c r="T802" s="1951"/>
      <c r="U802" s="1951"/>
      <c r="V802" s="1951"/>
      <c r="W802" s="1951"/>
      <c r="X802" s="1951"/>
      <c r="Y802" s="1951"/>
      <c r="Z802" s="1951"/>
      <c r="AA802" s="1951"/>
      <c r="AB802" s="1951"/>
      <c r="AC802" s="1951"/>
      <c r="AD802" s="1951"/>
      <c r="AE802" s="1951"/>
      <c r="AF802" s="1951"/>
      <c r="AG802" s="1951"/>
      <c r="AH802" s="1951"/>
      <c r="AI802" s="1951"/>
      <c r="AJ802" s="1951"/>
      <c r="AK802" s="1951"/>
      <c r="AL802" s="1951"/>
      <c r="AM802" s="1951"/>
      <c r="AN802" s="1951"/>
      <c r="AO802" s="1951"/>
      <c r="AP802" s="1951"/>
      <c r="AQ802" s="1951"/>
      <c r="AR802" s="1951"/>
      <c r="AS802" s="1951"/>
      <c r="AT802" s="1951"/>
      <c r="AU802" s="1951"/>
      <c r="AV802" s="1951"/>
      <c r="AW802" s="1951"/>
      <c r="AX802" s="1951"/>
      <c r="AY802" s="1951"/>
      <c r="AZ802" s="1951"/>
      <c r="BA802" s="1951"/>
      <c r="BB802" s="1951"/>
      <c r="BC802" s="1951"/>
      <c r="BD802" s="1951"/>
      <c r="BE802" s="1951"/>
      <c r="BF802" s="1951"/>
      <c r="BG802" s="1951"/>
      <c r="BH802" s="1951"/>
      <c r="BI802" s="1951"/>
      <c r="BJ802" s="1951"/>
      <c r="BK802" s="1951"/>
      <c r="BL802" s="1951"/>
      <c r="BM802" s="1951"/>
      <c r="BN802" s="1951"/>
      <c r="BO802" s="1951"/>
      <c r="BP802" s="1951"/>
      <c r="BQ802" s="1951"/>
      <c r="BR802" s="1951"/>
      <c r="BS802" s="1951"/>
      <c r="BT802" s="1951"/>
      <c r="BU802" s="1951"/>
      <c r="BV802" s="1951"/>
      <c r="BW802" s="1951"/>
      <c r="BX802" s="1951"/>
      <c r="BY802" s="1951"/>
      <c r="BZ802" s="1951"/>
      <c r="CA802" s="1951"/>
      <c r="CB802" s="1951"/>
      <c r="CC802" s="1951"/>
      <c r="CD802" s="1951"/>
      <c r="CE802" s="1951"/>
      <c r="CF802" s="1951"/>
      <c r="CG802" s="1951"/>
      <c r="CH802" s="1951"/>
      <c r="CI802" s="1951"/>
      <c r="CJ802" s="1951"/>
      <c r="CK802" s="1951"/>
      <c r="CL802" s="1951"/>
      <c r="CM802" s="1951"/>
      <c r="CN802" s="1951"/>
      <c r="CO802" s="1951"/>
      <c r="CP802" s="1951"/>
      <c r="CQ802" s="1951"/>
      <c r="CR802" s="1951"/>
      <c r="CS802" s="1951"/>
    </row>
    <row r="803" spans="1:97" s="1951" customFormat="1" ht="13.5" customHeight="1">
      <c r="A803" s="2384"/>
      <c r="B803" s="2385"/>
      <c r="C803" s="2385"/>
      <c r="D803" s="2107" t="s">
        <v>1879</v>
      </c>
      <c r="E803" s="2385"/>
      <c r="F803" s="2386">
        <v>1</v>
      </c>
      <c r="G803" s="2559"/>
      <c r="H803" s="2387"/>
      <c r="I803" s="2390"/>
      <c r="J803" s="4886"/>
      <c r="K803" s="4889"/>
    </row>
    <row r="804" spans="1:97" s="1952" customFormat="1" ht="13.5" customHeight="1">
      <c r="A804" s="2045">
        <v>74</v>
      </c>
      <c r="B804" s="2046" t="s">
        <v>1984</v>
      </c>
      <c r="C804" s="2046" t="s">
        <v>2003</v>
      </c>
      <c r="D804" s="2046" t="s">
        <v>2004</v>
      </c>
      <c r="E804" s="2046" t="s">
        <v>49</v>
      </c>
      <c r="F804" s="2051">
        <f>F805</f>
        <v>1</v>
      </c>
      <c r="G804" s="2559"/>
      <c r="H804" s="2100">
        <f>F804*G804</f>
        <v>0</v>
      </c>
      <c r="I804" s="2047" t="s">
        <v>112</v>
      </c>
      <c r="J804" s="2020"/>
      <c r="K804" s="2050"/>
      <c r="L804" s="2050"/>
      <c r="M804" s="2050"/>
      <c r="N804" s="2050"/>
      <c r="O804" s="2050"/>
      <c r="P804" s="2050"/>
      <c r="Q804" s="1951"/>
      <c r="R804" s="1951"/>
      <c r="S804" s="1951"/>
      <c r="T804" s="1951"/>
      <c r="U804" s="1951"/>
      <c r="V804" s="1951"/>
      <c r="W804" s="1951"/>
      <c r="X804" s="1951"/>
      <c r="Y804" s="1951"/>
      <c r="Z804" s="1951"/>
      <c r="AA804" s="1951"/>
      <c r="AB804" s="1951"/>
      <c r="AC804" s="1951"/>
      <c r="AD804" s="1951"/>
      <c r="AE804" s="1951"/>
      <c r="AF804" s="1951"/>
      <c r="AG804" s="1951"/>
      <c r="AH804" s="1951"/>
      <c r="AI804" s="1951"/>
      <c r="AJ804" s="1951"/>
      <c r="AK804" s="1951"/>
      <c r="AL804" s="1951"/>
      <c r="AM804" s="1951"/>
      <c r="AN804" s="1951"/>
      <c r="AO804" s="1951"/>
      <c r="AP804" s="1951"/>
      <c r="AQ804" s="1951"/>
      <c r="AR804" s="1951"/>
      <c r="AS804" s="1951"/>
      <c r="AT804" s="1951"/>
      <c r="AU804" s="1951"/>
      <c r="AV804" s="1951"/>
      <c r="AW804" s="1951"/>
      <c r="AX804" s="1951"/>
      <c r="AY804" s="1951"/>
      <c r="AZ804" s="1951"/>
      <c r="BA804" s="1951"/>
      <c r="BB804" s="1951"/>
      <c r="BC804" s="1951"/>
      <c r="BD804" s="1951"/>
      <c r="BE804" s="1951"/>
      <c r="BF804" s="1951"/>
      <c r="BG804" s="1951"/>
      <c r="BH804" s="1951"/>
      <c r="BI804" s="1951"/>
      <c r="BJ804" s="1951"/>
      <c r="BK804" s="1951"/>
      <c r="BL804" s="1951"/>
      <c r="BM804" s="1951"/>
      <c r="BN804" s="1951"/>
      <c r="BO804" s="1951"/>
      <c r="BP804" s="1951"/>
      <c r="BQ804" s="1951"/>
      <c r="BR804" s="1951"/>
      <c r="BS804" s="1951"/>
      <c r="BT804" s="1951"/>
      <c r="BU804" s="1951"/>
      <c r="BV804" s="1951"/>
      <c r="BW804" s="1951"/>
      <c r="BX804" s="1951"/>
      <c r="BY804" s="1951"/>
      <c r="BZ804" s="1951"/>
      <c r="CA804" s="1951"/>
      <c r="CB804" s="1951"/>
      <c r="CC804" s="1951"/>
      <c r="CD804" s="1951"/>
      <c r="CE804" s="1951"/>
      <c r="CF804" s="1951"/>
      <c r="CG804" s="1951"/>
      <c r="CH804" s="1951"/>
      <c r="CI804" s="1951"/>
      <c r="CJ804" s="1951"/>
      <c r="CK804" s="1951"/>
      <c r="CL804" s="1951"/>
      <c r="CM804" s="1951"/>
      <c r="CN804" s="1951"/>
      <c r="CO804" s="1951"/>
      <c r="CP804" s="1951"/>
      <c r="CQ804" s="1951"/>
      <c r="CR804" s="1951"/>
      <c r="CS804" s="1951"/>
    </row>
    <row r="805" spans="1:97" s="1951" customFormat="1" ht="13.5" customHeight="1">
      <c r="A805" s="2384"/>
      <c r="B805" s="2385"/>
      <c r="C805" s="2385"/>
      <c r="D805" s="2107" t="s">
        <v>2005</v>
      </c>
      <c r="E805" s="2385"/>
      <c r="F805" s="2386">
        <v>1</v>
      </c>
      <c r="G805" s="2559"/>
      <c r="H805" s="2387"/>
      <c r="I805" s="2390"/>
      <c r="J805" s="4886"/>
      <c r="K805" s="4889"/>
    </row>
    <row r="806" spans="1:97" s="1951" customFormat="1" ht="13.5" customHeight="1">
      <c r="A806" s="2384"/>
      <c r="B806" s="2385"/>
      <c r="C806" s="2385"/>
      <c r="D806" s="2107" t="s">
        <v>2006</v>
      </c>
      <c r="E806" s="2385"/>
      <c r="F806" s="2386"/>
      <c r="G806" s="2559"/>
      <c r="H806" s="2387"/>
      <c r="I806" s="2390"/>
      <c r="J806" s="4886"/>
      <c r="K806" s="4889"/>
    </row>
    <row r="807" spans="1:97" s="1951" customFormat="1" ht="13.5" customHeight="1">
      <c r="A807" s="2384"/>
      <c r="B807" s="2385"/>
      <c r="C807" s="2385"/>
      <c r="D807" s="2107" t="s">
        <v>2007</v>
      </c>
      <c r="E807" s="2385"/>
      <c r="F807" s="2386"/>
      <c r="G807" s="2559"/>
      <c r="H807" s="2387"/>
      <c r="I807" s="2390"/>
      <c r="J807" s="4886"/>
      <c r="K807" s="4889"/>
    </row>
    <row r="808" spans="1:97" s="1951" customFormat="1" ht="13.5" customHeight="1">
      <c r="A808" s="2384"/>
      <c r="B808" s="2385"/>
      <c r="C808" s="2385"/>
      <c r="D808" s="2107" t="s">
        <v>2008</v>
      </c>
      <c r="E808" s="2385"/>
      <c r="F808" s="2386"/>
      <c r="G808" s="2559"/>
      <c r="H808" s="2387"/>
      <c r="I808" s="2390"/>
      <c r="J808" s="4886"/>
      <c r="K808" s="4889"/>
    </row>
    <row r="809" spans="1:97" s="1951" customFormat="1" ht="13.5" customHeight="1">
      <c r="A809" s="2384"/>
      <c r="B809" s="2385"/>
      <c r="C809" s="2385"/>
      <c r="D809" s="2107" t="s">
        <v>2009</v>
      </c>
      <c r="E809" s="2385"/>
      <c r="F809" s="2386"/>
      <c r="G809" s="2559"/>
      <c r="H809" s="2387"/>
      <c r="I809" s="2390"/>
      <c r="J809" s="4886"/>
      <c r="K809" s="4889"/>
    </row>
    <row r="810" spans="1:97" s="1952" customFormat="1" ht="13.5" customHeight="1">
      <c r="A810" s="2045">
        <v>75</v>
      </c>
      <c r="B810" s="2046" t="s">
        <v>1984</v>
      </c>
      <c r="C810" s="2046">
        <v>998751201</v>
      </c>
      <c r="D810" s="2046" t="s">
        <v>1988</v>
      </c>
      <c r="E810" s="2046" t="s">
        <v>10</v>
      </c>
      <c r="F810" s="2051">
        <v>0.28999999999999998</v>
      </c>
      <c r="G810" s="2559"/>
      <c r="H810" s="2100">
        <f>F810*G810</f>
        <v>0</v>
      </c>
      <c r="I810" s="2047" t="s">
        <v>137</v>
      </c>
      <c r="J810" s="2020"/>
      <c r="K810" s="2050"/>
      <c r="L810" s="2050"/>
      <c r="M810" s="2050"/>
      <c r="N810" s="2050"/>
      <c r="O810" s="2050"/>
      <c r="P810" s="2050"/>
      <c r="Q810" s="1951"/>
      <c r="R810" s="1951"/>
      <c r="S810" s="1951"/>
      <c r="T810" s="1951"/>
      <c r="U810" s="1951"/>
      <c r="V810" s="1951"/>
      <c r="W810" s="1951"/>
      <c r="X810" s="1951"/>
      <c r="Y810" s="1951"/>
      <c r="Z810" s="1951"/>
      <c r="AA810" s="1951"/>
      <c r="AB810" s="1951"/>
      <c r="AC810" s="1951"/>
      <c r="AD810" s="1951"/>
      <c r="AE810" s="1951"/>
      <c r="AF810" s="1951"/>
      <c r="AG810" s="1951"/>
      <c r="AH810" s="1951"/>
      <c r="AI810" s="1951"/>
      <c r="AJ810" s="1951"/>
      <c r="AK810" s="1951"/>
      <c r="AL810" s="1951"/>
      <c r="AM810" s="1951"/>
      <c r="AN810" s="1951"/>
      <c r="AO810" s="1951"/>
      <c r="AP810" s="1951"/>
      <c r="AQ810" s="1951"/>
      <c r="AR810" s="1951"/>
      <c r="AS810" s="1951"/>
      <c r="AT810" s="1951"/>
      <c r="AU810" s="1951"/>
      <c r="AV810" s="1951"/>
      <c r="AW810" s="1951"/>
      <c r="AX810" s="1951"/>
      <c r="AY810" s="1951"/>
      <c r="AZ810" s="1951"/>
      <c r="BA810" s="1951"/>
      <c r="BB810" s="1951"/>
      <c r="BC810" s="1951"/>
      <c r="BD810" s="1951"/>
      <c r="BE810" s="1951"/>
      <c r="BF810" s="1951"/>
      <c r="BG810" s="1951"/>
      <c r="BH810" s="1951"/>
      <c r="BI810" s="1951"/>
      <c r="BJ810" s="1951"/>
      <c r="BK810" s="1951"/>
      <c r="BL810" s="1951"/>
      <c r="BM810" s="1951"/>
      <c r="BN810" s="1951"/>
      <c r="BO810" s="1951"/>
      <c r="BP810" s="1951"/>
      <c r="BQ810" s="1951"/>
      <c r="BR810" s="1951"/>
      <c r="BS810" s="1951"/>
      <c r="BT810" s="1951"/>
      <c r="BU810" s="1951"/>
      <c r="BV810" s="1951"/>
      <c r="BW810" s="1951"/>
      <c r="BX810" s="1951"/>
      <c r="BY810" s="1951"/>
      <c r="BZ810" s="1951"/>
      <c r="CA810" s="1951"/>
      <c r="CB810" s="1951"/>
      <c r="CC810" s="1951"/>
      <c r="CD810" s="1951"/>
      <c r="CE810" s="1951"/>
      <c r="CF810" s="1951"/>
      <c r="CG810" s="1951"/>
      <c r="CH810" s="1951"/>
      <c r="CI810" s="1951"/>
      <c r="CJ810" s="1951"/>
      <c r="CK810" s="1951"/>
      <c r="CL810" s="1951"/>
      <c r="CM810" s="1951"/>
      <c r="CN810" s="1951"/>
      <c r="CO810" s="1951"/>
      <c r="CP810" s="1951"/>
      <c r="CQ810" s="1951"/>
      <c r="CR810" s="1951"/>
      <c r="CS810" s="1951"/>
    </row>
    <row r="811" spans="1:97" s="1952" customFormat="1" ht="13.5" customHeight="1">
      <c r="A811" s="2045">
        <v>76</v>
      </c>
      <c r="B811" s="2046" t="s">
        <v>362</v>
      </c>
      <c r="C811" s="2046" t="s">
        <v>1989</v>
      </c>
      <c r="D811" s="2046" t="s">
        <v>1990</v>
      </c>
      <c r="E811" s="2046" t="s">
        <v>69</v>
      </c>
      <c r="F811" s="2051">
        <f>F812</f>
        <v>15</v>
      </c>
      <c r="G811" s="2559"/>
      <c r="H811" s="2100">
        <f>F811*G811</f>
        <v>0</v>
      </c>
      <c r="I811" s="2047" t="s">
        <v>137</v>
      </c>
      <c r="J811" s="2020"/>
      <c r="K811" s="2050"/>
      <c r="L811" s="2050"/>
      <c r="M811" s="2050"/>
      <c r="N811" s="2050"/>
      <c r="O811" s="2050"/>
      <c r="P811" s="2050"/>
      <c r="Q811" s="1951"/>
      <c r="R811" s="1951"/>
      <c r="S811" s="1951"/>
      <c r="T811" s="1951"/>
      <c r="U811" s="1951"/>
      <c r="V811" s="1951"/>
      <c r="W811" s="1951"/>
      <c r="X811" s="1951"/>
      <c r="Y811" s="1951"/>
      <c r="Z811" s="1951"/>
      <c r="AA811" s="1951"/>
      <c r="AB811" s="1951"/>
      <c r="AC811" s="1951"/>
      <c r="AD811" s="1951"/>
      <c r="AE811" s="1951"/>
      <c r="AF811" s="1951"/>
      <c r="AG811" s="1951"/>
      <c r="AH811" s="1951"/>
      <c r="AI811" s="1951"/>
      <c r="AJ811" s="1951"/>
      <c r="AK811" s="1951"/>
      <c r="AL811" s="1951"/>
      <c r="AM811" s="1951"/>
      <c r="AN811" s="1951"/>
      <c r="AO811" s="1951"/>
      <c r="AP811" s="1951"/>
      <c r="AQ811" s="1951"/>
      <c r="AR811" s="1951"/>
      <c r="AS811" s="1951"/>
      <c r="AT811" s="1951"/>
      <c r="AU811" s="1951"/>
      <c r="AV811" s="1951"/>
      <c r="AW811" s="1951"/>
      <c r="AX811" s="1951"/>
      <c r="AY811" s="1951"/>
      <c r="AZ811" s="1951"/>
      <c r="BA811" s="1951"/>
      <c r="BB811" s="1951"/>
      <c r="BC811" s="1951"/>
      <c r="BD811" s="1951"/>
      <c r="BE811" s="1951"/>
      <c r="BF811" s="1951"/>
      <c r="BG811" s="1951"/>
      <c r="BH811" s="1951"/>
      <c r="BI811" s="1951"/>
      <c r="BJ811" s="1951"/>
      <c r="BK811" s="1951"/>
      <c r="BL811" s="1951"/>
      <c r="BM811" s="1951"/>
      <c r="BN811" s="1951"/>
      <c r="BO811" s="1951"/>
      <c r="BP811" s="1951"/>
      <c r="BQ811" s="1951"/>
      <c r="BR811" s="1951"/>
      <c r="BS811" s="1951"/>
      <c r="BT811" s="1951"/>
      <c r="BU811" s="1951"/>
      <c r="BV811" s="1951"/>
      <c r="BW811" s="1951"/>
      <c r="BX811" s="1951"/>
      <c r="BY811" s="1951"/>
      <c r="BZ811" s="1951"/>
      <c r="CA811" s="1951"/>
      <c r="CB811" s="1951"/>
      <c r="CC811" s="1951"/>
      <c r="CD811" s="1951"/>
      <c r="CE811" s="1951"/>
      <c r="CF811" s="1951"/>
      <c r="CG811" s="1951"/>
      <c r="CH811" s="1951"/>
      <c r="CI811" s="1951"/>
      <c r="CJ811" s="1951"/>
      <c r="CK811" s="1951"/>
      <c r="CL811" s="1951"/>
      <c r="CM811" s="1951"/>
      <c r="CN811" s="1951"/>
      <c r="CO811" s="1951"/>
      <c r="CP811" s="1951"/>
      <c r="CQ811" s="1951"/>
      <c r="CR811" s="1951"/>
      <c r="CS811" s="1951"/>
    </row>
    <row r="812" spans="1:97" s="1951" customFormat="1" ht="13.5" customHeight="1">
      <c r="A812" s="2384"/>
      <c r="B812" s="2385"/>
      <c r="C812" s="2385"/>
      <c r="D812" s="2107" t="s">
        <v>2010</v>
      </c>
      <c r="E812" s="2385"/>
      <c r="F812" s="2386">
        <v>15</v>
      </c>
      <c r="G812" s="2559"/>
      <c r="H812" s="2387"/>
      <c r="I812" s="2390"/>
      <c r="J812" s="4886"/>
      <c r="K812" s="4889"/>
    </row>
    <row r="813" spans="1:97" s="1951" customFormat="1" ht="27" customHeight="1">
      <c r="A813" s="2494"/>
      <c r="B813" s="2495"/>
      <c r="C813" s="2495"/>
      <c r="D813" s="2496" t="s">
        <v>1992</v>
      </c>
      <c r="E813" s="2495"/>
      <c r="F813" s="2497"/>
      <c r="G813" s="2567"/>
      <c r="H813" s="2498"/>
      <c r="I813" s="2499"/>
      <c r="M813" s="4877"/>
      <c r="N813" s="4878"/>
      <c r="O813" s="4878"/>
      <c r="P813" s="4878"/>
      <c r="Q813" s="4878"/>
      <c r="R813" s="4878"/>
      <c r="S813" s="4878"/>
      <c r="T813" s="4878"/>
      <c r="U813" s="4878"/>
      <c r="V813" s="4878"/>
      <c r="W813" s="4878"/>
    </row>
    <row r="814" spans="1:97" s="251" customFormat="1" ht="21" customHeight="1">
      <c r="A814" s="2500"/>
      <c r="B814" s="2501"/>
      <c r="C814" s="2501"/>
      <c r="D814" s="2501" t="s">
        <v>0</v>
      </c>
      <c r="E814" s="2501"/>
      <c r="F814" s="2502"/>
      <c r="G814" s="2503"/>
      <c r="H814" s="2503">
        <f>H7</f>
        <v>0</v>
      </c>
      <c r="K814" s="2399"/>
      <c r="L814" s="4985"/>
      <c r="M814" s="4986"/>
      <c r="N814" s="4878"/>
      <c r="O814" s="4878"/>
      <c r="P814" s="4878"/>
      <c r="Q814" s="4878"/>
      <c r="R814" s="4878"/>
      <c r="S814" s="4878"/>
      <c r="T814" s="4878"/>
      <c r="U814" s="4878"/>
      <c r="V814" s="4878"/>
      <c r="W814" s="4878"/>
    </row>
    <row r="815" spans="1:97" ht="13.5" customHeight="1">
      <c r="A815" s="1984"/>
      <c r="B815" s="2504"/>
      <c r="C815" s="1985"/>
      <c r="D815" s="1987"/>
      <c r="E815" s="1985"/>
      <c r="F815" s="2505"/>
      <c r="G815" s="1981"/>
      <c r="H815" s="1981"/>
      <c r="K815" s="147"/>
      <c r="L815" s="147"/>
      <c r="M815" s="4986"/>
    </row>
    <row r="816" spans="1:97" s="251" customFormat="1" ht="13.5" customHeight="1">
      <c r="A816" s="5234" t="s">
        <v>862</v>
      </c>
      <c r="B816" s="5235"/>
      <c r="C816" s="5236"/>
      <c r="D816" s="1969" t="s">
        <v>1636</v>
      </c>
      <c r="E816" s="1970"/>
      <c r="F816" s="2506"/>
      <c r="G816" s="2507"/>
      <c r="H816" s="2508">
        <f>H814</f>
        <v>0</v>
      </c>
      <c r="I816" s="2377"/>
      <c r="J816" s="4987"/>
      <c r="K816" s="147"/>
      <c r="L816" s="147"/>
      <c r="M816" s="4986"/>
      <c r="N816" s="4878"/>
      <c r="O816" s="4878"/>
      <c r="P816" s="4878"/>
      <c r="Q816" s="4878"/>
      <c r="R816" s="4878"/>
      <c r="S816" s="4878"/>
      <c r="T816" s="4878"/>
      <c r="U816" s="4878"/>
      <c r="V816" s="4878"/>
      <c r="W816" s="4878"/>
    </row>
    <row r="817" spans="1:30" s="122" customFormat="1">
      <c r="A817" s="2509"/>
      <c r="B817" s="2510"/>
      <c r="C817" s="1987"/>
      <c r="D817" s="1985"/>
      <c r="E817" s="2511"/>
      <c r="F817" s="2512"/>
      <c r="G817" s="2513"/>
      <c r="H817" s="1981"/>
      <c r="I817" s="1981"/>
      <c r="K817" s="251"/>
      <c r="L817" s="251"/>
      <c r="M817" s="4877"/>
      <c r="N817" s="4883"/>
      <c r="O817" s="4883"/>
      <c r="P817" s="4883"/>
      <c r="Q817" s="4883"/>
      <c r="R817" s="4883"/>
      <c r="S817" s="4883"/>
      <c r="T817" s="4883"/>
      <c r="U817" s="4883"/>
      <c r="V817" s="4883"/>
      <c r="W817" s="4883"/>
    </row>
    <row r="818" spans="1:30" s="122" customFormat="1">
      <c r="A818" s="689" t="s">
        <v>1</v>
      </c>
      <c r="B818" s="1977"/>
      <c r="C818" s="689"/>
      <c r="D818" s="689"/>
      <c r="E818" s="689"/>
      <c r="F818" s="689"/>
      <c r="G818" s="689"/>
      <c r="H818" s="689"/>
      <c r="I818" s="1980"/>
      <c r="K818" s="2399"/>
      <c r="L818" s="4985"/>
      <c r="M818" s="4986"/>
      <c r="N818" s="4883"/>
      <c r="O818" s="4883"/>
      <c r="P818" s="4883"/>
      <c r="Q818" s="4883"/>
      <c r="R818" s="4883"/>
      <c r="S818" s="4883"/>
      <c r="T818" s="4883"/>
      <c r="U818" s="4883"/>
      <c r="V818" s="4883"/>
      <c r="W818" s="4883"/>
    </row>
    <row r="819" spans="1:30" s="122" customFormat="1" ht="27" customHeight="1">
      <c r="A819" s="5159" t="s">
        <v>864</v>
      </c>
      <c r="B819" s="5159"/>
      <c r="C819" s="5159"/>
      <c r="D819" s="5159"/>
      <c r="E819" s="5159"/>
      <c r="F819" s="5159"/>
      <c r="G819" s="5159"/>
      <c r="H819" s="689"/>
      <c r="I819" s="1981"/>
      <c r="K819" s="147"/>
      <c r="L819" s="147"/>
      <c r="M819" s="4986"/>
      <c r="N819" s="4883"/>
      <c r="O819" s="4883"/>
      <c r="P819" s="4883"/>
      <c r="Q819" s="4883"/>
      <c r="R819" s="4883"/>
      <c r="S819" s="4883"/>
      <c r="T819" s="4883"/>
      <c r="U819" s="4883"/>
      <c r="V819" s="4883"/>
      <c r="W819" s="4883"/>
    </row>
    <row r="820" spans="1:30" s="122" customFormat="1" ht="95.1" customHeight="1">
      <c r="A820" s="5159" t="s">
        <v>104</v>
      </c>
      <c r="B820" s="5159"/>
      <c r="C820" s="5159"/>
      <c r="D820" s="5159"/>
      <c r="E820" s="5159"/>
      <c r="F820" s="5159"/>
      <c r="G820" s="5159"/>
      <c r="H820" s="689"/>
      <c r="I820" s="689"/>
      <c r="K820" s="147"/>
      <c r="L820" s="147"/>
      <c r="M820" s="4986"/>
      <c r="N820" s="4883"/>
      <c r="O820" s="4883"/>
      <c r="P820" s="4883"/>
      <c r="Q820" s="4883"/>
      <c r="R820" s="4883"/>
      <c r="S820" s="4883"/>
      <c r="T820" s="4883"/>
      <c r="U820" s="4883"/>
      <c r="V820" s="4883"/>
      <c r="W820" s="4883"/>
    </row>
    <row r="821" spans="1:30" s="122" customFormat="1" ht="13.5" customHeight="1">
      <c r="A821" s="5159" t="s">
        <v>105</v>
      </c>
      <c r="B821" s="5159"/>
      <c r="C821" s="5159"/>
      <c r="D821" s="5159"/>
      <c r="E821" s="5159"/>
      <c r="F821" s="5159"/>
      <c r="G821" s="5159"/>
      <c r="H821" s="691"/>
      <c r="I821" s="691"/>
      <c r="K821" s="251"/>
      <c r="L821" s="251"/>
      <c r="M821" s="4877"/>
      <c r="N821" s="4883"/>
      <c r="O821" s="4883"/>
      <c r="P821" s="4883"/>
      <c r="Q821" s="4883"/>
      <c r="R821" s="4883"/>
      <c r="S821" s="4883"/>
      <c r="T821" s="4883"/>
      <c r="U821" s="4883"/>
      <c r="V821" s="4883"/>
      <c r="W821" s="4883"/>
    </row>
    <row r="822" spans="1:30" s="122" customFormat="1" ht="13.5" customHeight="1">
      <c r="A822" s="5159" t="s">
        <v>106</v>
      </c>
      <c r="B822" s="5159"/>
      <c r="C822" s="5159"/>
      <c r="D822" s="5159"/>
      <c r="E822" s="5159"/>
      <c r="F822" s="5159"/>
      <c r="G822" s="5159"/>
      <c r="H822" s="691"/>
      <c r="I822" s="691"/>
      <c r="K822" s="2399"/>
      <c r="L822" s="4985"/>
      <c r="M822" s="4986"/>
      <c r="N822" s="4883"/>
      <c r="O822" s="4883"/>
      <c r="P822" s="4883"/>
      <c r="Q822" s="4883"/>
      <c r="R822" s="4883"/>
      <c r="S822" s="4883"/>
      <c r="T822" s="4883"/>
      <c r="U822" s="4883"/>
      <c r="V822" s="4883"/>
      <c r="W822" s="4883"/>
    </row>
    <row r="823" spans="1:30" s="889" customFormat="1" ht="40.5" customHeight="1">
      <c r="A823" s="5156" t="s">
        <v>865</v>
      </c>
      <c r="B823" s="5156"/>
      <c r="C823" s="5156"/>
      <c r="D823" s="5156"/>
      <c r="E823" s="5156"/>
      <c r="F823" s="5156"/>
      <c r="G823" s="5156"/>
      <c r="H823" s="1203"/>
      <c r="I823" s="888"/>
    </row>
    <row r="824" spans="1:30" s="889" customFormat="1" ht="108" customHeight="1">
      <c r="A824" s="5156" t="s">
        <v>1013</v>
      </c>
      <c r="B824" s="5156"/>
      <c r="C824" s="5156"/>
      <c r="D824" s="5156"/>
      <c r="E824" s="5156"/>
      <c r="F824" s="5156"/>
      <c r="G824" s="5156"/>
      <c r="H824" s="1204"/>
      <c r="I824" s="1205"/>
    </row>
    <row r="825" spans="1:30">
      <c r="B825" s="1985"/>
      <c r="I825" s="1983"/>
      <c r="K825" s="251"/>
      <c r="L825" s="251"/>
    </row>
    <row r="826" spans="1:30">
      <c r="B826" s="1984"/>
      <c r="I826" s="1983"/>
      <c r="K826" s="2399"/>
      <c r="L826" s="4985"/>
      <c r="M826" s="4986"/>
    </row>
    <row r="827" spans="1:30">
      <c r="B827" s="1984"/>
      <c r="I827" s="1983"/>
      <c r="K827" s="147"/>
      <c r="L827" s="147"/>
      <c r="M827" s="4986"/>
    </row>
    <row r="828" spans="1:30">
      <c r="B828" s="2504"/>
      <c r="I828" s="1983"/>
      <c r="K828" s="147"/>
      <c r="L828" s="4988"/>
      <c r="M828" s="4986"/>
    </row>
    <row r="829" spans="1:30" s="2399" customFormat="1" ht="13.5" customHeight="1">
      <c r="A829" s="2514"/>
      <c r="B829" s="2515"/>
      <c r="C829" s="2515"/>
      <c r="D829" s="2515"/>
      <c r="E829" s="2515"/>
      <c r="F829" s="2281"/>
      <c r="G829" s="2383"/>
      <c r="H829" s="2516"/>
      <c r="I829" s="2228"/>
      <c r="J829" s="4898"/>
      <c r="K829" s="147"/>
      <c r="L829" s="147"/>
      <c r="M829" s="4899"/>
      <c r="N829" s="4899"/>
      <c r="O829" s="4899"/>
      <c r="P829" s="4900"/>
      <c r="T829" s="4901"/>
    </row>
    <row r="830" spans="1:30" s="2399" customFormat="1" ht="13.5" customHeight="1">
      <c r="A830" s="2514"/>
      <c r="B830" s="2515"/>
      <c r="C830" s="2515"/>
      <c r="D830" s="2517"/>
      <c r="E830" s="2515"/>
      <c r="F830" s="2518"/>
      <c r="G830" s="2519"/>
      <c r="H830" s="2519"/>
      <c r="I830" s="2520"/>
      <c r="J830" s="4898"/>
      <c r="K830" s="147"/>
      <c r="L830" s="147"/>
      <c r="M830" s="4899"/>
      <c r="N830" s="4899"/>
      <c r="O830" s="4899"/>
      <c r="P830" s="4900"/>
      <c r="T830" s="4901"/>
    </row>
    <row r="831" spans="1:30" s="2399" customFormat="1" ht="27" customHeight="1">
      <c r="A831" s="2521"/>
      <c r="B831" s="2522"/>
      <c r="C831" s="2523"/>
      <c r="D831" s="2517"/>
      <c r="E831" s="2515"/>
      <c r="F831" s="2524"/>
      <c r="G831" s="2525"/>
      <c r="H831" s="2526"/>
      <c r="I831" s="2520"/>
      <c r="J831" s="4897"/>
      <c r="K831" s="147"/>
      <c r="L831" s="1791"/>
      <c r="M831" s="1791"/>
      <c r="N831" s="251"/>
      <c r="O831" s="251"/>
      <c r="P831" s="4900"/>
      <c r="Q831" s="4903"/>
      <c r="R831" s="4904"/>
      <c r="T831" s="4901"/>
      <c r="U831" s="4905"/>
      <c r="V831" s="4906"/>
      <c r="W831" s="4906"/>
      <c r="X831" s="4900"/>
      <c r="Y831" s="251"/>
    </row>
    <row r="832" spans="1:30" s="251" customFormat="1" ht="27" customHeight="1">
      <c r="A832" s="2527"/>
      <c r="B832" s="2528"/>
      <c r="C832" s="2529"/>
      <c r="D832" s="2107"/>
      <c r="E832" s="2529"/>
      <c r="F832" s="2386"/>
      <c r="G832" s="2530"/>
      <c r="H832" s="2531"/>
      <c r="I832" s="2532"/>
      <c r="J832" s="4898"/>
      <c r="K832" s="147"/>
      <c r="L832" s="147"/>
      <c r="M832" s="4899"/>
      <c r="N832" s="4899"/>
      <c r="O832" s="4899"/>
      <c r="P832" s="4900"/>
      <c r="Q832" s="2399"/>
      <c r="R832" s="2399"/>
      <c r="T832" s="4901"/>
      <c r="U832" s="4913"/>
      <c r="W832" s="4914"/>
      <c r="X832" s="4915"/>
      <c r="Y832" s="4916"/>
      <c r="Z832" s="1785"/>
      <c r="AA832" s="1785"/>
      <c r="AB832" s="1785"/>
      <c r="AC832" s="1785"/>
      <c r="AD832" s="1785"/>
    </row>
    <row r="833" spans="1:42" s="251" customFormat="1" ht="27" customHeight="1">
      <c r="A833" s="2527"/>
      <c r="B833" s="2528"/>
      <c r="C833" s="2529"/>
      <c r="D833" s="2107"/>
      <c r="E833" s="2529"/>
      <c r="F833" s="2386"/>
      <c r="G833" s="2530"/>
      <c r="H833" s="2531"/>
      <c r="I833" s="2532"/>
      <c r="J833" s="4898"/>
      <c r="K833" s="147"/>
      <c r="L833" s="1785"/>
      <c r="M833" s="1785"/>
      <c r="N833" s="1785"/>
      <c r="O833" s="1785"/>
      <c r="P833" s="1785"/>
      <c r="Q833" s="1785"/>
      <c r="R833" s="2091"/>
      <c r="T833" s="4901"/>
      <c r="U833" s="4913"/>
      <c r="W833" s="4914"/>
      <c r="X833" s="4915"/>
      <c r="Y833" s="4916"/>
      <c r="Z833" s="1785"/>
      <c r="AA833" s="1785"/>
      <c r="AB833" s="1785"/>
      <c r="AC833" s="1785"/>
      <c r="AD833" s="1785"/>
    </row>
    <row r="834" spans="1:42" s="251" customFormat="1" ht="27" customHeight="1">
      <c r="A834" s="2527"/>
      <c r="B834" s="2528"/>
      <c r="C834" s="2529"/>
      <c r="D834" s="2107"/>
      <c r="E834" s="2529"/>
      <c r="F834" s="2386"/>
      <c r="G834" s="2530"/>
      <c r="H834" s="2531"/>
      <c r="I834" s="2532"/>
      <c r="J834" s="4898"/>
      <c r="K834" s="147"/>
      <c r="L834" s="1791"/>
      <c r="M834" s="1791"/>
      <c r="P834" s="4900"/>
      <c r="Q834" s="4903"/>
      <c r="R834" s="4904"/>
      <c r="T834" s="4901"/>
      <c r="U834" s="4913"/>
      <c r="W834" s="4914"/>
      <c r="X834" s="4915"/>
      <c r="Y834" s="4916"/>
      <c r="Z834" s="1785"/>
      <c r="AA834" s="1785"/>
      <c r="AB834" s="1785"/>
      <c r="AC834" s="1785"/>
      <c r="AD834" s="1785"/>
    </row>
    <row r="835" spans="1:42" s="251" customFormat="1" ht="27" customHeight="1">
      <c r="A835" s="2527"/>
      <c r="B835" s="2528"/>
      <c r="C835" s="2533"/>
      <c r="D835" s="2534"/>
      <c r="E835" s="2533"/>
      <c r="F835" s="2535"/>
      <c r="G835" s="2536"/>
      <c r="H835" s="2537"/>
      <c r="I835" s="2538"/>
      <c r="J835" s="4898"/>
      <c r="K835" s="147"/>
      <c r="T835" s="4901"/>
      <c r="AA835" s="1785"/>
      <c r="AB835" s="1785"/>
      <c r="AC835" s="1785"/>
      <c r="AD835" s="1785"/>
    </row>
    <row r="836" spans="1:42" s="251" customFormat="1" ht="27" customHeight="1">
      <c r="A836" s="2539"/>
      <c r="B836" s="2540"/>
      <c r="C836" s="2533"/>
      <c r="D836" s="2107"/>
      <c r="E836" s="2533"/>
      <c r="F836" s="2535"/>
      <c r="G836" s="2536"/>
      <c r="H836" s="2541"/>
      <c r="I836" s="2542"/>
      <c r="J836" s="4989"/>
      <c r="K836" s="4990"/>
      <c r="L836" s="122"/>
      <c r="M836" s="122"/>
      <c r="N836" s="122"/>
      <c r="P836" s="122"/>
      <c r="Q836" s="122"/>
      <c r="R836" s="146"/>
      <c r="S836" s="4991"/>
      <c r="T836" s="122"/>
      <c r="U836" s="122"/>
      <c r="V836" s="122"/>
      <c r="W836" s="122"/>
      <c r="AA836" s="122"/>
      <c r="AB836" s="482"/>
      <c r="AC836" s="122"/>
      <c r="AD836" s="4919"/>
      <c r="AE836" s="122"/>
      <c r="AF836" s="1975"/>
      <c r="AG836" s="1975"/>
      <c r="AH836" s="4975"/>
      <c r="AI836" s="1975"/>
      <c r="AJ836" s="1975"/>
      <c r="AK836" s="1975"/>
      <c r="AL836" s="2543"/>
      <c r="AM836" s="1975"/>
      <c r="AN836" s="1975"/>
      <c r="AO836" s="1975"/>
      <c r="AP836" s="2543"/>
    </row>
    <row r="837" spans="1:42" ht="13.5" customHeight="1">
      <c r="A837" s="2408"/>
      <c r="B837" s="2346"/>
      <c r="C837" s="2346"/>
      <c r="D837" s="2400"/>
      <c r="E837" s="2346"/>
      <c r="F837" s="2409"/>
      <c r="G837" s="2387"/>
      <c r="H837" s="2387"/>
      <c r="I837" s="2544"/>
      <c r="J837" s="4919"/>
      <c r="K837" s="4920"/>
      <c r="L837" s="4920"/>
      <c r="M837" s="4992"/>
      <c r="N837" s="4992"/>
      <c r="O837" s="4921"/>
      <c r="P837" s="4921"/>
      <c r="Q837" s="4921"/>
      <c r="R837" s="4921"/>
      <c r="S837" s="4921"/>
      <c r="T837" s="4921"/>
      <c r="U837" s="4921"/>
      <c r="V837" s="122"/>
      <c r="W837" s="4921"/>
      <c r="X837" s="1975"/>
      <c r="Y837" s="1975"/>
      <c r="Z837" s="1951"/>
    </row>
    <row r="838" spans="1:42" s="2399" customFormat="1" ht="27" customHeight="1">
      <c r="A838" s="2521"/>
      <c r="B838" s="2522"/>
      <c r="C838" s="2523"/>
      <c r="D838" s="2517"/>
      <c r="E838" s="2515"/>
      <c r="F838" s="2518"/>
      <c r="G838" s="2526"/>
      <c r="H838" s="2526"/>
      <c r="I838" s="2520"/>
      <c r="J838" s="4897"/>
      <c r="K838" s="147"/>
      <c r="L838" s="1791"/>
      <c r="M838" s="1791"/>
      <c r="N838" s="251"/>
      <c r="O838" s="251"/>
      <c r="P838" s="4900"/>
      <c r="Q838" s="4903"/>
      <c r="R838" s="4904"/>
      <c r="S838" s="4901"/>
      <c r="T838" s="4899"/>
      <c r="U838" s="4905"/>
      <c r="V838" s="4906"/>
      <c r="W838" s="4906"/>
      <c r="X838" s="4900"/>
      <c r="Y838" s="251"/>
    </row>
    <row r="839" spans="1:42">
      <c r="B839" s="1984"/>
      <c r="I839" s="1983"/>
      <c r="K839" s="251"/>
      <c r="L839" s="251"/>
    </row>
    <row r="840" spans="1:42" s="2399" customFormat="1" ht="27" customHeight="1">
      <c r="A840" s="2514"/>
      <c r="B840" s="2515"/>
      <c r="C840" s="2515"/>
      <c r="D840" s="2515"/>
      <c r="E840" s="2515"/>
      <c r="F840" s="2281"/>
      <c r="G840" s="2383"/>
      <c r="H840" s="2516"/>
      <c r="I840" s="2545"/>
      <c r="J840" s="4897"/>
    </row>
    <row r="841" spans="1:42" s="2399" customFormat="1" ht="13.5" customHeight="1">
      <c r="A841" s="2514"/>
      <c r="B841" s="2515"/>
      <c r="C841" s="2515"/>
      <c r="D841" s="2517"/>
      <c r="E841" s="2515"/>
      <c r="F841" s="2546"/>
      <c r="G841" s="2519"/>
      <c r="H841" s="2519"/>
      <c r="I841" s="2545"/>
      <c r="J841" s="4898"/>
      <c r="K841" s="147"/>
      <c r="L841" s="147"/>
      <c r="M841" s="4899"/>
      <c r="N841" s="4899"/>
      <c r="O841" s="4899"/>
      <c r="P841" s="4900"/>
      <c r="S841" s="4901"/>
    </row>
    <row r="842" spans="1:42" s="2399" customFormat="1" ht="27" customHeight="1">
      <c r="A842" s="2521"/>
      <c r="B842" s="2522"/>
      <c r="C842" s="2523"/>
      <c r="D842" s="2517"/>
      <c r="E842" s="2515"/>
      <c r="F842" s="2524"/>
      <c r="G842" s="2526"/>
      <c r="H842" s="2526"/>
      <c r="I842" s="2547"/>
      <c r="J842" s="4898"/>
      <c r="K842" s="147"/>
      <c r="L842" s="1791"/>
      <c r="M842" s="1791"/>
      <c r="N842" s="251"/>
      <c r="O842" s="251"/>
      <c r="P842" s="4900"/>
      <c r="Q842" s="4903"/>
      <c r="R842" s="4904"/>
      <c r="S842" s="4901"/>
      <c r="T842" s="4899"/>
      <c r="U842" s="4905"/>
      <c r="V842" s="4906"/>
      <c r="W842" s="4906"/>
      <c r="X842" s="4900"/>
      <c r="Y842" s="251"/>
    </row>
    <row r="843" spans="1:42" s="251" customFormat="1" ht="27" customHeight="1">
      <c r="A843" s="2527"/>
      <c r="B843" s="2528"/>
      <c r="C843" s="2529"/>
      <c r="D843" s="2529"/>
      <c r="E843" s="2529"/>
      <c r="F843" s="2386"/>
      <c r="G843" s="2530"/>
      <c r="H843" s="2531"/>
      <c r="I843" s="2532"/>
      <c r="J843" s="4898"/>
      <c r="K843" s="147"/>
      <c r="L843" s="147"/>
      <c r="M843" s="4899"/>
      <c r="N843" s="4899"/>
      <c r="O843" s="4899"/>
      <c r="P843" s="4900"/>
      <c r="Q843" s="2399"/>
      <c r="R843" s="2399"/>
      <c r="S843" s="4901"/>
      <c r="T843" s="593"/>
      <c r="U843" s="4913"/>
      <c r="W843" s="4914"/>
      <c r="X843" s="4915"/>
      <c r="Y843" s="4916"/>
      <c r="Z843" s="1785"/>
      <c r="AA843" s="1785"/>
      <c r="AB843" s="1785"/>
      <c r="AC843" s="1785"/>
      <c r="AD843" s="1785"/>
    </row>
    <row r="844" spans="1:42" s="251" customFormat="1" ht="27" customHeight="1">
      <c r="A844" s="2527"/>
      <c r="B844" s="2528"/>
      <c r="C844" s="2529"/>
      <c r="D844" s="2107"/>
      <c r="E844" s="2529"/>
      <c r="F844" s="2386"/>
      <c r="G844" s="2530"/>
      <c r="H844" s="2531"/>
      <c r="I844" s="2532"/>
      <c r="J844" s="4898"/>
      <c r="K844" s="147"/>
      <c r="L844" s="1785"/>
      <c r="M844" s="1785"/>
      <c r="N844" s="1785"/>
      <c r="O844" s="1785"/>
      <c r="P844" s="1785"/>
      <c r="Q844" s="1785"/>
      <c r="R844" s="2091"/>
      <c r="S844" s="4901"/>
      <c r="T844" s="593"/>
      <c r="U844" s="4913"/>
      <c r="W844" s="4914"/>
      <c r="X844" s="4915"/>
      <c r="Y844" s="4916"/>
      <c r="Z844" s="1785"/>
      <c r="AA844" s="1785"/>
      <c r="AB844" s="1785"/>
      <c r="AC844" s="1785"/>
      <c r="AD844" s="1785"/>
    </row>
    <row r="845" spans="1:42" s="251" customFormat="1" ht="27" customHeight="1">
      <c r="A845" s="2527"/>
      <c r="B845" s="2528"/>
      <c r="C845" s="2529"/>
      <c r="D845" s="2107"/>
      <c r="E845" s="2529"/>
      <c r="F845" s="2386"/>
      <c r="G845" s="2530"/>
      <c r="H845" s="2531"/>
      <c r="I845" s="2532"/>
      <c r="J845" s="4898"/>
      <c r="K845" s="147"/>
      <c r="L845" s="1791"/>
      <c r="M845" s="1791"/>
      <c r="P845" s="4900"/>
      <c r="Q845" s="4903"/>
      <c r="R845" s="4904"/>
      <c r="S845" s="4901"/>
      <c r="T845" s="4901"/>
      <c r="U845" s="4913"/>
      <c r="W845" s="4914"/>
      <c r="X845" s="4915"/>
      <c r="Y845" s="4916"/>
      <c r="Z845" s="1785"/>
      <c r="AA845" s="1785"/>
      <c r="AB845" s="1785"/>
      <c r="AC845" s="1785"/>
      <c r="AD845" s="1785"/>
    </row>
    <row r="846" spans="1:42" s="251" customFormat="1" ht="27" customHeight="1">
      <c r="A846" s="2527"/>
      <c r="B846" s="2528"/>
      <c r="C846" s="2533"/>
      <c r="D846" s="2533"/>
      <c r="E846" s="2533"/>
      <c r="F846" s="2535"/>
      <c r="G846" s="2536"/>
      <c r="H846" s="2537"/>
      <c r="I846" s="2538"/>
      <c r="J846" s="4898"/>
      <c r="K846" s="147"/>
      <c r="S846" s="4901"/>
      <c r="AA846" s="1785"/>
      <c r="AB846" s="1785"/>
      <c r="AC846" s="1785"/>
      <c r="AD846" s="1785"/>
    </row>
    <row r="847" spans="1:42" s="251" customFormat="1" ht="40.5" customHeight="1">
      <c r="A847" s="2539"/>
      <c r="B847" s="2540"/>
      <c r="C847" s="2533"/>
      <c r="D847" s="2107"/>
      <c r="E847" s="2533"/>
      <c r="F847" s="2535"/>
      <c r="G847" s="2536"/>
      <c r="H847" s="2541"/>
      <c r="I847" s="2538"/>
      <c r="J847" s="4989"/>
      <c r="K847" s="4990"/>
      <c r="L847" s="122"/>
      <c r="M847" s="122"/>
      <c r="N847" s="122"/>
      <c r="P847" s="122"/>
      <c r="Q847" s="122"/>
      <c r="R847" s="146"/>
      <c r="S847" s="4991"/>
      <c r="T847" s="122"/>
      <c r="U847" s="122"/>
      <c r="V847" s="122"/>
      <c r="W847" s="122"/>
      <c r="AA847" s="122"/>
      <c r="AB847" s="482"/>
      <c r="AC847" s="122"/>
      <c r="AD847" s="4919"/>
      <c r="AE847" s="122"/>
      <c r="AF847" s="1975"/>
      <c r="AG847" s="1975"/>
      <c r="AH847" s="4975"/>
      <c r="AI847" s="1975"/>
      <c r="AJ847" s="1975"/>
      <c r="AK847" s="1975"/>
      <c r="AL847" s="2543"/>
      <c r="AM847" s="1975"/>
      <c r="AN847" s="1975"/>
      <c r="AO847" s="1975"/>
      <c r="AP847" s="2543"/>
    </row>
    <row r="848" spans="1:42" ht="13.5" customHeight="1">
      <c r="A848" s="2408"/>
      <c r="B848" s="2346"/>
      <c r="C848" s="2346"/>
      <c r="D848" s="2400"/>
      <c r="E848" s="2346"/>
      <c r="F848" s="2409"/>
      <c r="G848" s="2387"/>
      <c r="H848" s="2387"/>
      <c r="I848" s="2352"/>
      <c r="J848" s="4919"/>
      <c r="K848" s="4990"/>
      <c r="L848" s="4920"/>
      <c r="M848" s="4920"/>
      <c r="N848" s="4920"/>
      <c r="O848" s="4921"/>
      <c r="P848" s="4921"/>
      <c r="Q848" s="4921"/>
      <c r="R848" s="4921"/>
      <c r="S848" s="4921"/>
      <c r="T848" s="4921"/>
      <c r="U848" s="4921"/>
      <c r="V848" s="122"/>
      <c r="W848" s="4921"/>
      <c r="X848" s="1975"/>
      <c r="Y848" s="1975"/>
      <c r="Z848" s="1951"/>
    </row>
    <row r="849" spans="1:25" s="2399" customFormat="1" ht="27" customHeight="1">
      <c r="A849" s="2521"/>
      <c r="B849" s="2522"/>
      <c r="C849" s="2523"/>
      <c r="D849" s="2517"/>
      <c r="E849" s="2515"/>
      <c r="F849" s="2526"/>
      <c r="G849" s="2526"/>
      <c r="H849" s="2526"/>
      <c r="I849" s="2548"/>
      <c r="T849" s="4899"/>
      <c r="U849" s="4905"/>
      <c r="V849" s="4906"/>
      <c r="W849" s="4906"/>
      <c r="X849" s="4900"/>
      <c r="Y849" s="251"/>
    </row>
    <row r="850" spans="1:25">
      <c r="B850" s="2504"/>
      <c r="I850" s="1974"/>
    </row>
    <row r="851" spans="1:25">
      <c r="B851" s="2504"/>
      <c r="I851" s="1974"/>
    </row>
    <row r="852" spans="1:25" s="251" customFormat="1" ht="27" customHeight="1">
      <c r="A852" s="2064"/>
      <c r="B852" s="2046"/>
      <c r="C852" s="2046"/>
      <c r="D852" s="2385"/>
      <c r="E852" s="2385"/>
      <c r="F852" s="2281"/>
      <c r="G852" s="2387"/>
      <c r="H852" s="2516"/>
      <c r="I852" s="2047"/>
      <c r="J852" s="4993"/>
      <c r="K852" s="4994"/>
      <c r="L852" s="4995"/>
      <c r="M852" s="138"/>
      <c r="N852" s="4996"/>
      <c r="O852" s="138"/>
      <c r="P852" s="4996"/>
    </row>
    <row r="853" spans="1:25" s="251" customFormat="1" ht="13.5" customHeight="1">
      <c r="A853" s="2064"/>
      <c r="B853" s="2046"/>
      <c r="C853" s="2046"/>
      <c r="D853" s="2107"/>
      <c r="E853" s="2026"/>
      <c r="F853" s="2032"/>
      <c r="G853" s="2549"/>
      <c r="H853" s="2549"/>
      <c r="I853" s="2047"/>
      <c r="J853" s="4993"/>
      <c r="K853" s="4995"/>
      <c r="M853" s="481"/>
      <c r="N853" s="4996"/>
    </row>
    <row r="854" spans="1:25" s="251" customFormat="1" ht="13.5" customHeight="1">
      <c r="A854" s="2025"/>
      <c r="B854" s="2550"/>
      <c r="C854" s="2026"/>
      <c r="D854" s="2269"/>
      <c r="E854" s="2269"/>
      <c r="F854" s="2270"/>
      <c r="G854" s="2551"/>
      <c r="H854" s="2549"/>
      <c r="I854" s="2047"/>
      <c r="J854" s="4993"/>
      <c r="K854" s="4997"/>
      <c r="M854" s="481"/>
    </row>
    <row r="855" spans="1:25" s="251" customFormat="1" ht="13.5" customHeight="1">
      <c r="A855" s="2025"/>
      <c r="B855" s="2550"/>
      <c r="C855" s="2026"/>
      <c r="D855" s="2107"/>
      <c r="E855" s="2046"/>
      <c r="F855" s="2551"/>
      <c r="G855" s="2551"/>
      <c r="H855" s="2549"/>
      <c r="I855" s="2552"/>
      <c r="J855" s="4993"/>
      <c r="L855" s="4998"/>
    </row>
    <row r="856" spans="1:25">
      <c r="B856" s="1984"/>
      <c r="I856" s="1983"/>
    </row>
    <row r="857" spans="1:25">
      <c r="B857" s="1984"/>
      <c r="I857" s="1983"/>
    </row>
    <row r="858" spans="1:25">
      <c r="B858" s="2504"/>
      <c r="I858" s="1983"/>
    </row>
    <row r="859" spans="1:25">
      <c r="B859" s="1984"/>
      <c r="I859" s="1983"/>
    </row>
    <row r="860" spans="1:25">
      <c r="B860" s="2500"/>
      <c r="I860" s="1983"/>
    </row>
    <row r="861" spans="1:25">
      <c r="B861" s="1984"/>
      <c r="I861" s="1983"/>
    </row>
    <row r="862" spans="1:25" ht="12.75" customHeight="1">
      <c r="I862" s="1983"/>
    </row>
    <row r="863" spans="1:25">
      <c r="B863" s="2509"/>
      <c r="I863" s="1983"/>
    </row>
    <row r="864" spans="1:25">
      <c r="B864" s="689"/>
      <c r="I864" s="1983"/>
    </row>
    <row r="865" spans="9:9">
      <c r="I865" s="1974"/>
    </row>
    <row r="866" spans="9:9">
      <c r="I866" s="1983"/>
    </row>
    <row r="867" spans="9:9">
      <c r="I867" s="1983"/>
    </row>
    <row r="868" spans="9:9">
      <c r="I868" s="1983"/>
    </row>
    <row r="869" spans="9:9">
      <c r="I869" s="1983"/>
    </row>
    <row r="870" spans="9:9">
      <c r="I870" s="1974"/>
    </row>
    <row r="871" spans="9:9">
      <c r="I871" s="1983"/>
    </row>
    <row r="872" spans="9:9">
      <c r="I872" s="1974"/>
    </row>
    <row r="873" spans="9:9">
      <c r="I873" s="251"/>
    </row>
    <row r="874" spans="9:9">
      <c r="I874" s="1974"/>
    </row>
    <row r="875" spans="9:9">
      <c r="I875" s="1983"/>
    </row>
    <row r="876" spans="9:9">
      <c r="I876" s="1983"/>
    </row>
    <row r="877" spans="9:9">
      <c r="I877" s="1983"/>
    </row>
    <row r="878" spans="9:9">
      <c r="I878" s="1983"/>
    </row>
    <row r="879" spans="9:9">
      <c r="I879" s="1983"/>
    </row>
    <row r="880" spans="9:9">
      <c r="I880" s="1974"/>
    </row>
    <row r="881" spans="9:9">
      <c r="I881" s="1983"/>
    </row>
    <row r="882" spans="9:9">
      <c r="I882" s="1983"/>
    </row>
    <row r="883" spans="9:9">
      <c r="I883" s="1983"/>
    </row>
    <row r="884" spans="9:9">
      <c r="I884" s="1983"/>
    </row>
    <row r="885" spans="9:9">
      <c r="I885" s="1974"/>
    </row>
    <row r="886" spans="9:9">
      <c r="I886" s="1983"/>
    </row>
    <row r="887" spans="9:9">
      <c r="I887" s="1983"/>
    </row>
    <row r="888" spans="9:9">
      <c r="I888" s="1983"/>
    </row>
    <row r="889" spans="9:9">
      <c r="I889" s="1983"/>
    </row>
    <row r="890" spans="9:9">
      <c r="I890" s="1974"/>
    </row>
    <row r="891" spans="9:9">
      <c r="I891" s="1983"/>
    </row>
    <row r="892" spans="9:9">
      <c r="I892" s="1983"/>
    </row>
    <row r="893" spans="9:9">
      <c r="I893" s="1983"/>
    </row>
    <row r="894" spans="9:9">
      <c r="I894" s="1983"/>
    </row>
    <row r="895" spans="9:9">
      <c r="I895" s="1983"/>
    </row>
    <row r="896" spans="9:9">
      <c r="I896" s="1983"/>
    </row>
    <row r="897" spans="9:9">
      <c r="I897" s="1974"/>
    </row>
    <row r="898" spans="9:9">
      <c r="I898" s="251"/>
    </row>
    <row r="899" spans="9:9">
      <c r="I899" s="1974"/>
    </row>
    <row r="900" spans="9:9">
      <c r="I900" s="1983"/>
    </row>
    <row r="901" spans="9:9">
      <c r="I901" s="1974"/>
    </row>
    <row r="902" spans="9:9">
      <c r="I902" s="1983"/>
    </row>
    <row r="903" spans="9:9">
      <c r="I903" s="1983"/>
    </row>
    <row r="904" spans="9:9">
      <c r="I904" s="1974"/>
    </row>
    <row r="905" spans="9:9">
      <c r="I905" s="1983"/>
    </row>
    <row r="906" spans="9:9">
      <c r="I906" s="1983"/>
    </row>
    <row r="907" spans="9:9">
      <c r="I907" s="1974"/>
    </row>
    <row r="908" spans="9:9">
      <c r="I908" s="1983"/>
    </row>
    <row r="909" spans="9:9">
      <c r="I909" s="1983"/>
    </row>
    <row r="910" spans="9:9">
      <c r="I910" s="1983"/>
    </row>
    <row r="911" spans="9:9">
      <c r="I911" s="1974"/>
    </row>
    <row r="912" spans="9:9">
      <c r="I912" s="1983"/>
    </row>
    <row r="913" spans="9:9">
      <c r="I913" s="1983"/>
    </row>
    <row r="914" spans="9:9">
      <c r="I914" s="1983"/>
    </row>
    <row r="915" spans="9:9">
      <c r="I915" s="1974"/>
    </row>
    <row r="916" spans="9:9">
      <c r="I916" s="1771"/>
    </row>
    <row r="917" spans="9:9">
      <c r="I917" s="1771"/>
    </row>
    <row r="918" spans="9:9">
      <c r="I918" s="1771"/>
    </row>
    <row r="919" spans="9:9">
      <c r="I919" s="1974"/>
    </row>
    <row r="920" spans="9:9">
      <c r="I920" s="1983"/>
    </row>
    <row r="921" spans="9:9">
      <c r="I921" s="1983"/>
    </row>
    <row r="922" spans="9:9">
      <c r="I922" s="1974"/>
    </row>
    <row r="923" spans="9:9">
      <c r="I923" s="1983"/>
    </row>
    <row r="924" spans="9:9">
      <c r="I924" s="1983"/>
    </row>
    <row r="925" spans="9:9">
      <c r="I925" s="1983"/>
    </row>
    <row r="926" spans="9:9">
      <c r="I926" s="1974"/>
    </row>
    <row r="927" spans="9:9">
      <c r="I927" s="1983"/>
    </row>
    <row r="928" spans="9:9">
      <c r="I928" s="1974"/>
    </row>
    <row r="929" spans="9:9">
      <c r="I929" s="251"/>
    </row>
    <row r="930" spans="9:9">
      <c r="I930" s="1974"/>
    </row>
    <row r="931" spans="9:9">
      <c r="I931" s="2553"/>
    </row>
    <row r="932" spans="9:9">
      <c r="I932" s="2553"/>
    </row>
    <row r="933" spans="9:9">
      <c r="I933" s="2553"/>
    </row>
    <row r="934" spans="9:9">
      <c r="I934" s="2553"/>
    </row>
    <row r="935" spans="9:9">
      <c r="I935" s="2553"/>
    </row>
    <row r="936" spans="9:9">
      <c r="I936" s="1974"/>
    </row>
    <row r="937" spans="9:9">
      <c r="I937" s="2553"/>
    </row>
    <row r="938" spans="9:9">
      <c r="I938" s="2554"/>
    </row>
    <row r="939" spans="9:9">
      <c r="I939" s="2553"/>
    </row>
    <row r="940" spans="9:9">
      <c r="I940" s="2553"/>
    </row>
    <row r="941" spans="9:9">
      <c r="I941" s="2553"/>
    </row>
    <row r="942" spans="9:9">
      <c r="I942" s="1974"/>
    </row>
    <row r="943" spans="9:9">
      <c r="I943" s="2553"/>
    </row>
    <row r="944" spans="9:9">
      <c r="I944" s="2553"/>
    </row>
    <row r="945" spans="9:9">
      <c r="I945" s="2553"/>
    </row>
    <row r="946" spans="9:9">
      <c r="I946" s="2553"/>
    </row>
    <row r="947" spans="9:9">
      <c r="I947" s="2553"/>
    </row>
    <row r="948" spans="9:9">
      <c r="I948" s="1974"/>
    </row>
    <row r="949" spans="9:9">
      <c r="I949" s="2553"/>
    </row>
    <row r="950" spans="9:9">
      <c r="I950" s="2553"/>
    </row>
    <row r="951" spans="9:9">
      <c r="I951" s="2553"/>
    </row>
    <row r="952" spans="9:9">
      <c r="I952" s="2553"/>
    </row>
    <row r="953" spans="9:9">
      <c r="I953" s="2553"/>
    </row>
    <row r="954" spans="9:9">
      <c r="I954" s="1974"/>
    </row>
    <row r="955" spans="9:9">
      <c r="I955" s="2553"/>
    </row>
    <row r="956" spans="9:9">
      <c r="I956" s="2553"/>
    </row>
    <row r="957" spans="9:9">
      <c r="I957" s="2553"/>
    </row>
    <row r="958" spans="9:9">
      <c r="I958" s="2553"/>
    </row>
    <row r="959" spans="9:9">
      <c r="I959" s="2553"/>
    </row>
    <row r="960" spans="9:9">
      <c r="I960" s="1974"/>
    </row>
    <row r="961" spans="9:9">
      <c r="I961" s="2553"/>
    </row>
    <row r="962" spans="9:9">
      <c r="I962" s="2553"/>
    </row>
    <row r="963" spans="9:9">
      <c r="I963" s="2553"/>
    </row>
    <row r="964" spans="9:9">
      <c r="I964" s="2553"/>
    </row>
    <row r="965" spans="9:9">
      <c r="I965" s="2553"/>
    </row>
    <row r="966" spans="9:9">
      <c r="I966" s="1974"/>
    </row>
    <row r="967" spans="9:9">
      <c r="I967" s="2553"/>
    </row>
    <row r="968" spans="9:9">
      <c r="I968" s="2553"/>
    </row>
    <row r="969" spans="9:9">
      <c r="I969" s="2553"/>
    </row>
    <row r="970" spans="9:9">
      <c r="I970" s="2553"/>
    </row>
    <row r="971" spans="9:9">
      <c r="I971" s="2553"/>
    </row>
    <row r="972" spans="9:9">
      <c r="I972" s="2553"/>
    </row>
    <row r="973" spans="9:9">
      <c r="I973" s="2553"/>
    </row>
    <row r="974" spans="9:9">
      <c r="I974" s="1974"/>
    </row>
    <row r="975" spans="9:9">
      <c r="I975" s="2553"/>
    </row>
    <row r="976" spans="9:9">
      <c r="I976" s="2553"/>
    </row>
    <row r="977" spans="9:9">
      <c r="I977" s="2553"/>
    </row>
    <row r="978" spans="9:9">
      <c r="I978" s="2553"/>
    </row>
    <row r="979" spans="9:9">
      <c r="I979" s="2553"/>
    </row>
    <row r="980" spans="9:9">
      <c r="I980" s="2553"/>
    </row>
    <row r="981" spans="9:9">
      <c r="I981" s="1974"/>
    </row>
    <row r="982" spans="9:9">
      <c r="I982" s="2553"/>
    </row>
    <row r="983" spans="9:9">
      <c r="I983" s="2553"/>
    </row>
    <row r="984" spans="9:9">
      <c r="I984" s="2553"/>
    </row>
    <row r="985" spans="9:9">
      <c r="I985" s="2553"/>
    </row>
    <row r="986" spans="9:9">
      <c r="I986" s="2553"/>
    </row>
    <row r="987" spans="9:9">
      <c r="I987" s="2553"/>
    </row>
    <row r="988" spans="9:9">
      <c r="I988" s="1974"/>
    </row>
    <row r="989" spans="9:9">
      <c r="I989" s="2553"/>
    </row>
    <row r="990" spans="9:9">
      <c r="I990" s="2553"/>
    </row>
    <row r="991" spans="9:9">
      <c r="I991" s="2553"/>
    </row>
    <row r="992" spans="9:9">
      <c r="I992" s="2553"/>
    </row>
    <row r="993" spans="9:9">
      <c r="I993" s="2553"/>
    </row>
    <row r="994" spans="9:9">
      <c r="I994" s="2553"/>
    </row>
    <row r="995" spans="9:9">
      <c r="I995" s="1974"/>
    </row>
    <row r="996" spans="9:9">
      <c r="I996" s="2553"/>
    </row>
    <row r="997" spans="9:9">
      <c r="I997" s="2553"/>
    </row>
    <row r="998" spans="9:9">
      <c r="I998" s="2553"/>
    </row>
    <row r="999" spans="9:9">
      <c r="I999" s="2553"/>
    </row>
    <row r="1000" spans="9:9">
      <c r="I1000" s="2553"/>
    </row>
    <row r="1001" spans="9:9">
      <c r="I1001" s="2553"/>
    </row>
    <row r="1002" spans="9:9">
      <c r="I1002" s="1974"/>
    </row>
    <row r="1003" spans="9:9">
      <c r="I1003" s="2553"/>
    </row>
    <row r="1004" spans="9:9">
      <c r="I1004" s="2553"/>
    </row>
    <row r="1005" spans="9:9">
      <c r="I1005" s="2553"/>
    </row>
    <row r="1006" spans="9:9">
      <c r="I1006" s="2553"/>
    </row>
    <row r="1007" spans="9:9">
      <c r="I1007" s="2553"/>
    </row>
    <row r="1008" spans="9:9">
      <c r="I1008" s="2553"/>
    </row>
    <row r="1009" spans="9:9">
      <c r="I1009" s="2553"/>
    </row>
    <row r="1010" spans="9:9">
      <c r="I1010" s="1974"/>
    </row>
    <row r="1011" spans="9:9">
      <c r="I1011" s="2553"/>
    </row>
    <row r="1012" spans="9:9">
      <c r="I1012" s="2553"/>
    </row>
    <row r="1013" spans="9:9">
      <c r="I1013" s="2553"/>
    </row>
    <row r="1014" spans="9:9">
      <c r="I1014" s="2553"/>
    </row>
    <row r="1015" spans="9:9">
      <c r="I1015" s="2553"/>
    </row>
    <row r="1016" spans="9:9">
      <c r="I1016" s="2553"/>
    </row>
    <row r="1017" spans="9:9">
      <c r="I1017" s="2553"/>
    </row>
    <row r="1018" spans="9:9">
      <c r="I1018" s="1974"/>
    </row>
    <row r="1019" spans="9:9">
      <c r="I1019" s="2553"/>
    </row>
    <row r="1020" spans="9:9">
      <c r="I1020" s="2553"/>
    </row>
    <row r="1021" spans="9:9">
      <c r="I1021" s="2553"/>
    </row>
    <row r="1022" spans="9:9">
      <c r="I1022" s="2553"/>
    </row>
    <row r="1023" spans="9:9">
      <c r="I1023" s="2553"/>
    </row>
    <row r="1024" spans="9:9">
      <c r="I1024" s="2553"/>
    </row>
    <row r="1025" spans="9:9">
      <c r="I1025" s="2553"/>
    </row>
    <row r="1026" spans="9:9">
      <c r="I1026" s="1974"/>
    </row>
    <row r="1027" spans="9:9">
      <c r="I1027" s="2553"/>
    </row>
    <row r="1028" spans="9:9">
      <c r="I1028" s="2553"/>
    </row>
    <row r="1029" spans="9:9">
      <c r="I1029" s="2553"/>
    </row>
    <row r="1030" spans="9:9">
      <c r="I1030" s="2553"/>
    </row>
    <row r="1031" spans="9:9">
      <c r="I1031" s="2553"/>
    </row>
    <row r="1032" spans="9:9">
      <c r="I1032" s="2553"/>
    </row>
    <row r="1033" spans="9:9">
      <c r="I1033" s="2553"/>
    </row>
    <row r="1034" spans="9:9">
      <c r="I1034" s="1974"/>
    </row>
    <row r="1035" spans="9:9">
      <c r="I1035" s="2553"/>
    </row>
    <row r="1036" spans="9:9">
      <c r="I1036" s="2553"/>
    </row>
    <row r="1037" spans="9:9">
      <c r="I1037" s="2553"/>
    </row>
    <row r="1038" spans="9:9">
      <c r="I1038" s="2553"/>
    </row>
    <row r="1039" spans="9:9">
      <c r="I1039" s="2553"/>
    </row>
    <row r="1040" spans="9:9">
      <c r="I1040" s="2553"/>
    </row>
    <row r="1041" spans="9:9">
      <c r="I1041" s="2553"/>
    </row>
    <row r="1042" spans="9:9">
      <c r="I1042" s="1974"/>
    </row>
    <row r="1043" spans="9:9">
      <c r="I1043" s="2553"/>
    </row>
    <row r="1044" spans="9:9">
      <c r="I1044" s="2553"/>
    </row>
    <row r="1045" spans="9:9">
      <c r="I1045" s="2553"/>
    </row>
    <row r="1046" spans="9:9">
      <c r="I1046" s="2553"/>
    </row>
    <row r="1047" spans="9:9">
      <c r="I1047" s="2553"/>
    </row>
    <row r="1048" spans="9:9">
      <c r="I1048" s="2553"/>
    </row>
    <row r="1049" spans="9:9">
      <c r="I1049" s="2553"/>
    </row>
    <row r="1050" spans="9:9">
      <c r="I1050" s="1974"/>
    </row>
    <row r="1051" spans="9:9">
      <c r="I1051" s="2553"/>
    </row>
    <row r="1052" spans="9:9">
      <c r="I1052" s="2553"/>
    </row>
    <row r="1053" spans="9:9">
      <c r="I1053" s="2553"/>
    </row>
    <row r="1054" spans="9:9">
      <c r="I1054" s="2553"/>
    </row>
    <row r="1055" spans="9:9">
      <c r="I1055" s="2553"/>
    </row>
    <row r="1056" spans="9:9">
      <c r="I1056" s="2553"/>
    </row>
    <row r="1057" spans="9:9">
      <c r="I1057" s="2553"/>
    </row>
    <row r="1058" spans="9:9">
      <c r="I1058" s="1974"/>
    </row>
    <row r="1059" spans="9:9">
      <c r="I1059" s="2553"/>
    </row>
    <row r="1060" spans="9:9">
      <c r="I1060" s="1974"/>
    </row>
    <row r="1061" spans="9:9">
      <c r="I1061" s="2553"/>
    </row>
    <row r="1062" spans="9:9">
      <c r="I1062" s="1974"/>
    </row>
    <row r="1063" spans="9:9">
      <c r="I1063" s="251"/>
    </row>
    <row r="1064" spans="9:9">
      <c r="I1064" s="1974"/>
    </row>
    <row r="1065" spans="9:9">
      <c r="I1065" s="2553"/>
    </row>
    <row r="1066" spans="9:9">
      <c r="I1066" s="1974"/>
    </row>
    <row r="1067" spans="9:9">
      <c r="I1067" s="2553"/>
    </row>
    <row r="1068" spans="9:9">
      <c r="I1068" s="1974"/>
    </row>
    <row r="1069" spans="9:9">
      <c r="I1069" s="2553"/>
    </row>
    <row r="1070" spans="9:9">
      <c r="I1070" s="1974"/>
    </row>
    <row r="1071" spans="9:9">
      <c r="I1071" s="2553"/>
    </row>
    <row r="1072" spans="9:9">
      <c r="I1072" s="1974"/>
    </row>
    <row r="1073" spans="9:9">
      <c r="I1073" s="2553"/>
    </row>
    <row r="1074" spans="9:9">
      <c r="I1074" s="1974"/>
    </row>
    <row r="1075" spans="9:9">
      <c r="I1075" s="1983"/>
    </row>
    <row r="1076" spans="9:9">
      <c r="I1076" s="1974"/>
    </row>
    <row r="1077" spans="9:9">
      <c r="I1077" s="1983"/>
    </row>
    <row r="1078" spans="9:9">
      <c r="I1078" s="1974"/>
    </row>
    <row r="1079" spans="9:9">
      <c r="I1079" s="1983"/>
    </row>
    <row r="1080" spans="9:9">
      <c r="I1080" s="1974"/>
    </row>
    <row r="1081" spans="9:9">
      <c r="I1081" s="251"/>
    </row>
    <row r="1082" spans="9:9">
      <c r="I1082" s="1974"/>
    </row>
    <row r="1083" spans="9:9">
      <c r="I1083" s="2553"/>
    </row>
    <row r="1084" spans="9:9">
      <c r="I1084" s="2553"/>
    </row>
    <row r="1085" spans="9:9">
      <c r="I1085" s="2553"/>
    </row>
    <row r="1086" spans="9:9">
      <c r="I1086" s="2553"/>
    </row>
    <row r="1087" spans="9:9">
      <c r="I1087" s="2553"/>
    </row>
    <row r="1088" spans="9:9">
      <c r="I1088" s="2553"/>
    </row>
    <row r="1089" spans="9:9">
      <c r="I1089" s="2553"/>
    </row>
    <row r="1090" spans="9:9">
      <c r="I1090" s="2553"/>
    </row>
    <row r="1091" spans="9:9">
      <c r="I1091" s="2553"/>
    </row>
    <row r="1092" spans="9:9">
      <c r="I1092" s="2553"/>
    </row>
    <row r="1093" spans="9:9">
      <c r="I1093" s="2553"/>
    </row>
    <row r="1094" spans="9:9">
      <c r="I1094" s="1974"/>
    </row>
    <row r="1095" spans="9:9">
      <c r="I1095" s="251"/>
    </row>
    <row r="1096" spans="9:9">
      <c r="I1096" s="1974"/>
    </row>
    <row r="1097" spans="9:9">
      <c r="I1097" s="2553"/>
    </row>
    <row r="1098" spans="9:9">
      <c r="I1098" s="2553"/>
    </row>
    <row r="1099" spans="9:9">
      <c r="I1099" s="2553"/>
    </row>
    <row r="1100" spans="9:9">
      <c r="I1100" s="2553"/>
    </row>
    <row r="1101" spans="9:9">
      <c r="I1101" s="2553"/>
    </row>
    <row r="1102" spans="9:9">
      <c r="I1102" s="2553"/>
    </row>
    <row r="1103" spans="9:9">
      <c r="I1103" s="2553"/>
    </row>
    <row r="1104" spans="9:9">
      <c r="I1104" s="2553"/>
    </row>
    <row r="1105" spans="9:9">
      <c r="I1105" s="2553"/>
    </row>
    <row r="1106" spans="9:9">
      <c r="I1106" s="2553"/>
    </row>
    <row r="1107" spans="9:9">
      <c r="I1107" s="2553"/>
    </row>
    <row r="1108" spans="9:9">
      <c r="I1108" s="1974"/>
    </row>
    <row r="1109" spans="9:9">
      <c r="I1109" s="2553"/>
    </row>
    <row r="1110" spans="9:9">
      <c r="I1110" s="2553"/>
    </row>
    <row r="1111" spans="9:9">
      <c r="I1111" s="2553"/>
    </row>
    <row r="1112" spans="9:9">
      <c r="I1112" s="2553"/>
    </row>
    <row r="1113" spans="9:9">
      <c r="I1113" s="2553"/>
    </row>
    <row r="1114" spans="9:9">
      <c r="I1114" s="2553"/>
    </row>
    <row r="1115" spans="9:9">
      <c r="I1115" s="2553"/>
    </row>
    <row r="1116" spans="9:9">
      <c r="I1116" s="2553"/>
    </row>
    <row r="1117" spans="9:9">
      <c r="I1117" s="2553"/>
    </row>
    <row r="1118" spans="9:9">
      <c r="I1118" s="2553"/>
    </row>
    <row r="1119" spans="9:9">
      <c r="I1119" s="2553"/>
    </row>
    <row r="1120" spans="9:9">
      <c r="I1120" s="1974"/>
    </row>
    <row r="1121" spans="9:9">
      <c r="I1121" s="2553"/>
    </row>
    <row r="1122" spans="9:9">
      <c r="I1122" s="2553"/>
    </row>
    <row r="1123" spans="9:9">
      <c r="I1123" s="2553"/>
    </row>
    <row r="1124" spans="9:9">
      <c r="I1124" s="2553"/>
    </row>
    <row r="1125" spans="9:9">
      <c r="I1125" s="2553"/>
    </row>
    <row r="1126" spans="9:9">
      <c r="I1126" s="2553"/>
    </row>
    <row r="1127" spans="9:9">
      <c r="I1127" s="2553"/>
    </row>
    <row r="1128" spans="9:9">
      <c r="I1128" s="2553"/>
    </row>
    <row r="1129" spans="9:9">
      <c r="I1129" s="2553"/>
    </row>
    <row r="1130" spans="9:9">
      <c r="I1130" s="2553"/>
    </row>
    <row r="1131" spans="9:9">
      <c r="I1131" s="2553"/>
    </row>
    <row r="1132" spans="9:9">
      <c r="I1132" s="1974"/>
    </row>
    <row r="1133" spans="9:9">
      <c r="I1133" s="1974"/>
    </row>
    <row r="1134" spans="9:9">
      <c r="I1134" s="1974"/>
    </row>
    <row r="1135" spans="9:9">
      <c r="I1135" s="251"/>
    </row>
    <row r="1136" spans="9:9">
      <c r="I1136" s="1974"/>
    </row>
    <row r="1137" spans="9:9">
      <c r="I1137" s="1983"/>
    </row>
    <row r="1138" spans="9:9">
      <c r="I1138" s="1983"/>
    </row>
    <row r="1140" spans="9:9">
      <c r="I1140" s="1974"/>
    </row>
    <row r="1141" spans="9:9">
      <c r="I1141" s="2553"/>
    </row>
    <row r="1142" spans="9:9">
      <c r="I1142" s="251"/>
    </row>
    <row r="1143" spans="9:9">
      <c r="I1143" s="251"/>
    </row>
    <row r="1144" spans="9:9">
      <c r="I1144" s="1974"/>
    </row>
    <row r="1145" spans="9:9">
      <c r="I1145" s="1983"/>
    </row>
    <row r="1146" spans="9:9">
      <c r="I1146" s="1974"/>
    </row>
    <row r="1147" spans="9:9">
      <c r="I1147" s="1974"/>
    </row>
    <row r="1148" spans="9:9">
      <c r="I1148" s="2553"/>
    </row>
    <row r="1149" spans="9:9">
      <c r="I1149" s="251"/>
    </row>
    <row r="1150" spans="9:9">
      <c r="I1150" s="2555"/>
    </row>
    <row r="1151" spans="9:9">
      <c r="I1151" s="2555"/>
    </row>
    <row r="1152" spans="9:9">
      <c r="I1152" s="2555"/>
    </row>
    <row r="1153" spans="9:9">
      <c r="I1153" s="2555"/>
    </row>
    <row r="1154" spans="9:9">
      <c r="I1154" s="2555"/>
    </row>
    <row r="1155" spans="9:9">
      <c r="I1155" s="2555"/>
    </row>
    <row r="1156" spans="9:9">
      <c r="I1156" s="2555"/>
    </row>
    <row r="1157" spans="9:9">
      <c r="I1157" s="2555"/>
    </row>
    <row r="1158" spans="9:9">
      <c r="I1158" s="2555"/>
    </row>
    <row r="1159" spans="9:9">
      <c r="I1159" s="2555"/>
    </row>
    <row r="1160" spans="9:9">
      <c r="I1160" s="2555"/>
    </row>
    <row r="1161" spans="9:9">
      <c r="I1161" s="2555"/>
    </row>
    <row r="1162" spans="9:9">
      <c r="I1162" s="2555"/>
    </row>
    <row r="1163" spans="9:9">
      <c r="I1163" s="2555"/>
    </row>
    <row r="1164" spans="9:9">
      <c r="I1164" s="2556"/>
    </row>
    <row r="1165" spans="9:9">
      <c r="I1165" s="2556"/>
    </row>
    <row r="1166" spans="9:9">
      <c r="I1166" s="2556"/>
    </row>
    <row r="1167" spans="9:9">
      <c r="I1167" s="251"/>
    </row>
    <row r="1168" spans="9:9">
      <c r="I1168" s="2557"/>
    </row>
    <row r="1169" spans="9:9">
      <c r="I1169" s="2557"/>
    </row>
    <row r="1170" spans="9:9">
      <c r="I1170" s="251"/>
    </row>
    <row r="1171" spans="9:9">
      <c r="I1171" s="251"/>
    </row>
    <row r="1172" spans="9:9">
      <c r="I1172" s="251"/>
    </row>
  </sheetData>
  <sheetProtection algorithmName="SHA-512" hashValue="FVDUq/UAhTk7QUO9ulBDbVTvV08Bb5kBAtUlIEzRlWavwbN33UgYMHkC0oSXscEHYfHwFR7gj+ZoY4FzjPtDAQ==" saltValue="AEEcW3q4BPQEcB/QrJ3+Vg==" spinCount="100000" sheet="1" objects="1" scenarios="1"/>
  <mergeCells count="9">
    <mergeCell ref="A823:G823"/>
    <mergeCell ref="A824:G824"/>
    <mergeCell ref="A822:G822"/>
    <mergeCell ref="A2:I2"/>
    <mergeCell ref="G559:H559"/>
    <mergeCell ref="A816:C816"/>
    <mergeCell ref="A819:G819"/>
    <mergeCell ref="A820:G820"/>
    <mergeCell ref="A821:G821"/>
  </mergeCells>
  <printOptions horizontalCentered="1"/>
  <pageMargins left="0.39370078740157483" right="0.39370078740157483" top="0.78740157480314965" bottom="0.55118110236220474" header="0.51181102362204722" footer="0.51181102362204722"/>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BE7-90C9-434D-AA95-8F91008131C4}">
  <sheetPr>
    <pageSetUpPr fitToPage="1"/>
  </sheetPr>
  <dimension ref="A1:DQ398"/>
  <sheetViews>
    <sheetView zoomScaleNormal="100" workbookViewId="0"/>
  </sheetViews>
  <sheetFormatPr defaultRowHeight="15"/>
  <cols>
    <col min="1" max="1" width="4.83203125" style="2202" customWidth="1"/>
    <col min="2" max="2" width="5" style="2202" customWidth="1"/>
    <col min="3" max="3" width="16.83203125" style="2202" customWidth="1"/>
    <col min="4" max="4" width="75.83203125" style="2202" customWidth="1"/>
    <col min="5" max="5" width="7.83203125" style="2202" customWidth="1"/>
    <col min="6" max="6" width="11.83203125" style="2285" customWidth="1"/>
    <col min="7" max="7" width="13.6640625" style="2202" customWidth="1"/>
    <col min="8" max="8" width="18.33203125" style="2202" customWidth="1"/>
    <col min="9" max="9" width="20.1640625" style="2202" customWidth="1"/>
    <col min="10" max="10" width="20.83203125" style="2202" customWidth="1"/>
    <col min="11" max="11" width="19.5" style="2202" customWidth="1"/>
    <col min="12" max="12" width="19.6640625" style="2202" customWidth="1"/>
    <col min="13" max="13" width="15.6640625" style="2202" customWidth="1"/>
    <col min="14" max="14" width="14.1640625" style="2202" customWidth="1"/>
    <col min="15" max="15" width="13.1640625" style="2202" customWidth="1"/>
    <col min="16" max="16" width="12.1640625" style="2202" customWidth="1"/>
    <col min="17" max="17" width="17.5" style="2202" customWidth="1"/>
    <col min="18" max="18" width="19.6640625" style="2202" customWidth="1"/>
    <col min="19" max="19" width="12.83203125" style="2202" customWidth="1"/>
    <col min="20" max="20" width="15.33203125" style="2202" customWidth="1"/>
    <col min="21" max="21" width="9.33203125" style="2202"/>
    <col min="22" max="22" width="12.83203125" style="2202" customWidth="1"/>
    <col min="23" max="16384" width="9.33203125" style="2202"/>
  </cols>
  <sheetData>
    <row r="1" spans="1:21" ht="20.25">
      <c r="A1" s="1" t="s">
        <v>2760</v>
      </c>
      <c r="B1" s="28"/>
      <c r="C1" s="28"/>
      <c r="D1" s="111"/>
      <c r="E1" s="111"/>
      <c r="F1" s="149"/>
      <c r="G1" s="111"/>
      <c r="H1" s="150"/>
      <c r="I1" s="111"/>
      <c r="J1" s="2201"/>
    </row>
    <row r="2" spans="1:21" ht="13.5" customHeight="1">
      <c r="A2" s="5199" t="s">
        <v>115</v>
      </c>
      <c r="B2" s="5230"/>
      <c r="C2" s="5230"/>
      <c r="D2" s="5230"/>
      <c r="E2" s="5230"/>
      <c r="F2" s="5230"/>
      <c r="G2" s="5230"/>
      <c r="H2" s="5230"/>
      <c r="I2" s="5230"/>
    </row>
    <row r="3" spans="1:21" ht="13.5" customHeight="1">
      <c r="A3" s="2203" t="s">
        <v>2011</v>
      </c>
      <c r="B3" s="2204"/>
      <c r="C3" s="2204"/>
      <c r="D3" s="2204"/>
      <c r="E3" s="2204"/>
      <c r="F3" s="2205"/>
      <c r="G3" s="2205"/>
      <c r="H3" s="2206"/>
      <c r="I3" s="2206"/>
    </row>
    <row r="4" spans="1:21">
      <c r="A4" s="2205"/>
      <c r="B4" s="2205"/>
      <c r="C4" s="2205"/>
      <c r="D4" s="2207"/>
      <c r="E4" s="2208"/>
      <c r="F4" s="2209"/>
      <c r="G4" s="2205"/>
      <c r="H4" s="2205"/>
      <c r="I4" s="2210"/>
    </row>
    <row r="5" spans="1:21" ht="22.5">
      <c r="A5" s="2211" t="s">
        <v>118</v>
      </c>
      <c r="B5" s="2211" t="s">
        <v>119</v>
      </c>
      <c r="C5" s="2211" t="s">
        <v>120</v>
      </c>
      <c r="D5" s="2211" t="s">
        <v>121</v>
      </c>
      <c r="E5" s="2211" t="s">
        <v>122</v>
      </c>
      <c r="F5" s="2212" t="s">
        <v>123</v>
      </c>
      <c r="G5" s="2211" t="s">
        <v>124</v>
      </c>
      <c r="H5" s="2213" t="s">
        <v>2</v>
      </c>
      <c r="I5" s="2214" t="s">
        <v>46</v>
      </c>
      <c r="J5" s="151"/>
    </row>
    <row r="6" spans="1:21">
      <c r="A6" s="2211" t="s">
        <v>125</v>
      </c>
      <c r="B6" s="2211" t="s">
        <v>126</v>
      </c>
      <c r="C6" s="2211">
        <v>3</v>
      </c>
      <c r="D6" s="2211">
        <v>4</v>
      </c>
      <c r="E6" s="2211">
        <v>5</v>
      </c>
      <c r="F6" s="2212">
        <v>6</v>
      </c>
      <c r="G6" s="2211">
        <v>7</v>
      </c>
      <c r="H6" s="2213">
        <v>8</v>
      </c>
      <c r="I6" s="2214">
        <v>9</v>
      </c>
    </row>
    <row r="7" spans="1:21" ht="21" customHeight="1">
      <c r="A7" s="2215"/>
      <c r="B7" s="2216"/>
      <c r="C7" s="2216" t="s">
        <v>366</v>
      </c>
      <c r="D7" s="2216" t="s">
        <v>367</v>
      </c>
      <c r="E7" s="2216"/>
      <c r="F7" s="2217"/>
      <c r="G7" s="2218"/>
      <c r="H7" s="2218">
        <f>H8+H62+H139+H284</f>
        <v>0</v>
      </c>
      <c r="I7" s="2219"/>
      <c r="J7" s="2220"/>
    </row>
    <row r="8" spans="1:21" s="2206" customFormat="1" ht="13.5" customHeight="1">
      <c r="A8" s="5002"/>
      <c r="B8" s="5003"/>
      <c r="C8" s="5003">
        <v>731</v>
      </c>
      <c r="D8" s="5003" t="s">
        <v>2012</v>
      </c>
      <c r="E8" s="5003"/>
      <c r="F8" s="5004"/>
      <c r="G8" s="5005"/>
      <c r="H8" s="5005">
        <f>SUM(H9:H61)</f>
        <v>0</v>
      </c>
      <c r="I8" s="5006"/>
    </row>
    <row r="9" spans="1:21" s="2206" customFormat="1" ht="13.5" customHeight="1">
      <c r="A9" s="5007">
        <v>1</v>
      </c>
      <c r="B9" s="5008" t="s">
        <v>2013</v>
      </c>
      <c r="C9" s="5009" t="s">
        <v>2014</v>
      </c>
      <c r="D9" s="5009" t="s">
        <v>2015</v>
      </c>
      <c r="E9" s="5009" t="s">
        <v>49</v>
      </c>
      <c r="F9" s="5010">
        <f>F10</f>
        <v>1</v>
      </c>
      <c r="G9" s="5011"/>
      <c r="H9" s="5012">
        <f>ROUND(F9*G9,2)</f>
        <v>0</v>
      </c>
      <c r="I9" s="5013" t="s">
        <v>112</v>
      </c>
      <c r="Q9" s="2229"/>
      <c r="R9" s="2229"/>
    </row>
    <row r="10" spans="1:21" s="2206" customFormat="1" ht="13.5" customHeight="1">
      <c r="A10" s="5014"/>
      <c r="B10" s="5009"/>
      <c r="C10" s="5009"/>
      <c r="D10" s="5015" t="s">
        <v>2016</v>
      </c>
      <c r="E10" s="5009"/>
      <c r="F10" s="5016">
        <v>1</v>
      </c>
      <c r="G10" s="5011"/>
      <c r="H10" s="5017"/>
      <c r="I10" s="5013"/>
      <c r="J10" s="2232"/>
      <c r="K10" s="175"/>
      <c r="R10" s="2233"/>
      <c r="S10" s="2233"/>
      <c r="T10" s="2233"/>
      <c r="U10" s="2234"/>
    </row>
    <row r="11" spans="1:21" s="2206" customFormat="1" ht="13.5" customHeight="1">
      <c r="A11" s="5014"/>
      <c r="B11" s="5009"/>
      <c r="C11" s="5009"/>
      <c r="D11" s="5015" t="s">
        <v>2017</v>
      </c>
      <c r="E11" s="5009"/>
      <c r="F11" s="5010"/>
      <c r="G11" s="5011"/>
      <c r="H11" s="5017"/>
      <c r="I11" s="5013"/>
      <c r="J11" s="2232"/>
      <c r="K11" s="175"/>
      <c r="R11" s="2233"/>
      <c r="S11" s="2233"/>
      <c r="T11" s="2233"/>
      <c r="U11" s="2234"/>
    </row>
    <row r="12" spans="1:21" s="2206" customFormat="1" ht="27" customHeight="1">
      <c r="A12" s="5014"/>
      <c r="B12" s="5009"/>
      <c r="C12" s="5009"/>
      <c r="D12" s="5015" t="s">
        <v>2018</v>
      </c>
      <c r="E12" s="5009"/>
      <c r="F12" s="5010"/>
      <c r="G12" s="5011"/>
      <c r="H12" s="5017"/>
      <c r="I12" s="5013"/>
      <c r="J12" s="2232"/>
      <c r="K12" s="175"/>
      <c r="R12" s="2233"/>
      <c r="S12" s="2233"/>
      <c r="T12" s="2233"/>
      <c r="U12" s="2234"/>
    </row>
    <row r="13" spans="1:21" s="2206" customFormat="1" ht="13.5" customHeight="1">
      <c r="A13" s="5007">
        <v>2</v>
      </c>
      <c r="B13" s="5008" t="s">
        <v>2013</v>
      </c>
      <c r="C13" s="5009" t="s">
        <v>2019</v>
      </c>
      <c r="D13" s="5009" t="s">
        <v>2020</v>
      </c>
      <c r="E13" s="5009" t="s">
        <v>49</v>
      </c>
      <c r="F13" s="5010">
        <f>F14</f>
        <v>1</v>
      </c>
      <c r="G13" s="5011"/>
      <c r="H13" s="5012">
        <f>ROUND(F13*G13,2)</f>
        <v>0</v>
      </c>
      <c r="I13" s="5013" t="s">
        <v>112</v>
      </c>
      <c r="Q13" s="2229"/>
      <c r="R13" s="2229"/>
    </row>
    <row r="14" spans="1:21" s="2206" customFormat="1" ht="13.5" customHeight="1">
      <c r="A14" s="5014"/>
      <c r="B14" s="5009"/>
      <c r="C14" s="5009"/>
      <c r="D14" s="5015" t="s">
        <v>2016</v>
      </c>
      <c r="E14" s="5009"/>
      <c r="F14" s="5016">
        <v>1</v>
      </c>
      <c r="G14" s="5011"/>
      <c r="H14" s="5017"/>
      <c r="I14" s="5013"/>
      <c r="J14" s="2232"/>
      <c r="K14" s="175"/>
      <c r="R14" s="2233"/>
      <c r="S14" s="2233"/>
      <c r="T14" s="2233"/>
      <c r="U14" s="2234"/>
    </row>
    <row r="15" spans="1:21" s="2206" customFormat="1" ht="13.5" customHeight="1">
      <c r="A15" s="5014"/>
      <c r="B15" s="5009"/>
      <c r="C15" s="5009"/>
      <c r="D15" s="5015" t="s">
        <v>2017</v>
      </c>
      <c r="E15" s="5009"/>
      <c r="F15" s="5010"/>
      <c r="G15" s="5011"/>
      <c r="H15" s="5017"/>
      <c r="I15" s="5013"/>
      <c r="J15" s="2232"/>
      <c r="K15" s="175"/>
      <c r="R15" s="2233"/>
      <c r="S15" s="2233"/>
      <c r="T15" s="2233"/>
      <c r="U15" s="2234"/>
    </row>
    <row r="16" spans="1:21" s="2206" customFormat="1" ht="27" customHeight="1">
      <c r="A16" s="5014"/>
      <c r="B16" s="5009"/>
      <c r="C16" s="5009"/>
      <c r="D16" s="5015" t="s">
        <v>2018</v>
      </c>
      <c r="E16" s="5009"/>
      <c r="F16" s="5010"/>
      <c r="G16" s="5011"/>
      <c r="H16" s="5017"/>
      <c r="I16" s="5013"/>
      <c r="J16" s="2232"/>
      <c r="K16" s="175"/>
      <c r="R16" s="2233"/>
      <c r="S16" s="2233"/>
      <c r="T16" s="2233"/>
      <c r="U16" s="2234"/>
    </row>
    <row r="17" spans="1:22" s="2206" customFormat="1" ht="13.5" customHeight="1">
      <c r="A17" s="5007">
        <v>3</v>
      </c>
      <c r="B17" s="5009" t="s">
        <v>2013</v>
      </c>
      <c r="C17" s="5009" t="s">
        <v>2021</v>
      </c>
      <c r="D17" s="5009" t="s">
        <v>2022</v>
      </c>
      <c r="E17" s="5009" t="s">
        <v>205</v>
      </c>
      <c r="F17" s="5010">
        <f>F18</f>
        <v>1</v>
      </c>
      <c r="G17" s="5011"/>
      <c r="H17" s="5012">
        <f>ROUND(F17*G17,2)</f>
        <v>0</v>
      </c>
      <c r="I17" s="5013" t="s">
        <v>112</v>
      </c>
      <c r="J17" s="2239"/>
      <c r="K17" s="2240"/>
      <c r="L17" s="2241"/>
      <c r="T17" s="2229"/>
    </row>
    <row r="18" spans="1:22" s="153" customFormat="1" ht="40.5" customHeight="1">
      <c r="A18" s="5018"/>
      <c r="B18" s="5019"/>
      <c r="C18" s="5019"/>
      <c r="D18" s="5020" t="s">
        <v>2023</v>
      </c>
      <c r="E18" s="5019"/>
      <c r="F18" s="5021">
        <v>1</v>
      </c>
      <c r="G18" s="5022"/>
      <c r="H18" s="5023"/>
      <c r="I18" s="5024"/>
      <c r="J18" s="176"/>
      <c r="L18" s="176"/>
      <c r="M18" s="177"/>
      <c r="P18" s="177"/>
    </row>
    <row r="19" spans="1:22" s="2206" customFormat="1" ht="13.5" customHeight="1">
      <c r="A19" s="5007">
        <v>4</v>
      </c>
      <c r="B19" s="5009" t="s">
        <v>2013</v>
      </c>
      <c r="C19" s="5009" t="s">
        <v>2024</v>
      </c>
      <c r="D19" s="5009" t="s">
        <v>2025</v>
      </c>
      <c r="E19" s="5009" t="s">
        <v>205</v>
      </c>
      <c r="F19" s="5010">
        <f>SUM(F20)</f>
        <v>1</v>
      </c>
      <c r="G19" s="5011"/>
      <c r="H19" s="5012">
        <f>ROUND(F19*G19,2)</f>
        <v>0</v>
      </c>
      <c r="I19" s="5013" t="s">
        <v>112</v>
      </c>
      <c r="J19" s="2242"/>
      <c r="K19" s="2240"/>
      <c r="L19" s="2241"/>
      <c r="T19" s="2229"/>
    </row>
    <row r="20" spans="1:22" s="2250" customFormat="1" ht="27" customHeight="1">
      <c r="A20" s="5025"/>
      <c r="B20" s="5026"/>
      <c r="C20" s="5026"/>
      <c r="D20" s="5027" t="s">
        <v>2026</v>
      </c>
      <c r="E20" s="5026"/>
      <c r="F20" s="5028">
        <v>1</v>
      </c>
      <c r="G20" s="5029"/>
      <c r="H20" s="5030"/>
      <c r="I20" s="5031"/>
      <c r="J20" s="2242"/>
      <c r="K20" s="2249"/>
      <c r="Q20" s="2251"/>
    </row>
    <row r="21" spans="1:22" s="2250" customFormat="1" ht="27" customHeight="1">
      <c r="A21" s="5025"/>
      <c r="B21" s="5026"/>
      <c r="C21" s="5026"/>
      <c r="D21" s="5027" t="s">
        <v>2027</v>
      </c>
      <c r="E21" s="5026"/>
      <c r="F21" s="5028"/>
      <c r="G21" s="5032"/>
      <c r="H21" s="5030"/>
      <c r="I21" s="5033"/>
      <c r="J21" s="2252"/>
    </row>
    <row r="22" spans="1:22" s="2206" customFormat="1" ht="13.5" customHeight="1">
      <c r="A22" s="5007">
        <v>5</v>
      </c>
      <c r="B22" s="5009" t="s">
        <v>2013</v>
      </c>
      <c r="C22" s="5009" t="s">
        <v>2028</v>
      </c>
      <c r="D22" s="5009" t="s">
        <v>2029</v>
      </c>
      <c r="E22" s="5009" t="s">
        <v>205</v>
      </c>
      <c r="F22" s="5010">
        <f>SUM(F23)</f>
        <v>1</v>
      </c>
      <c r="G22" s="5011"/>
      <c r="H22" s="5012">
        <f>ROUND(F22*G22,2)</f>
        <v>0</v>
      </c>
      <c r="I22" s="5013" t="s">
        <v>112</v>
      </c>
      <c r="J22" s="2242"/>
      <c r="K22" s="2240"/>
      <c r="L22" s="2241"/>
      <c r="T22" s="2229"/>
    </row>
    <row r="23" spans="1:22" s="2250" customFormat="1" ht="27" customHeight="1">
      <c r="A23" s="5025"/>
      <c r="B23" s="5026"/>
      <c r="C23" s="5026"/>
      <c r="D23" s="5027" t="s">
        <v>2030</v>
      </c>
      <c r="E23" s="5026"/>
      <c r="F23" s="5028">
        <v>1</v>
      </c>
      <c r="G23" s="5029"/>
      <c r="H23" s="5030"/>
      <c r="I23" s="5031"/>
      <c r="J23" s="2242"/>
      <c r="K23" s="2249"/>
      <c r="M23" s="2253"/>
      <c r="Q23" s="2251"/>
    </row>
    <row r="24" spans="1:22" s="2250" customFormat="1" ht="27" customHeight="1">
      <c r="A24" s="5025"/>
      <c r="B24" s="5026"/>
      <c r="C24" s="5026"/>
      <c r="D24" s="5027" t="s">
        <v>2027</v>
      </c>
      <c r="E24" s="5026"/>
      <c r="F24" s="5028"/>
      <c r="G24" s="5032"/>
      <c r="H24" s="5030"/>
      <c r="I24" s="5033"/>
      <c r="J24" s="2252"/>
    </row>
    <row r="25" spans="1:22" s="2206" customFormat="1" ht="13.5" customHeight="1">
      <c r="A25" s="5007">
        <v>6</v>
      </c>
      <c r="B25" s="5009" t="s">
        <v>2013</v>
      </c>
      <c r="C25" s="5009" t="s">
        <v>2031</v>
      </c>
      <c r="D25" s="5009" t="s">
        <v>2032</v>
      </c>
      <c r="E25" s="5009" t="s">
        <v>205</v>
      </c>
      <c r="F25" s="5010">
        <f>SUM(F26)</f>
        <v>1</v>
      </c>
      <c r="G25" s="5011"/>
      <c r="H25" s="5012">
        <f>ROUND(F25*G25,2)</f>
        <v>0</v>
      </c>
      <c r="I25" s="5013" t="s">
        <v>112</v>
      </c>
      <c r="J25" s="2242"/>
      <c r="K25" s="2240"/>
      <c r="L25" s="2241"/>
      <c r="S25" s="2254"/>
    </row>
    <row r="26" spans="1:22" s="2250" customFormat="1" ht="27" customHeight="1">
      <c r="A26" s="5025"/>
      <c r="B26" s="5026"/>
      <c r="C26" s="5026"/>
      <c r="D26" s="5027" t="s">
        <v>2033</v>
      </c>
      <c r="E26" s="5026"/>
      <c r="F26" s="5028">
        <v>1</v>
      </c>
      <c r="G26" s="5029"/>
      <c r="H26" s="5030"/>
      <c r="I26" s="5031"/>
      <c r="J26" s="2242"/>
      <c r="K26" s="2249"/>
      <c r="Q26" s="2251"/>
    </row>
    <row r="27" spans="1:22" s="2250" customFormat="1" ht="27" customHeight="1">
      <c r="A27" s="5025"/>
      <c r="B27" s="5026"/>
      <c r="C27" s="5026"/>
      <c r="D27" s="5027" t="s">
        <v>2027</v>
      </c>
      <c r="E27" s="5026"/>
      <c r="F27" s="5028"/>
      <c r="G27" s="5032"/>
      <c r="H27" s="5030"/>
      <c r="I27" s="5033"/>
      <c r="J27" s="2252"/>
    </row>
    <row r="28" spans="1:22" s="2206" customFormat="1" ht="13.5" customHeight="1">
      <c r="A28" s="5007">
        <v>7</v>
      </c>
      <c r="B28" s="5009" t="s">
        <v>2013</v>
      </c>
      <c r="C28" s="5009" t="s">
        <v>2034</v>
      </c>
      <c r="D28" s="5009" t="s">
        <v>2035</v>
      </c>
      <c r="E28" s="5009" t="s">
        <v>205</v>
      </c>
      <c r="F28" s="5010">
        <f>SUM(F29)</f>
        <v>1</v>
      </c>
      <c r="G28" s="5011"/>
      <c r="H28" s="5012">
        <f>ROUND(F28*G28,2)</f>
        <v>0</v>
      </c>
      <c r="I28" s="5013" t="s">
        <v>112</v>
      </c>
      <c r="J28" s="2242"/>
      <c r="K28" s="2240"/>
      <c r="L28" s="2241"/>
      <c r="S28" s="2254"/>
      <c r="T28" s="2229"/>
      <c r="U28" s="2240"/>
      <c r="V28" s="2241"/>
    </row>
    <row r="29" spans="1:22" s="2250" customFormat="1" ht="27" customHeight="1">
      <c r="A29" s="5025"/>
      <c r="B29" s="5026"/>
      <c r="C29" s="5026"/>
      <c r="D29" s="5027" t="s">
        <v>2036</v>
      </c>
      <c r="E29" s="5026"/>
      <c r="F29" s="5028">
        <v>1</v>
      </c>
      <c r="G29" s="5029"/>
      <c r="H29" s="5030"/>
      <c r="I29" s="5031"/>
      <c r="J29" s="2242"/>
      <c r="K29" s="2249"/>
      <c r="Q29" s="2251"/>
    </row>
    <row r="30" spans="1:22" s="2250" customFormat="1" ht="27" customHeight="1">
      <c r="A30" s="5025"/>
      <c r="B30" s="5026"/>
      <c r="C30" s="5026"/>
      <c r="D30" s="5027" t="s">
        <v>2027</v>
      </c>
      <c r="E30" s="5026"/>
      <c r="F30" s="5028"/>
      <c r="G30" s="5032"/>
      <c r="H30" s="5030"/>
      <c r="I30" s="5033"/>
      <c r="J30" s="2252"/>
    </row>
    <row r="31" spans="1:22" s="2206" customFormat="1" ht="13.5" customHeight="1">
      <c r="A31" s="5007">
        <v>8</v>
      </c>
      <c r="B31" s="5009" t="s">
        <v>2013</v>
      </c>
      <c r="C31" s="5009" t="s">
        <v>2037</v>
      </c>
      <c r="D31" s="5009" t="s">
        <v>2038</v>
      </c>
      <c r="E31" s="5009" t="s">
        <v>205</v>
      </c>
      <c r="F31" s="5010">
        <f>SUM(F32)</f>
        <v>1</v>
      </c>
      <c r="G31" s="5011"/>
      <c r="H31" s="5012">
        <f>ROUND(F31*G31,2)</f>
        <v>0</v>
      </c>
      <c r="I31" s="5013" t="s">
        <v>112</v>
      </c>
      <c r="J31" s="2242"/>
      <c r="K31" s="2240"/>
      <c r="L31" s="2241"/>
      <c r="S31" s="2254"/>
      <c r="T31" s="2229"/>
      <c r="U31" s="2240"/>
      <c r="V31" s="2241"/>
    </row>
    <row r="32" spans="1:22" s="2250" customFormat="1" ht="27" customHeight="1">
      <c r="A32" s="5025"/>
      <c r="B32" s="5026"/>
      <c r="C32" s="5026"/>
      <c r="D32" s="5027" t="s">
        <v>2039</v>
      </c>
      <c r="E32" s="5026"/>
      <c r="F32" s="5028">
        <v>1</v>
      </c>
      <c r="G32" s="5029"/>
      <c r="H32" s="5030"/>
      <c r="I32" s="5031"/>
      <c r="J32" s="2242"/>
      <c r="K32" s="2249"/>
      <c r="Q32" s="2251"/>
    </row>
    <row r="33" spans="1:121" s="2250" customFormat="1" ht="27" customHeight="1">
      <c r="A33" s="5025"/>
      <c r="B33" s="5026"/>
      <c r="C33" s="5026"/>
      <c r="D33" s="5027" t="s">
        <v>2027</v>
      </c>
      <c r="E33" s="5026"/>
      <c r="F33" s="5028"/>
      <c r="G33" s="5032"/>
      <c r="H33" s="5030"/>
      <c r="I33" s="5033"/>
      <c r="J33" s="2252"/>
    </row>
    <row r="34" spans="1:121" s="2206" customFormat="1" ht="13.5" customHeight="1">
      <c r="A34" s="5007">
        <v>9</v>
      </c>
      <c r="B34" s="5009" t="s">
        <v>2013</v>
      </c>
      <c r="C34" s="5009" t="s">
        <v>2040</v>
      </c>
      <c r="D34" s="5009" t="s">
        <v>2041</v>
      </c>
      <c r="E34" s="5009" t="s">
        <v>205</v>
      </c>
      <c r="F34" s="5010">
        <f>SUM(F35)</f>
        <v>1</v>
      </c>
      <c r="G34" s="5011"/>
      <c r="H34" s="5012">
        <f>ROUND(F34*G34,2)</f>
        <v>0</v>
      </c>
      <c r="I34" s="5013" t="s">
        <v>112</v>
      </c>
      <c r="J34" s="2242"/>
      <c r="K34" s="2240"/>
      <c r="L34" s="2241"/>
      <c r="S34" s="2254"/>
      <c r="T34" s="2229"/>
      <c r="U34" s="2240"/>
      <c r="V34" s="2241"/>
    </row>
    <row r="35" spans="1:121" s="2250" customFormat="1" ht="27" customHeight="1">
      <c r="A35" s="5025"/>
      <c r="B35" s="5026"/>
      <c r="C35" s="5026"/>
      <c r="D35" s="5027" t="s">
        <v>2042</v>
      </c>
      <c r="E35" s="5026"/>
      <c r="F35" s="5028">
        <v>1</v>
      </c>
      <c r="G35" s="5029"/>
      <c r="H35" s="5030"/>
      <c r="I35" s="5031"/>
      <c r="J35" s="2242"/>
      <c r="K35" s="2249"/>
      <c r="Q35" s="2251"/>
    </row>
    <row r="36" spans="1:121" s="2250" customFormat="1" ht="27" customHeight="1">
      <c r="A36" s="5025"/>
      <c r="B36" s="5026"/>
      <c r="C36" s="5026"/>
      <c r="D36" s="5027" t="s">
        <v>2027</v>
      </c>
      <c r="E36" s="5026"/>
      <c r="F36" s="5028"/>
      <c r="G36" s="5032"/>
      <c r="H36" s="5030"/>
      <c r="I36" s="5033"/>
      <c r="J36" s="2252"/>
    </row>
    <row r="37" spans="1:121" s="2206" customFormat="1" ht="13.5" customHeight="1">
      <c r="A37" s="5007">
        <v>10</v>
      </c>
      <c r="B37" s="5009" t="s">
        <v>2013</v>
      </c>
      <c r="C37" s="5009" t="s">
        <v>2043</v>
      </c>
      <c r="D37" s="5009" t="s">
        <v>2044</v>
      </c>
      <c r="E37" s="5009" t="s">
        <v>205</v>
      </c>
      <c r="F37" s="5010">
        <f>SUM(F38)</f>
        <v>2</v>
      </c>
      <c r="G37" s="5011"/>
      <c r="H37" s="5012">
        <f>ROUND(F37*G37,2)</f>
        <v>0</v>
      </c>
      <c r="I37" s="5013" t="s">
        <v>112</v>
      </c>
      <c r="J37" s="2242"/>
      <c r="K37" s="2240"/>
      <c r="L37" s="2241"/>
      <c r="S37" s="2254"/>
      <c r="T37" s="2229"/>
      <c r="U37" s="2240"/>
      <c r="V37" s="2241"/>
    </row>
    <row r="38" spans="1:121" s="2250" customFormat="1" ht="27" customHeight="1">
      <c r="A38" s="5025"/>
      <c r="B38" s="5026"/>
      <c r="C38" s="5026"/>
      <c r="D38" s="5027" t="s">
        <v>2045</v>
      </c>
      <c r="E38" s="5026"/>
      <c r="F38" s="5028">
        <v>2</v>
      </c>
      <c r="G38" s="5029"/>
      <c r="H38" s="5030"/>
      <c r="I38" s="5031"/>
      <c r="J38" s="2242"/>
      <c r="K38" s="2249"/>
      <c r="Q38" s="2251"/>
    </row>
    <row r="39" spans="1:121" s="2250" customFormat="1" ht="27" customHeight="1">
      <c r="A39" s="5025"/>
      <c r="B39" s="5026"/>
      <c r="C39" s="5026"/>
      <c r="D39" s="5027" t="s">
        <v>2027</v>
      </c>
      <c r="E39" s="5026"/>
      <c r="F39" s="5028"/>
      <c r="G39" s="5032"/>
      <c r="H39" s="5030"/>
      <c r="I39" s="5033"/>
      <c r="J39" s="2252"/>
    </row>
    <row r="40" spans="1:121" s="2206" customFormat="1" ht="13.5" customHeight="1">
      <c r="A40" s="5007">
        <v>11</v>
      </c>
      <c r="B40" s="5009" t="s">
        <v>2013</v>
      </c>
      <c r="C40" s="5009" t="s">
        <v>2046</v>
      </c>
      <c r="D40" s="5009" t="s">
        <v>2047</v>
      </c>
      <c r="E40" s="5009" t="s">
        <v>49</v>
      </c>
      <c r="F40" s="5010">
        <f>ROUND(SUM(F41),3)</f>
        <v>1</v>
      </c>
      <c r="G40" s="5011"/>
      <c r="H40" s="5012">
        <f>ROUND(F40*G40,2)</f>
        <v>0</v>
      </c>
      <c r="I40" s="5013" t="s">
        <v>112</v>
      </c>
      <c r="J40" s="4999"/>
      <c r="K40" s="2255"/>
      <c r="L40" s="2241"/>
      <c r="T40" s="2229"/>
    </row>
    <row r="41" spans="1:121" s="2206" customFormat="1" ht="13.5" customHeight="1">
      <c r="A41" s="5007"/>
      <c r="B41" s="5009"/>
      <c r="C41" s="5009"/>
      <c r="D41" s="5027" t="s">
        <v>2048</v>
      </c>
      <c r="E41" s="5009"/>
      <c r="F41" s="5034">
        <v>1</v>
      </c>
      <c r="G41" s="5011"/>
      <c r="H41" s="5030"/>
      <c r="I41" s="5013"/>
      <c r="J41" s="2242"/>
      <c r="K41" s="2256"/>
      <c r="L41" s="2241"/>
      <c r="T41" s="2229"/>
    </row>
    <row r="42" spans="1:121" s="2250" customFormat="1" ht="22.5">
      <c r="A42" s="5025"/>
      <c r="B42" s="5026"/>
      <c r="C42" s="5026"/>
      <c r="D42" s="5027" t="s">
        <v>2049</v>
      </c>
      <c r="E42" s="5026"/>
      <c r="F42" s="5028"/>
      <c r="G42" s="5032"/>
      <c r="H42" s="5030"/>
      <c r="I42" s="5033"/>
      <c r="J42" s="2257"/>
      <c r="K42" s="2258"/>
      <c r="M42" s="2259"/>
    </row>
    <row r="43" spans="1:121" s="2206" customFormat="1" ht="13.5" customHeight="1">
      <c r="A43" s="5007">
        <v>12</v>
      </c>
      <c r="B43" s="5009" t="s">
        <v>2013</v>
      </c>
      <c r="C43" s="5009" t="s">
        <v>2050</v>
      </c>
      <c r="D43" s="5009" t="s">
        <v>2051</v>
      </c>
      <c r="E43" s="5009" t="s">
        <v>49</v>
      </c>
      <c r="F43" s="5010">
        <f>ROUND(SUM(F44),3)</f>
        <v>1</v>
      </c>
      <c r="G43" s="5011"/>
      <c r="H43" s="5012">
        <f>ROUND(F43*G43,2)</f>
        <v>0</v>
      </c>
      <c r="I43" s="5013" t="s">
        <v>112</v>
      </c>
      <c r="J43" s="2242"/>
      <c r="K43" s="2255"/>
      <c r="L43" s="2241"/>
      <c r="T43" s="2229"/>
    </row>
    <row r="44" spans="1:121" s="2206" customFormat="1" ht="13.5" customHeight="1">
      <c r="A44" s="5007"/>
      <c r="B44" s="5009"/>
      <c r="C44" s="5009"/>
      <c r="D44" s="5027" t="s">
        <v>2052</v>
      </c>
      <c r="E44" s="5009"/>
      <c r="F44" s="5034">
        <v>1</v>
      </c>
      <c r="G44" s="5011"/>
      <c r="H44" s="5030"/>
      <c r="I44" s="5013"/>
      <c r="J44" s="2242"/>
      <c r="K44" s="2256"/>
      <c r="L44" s="2241"/>
      <c r="T44" s="2229"/>
    </row>
    <row r="45" spans="1:121" s="2250" customFormat="1" ht="22.5">
      <c r="A45" s="5025"/>
      <c r="B45" s="5026"/>
      <c r="C45" s="5035"/>
      <c r="D45" s="5027" t="s">
        <v>2049</v>
      </c>
      <c r="E45" s="5026"/>
      <c r="F45" s="5028"/>
      <c r="G45" s="5029"/>
      <c r="H45" s="5030"/>
      <c r="I45" s="5013"/>
      <c r="J45" s="2260"/>
      <c r="K45" s="2261"/>
      <c r="Q45" s="2251"/>
    </row>
    <row r="46" spans="1:121" s="2206" customFormat="1" ht="13.5" customHeight="1">
      <c r="A46" s="5007">
        <v>13</v>
      </c>
      <c r="B46" s="5009" t="s">
        <v>2013</v>
      </c>
      <c r="C46" s="5009" t="s">
        <v>2053</v>
      </c>
      <c r="D46" s="5009" t="s">
        <v>2054</v>
      </c>
      <c r="E46" s="5009" t="s">
        <v>49</v>
      </c>
      <c r="F46" s="5010">
        <f>ROUND(SUM(F47),3)</f>
        <v>1</v>
      </c>
      <c r="G46" s="5011"/>
      <c r="H46" s="5012">
        <f>ROUND(F46*G46,2)</f>
        <v>0</v>
      </c>
      <c r="I46" s="5013" t="s">
        <v>112</v>
      </c>
      <c r="J46" s="2242"/>
      <c r="K46" s="2255"/>
      <c r="L46" s="2241"/>
      <c r="T46" s="2229"/>
    </row>
    <row r="47" spans="1:121" s="2206" customFormat="1" ht="13.5" customHeight="1">
      <c r="A47" s="5007"/>
      <c r="B47" s="5009"/>
      <c r="C47" s="5009"/>
      <c r="D47" s="5027" t="s">
        <v>2055</v>
      </c>
      <c r="E47" s="5009"/>
      <c r="F47" s="5034">
        <v>1</v>
      </c>
      <c r="G47" s="5011"/>
      <c r="H47" s="5030"/>
      <c r="I47" s="5013"/>
      <c r="J47" s="2242"/>
      <c r="K47" s="2256"/>
      <c r="L47" s="2241"/>
      <c r="T47" s="2229"/>
    </row>
    <row r="48" spans="1:121" s="2262" customFormat="1" ht="22.5">
      <c r="A48" s="5025"/>
      <c r="B48" s="5026"/>
      <c r="C48" s="5026"/>
      <c r="D48" s="5027" t="s">
        <v>2049</v>
      </c>
      <c r="E48" s="5026"/>
      <c r="F48" s="5028"/>
      <c r="G48" s="5032"/>
      <c r="H48" s="5030"/>
      <c r="I48" s="5033"/>
      <c r="J48" s="2259"/>
      <c r="K48" s="2258"/>
      <c r="L48" s="2250"/>
      <c r="M48" s="2259"/>
      <c r="N48" s="2250"/>
      <c r="O48" s="2250"/>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0"/>
      <c r="BC48" s="2250"/>
      <c r="BD48" s="2250"/>
      <c r="BE48" s="2250"/>
      <c r="BF48" s="2250"/>
      <c r="BG48" s="2250"/>
      <c r="BH48" s="2250"/>
      <c r="BI48" s="2250"/>
      <c r="BJ48" s="2250"/>
      <c r="BK48" s="2250"/>
      <c r="BL48" s="2250"/>
      <c r="BM48" s="2250"/>
      <c r="BN48" s="2250"/>
      <c r="BO48" s="2250"/>
      <c r="BP48" s="2250"/>
      <c r="BQ48" s="2250"/>
      <c r="BR48" s="2250"/>
      <c r="BS48" s="2250"/>
      <c r="BT48" s="2250"/>
      <c r="BU48" s="2250"/>
      <c r="BV48" s="2250"/>
      <c r="BW48" s="2250"/>
      <c r="BX48" s="2250"/>
      <c r="BY48" s="2250"/>
      <c r="BZ48" s="2250"/>
      <c r="CA48" s="2250"/>
      <c r="CB48" s="2250"/>
      <c r="CC48" s="2250"/>
      <c r="CD48" s="2250"/>
      <c r="CE48" s="2250"/>
      <c r="CF48" s="2250"/>
      <c r="CG48" s="2250"/>
      <c r="CH48" s="2250"/>
      <c r="CI48" s="2250"/>
      <c r="CJ48" s="2250"/>
      <c r="CK48" s="2250"/>
      <c r="CL48" s="2250"/>
      <c r="CM48" s="2250"/>
      <c r="CN48" s="2250"/>
      <c r="CO48" s="2250"/>
      <c r="CP48" s="2250"/>
      <c r="CQ48" s="2250"/>
      <c r="CR48" s="2250"/>
      <c r="CS48" s="2250"/>
      <c r="CT48" s="2250"/>
      <c r="CU48" s="2250"/>
      <c r="CV48" s="2250"/>
      <c r="CW48" s="2250"/>
      <c r="CX48" s="2250"/>
      <c r="CY48" s="2250"/>
      <c r="CZ48" s="2250"/>
      <c r="DA48" s="2250"/>
      <c r="DB48" s="2250"/>
      <c r="DC48" s="2250"/>
      <c r="DD48" s="2250"/>
      <c r="DE48" s="2250"/>
      <c r="DF48" s="2250"/>
      <c r="DG48" s="2250"/>
      <c r="DH48" s="2250"/>
      <c r="DI48" s="2250"/>
      <c r="DJ48" s="2250"/>
      <c r="DK48" s="2250"/>
      <c r="DL48" s="2250"/>
      <c r="DM48" s="2250"/>
      <c r="DN48" s="2250"/>
      <c r="DO48" s="2250"/>
      <c r="DP48" s="2250"/>
      <c r="DQ48" s="2250"/>
    </row>
    <row r="49" spans="1:121" s="2206" customFormat="1" ht="13.5" customHeight="1">
      <c r="A49" s="5007">
        <v>14</v>
      </c>
      <c r="B49" s="5009" t="s">
        <v>2013</v>
      </c>
      <c r="C49" s="5009" t="s">
        <v>2056</v>
      </c>
      <c r="D49" s="5009" t="s">
        <v>2057</v>
      </c>
      <c r="E49" s="5009" t="s">
        <v>49</v>
      </c>
      <c r="F49" s="5010">
        <f>ROUND(SUM(F50),3)</f>
        <v>1</v>
      </c>
      <c r="G49" s="5011"/>
      <c r="H49" s="5012">
        <f>ROUND(F49*G49,2)</f>
        <v>0</v>
      </c>
      <c r="I49" s="5013" t="s">
        <v>112</v>
      </c>
      <c r="J49" s="2242"/>
      <c r="K49" s="2255"/>
      <c r="L49" s="2241"/>
      <c r="T49" s="2229"/>
    </row>
    <row r="50" spans="1:121" s="2206" customFormat="1" ht="13.5" customHeight="1">
      <c r="A50" s="5007"/>
      <c r="B50" s="5009"/>
      <c r="C50" s="5009"/>
      <c r="D50" s="5027" t="s">
        <v>2058</v>
      </c>
      <c r="E50" s="5009"/>
      <c r="F50" s="5034">
        <v>1</v>
      </c>
      <c r="G50" s="5011"/>
      <c r="H50" s="5030"/>
      <c r="I50" s="5013"/>
      <c r="J50" s="2242"/>
      <c r="K50" s="2256"/>
      <c r="L50" s="2241"/>
      <c r="T50" s="2229"/>
    </row>
    <row r="51" spans="1:121" s="2262" customFormat="1" ht="22.5">
      <c r="A51" s="5025"/>
      <c r="B51" s="5026"/>
      <c r="C51" s="5026"/>
      <c r="D51" s="5027" t="s">
        <v>2049</v>
      </c>
      <c r="E51" s="5026"/>
      <c r="F51" s="5028"/>
      <c r="G51" s="5032"/>
      <c r="H51" s="5030"/>
      <c r="I51" s="5033"/>
      <c r="J51" s="2259"/>
      <c r="K51" s="2258"/>
      <c r="L51" s="2250"/>
      <c r="M51" s="2259"/>
      <c r="N51" s="2250"/>
      <c r="O51" s="2250"/>
      <c r="P51" s="2250"/>
      <c r="Q51" s="2250"/>
      <c r="R51" s="2250"/>
      <c r="S51" s="2250"/>
      <c r="T51" s="2250"/>
      <c r="U51" s="2250"/>
      <c r="V51" s="2250"/>
      <c r="W51" s="2250"/>
      <c r="X51" s="2250"/>
      <c r="Y51" s="2250"/>
      <c r="Z51" s="2250"/>
      <c r="AA51" s="2250"/>
      <c r="AB51" s="2250"/>
      <c r="AC51" s="2250"/>
      <c r="AD51" s="2250"/>
      <c r="AE51" s="2250"/>
      <c r="AF51" s="2250"/>
      <c r="AG51" s="2250"/>
      <c r="AH51" s="2250"/>
      <c r="AI51" s="2250"/>
      <c r="AJ51" s="2250"/>
      <c r="AK51" s="2250"/>
      <c r="AL51" s="2250"/>
      <c r="AM51" s="2250"/>
      <c r="AN51" s="2250"/>
      <c r="AO51" s="2250"/>
      <c r="AP51" s="2250"/>
      <c r="AQ51" s="2250"/>
      <c r="AR51" s="2250"/>
      <c r="AS51" s="2250"/>
      <c r="AT51" s="2250"/>
      <c r="AU51" s="2250"/>
      <c r="AV51" s="2250"/>
      <c r="AW51" s="2250"/>
      <c r="AX51" s="2250"/>
      <c r="AY51" s="2250"/>
      <c r="AZ51" s="2250"/>
      <c r="BA51" s="2250"/>
      <c r="BB51" s="2250"/>
      <c r="BC51" s="2250"/>
      <c r="BD51" s="2250"/>
      <c r="BE51" s="2250"/>
      <c r="BF51" s="2250"/>
      <c r="BG51" s="2250"/>
      <c r="BH51" s="2250"/>
      <c r="BI51" s="2250"/>
      <c r="BJ51" s="2250"/>
      <c r="BK51" s="2250"/>
      <c r="BL51" s="2250"/>
      <c r="BM51" s="2250"/>
      <c r="BN51" s="2250"/>
      <c r="BO51" s="2250"/>
      <c r="BP51" s="2250"/>
      <c r="BQ51" s="2250"/>
      <c r="BR51" s="2250"/>
      <c r="BS51" s="2250"/>
      <c r="BT51" s="2250"/>
      <c r="BU51" s="2250"/>
      <c r="BV51" s="2250"/>
      <c r="BW51" s="2250"/>
      <c r="BX51" s="2250"/>
      <c r="BY51" s="2250"/>
      <c r="BZ51" s="2250"/>
      <c r="CA51" s="2250"/>
      <c r="CB51" s="2250"/>
      <c r="CC51" s="2250"/>
      <c r="CD51" s="2250"/>
      <c r="CE51" s="2250"/>
      <c r="CF51" s="2250"/>
      <c r="CG51" s="2250"/>
      <c r="CH51" s="2250"/>
      <c r="CI51" s="2250"/>
      <c r="CJ51" s="2250"/>
      <c r="CK51" s="2250"/>
      <c r="CL51" s="2250"/>
      <c r="CM51" s="2250"/>
      <c r="CN51" s="2250"/>
      <c r="CO51" s="2250"/>
      <c r="CP51" s="2250"/>
      <c r="CQ51" s="2250"/>
      <c r="CR51" s="2250"/>
      <c r="CS51" s="2250"/>
      <c r="CT51" s="2250"/>
      <c r="CU51" s="2250"/>
      <c r="CV51" s="2250"/>
      <c r="CW51" s="2250"/>
      <c r="CX51" s="2250"/>
      <c r="CY51" s="2250"/>
      <c r="CZ51" s="2250"/>
      <c r="DA51" s="2250"/>
      <c r="DB51" s="2250"/>
      <c r="DC51" s="2250"/>
      <c r="DD51" s="2250"/>
      <c r="DE51" s="2250"/>
      <c r="DF51" s="2250"/>
      <c r="DG51" s="2250"/>
      <c r="DH51" s="2250"/>
      <c r="DI51" s="2250"/>
      <c r="DJ51" s="2250"/>
      <c r="DK51" s="2250"/>
      <c r="DL51" s="2250"/>
      <c r="DM51" s="2250"/>
      <c r="DN51" s="2250"/>
      <c r="DO51" s="2250"/>
      <c r="DP51" s="2250"/>
      <c r="DQ51" s="2250"/>
    </row>
    <row r="52" spans="1:121" s="2206" customFormat="1" ht="13.5" customHeight="1">
      <c r="A52" s="5007">
        <v>15</v>
      </c>
      <c r="B52" s="5009" t="s">
        <v>2013</v>
      </c>
      <c r="C52" s="5009" t="s">
        <v>2059</v>
      </c>
      <c r="D52" s="5009" t="s">
        <v>2060</v>
      </c>
      <c r="E52" s="5009" t="s">
        <v>49</v>
      </c>
      <c r="F52" s="5010">
        <f>ROUND(SUM(F53),3)</f>
        <v>1</v>
      </c>
      <c r="G52" s="5011"/>
      <c r="H52" s="5012">
        <f>ROUND(F52*G52,2)</f>
        <v>0</v>
      </c>
      <c r="I52" s="5013" t="s">
        <v>112</v>
      </c>
      <c r="J52" s="2242"/>
      <c r="K52" s="2255"/>
      <c r="L52" s="2241"/>
      <c r="T52" s="2229"/>
    </row>
    <row r="53" spans="1:121" s="2206" customFormat="1" ht="13.5" customHeight="1">
      <c r="A53" s="5007"/>
      <c r="B53" s="5009"/>
      <c r="C53" s="5009"/>
      <c r="D53" s="5027" t="s">
        <v>2061</v>
      </c>
      <c r="E53" s="5009"/>
      <c r="F53" s="5034">
        <v>1</v>
      </c>
      <c r="G53" s="5011"/>
      <c r="H53" s="5030"/>
      <c r="I53" s="5013"/>
      <c r="J53" s="2242"/>
      <c r="K53" s="2256"/>
      <c r="L53" s="2241"/>
      <c r="T53" s="2229"/>
    </row>
    <row r="54" spans="1:121" s="2262" customFormat="1" ht="22.5">
      <c r="A54" s="5025"/>
      <c r="B54" s="5026"/>
      <c r="C54" s="5026"/>
      <c r="D54" s="5027" t="s">
        <v>2049</v>
      </c>
      <c r="E54" s="5026"/>
      <c r="F54" s="5028"/>
      <c r="G54" s="5032"/>
      <c r="H54" s="5030"/>
      <c r="I54" s="5033"/>
      <c r="J54" s="2259"/>
      <c r="K54" s="2258"/>
      <c r="L54" s="2250"/>
      <c r="M54" s="2259"/>
      <c r="N54" s="2250"/>
      <c r="O54" s="2250"/>
      <c r="P54" s="2250"/>
      <c r="Q54" s="2250"/>
      <c r="R54" s="2250"/>
      <c r="S54" s="2250"/>
      <c r="T54" s="2250"/>
      <c r="U54" s="2250"/>
      <c r="V54" s="2250"/>
      <c r="W54" s="2250"/>
      <c r="X54" s="2250"/>
      <c r="Y54" s="2250"/>
      <c r="Z54" s="2250"/>
      <c r="AA54" s="2250"/>
      <c r="AB54" s="2250"/>
      <c r="AC54" s="2250"/>
      <c r="AD54" s="2250"/>
      <c r="AE54" s="2250"/>
      <c r="AF54" s="2250"/>
      <c r="AG54" s="2250"/>
      <c r="AH54" s="2250"/>
      <c r="AI54" s="2250"/>
      <c r="AJ54" s="2250"/>
      <c r="AK54" s="2250"/>
      <c r="AL54" s="2250"/>
      <c r="AM54" s="2250"/>
      <c r="AN54" s="2250"/>
      <c r="AO54" s="2250"/>
      <c r="AP54" s="2250"/>
      <c r="AQ54" s="2250"/>
      <c r="AR54" s="2250"/>
      <c r="AS54" s="2250"/>
      <c r="AT54" s="2250"/>
      <c r="AU54" s="2250"/>
      <c r="AV54" s="2250"/>
      <c r="AW54" s="2250"/>
      <c r="AX54" s="2250"/>
      <c r="AY54" s="2250"/>
      <c r="AZ54" s="2250"/>
      <c r="BA54" s="2250"/>
      <c r="BB54" s="2250"/>
      <c r="BC54" s="2250"/>
      <c r="BD54" s="2250"/>
      <c r="BE54" s="2250"/>
      <c r="BF54" s="2250"/>
      <c r="BG54" s="2250"/>
      <c r="BH54" s="2250"/>
      <c r="BI54" s="2250"/>
      <c r="BJ54" s="2250"/>
      <c r="BK54" s="2250"/>
      <c r="BL54" s="2250"/>
      <c r="BM54" s="2250"/>
      <c r="BN54" s="2250"/>
      <c r="BO54" s="2250"/>
      <c r="BP54" s="2250"/>
      <c r="BQ54" s="2250"/>
      <c r="BR54" s="2250"/>
      <c r="BS54" s="2250"/>
      <c r="BT54" s="2250"/>
      <c r="BU54" s="2250"/>
      <c r="BV54" s="2250"/>
      <c r="BW54" s="2250"/>
      <c r="BX54" s="2250"/>
      <c r="BY54" s="2250"/>
      <c r="BZ54" s="2250"/>
      <c r="CA54" s="2250"/>
      <c r="CB54" s="2250"/>
      <c r="CC54" s="2250"/>
      <c r="CD54" s="2250"/>
      <c r="CE54" s="2250"/>
      <c r="CF54" s="2250"/>
      <c r="CG54" s="2250"/>
      <c r="CH54" s="2250"/>
      <c r="CI54" s="2250"/>
      <c r="CJ54" s="2250"/>
      <c r="CK54" s="2250"/>
      <c r="CL54" s="2250"/>
      <c r="CM54" s="2250"/>
      <c r="CN54" s="2250"/>
      <c r="CO54" s="2250"/>
      <c r="CP54" s="2250"/>
      <c r="CQ54" s="2250"/>
      <c r="CR54" s="2250"/>
      <c r="CS54" s="2250"/>
      <c r="CT54" s="2250"/>
      <c r="CU54" s="2250"/>
      <c r="CV54" s="2250"/>
      <c r="CW54" s="2250"/>
      <c r="CX54" s="2250"/>
      <c r="CY54" s="2250"/>
      <c r="CZ54" s="2250"/>
      <c r="DA54" s="2250"/>
      <c r="DB54" s="2250"/>
      <c r="DC54" s="2250"/>
      <c r="DD54" s="2250"/>
      <c r="DE54" s="2250"/>
      <c r="DF54" s="2250"/>
      <c r="DG54" s="2250"/>
      <c r="DH54" s="2250"/>
      <c r="DI54" s="2250"/>
      <c r="DJ54" s="2250"/>
      <c r="DK54" s="2250"/>
      <c r="DL54" s="2250"/>
      <c r="DM54" s="2250"/>
      <c r="DN54" s="2250"/>
      <c r="DO54" s="2250"/>
      <c r="DP54" s="2250"/>
      <c r="DQ54" s="2250"/>
    </row>
    <row r="55" spans="1:121" s="2206" customFormat="1" ht="13.5" customHeight="1">
      <c r="A55" s="5007">
        <v>16</v>
      </c>
      <c r="B55" s="5009" t="s">
        <v>2013</v>
      </c>
      <c r="C55" s="5009" t="s">
        <v>2062</v>
      </c>
      <c r="D55" s="5009" t="s">
        <v>2063</v>
      </c>
      <c r="E55" s="5009" t="s">
        <v>49</v>
      </c>
      <c r="F55" s="5010">
        <f>ROUND(SUM(F56),3)</f>
        <v>1</v>
      </c>
      <c r="G55" s="5011"/>
      <c r="H55" s="5012">
        <f>ROUND(F55*G55,2)</f>
        <v>0</v>
      </c>
      <c r="I55" s="5013" t="s">
        <v>112</v>
      </c>
      <c r="J55" s="2242"/>
      <c r="K55" s="2255"/>
      <c r="L55" s="2241"/>
      <c r="T55" s="2229"/>
    </row>
    <row r="56" spans="1:121" s="2206" customFormat="1" ht="13.5" customHeight="1">
      <c r="A56" s="5007"/>
      <c r="B56" s="5009"/>
      <c r="C56" s="5009"/>
      <c r="D56" s="5027" t="s">
        <v>2064</v>
      </c>
      <c r="E56" s="5009"/>
      <c r="F56" s="5034">
        <v>1</v>
      </c>
      <c r="G56" s="5011"/>
      <c r="H56" s="5030"/>
      <c r="I56" s="5013"/>
      <c r="J56" s="2242"/>
      <c r="K56" s="2256"/>
      <c r="L56" s="2241"/>
      <c r="T56" s="2229"/>
    </row>
    <row r="57" spans="1:121" s="2262" customFormat="1" ht="22.5">
      <c r="A57" s="5025"/>
      <c r="B57" s="5026"/>
      <c r="C57" s="5035"/>
      <c r="D57" s="5027" t="s">
        <v>2049</v>
      </c>
      <c r="E57" s="5026"/>
      <c r="F57" s="5028"/>
      <c r="G57" s="5029"/>
      <c r="H57" s="5030"/>
      <c r="I57" s="5013"/>
      <c r="J57" s="2260"/>
      <c r="K57" s="2261"/>
      <c r="L57" s="2250"/>
      <c r="M57" s="2250"/>
      <c r="N57" s="2250"/>
      <c r="O57" s="2250"/>
      <c r="P57" s="2250"/>
      <c r="Q57" s="2251"/>
      <c r="R57" s="2250"/>
      <c r="S57" s="2250"/>
      <c r="T57" s="2250"/>
      <c r="U57" s="2250"/>
      <c r="V57" s="2250"/>
      <c r="W57" s="2250"/>
      <c r="X57" s="2250"/>
      <c r="Y57" s="2250"/>
      <c r="Z57" s="2250"/>
      <c r="AA57" s="2250"/>
      <c r="AB57" s="2250"/>
      <c r="AC57" s="2250"/>
      <c r="AD57" s="2250"/>
      <c r="AE57" s="2250"/>
      <c r="AF57" s="2250"/>
      <c r="AG57" s="2250"/>
      <c r="AH57" s="2250"/>
      <c r="AI57" s="2250"/>
      <c r="AJ57" s="2250"/>
      <c r="AK57" s="2250"/>
      <c r="AL57" s="2250"/>
      <c r="AM57" s="2250"/>
      <c r="AN57" s="2250"/>
      <c r="AO57" s="2250"/>
      <c r="AP57" s="2250"/>
      <c r="AQ57" s="2250"/>
      <c r="AR57" s="2250"/>
      <c r="AS57" s="2250"/>
      <c r="AT57" s="2250"/>
      <c r="AU57" s="2250"/>
      <c r="AV57" s="2250"/>
      <c r="AW57" s="2250"/>
      <c r="AX57" s="2250"/>
      <c r="AY57" s="2250"/>
      <c r="AZ57" s="2250"/>
      <c r="BA57" s="2250"/>
      <c r="BB57" s="2250"/>
      <c r="BC57" s="2250"/>
      <c r="BD57" s="2250"/>
      <c r="BE57" s="2250"/>
      <c r="BF57" s="2250"/>
      <c r="BG57" s="2250"/>
      <c r="BH57" s="2250"/>
      <c r="BI57" s="2250"/>
      <c r="BJ57" s="2250"/>
      <c r="BK57" s="2250"/>
      <c r="BL57" s="2250"/>
      <c r="BM57" s="2250"/>
      <c r="BN57" s="2250"/>
      <c r="BO57" s="2250"/>
      <c r="BP57" s="2250"/>
      <c r="BQ57" s="2250"/>
      <c r="BR57" s="2250"/>
      <c r="BS57" s="2250"/>
      <c r="BT57" s="2250"/>
      <c r="BU57" s="2250"/>
      <c r="BV57" s="2250"/>
      <c r="BW57" s="2250"/>
      <c r="BX57" s="2250"/>
      <c r="BY57" s="2250"/>
      <c r="BZ57" s="2250"/>
      <c r="CA57" s="2250"/>
      <c r="CB57" s="2250"/>
      <c r="CC57" s="2250"/>
      <c r="CD57" s="2250"/>
      <c r="CE57" s="2250"/>
      <c r="CF57" s="2250"/>
      <c r="CG57" s="2250"/>
      <c r="CH57" s="2250"/>
      <c r="CI57" s="2250"/>
      <c r="CJ57" s="2250"/>
      <c r="CK57" s="2250"/>
      <c r="CL57" s="2250"/>
      <c r="CM57" s="2250"/>
      <c r="CN57" s="2250"/>
      <c r="CO57" s="2250"/>
      <c r="CP57" s="2250"/>
      <c r="CQ57" s="2250"/>
      <c r="CR57" s="2250"/>
      <c r="CS57" s="2250"/>
      <c r="CT57" s="2250"/>
      <c r="CU57" s="2250"/>
      <c r="CV57" s="2250"/>
      <c r="CW57" s="2250"/>
      <c r="CX57" s="2250"/>
      <c r="CY57" s="2250"/>
      <c r="CZ57" s="2250"/>
      <c r="DA57" s="2250"/>
      <c r="DB57" s="2250"/>
      <c r="DC57" s="2250"/>
      <c r="DD57" s="2250"/>
      <c r="DE57" s="2250"/>
      <c r="DF57" s="2250"/>
      <c r="DG57" s="2250"/>
      <c r="DH57" s="2250"/>
      <c r="DI57" s="2250"/>
      <c r="DJ57" s="2250"/>
      <c r="DK57" s="2250"/>
      <c r="DL57" s="2250"/>
      <c r="DM57" s="2250"/>
      <c r="DN57" s="2250"/>
      <c r="DO57" s="2250"/>
      <c r="DP57" s="2250"/>
      <c r="DQ57" s="2250"/>
    </row>
    <row r="58" spans="1:121" s="612" customFormat="1" ht="13.5" customHeight="1">
      <c r="A58" s="5036">
        <v>17</v>
      </c>
      <c r="B58" s="5037" t="s">
        <v>2013</v>
      </c>
      <c r="C58" s="5037">
        <v>998731202</v>
      </c>
      <c r="D58" s="5037" t="s">
        <v>2065</v>
      </c>
      <c r="E58" s="5037" t="s">
        <v>10</v>
      </c>
      <c r="F58" s="5038">
        <v>1.78</v>
      </c>
      <c r="G58" s="5039"/>
      <c r="H58" s="5012">
        <f>ROUND(F58*G58,2)</f>
        <v>0</v>
      </c>
      <c r="I58" s="5013" t="s">
        <v>137</v>
      </c>
      <c r="L58" s="2267"/>
      <c r="M58" s="1371"/>
      <c r="N58" s="1371"/>
      <c r="O58" s="1371"/>
      <c r="P58" s="1371"/>
      <c r="Q58" s="1371"/>
      <c r="R58" s="1371"/>
      <c r="S58" s="1371"/>
    </row>
    <row r="59" spans="1:121" s="612" customFormat="1" ht="13.5" customHeight="1">
      <c r="A59" s="5036">
        <v>18</v>
      </c>
      <c r="B59" s="5037" t="s">
        <v>362</v>
      </c>
      <c r="C59" s="5037" t="s">
        <v>2066</v>
      </c>
      <c r="D59" s="5037" t="s">
        <v>2067</v>
      </c>
      <c r="E59" s="5037" t="s">
        <v>69</v>
      </c>
      <c r="F59" s="5038">
        <f>F60</f>
        <v>16</v>
      </c>
      <c r="G59" s="5039"/>
      <c r="H59" s="5012">
        <f>ROUND(F59*G59,2)</f>
        <v>0</v>
      </c>
      <c r="I59" s="5013" t="s">
        <v>137</v>
      </c>
    </row>
    <row r="60" spans="1:121" s="1371" customFormat="1" ht="13.5" customHeight="1">
      <c r="A60" s="5040"/>
      <c r="B60" s="5041"/>
      <c r="C60" s="5020"/>
      <c r="D60" s="5015" t="s">
        <v>2068</v>
      </c>
      <c r="E60" s="5042"/>
      <c r="F60" s="5043">
        <v>16</v>
      </c>
      <c r="G60" s="5044"/>
      <c r="H60" s="5045"/>
      <c r="I60" s="5046"/>
      <c r="J60" s="2267"/>
      <c r="U60" s="2273"/>
      <c r="W60" s="2273"/>
    </row>
    <row r="61" spans="1:121" s="1371" customFormat="1" ht="27" customHeight="1">
      <c r="A61" s="5040"/>
      <c r="B61" s="5041"/>
      <c r="C61" s="5020"/>
      <c r="D61" s="5015" t="s">
        <v>2069</v>
      </c>
      <c r="E61" s="5042"/>
      <c r="F61" s="5043"/>
      <c r="G61" s="5044"/>
      <c r="H61" s="5045"/>
      <c r="I61" s="5046"/>
      <c r="J61" s="2267"/>
      <c r="U61" s="2273"/>
      <c r="W61" s="2273"/>
    </row>
    <row r="62" spans="1:121" s="612" customFormat="1" ht="13.5" customHeight="1">
      <c r="A62" s="5036"/>
      <c r="B62" s="5037"/>
      <c r="C62" s="5047">
        <v>733</v>
      </c>
      <c r="D62" s="5047" t="s">
        <v>2070</v>
      </c>
      <c r="E62" s="5047"/>
      <c r="F62" s="5048"/>
      <c r="G62" s="5049"/>
      <c r="H62" s="5050">
        <f>SUM(H63:H138)</f>
        <v>0</v>
      </c>
      <c r="I62" s="5013"/>
    </row>
    <row r="63" spans="1:121" s="612" customFormat="1" ht="13.5" customHeight="1">
      <c r="A63" s="5036">
        <v>19</v>
      </c>
      <c r="B63" s="5037">
        <v>271</v>
      </c>
      <c r="C63" s="5037" t="s">
        <v>2071</v>
      </c>
      <c r="D63" s="5037" t="s">
        <v>2072</v>
      </c>
      <c r="E63" s="5037" t="s">
        <v>141</v>
      </c>
      <c r="F63" s="5051">
        <f>ROUND(SUM(F64:F65),3)</f>
        <v>15.95</v>
      </c>
      <c r="G63" s="5039"/>
      <c r="H63" s="5012">
        <f>ROUND(F63*G63,2)</f>
        <v>0</v>
      </c>
      <c r="I63" s="5013" t="s">
        <v>112</v>
      </c>
      <c r="U63" s="827"/>
      <c r="V63" s="827"/>
      <c r="W63" s="827"/>
      <c r="X63" s="827"/>
    </row>
    <row r="64" spans="1:121" s="1371" customFormat="1" ht="13.5" customHeight="1">
      <c r="A64" s="5040"/>
      <c r="B64" s="5041"/>
      <c r="C64" s="5020"/>
      <c r="D64" s="5042" t="s">
        <v>2073</v>
      </c>
      <c r="E64" s="5042"/>
      <c r="F64" s="5043">
        <f xml:space="preserve"> (13.5)*1.1</f>
        <v>14.850000000000001</v>
      </c>
      <c r="G64" s="5044"/>
      <c r="H64" s="5045"/>
      <c r="I64" s="5046"/>
      <c r="J64" s="177"/>
      <c r="K64" s="177"/>
      <c r="U64" s="2273"/>
      <c r="W64" s="2273"/>
    </row>
    <row r="65" spans="1:23" s="1371" customFormat="1" ht="13.5" customHeight="1">
      <c r="A65" s="5040"/>
      <c r="B65" s="5041"/>
      <c r="C65" s="5020"/>
      <c r="D65" s="5042" t="s">
        <v>2074</v>
      </c>
      <c r="E65" s="5042"/>
      <c r="F65" s="5043">
        <f>(1)*1.1</f>
        <v>1.1000000000000001</v>
      </c>
      <c r="G65" s="5044"/>
      <c r="H65" s="5045"/>
      <c r="I65" s="5046"/>
      <c r="J65" s="2275"/>
      <c r="U65" s="2273"/>
      <c r="W65" s="2273"/>
    </row>
    <row r="66" spans="1:23" s="1371" customFormat="1" ht="13.5" customHeight="1">
      <c r="A66" s="5040"/>
      <c r="B66" s="5041"/>
      <c r="C66" s="5020"/>
      <c r="D66" s="5042" t="s">
        <v>2075</v>
      </c>
      <c r="E66" s="5042"/>
      <c r="F66" s="5043"/>
      <c r="G66" s="5044"/>
      <c r="H66" s="5045"/>
      <c r="I66" s="5046"/>
      <c r="U66" s="2273"/>
      <c r="W66" s="2273"/>
    </row>
    <row r="67" spans="1:23" s="612" customFormat="1" ht="13.5" customHeight="1">
      <c r="A67" s="5036">
        <v>20</v>
      </c>
      <c r="B67" s="5037">
        <v>271</v>
      </c>
      <c r="C67" s="5037" t="s">
        <v>2076</v>
      </c>
      <c r="D67" s="5037" t="s">
        <v>2077</v>
      </c>
      <c r="E67" s="5037" t="s">
        <v>141</v>
      </c>
      <c r="F67" s="5051">
        <f>ROUND(SUM(F68),3)</f>
        <v>14.5</v>
      </c>
      <c r="G67" s="5039"/>
      <c r="H67" s="5012">
        <f>ROUND(F67*G67,2)</f>
        <v>0</v>
      </c>
      <c r="I67" s="5013" t="s">
        <v>112</v>
      </c>
      <c r="J67" s="154"/>
    </row>
    <row r="68" spans="1:23" s="1371" customFormat="1" ht="13.5" customHeight="1">
      <c r="A68" s="5040"/>
      <c r="B68" s="5041"/>
      <c r="C68" s="5020"/>
      <c r="D68" s="5015" t="s">
        <v>2078</v>
      </c>
      <c r="E68" s="5042"/>
      <c r="F68" s="5043">
        <f>(13.5+1)</f>
        <v>14.5</v>
      </c>
      <c r="G68" s="5044"/>
      <c r="H68" s="5045"/>
      <c r="I68" s="5046"/>
      <c r="J68" s="2267"/>
      <c r="M68" s="2267"/>
      <c r="U68" s="2273"/>
      <c r="W68" s="2273"/>
    </row>
    <row r="69" spans="1:23" s="2206" customFormat="1" ht="40.5" customHeight="1">
      <c r="A69" s="5052"/>
      <c r="B69" s="5053"/>
      <c r="C69" s="5026"/>
      <c r="D69" s="5054" t="s">
        <v>2079</v>
      </c>
      <c r="E69" s="5027"/>
      <c r="F69" s="5028"/>
      <c r="G69" s="5055"/>
      <c r="H69" s="5045"/>
      <c r="I69" s="5046"/>
    </row>
    <row r="70" spans="1:23" s="1371" customFormat="1" ht="13.5" customHeight="1">
      <c r="A70" s="5040"/>
      <c r="B70" s="5041"/>
      <c r="C70" s="5020"/>
      <c r="D70" s="5015" t="s">
        <v>2080</v>
      </c>
      <c r="E70" s="5042"/>
      <c r="F70" s="5043"/>
      <c r="G70" s="5044"/>
      <c r="H70" s="5045"/>
      <c r="I70" s="5046"/>
      <c r="J70" s="2280"/>
      <c r="U70" s="2273"/>
      <c r="W70" s="2273"/>
    </row>
    <row r="71" spans="1:23" ht="13.5" customHeight="1">
      <c r="A71" s="5007">
        <v>21</v>
      </c>
      <c r="B71" s="5009">
        <v>731</v>
      </c>
      <c r="C71" s="5009" t="s">
        <v>2081</v>
      </c>
      <c r="D71" s="5009" t="s">
        <v>2082</v>
      </c>
      <c r="E71" s="5009" t="s">
        <v>141</v>
      </c>
      <c r="F71" s="5056">
        <f>ROUND(SUM(F73),3)</f>
        <v>449.21800000000002</v>
      </c>
      <c r="G71" s="5011"/>
      <c r="H71" s="5012">
        <f>ROUND(F71*G71,2)</f>
        <v>0</v>
      </c>
      <c r="I71" s="5013" t="s">
        <v>112</v>
      </c>
      <c r="J71" s="2282"/>
      <c r="L71" s="2283"/>
      <c r="S71" s="2284"/>
    </row>
    <row r="72" spans="1:23" ht="39" customHeight="1">
      <c r="A72" s="5007"/>
      <c r="B72" s="5009"/>
      <c r="C72" s="5009"/>
      <c r="D72" s="5027" t="s">
        <v>2083</v>
      </c>
      <c r="E72" s="5003"/>
      <c r="F72" s="5057"/>
      <c r="G72" s="5011"/>
      <c r="H72" s="5058"/>
      <c r="I72" s="5059"/>
      <c r="J72" s="2287"/>
      <c r="K72" s="2288"/>
      <c r="L72" s="2289"/>
      <c r="M72" s="2288"/>
      <c r="N72" s="2288"/>
      <c r="O72" s="2288"/>
      <c r="P72" s="2288"/>
      <c r="Q72" s="2288"/>
      <c r="R72" s="2288"/>
      <c r="S72" s="2290"/>
      <c r="T72" s="2288"/>
      <c r="U72" s="2290"/>
    </row>
    <row r="73" spans="1:23" ht="13.5" customHeight="1">
      <c r="A73" s="5007"/>
      <c r="B73" s="5009"/>
      <c r="C73" s="5009"/>
      <c r="D73" s="5027" t="s">
        <v>2084</v>
      </c>
      <c r="E73" s="5003"/>
      <c r="F73" s="5028">
        <f>(12.25+237.89+158.24)*1.1</f>
        <v>449.21800000000002</v>
      </c>
      <c r="G73" s="5011"/>
      <c r="H73" s="5058"/>
      <c r="I73" s="5059"/>
      <c r="J73" s="2291"/>
      <c r="K73" s="2283"/>
      <c r="R73" s="2288"/>
      <c r="S73" s="2290"/>
      <c r="T73" s="2288"/>
      <c r="U73" s="2290"/>
    </row>
    <row r="74" spans="1:23" ht="27.75" customHeight="1">
      <c r="A74" s="5007"/>
      <c r="B74" s="5009"/>
      <c r="C74" s="5009"/>
      <c r="D74" s="5027" t="s">
        <v>2085</v>
      </c>
      <c r="E74" s="5009"/>
      <c r="F74" s="5010"/>
      <c r="G74" s="5011"/>
      <c r="H74" s="5030"/>
      <c r="I74" s="5060"/>
      <c r="J74" s="156"/>
      <c r="S74" s="2284"/>
    </row>
    <row r="75" spans="1:23" ht="13.5" customHeight="1">
      <c r="A75" s="5007">
        <v>22</v>
      </c>
      <c r="B75" s="5009">
        <v>731</v>
      </c>
      <c r="C75" s="5009" t="s">
        <v>2086</v>
      </c>
      <c r="D75" s="5009" t="s">
        <v>2087</v>
      </c>
      <c r="E75" s="5009" t="s">
        <v>141</v>
      </c>
      <c r="F75" s="5056">
        <f>ROUND(SUM(F77),3)</f>
        <v>98.713999999999999</v>
      </c>
      <c r="G75" s="5011"/>
      <c r="H75" s="5012">
        <f>ROUND(F75*G75,2)</f>
        <v>0</v>
      </c>
      <c r="I75" s="5013" t="s">
        <v>112</v>
      </c>
      <c r="J75" s="2282"/>
      <c r="L75" s="2283"/>
      <c r="S75" s="2284"/>
    </row>
    <row r="76" spans="1:23" ht="39" customHeight="1">
      <c r="A76" s="5007"/>
      <c r="B76" s="5009"/>
      <c r="C76" s="5009"/>
      <c r="D76" s="5027" t="s">
        <v>2083</v>
      </c>
      <c r="E76" s="5003"/>
      <c r="F76" s="5057"/>
      <c r="G76" s="5011"/>
      <c r="H76" s="5058"/>
      <c r="I76" s="5059"/>
      <c r="J76" s="2287"/>
      <c r="K76" s="2288"/>
      <c r="L76" s="2289"/>
      <c r="M76" s="2288"/>
      <c r="N76" s="2288"/>
      <c r="O76" s="2288"/>
      <c r="P76" s="2288"/>
      <c r="Q76" s="2288"/>
      <c r="R76" s="2288"/>
      <c r="S76" s="2290"/>
      <c r="T76" s="2288"/>
      <c r="U76" s="2290"/>
    </row>
    <row r="77" spans="1:23" ht="13.5" customHeight="1">
      <c r="A77" s="5007"/>
      <c r="B77" s="5009"/>
      <c r="C77" s="5009"/>
      <c r="D77" s="5027" t="s">
        <v>2088</v>
      </c>
      <c r="E77" s="5003"/>
      <c r="F77" s="5028">
        <f>(25.75+63.99)*1.1</f>
        <v>98.714000000000013</v>
      </c>
      <c r="G77" s="5011"/>
      <c r="H77" s="5058"/>
      <c r="I77" s="5059"/>
      <c r="J77" s="2291"/>
      <c r="K77" s="2283"/>
      <c r="R77" s="2288"/>
      <c r="S77" s="2290"/>
      <c r="T77" s="2288"/>
      <c r="U77" s="2290"/>
    </row>
    <row r="78" spans="1:23" ht="27.75" customHeight="1">
      <c r="A78" s="5007"/>
      <c r="B78" s="5009"/>
      <c r="C78" s="5009"/>
      <c r="D78" s="5027" t="s">
        <v>2085</v>
      </c>
      <c r="E78" s="5009"/>
      <c r="F78" s="5010"/>
      <c r="G78" s="5011"/>
      <c r="H78" s="5030"/>
      <c r="I78" s="5060"/>
      <c r="J78" s="156"/>
      <c r="S78" s="2284"/>
    </row>
    <row r="79" spans="1:23" ht="13.5" customHeight="1">
      <c r="A79" s="5007">
        <v>23</v>
      </c>
      <c r="B79" s="5009">
        <v>731</v>
      </c>
      <c r="C79" s="5009" t="s">
        <v>2089</v>
      </c>
      <c r="D79" s="5009" t="s">
        <v>2090</v>
      </c>
      <c r="E79" s="5009" t="s">
        <v>141</v>
      </c>
      <c r="F79" s="5056">
        <f>ROUND(SUM(F81),3)</f>
        <v>60.741999999999997</v>
      </c>
      <c r="G79" s="5011"/>
      <c r="H79" s="5012">
        <f>ROUND(F79*G79,2)</f>
        <v>0</v>
      </c>
      <c r="I79" s="5013" t="s">
        <v>112</v>
      </c>
      <c r="J79" s="2282"/>
      <c r="L79" s="2283"/>
      <c r="S79" s="2284"/>
    </row>
    <row r="80" spans="1:23" ht="39" customHeight="1">
      <c r="A80" s="5007"/>
      <c r="B80" s="5009"/>
      <c r="C80" s="5009"/>
      <c r="D80" s="5027" t="s">
        <v>2083</v>
      </c>
      <c r="E80" s="5003"/>
      <c r="F80" s="5057"/>
      <c r="G80" s="5011"/>
      <c r="H80" s="5058"/>
      <c r="I80" s="5059"/>
      <c r="J80" s="2287"/>
      <c r="K80" s="2288"/>
      <c r="L80" s="2289"/>
      <c r="M80" s="2288"/>
      <c r="N80" s="2288"/>
      <c r="O80" s="2288"/>
      <c r="P80" s="2288"/>
      <c r="Q80" s="2288"/>
      <c r="R80" s="2288"/>
      <c r="S80" s="2290"/>
      <c r="T80" s="2288"/>
      <c r="U80" s="2290"/>
    </row>
    <row r="81" spans="1:21" ht="13.5" customHeight="1">
      <c r="A81" s="5007"/>
      <c r="B81" s="5009"/>
      <c r="C81" s="5009"/>
      <c r="D81" s="5027" t="s">
        <v>2091</v>
      </c>
      <c r="E81" s="5003"/>
      <c r="F81" s="5028">
        <f>(54.65+0.57)*1.1</f>
        <v>60.742000000000004</v>
      </c>
      <c r="G81" s="5011"/>
      <c r="H81" s="5058"/>
      <c r="I81" s="5059"/>
      <c r="J81" s="2291"/>
      <c r="K81" s="2283"/>
      <c r="R81" s="2288"/>
      <c r="S81" s="2290"/>
      <c r="T81" s="2288"/>
      <c r="U81" s="2290"/>
    </row>
    <row r="82" spans="1:21" ht="27.75" customHeight="1">
      <c r="A82" s="5007"/>
      <c r="B82" s="5009"/>
      <c r="C82" s="5009"/>
      <c r="D82" s="5027" t="s">
        <v>2085</v>
      </c>
      <c r="E82" s="5009"/>
      <c r="F82" s="5010"/>
      <c r="G82" s="5011"/>
      <c r="H82" s="5030"/>
      <c r="I82" s="5060"/>
      <c r="J82" s="156"/>
      <c r="S82" s="2284"/>
    </row>
    <row r="83" spans="1:21" ht="13.5" customHeight="1">
      <c r="A83" s="5007">
        <v>24</v>
      </c>
      <c r="B83" s="5009">
        <v>731</v>
      </c>
      <c r="C83" s="5009" t="s">
        <v>2092</v>
      </c>
      <c r="D83" s="5009" t="s">
        <v>2093</v>
      </c>
      <c r="E83" s="5009" t="s">
        <v>141</v>
      </c>
      <c r="F83" s="5056">
        <f>ROUND(SUM(F85),3)</f>
        <v>17.666</v>
      </c>
      <c r="G83" s="5011"/>
      <c r="H83" s="5012">
        <f>ROUND(F83*G83,2)</f>
        <v>0</v>
      </c>
      <c r="I83" s="5013" t="s">
        <v>112</v>
      </c>
      <c r="J83" s="2282"/>
      <c r="L83" s="2283"/>
      <c r="S83" s="2284"/>
    </row>
    <row r="84" spans="1:21" ht="39" customHeight="1">
      <c r="A84" s="5007"/>
      <c r="B84" s="5009"/>
      <c r="C84" s="5009"/>
      <c r="D84" s="5027" t="s">
        <v>2083</v>
      </c>
      <c r="E84" s="5003"/>
      <c r="F84" s="5057"/>
      <c r="G84" s="5011"/>
      <c r="H84" s="5058"/>
      <c r="I84" s="5059"/>
      <c r="J84" s="2287"/>
      <c r="K84" s="2288"/>
      <c r="L84" s="2289"/>
      <c r="M84" s="2288"/>
      <c r="N84" s="2288"/>
      <c r="O84" s="2288"/>
      <c r="P84" s="2288"/>
      <c r="Q84" s="2288"/>
      <c r="R84" s="2288"/>
      <c r="S84" s="2290"/>
      <c r="T84" s="2288"/>
      <c r="U84" s="2290"/>
    </row>
    <row r="85" spans="1:21" ht="13.5" customHeight="1">
      <c r="A85" s="5007"/>
      <c r="B85" s="5009"/>
      <c r="C85" s="5009"/>
      <c r="D85" s="5027" t="s">
        <v>2094</v>
      </c>
      <c r="E85" s="5003"/>
      <c r="F85" s="5028">
        <f>(16.06)*1.1</f>
        <v>17.666</v>
      </c>
      <c r="G85" s="5011"/>
      <c r="H85" s="5058"/>
      <c r="I85" s="5059"/>
      <c r="J85" s="2291"/>
      <c r="K85" s="2283"/>
      <c r="R85" s="2288"/>
      <c r="S85" s="2290"/>
      <c r="T85" s="2288"/>
      <c r="U85" s="2290"/>
    </row>
    <row r="86" spans="1:21" ht="27.75" customHeight="1">
      <c r="A86" s="5007"/>
      <c r="B86" s="5009"/>
      <c r="C86" s="5009"/>
      <c r="D86" s="5027" t="s">
        <v>2085</v>
      </c>
      <c r="E86" s="5009"/>
      <c r="F86" s="5010"/>
      <c r="G86" s="5011"/>
      <c r="H86" s="5030"/>
      <c r="I86" s="5060"/>
      <c r="J86" s="156"/>
      <c r="S86" s="2284"/>
    </row>
    <row r="87" spans="1:21" ht="13.5" customHeight="1">
      <c r="A87" s="5007">
        <v>25</v>
      </c>
      <c r="B87" s="5009">
        <v>731</v>
      </c>
      <c r="C87" s="5009" t="s">
        <v>2095</v>
      </c>
      <c r="D87" s="5009" t="s">
        <v>2096</v>
      </c>
      <c r="E87" s="5009" t="s">
        <v>141</v>
      </c>
      <c r="F87" s="5056">
        <f>ROUND(SUM(F89),3)</f>
        <v>55.55</v>
      </c>
      <c r="G87" s="5011"/>
      <c r="H87" s="5012">
        <f>ROUND(F87*G87,2)</f>
        <v>0</v>
      </c>
      <c r="I87" s="5013" t="s">
        <v>112</v>
      </c>
      <c r="J87" s="2282"/>
      <c r="L87" s="2283"/>
      <c r="S87" s="2284"/>
    </row>
    <row r="88" spans="1:21" ht="39" customHeight="1">
      <c r="A88" s="5007"/>
      <c r="B88" s="5009"/>
      <c r="C88" s="5009"/>
      <c r="D88" s="5027" t="s">
        <v>2083</v>
      </c>
      <c r="E88" s="5003"/>
      <c r="F88" s="5057"/>
      <c r="G88" s="5011"/>
      <c r="H88" s="5058"/>
      <c r="I88" s="5059"/>
      <c r="J88" s="2287"/>
      <c r="K88" s="2288"/>
      <c r="L88" s="2289"/>
      <c r="M88" s="2288"/>
      <c r="N88" s="2288"/>
      <c r="O88" s="2288"/>
      <c r="P88" s="2288"/>
      <c r="Q88" s="2288"/>
      <c r="R88" s="2288"/>
      <c r="S88" s="2290"/>
      <c r="T88" s="2288"/>
      <c r="U88" s="2290"/>
    </row>
    <row r="89" spans="1:21" ht="13.5" customHeight="1">
      <c r="A89" s="5007"/>
      <c r="B89" s="5009"/>
      <c r="C89" s="5009"/>
      <c r="D89" s="5027" t="s">
        <v>2097</v>
      </c>
      <c r="E89" s="5003"/>
      <c r="F89" s="5028">
        <f>(50.5)*1.1</f>
        <v>55.550000000000004</v>
      </c>
      <c r="G89" s="5011"/>
      <c r="H89" s="5058"/>
      <c r="I89" s="5059"/>
      <c r="J89" s="2291"/>
      <c r="K89" s="2283"/>
      <c r="R89" s="2288"/>
      <c r="S89" s="2290"/>
      <c r="T89" s="2288"/>
      <c r="U89" s="2290"/>
    </row>
    <row r="90" spans="1:21" ht="27.75" customHeight="1">
      <c r="A90" s="5007"/>
      <c r="B90" s="5009"/>
      <c r="C90" s="5009"/>
      <c r="D90" s="5027" t="s">
        <v>2085</v>
      </c>
      <c r="E90" s="5009"/>
      <c r="F90" s="5010"/>
      <c r="G90" s="5011"/>
      <c r="H90" s="5030"/>
      <c r="I90" s="5060"/>
      <c r="J90" s="156"/>
      <c r="S90" s="2284"/>
    </row>
    <row r="91" spans="1:21" ht="13.5" customHeight="1">
      <c r="A91" s="5007">
        <v>26</v>
      </c>
      <c r="B91" s="5009">
        <v>731</v>
      </c>
      <c r="C91" s="5009" t="s">
        <v>2098</v>
      </c>
      <c r="D91" s="5009" t="s">
        <v>2099</v>
      </c>
      <c r="E91" s="5009" t="s">
        <v>141</v>
      </c>
      <c r="F91" s="5056">
        <f>ROUND(SUM(F93),3)</f>
        <v>47.607999999999997</v>
      </c>
      <c r="G91" s="5011"/>
      <c r="H91" s="5012">
        <f>ROUND(F91*G91,2)</f>
        <v>0</v>
      </c>
      <c r="I91" s="5013" t="s">
        <v>112</v>
      </c>
      <c r="J91" s="2282"/>
      <c r="L91" s="2283"/>
      <c r="S91" s="2284"/>
    </row>
    <row r="92" spans="1:21" ht="39" customHeight="1">
      <c r="A92" s="5007"/>
      <c r="B92" s="5009"/>
      <c r="C92" s="5009"/>
      <c r="D92" s="5027" t="s">
        <v>2083</v>
      </c>
      <c r="E92" s="5003"/>
      <c r="F92" s="5057"/>
      <c r="G92" s="5011"/>
      <c r="H92" s="5058"/>
      <c r="I92" s="5059"/>
      <c r="J92" s="2287"/>
      <c r="K92" s="2288"/>
      <c r="L92" s="2289"/>
      <c r="M92" s="2288"/>
      <c r="N92" s="2288"/>
      <c r="O92" s="2288"/>
      <c r="P92" s="2288"/>
      <c r="Q92" s="2288"/>
      <c r="R92" s="2288"/>
      <c r="S92" s="2290"/>
      <c r="T92" s="2288"/>
      <c r="U92" s="2290"/>
    </row>
    <row r="93" spans="1:21" ht="13.5" customHeight="1">
      <c r="A93" s="5007"/>
      <c r="B93" s="5009"/>
      <c r="C93" s="5009"/>
      <c r="D93" s="5027" t="s">
        <v>2100</v>
      </c>
      <c r="E93" s="5003"/>
      <c r="F93" s="5028">
        <f>(43.28)*1.1</f>
        <v>47.608000000000004</v>
      </c>
      <c r="G93" s="5011"/>
      <c r="H93" s="5058"/>
      <c r="I93" s="5059"/>
      <c r="J93" s="2291"/>
      <c r="K93" s="2283"/>
      <c r="R93" s="2288"/>
      <c r="S93" s="2290"/>
      <c r="T93" s="2288"/>
      <c r="U93" s="2290"/>
    </row>
    <row r="94" spans="1:21" ht="27.75" customHeight="1">
      <c r="A94" s="5007"/>
      <c r="B94" s="5009"/>
      <c r="C94" s="5009"/>
      <c r="D94" s="5027" t="s">
        <v>2085</v>
      </c>
      <c r="E94" s="5009"/>
      <c r="F94" s="5010"/>
      <c r="G94" s="5011"/>
      <c r="H94" s="5030"/>
      <c r="I94" s="5060"/>
      <c r="J94" s="2288"/>
      <c r="S94" s="2284"/>
    </row>
    <row r="95" spans="1:21" ht="13.5" customHeight="1">
      <c r="A95" s="5007">
        <v>27</v>
      </c>
      <c r="B95" s="5009">
        <v>731</v>
      </c>
      <c r="C95" s="5009" t="s">
        <v>2101</v>
      </c>
      <c r="D95" s="5009" t="s">
        <v>2102</v>
      </c>
      <c r="E95" s="5009" t="s">
        <v>141</v>
      </c>
      <c r="F95" s="5056">
        <f>ROUND(SUM(F97),3)</f>
        <v>50.149000000000001</v>
      </c>
      <c r="G95" s="5011"/>
      <c r="H95" s="5012">
        <f>ROUND(F95*G95,2)</f>
        <v>0</v>
      </c>
      <c r="I95" s="5013" t="s">
        <v>112</v>
      </c>
      <c r="J95" s="2282"/>
      <c r="L95" s="2283"/>
      <c r="S95" s="2284"/>
    </row>
    <row r="96" spans="1:21" ht="39" customHeight="1">
      <c r="A96" s="5007"/>
      <c r="B96" s="5009"/>
      <c r="C96" s="5009"/>
      <c r="D96" s="5027" t="s">
        <v>2083</v>
      </c>
      <c r="E96" s="5003"/>
      <c r="F96" s="5057"/>
      <c r="G96" s="5011"/>
      <c r="H96" s="5058"/>
      <c r="I96" s="5059"/>
      <c r="J96" s="2287"/>
      <c r="K96" s="2288"/>
      <c r="L96" s="2289"/>
      <c r="M96" s="2288"/>
      <c r="N96" s="2288"/>
      <c r="O96" s="2288"/>
      <c r="P96" s="2288"/>
      <c r="Q96" s="2288"/>
      <c r="R96" s="2288"/>
      <c r="S96" s="2290"/>
      <c r="T96" s="2288"/>
      <c r="U96" s="2290"/>
    </row>
    <row r="97" spans="1:92" ht="13.5" customHeight="1">
      <c r="A97" s="5007"/>
      <c r="B97" s="5009"/>
      <c r="C97" s="5009"/>
      <c r="D97" s="5027" t="s">
        <v>2103</v>
      </c>
      <c r="E97" s="5003"/>
      <c r="F97" s="5028">
        <f xml:space="preserve"> (45.59)*1.1</f>
        <v>50.149000000000008</v>
      </c>
      <c r="G97" s="5011"/>
      <c r="H97" s="5058"/>
      <c r="I97" s="5059"/>
      <c r="J97" s="2291"/>
      <c r="K97" s="2283"/>
      <c r="R97" s="2288"/>
      <c r="S97" s="2290"/>
      <c r="T97" s="2288"/>
      <c r="U97" s="2290"/>
    </row>
    <row r="98" spans="1:92" ht="27.75" customHeight="1">
      <c r="A98" s="5007"/>
      <c r="B98" s="5009"/>
      <c r="C98" s="5009"/>
      <c r="D98" s="5027" t="s">
        <v>2085</v>
      </c>
      <c r="E98" s="5009"/>
      <c r="F98" s="5010"/>
      <c r="G98" s="5011"/>
      <c r="H98" s="5030"/>
      <c r="I98" s="5060"/>
      <c r="J98" s="156"/>
      <c r="S98" s="2284"/>
    </row>
    <row r="99" spans="1:92" ht="13.5" customHeight="1">
      <c r="A99" s="5007">
        <v>28</v>
      </c>
      <c r="B99" s="5009">
        <v>731</v>
      </c>
      <c r="C99" s="5009" t="s">
        <v>2104</v>
      </c>
      <c r="D99" s="5009" t="s">
        <v>2105</v>
      </c>
      <c r="E99" s="5009" t="s">
        <v>141</v>
      </c>
      <c r="F99" s="5056">
        <f>ROUND(SUM(F101),3)</f>
        <v>15.73</v>
      </c>
      <c r="G99" s="5011"/>
      <c r="H99" s="5012">
        <f>ROUND(F99*G99,2)</f>
        <v>0</v>
      </c>
      <c r="I99" s="5013" t="s">
        <v>112</v>
      </c>
      <c r="J99" s="2282"/>
      <c r="L99" s="2283"/>
      <c r="S99" s="2284"/>
    </row>
    <row r="100" spans="1:92" ht="39" customHeight="1">
      <c r="A100" s="5007"/>
      <c r="B100" s="5009"/>
      <c r="C100" s="5009"/>
      <c r="D100" s="5027" t="s">
        <v>2083</v>
      </c>
      <c r="E100" s="5003"/>
      <c r="F100" s="5057"/>
      <c r="G100" s="5011"/>
      <c r="H100" s="5058"/>
      <c r="I100" s="5059"/>
      <c r="J100" s="2287"/>
      <c r="K100" s="2288"/>
      <c r="L100" s="2289"/>
      <c r="M100" s="2288"/>
      <c r="N100" s="2288"/>
      <c r="O100" s="2288"/>
      <c r="P100" s="2288"/>
      <c r="Q100" s="2288"/>
      <c r="R100" s="2288"/>
      <c r="S100" s="2290"/>
      <c r="T100" s="2288"/>
      <c r="U100" s="2290"/>
    </row>
    <row r="101" spans="1:92" s="2292" customFormat="1" ht="13.5" customHeight="1">
      <c r="A101" s="5007"/>
      <c r="B101" s="5009"/>
      <c r="C101" s="5009"/>
      <c r="D101" s="5027" t="s">
        <v>2106</v>
      </c>
      <c r="E101" s="5003"/>
      <c r="F101" s="5028">
        <f>(14.3)*1.1</f>
        <v>15.730000000000002</v>
      </c>
      <c r="G101" s="5011"/>
      <c r="H101" s="5058"/>
      <c r="I101" s="5059"/>
      <c r="J101" s="2291"/>
      <c r="K101" s="2283"/>
      <c r="L101" s="2202"/>
      <c r="M101" s="2202"/>
      <c r="N101" s="2202"/>
      <c r="O101" s="2202"/>
      <c r="P101" s="2202"/>
      <c r="Q101" s="2202"/>
      <c r="R101" s="2288"/>
      <c r="S101" s="2290"/>
      <c r="T101" s="2288"/>
      <c r="U101" s="2290"/>
      <c r="V101" s="2202"/>
      <c r="W101" s="2202"/>
      <c r="X101" s="2202"/>
      <c r="Y101" s="2202"/>
      <c r="Z101" s="2202"/>
      <c r="AA101" s="2202"/>
      <c r="AB101" s="2202"/>
      <c r="AC101" s="2202"/>
      <c r="AD101" s="2202"/>
      <c r="AE101" s="2202"/>
      <c r="AF101" s="2202"/>
      <c r="AG101" s="2202"/>
      <c r="AH101" s="2202"/>
      <c r="AI101" s="2202"/>
      <c r="AJ101" s="2202"/>
      <c r="AK101" s="2202"/>
      <c r="AL101" s="2202"/>
      <c r="AM101" s="2202"/>
      <c r="AN101" s="2202"/>
      <c r="AO101" s="2202"/>
      <c r="AP101" s="2202"/>
      <c r="AQ101" s="2202"/>
      <c r="AR101" s="2202"/>
      <c r="AS101" s="2202"/>
      <c r="AT101" s="2202"/>
      <c r="AU101" s="2202"/>
      <c r="AV101" s="2202"/>
      <c r="AW101" s="2202"/>
      <c r="AX101" s="2202"/>
      <c r="AY101" s="2202"/>
      <c r="AZ101" s="2202"/>
      <c r="BA101" s="2202"/>
      <c r="BB101" s="2202"/>
      <c r="BC101" s="2202"/>
      <c r="BD101" s="2202"/>
      <c r="BE101" s="2202"/>
      <c r="BF101" s="2202"/>
      <c r="BG101" s="2202"/>
      <c r="BH101" s="2202"/>
      <c r="BI101" s="2202"/>
      <c r="BJ101" s="2202"/>
      <c r="BK101" s="2202"/>
      <c r="BL101" s="2202"/>
      <c r="BM101" s="2202"/>
      <c r="BN101" s="2202"/>
      <c r="BO101" s="2202"/>
      <c r="BP101" s="2202"/>
      <c r="BQ101" s="2202"/>
      <c r="BR101" s="2202"/>
      <c r="BS101" s="2202"/>
      <c r="BT101" s="2202"/>
      <c r="BU101" s="2202"/>
      <c r="BV101" s="2202"/>
      <c r="BW101" s="2202"/>
      <c r="BX101" s="2202"/>
      <c r="BY101" s="2202"/>
      <c r="BZ101" s="2202"/>
      <c r="CA101" s="2202"/>
      <c r="CB101" s="2202"/>
      <c r="CC101" s="2202"/>
      <c r="CD101" s="2202"/>
      <c r="CE101" s="2202"/>
      <c r="CF101" s="2202"/>
      <c r="CG101" s="2202"/>
      <c r="CH101" s="2202"/>
      <c r="CI101" s="2202"/>
      <c r="CJ101" s="2202"/>
      <c r="CK101" s="2202"/>
      <c r="CL101" s="2202"/>
      <c r="CM101" s="2202"/>
      <c r="CN101" s="2202"/>
    </row>
    <row r="102" spans="1:92" s="2292" customFormat="1" ht="27.75" customHeight="1">
      <c r="A102" s="5007"/>
      <c r="B102" s="5009"/>
      <c r="C102" s="5009"/>
      <c r="D102" s="5027" t="s">
        <v>2085</v>
      </c>
      <c r="E102" s="5009"/>
      <c r="F102" s="5010"/>
      <c r="G102" s="5011"/>
      <c r="H102" s="5030"/>
      <c r="I102" s="5060"/>
      <c r="J102" s="2288"/>
      <c r="K102" s="2202"/>
      <c r="L102" s="2202"/>
      <c r="M102" s="2202"/>
      <c r="N102" s="2202"/>
      <c r="O102" s="2202"/>
      <c r="P102" s="2202"/>
      <c r="Q102" s="2202"/>
      <c r="R102" s="2202"/>
      <c r="S102" s="2284"/>
      <c r="T102" s="2202"/>
      <c r="U102" s="2202"/>
      <c r="V102" s="2202"/>
      <c r="W102" s="2202"/>
      <c r="X102" s="2202"/>
      <c r="Y102" s="2202"/>
      <c r="Z102" s="2202"/>
      <c r="AA102" s="2202"/>
      <c r="AB102" s="2202"/>
      <c r="AC102" s="2202"/>
      <c r="AD102" s="2202"/>
      <c r="AE102" s="2202"/>
      <c r="AF102" s="2202"/>
      <c r="AG102" s="2202"/>
      <c r="AH102" s="2202"/>
      <c r="AI102" s="2202"/>
      <c r="AJ102" s="2202"/>
      <c r="AK102" s="2202"/>
      <c r="AL102" s="2202"/>
      <c r="AM102" s="2202"/>
      <c r="AN102" s="2202"/>
      <c r="AO102" s="2202"/>
      <c r="AP102" s="2202"/>
      <c r="AQ102" s="2202"/>
      <c r="AR102" s="2202"/>
      <c r="AS102" s="2202"/>
      <c r="AT102" s="2202"/>
      <c r="AU102" s="2202"/>
      <c r="AV102" s="2202"/>
      <c r="AW102" s="2202"/>
      <c r="AX102" s="2202"/>
      <c r="AY102" s="2202"/>
      <c r="AZ102" s="2202"/>
      <c r="BA102" s="2202"/>
      <c r="BB102" s="2202"/>
      <c r="BC102" s="2202"/>
      <c r="BD102" s="2202"/>
      <c r="BE102" s="2202"/>
      <c r="BF102" s="2202"/>
      <c r="BG102" s="2202"/>
      <c r="BH102" s="2202"/>
      <c r="BI102" s="2202"/>
      <c r="BJ102" s="2202"/>
      <c r="BK102" s="2202"/>
      <c r="BL102" s="2202"/>
      <c r="BM102" s="2202"/>
      <c r="BN102" s="2202"/>
      <c r="BO102" s="2202"/>
      <c r="BP102" s="2202"/>
      <c r="BQ102" s="2202"/>
      <c r="BR102" s="2202"/>
      <c r="BS102" s="2202"/>
      <c r="BT102" s="2202"/>
      <c r="BU102" s="2202"/>
      <c r="BV102" s="2202"/>
      <c r="BW102" s="2202"/>
      <c r="BX102" s="2202"/>
      <c r="BY102" s="2202"/>
      <c r="BZ102" s="2202"/>
      <c r="CA102" s="2202"/>
      <c r="CB102" s="2202"/>
      <c r="CC102" s="2202"/>
      <c r="CD102" s="2202"/>
      <c r="CE102" s="2202"/>
      <c r="CF102" s="2202"/>
      <c r="CG102" s="2202"/>
      <c r="CH102" s="2202"/>
      <c r="CI102" s="2202"/>
      <c r="CJ102" s="2202"/>
      <c r="CK102" s="2202"/>
      <c r="CL102" s="2202"/>
      <c r="CM102" s="2202"/>
      <c r="CN102" s="2202"/>
    </row>
    <row r="103" spans="1:92" s="2206" customFormat="1" ht="13.5" customHeight="1">
      <c r="A103" s="5007">
        <v>29</v>
      </c>
      <c r="B103" s="5009">
        <v>731</v>
      </c>
      <c r="C103" s="5009" t="s">
        <v>2107</v>
      </c>
      <c r="D103" s="5009" t="s">
        <v>2108</v>
      </c>
      <c r="E103" s="5009" t="s">
        <v>141</v>
      </c>
      <c r="F103" s="5056">
        <f>ROUND(SUM(F105:F105),3)</f>
        <v>723.07</v>
      </c>
      <c r="G103" s="5011"/>
      <c r="H103" s="5012">
        <f>ROUND(F103*G103,2)</f>
        <v>0</v>
      </c>
      <c r="I103" s="5013" t="s">
        <v>112</v>
      </c>
      <c r="J103" s="2293"/>
      <c r="K103" s="2294"/>
      <c r="R103" s="2295"/>
    </row>
    <row r="104" spans="1:92" s="2206" customFormat="1" ht="13.5" customHeight="1">
      <c r="A104" s="5007"/>
      <c r="B104" s="5009"/>
      <c r="C104" s="5009"/>
      <c r="D104" s="5027" t="s">
        <v>2109</v>
      </c>
      <c r="E104" s="5061"/>
      <c r="F104" s="5028"/>
      <c r="G104" s="5011"/>
      <c r="H104" s="5030"/>
      <c r="I104" s="5062"/>
      <c r="J104" s="2298"/>
      <c r="K104" s="2294"/>
      <c r="R104" s="2295"/>
    </row>
    <row r="105" spans="1:92" s="2206" customFormat="1" ht="27" customHeight="1">
      <c r="A105" s="5007"/>
      <c r="B105" s="5009"/>
      <c r="C105" s="5009"/>
      <c r="D105" s="5027" t="s">
        <v>2110</v>
      </c>
      <c r="E105" s="5061"/>
      <c r="F105" s="5028">
        <f>(14.3+45.59+43.28+50.5+16.06+54.65+0.57+25.75+63.99+12.25+237.89+158.24)</f>
        <v>723.06999999999994</v>
      </c>
      <c r="G105" s="5011"/>
      <c r="H105" s="5030"/>
      <c r="I105" s="5062"/>
      <c r="J105" s="2298"/>
      <c r="K105" s="2294"/>
      <c r="R105" s="2295"/>
    </row>
    <row r="106" spans="1:92" s="612" customFormat="1" ht="27" customHeight="1">
      <c r="A106" s="5036">
        <v>30</v>
      </c>
      <c r="B106" s="5037" t="s">
        <v>2013</v>
      </c>
      <c r="C106" s="5037" t="s">
        <v>2111</v>
      </c>
      <c r="D106" s="5037" t="s">
        <v>2112</v>
      </c>
      <c r="E106" s="5037" t="s">
        <v>141</v>
      </c>
      <c r="F106" s="5063">
        <f>SUM(F109:F113)</f>
        <v>137.59900000000002</v>
      </c>
      <c r="G106" s="5039"/>
      <c r="H106" s="5064">
        <f>F106*G106</f>
        <v>0</v>
      </c>
      <c r="I106" s="5013" t="s">
        <v>112</v>
      </c>
      <c r="J106" s="147"/>
      <c r="K106" s="175"/>
      <c r="L106" s="2206"/>
      <c r="M106" s="2206"/>
      <c r="N106" s="2206"/>
      <c r="O106" s="2206"/>
      <c r="P106" s="2206"/>
      <c r="Q106" s="2206"/>
      <c r="R106" s="2295"/>
      <c r="S106" s="2206"/>
      <c r="T106" s="2206"/>
      <c r="U106" s="2206"/>
      <c r="V106" s="2206"/>
    </row>
    <row r="107" spans="1:92" s="2206" customFormat="1" ht="40.5" customHeight="1">
      <c r="A107" s="5007"/>
      <c r="B107" s="5008"/>
      <c r="C107" s="5009"/>
      <c r="D107" s="5065" t="s">
        <v>2113</v>
      </c>
      <c r="E107" s="5009"/>
      <c r="F107" s="5066"/>
      <c r="G107" s="5011"/>
      <c r="H107" s="5030"/>
      <c r="I107" s="5062"/>
      <c r="J107" s="157"/>
      <c r="K107" s="612"/>
      <c r="L107" s="612"/>
      <c r="M107" s="612"/>
      <c r="N107" s="612"/>
      <c r="O107" s="612"/>
      <c r="P107" s="612"/>
      <c r="Q107" s="612"/>
      <c r="R107" s="612"/>
      <c r="S107" s="612"/>
      <c r="T107" s="612"/>
      <c r="U107" s="612"/>
      <c r="V107" s="612"/>
      <c r="W107" s="612"/>
      <c r="X107" s="612"/>
      <c r="Y107" s="612"/>
      <c r="Z107" s="612"/>
      <c r="AA107" s="612"/>
      <c r="AB107" s="612"/>
      <c r="AC107" s="612"/>
      <c r="AD107" s="612"/>
    </row>
    <row r="108" spans="1:92" s="2206" customFormat="1" ht="13.5" customHeight="1">
      <c r="A108" s="5007"/>
      <c r="B108" s="5009"/>
      <c r="C108" s="5009"/>
      <c r="D108" s="5027" t="s">
        <v>2114</v>
      </c>
      <c r="E108" s="5061"/>
      <c r="F108" s="5033"/>
      <c r="G108" s="5011"/>
      <c r="H108" s="5030"/>
      <c r="I108" s="5062"/>
      <c r="J108" s="2301"/>
      <c r="K108" s="2202"/>
      <c r="L108" s="2283"/>
      <c r="M108" s="2283"/>
      <c r="N108" s="2283"/>
      <c r="O108" s="2283"/>
      <c r="Q108" s="2302"/>
    </row>
    <row r="109" spans="1:92" s="2206" customFormat="1" ht="13.5" customHeight="1">
      <c r="A109" s="5007"/>
      <c r="B109" s="5008"/>
      <c r="C109" s="5009"/>
      <c r="D109" s="5027" t="s">
        <v>2115</v>
      </c>
      <c r="E109" s="5009"/>
      <c r="F109" s="5066">
        <f>(24.18)*1.1</f>
        <v>26.598000000000003</v>
      </c>
      <c r="G109" s="5011"/>
      <c r="H109" s="5030"/>
      <c r="I109" s="5067"/>
      <c r="J109" s="147"/>
      <c r="K109" s="175"/>
      <c r="L109" s="147"/>
      <c r="M109" s="147"/>
      <c r="N109" s="147"/>
      <c r="O109" s="147"/>
      <c r="P109" s="147"/>
      <c r="Q109" s="147"/>
      <c r="R109" s="2233"/>
      <c r="S109" s="2233"/>
      <c r="T109" s="2233"/>
      <c r="U109" s="2234"/>
    </row>
    <row r="110" spans="1:92" s="2206" customFormat="1" ht="13.5" customHeight="1">
      <c r="A110" s="5007"/>
      <c r="B110" s="5008"/>
      <c r="C110" s="5009"/>
      <c r="D110" s="5027" t="s">
        <v>2116</v>
      </c>
      <c r="E110" s="5009"/>
      <c r="F110" s="5066">
        <f>(26.05)*1.1</f>
        <v>28.655000000000005</v>
      </c>
      <c r="G110" s="5011"/>
      <c r="H110" s="5030"/>
      <c r="I110" s="5067"/>
      <c r="J110" s="147"/>
      <c r="K110" s="175"/>
      <c r="L110" s="147"/>
      <c r="M110" s="147"/>
      <c r="N110" s="147"/>
      <c r="O110" s="147"/>
      <c r="P110" s="147"/>
      <c r="Q110" s="147"/>
      <c r="R110" s="2233"/>
      <c r="S110" s="2233"/>
      <c r="T110" s="2233"/>
      <c r="U110" s="2234"/>
    </row>
    <row r="111" spans="1:92" s="2206" customFormat="1" ht="13.5" customHeight="1">
      <c r="A111" s="5007"/>
      <c r="B111" s="5008"/>
      <c r="C111" s="5009"/>
      <c r="D111" s="5027" t="s">
        <v>2117</v>
      </c>
      <c r="E111" s="5009"/>
      <c r="F111" s="5066">
        <f>(68.15)*1.1</f>
        <v>74.965000000000018</v>
      </c>
      <c r="G111" s="5011"/>
      <c r="H111" s="5030"/>
      <c r="I111" s="5067"/>
      <c r="J111" s="147"/>
      <c r="K111" s="175"/>
      <c r="L111" s="147"/>
      <c r="M111" s="147"/>
      <c r="N111" s="147"/>
      <c r="O111" s="147"/>
      <c r="P111" s="147"/>
      <c r="Q111" s="147"/>
      <c r="R111" s="2233"/>
      <c r="S111" s="2233"/>
      <c r="T111" s="2233"/>
      <c r="U111" s="2234"/>
    </row>
    <row r="112" spans="1:92" s="2206" customFormat="1" ht="13.5" customHeight="1">
      <c r="A112" s="5007"/>
      <c r="B112" s="5008"/>
      <c r="C112" s="5009"/>
      <c r="D112" s="5027" t="s">
        <v>2118</v>
      </c>
      <c r="E112" s="5009"/>
      <c r="F112" s="5066">
        <f>(6.58)*1.1</f>
        <v>7.2380000000000004</v>
      </c>
      <c r="G112" s="5011"/>
      <c r="H112" s="5030"/>
      <c r="I112" s="5067"/>
      <c r="J112" s="147"/>
      <c r="K112" s="175"/>
      <c r="L112" s="147"/>
      <c r="M112" s="147"/>
      <c r="N112" s="147"/>
      <c r="O112" s="147"/>
      <c r="P112" s="147"/>
      <c r="Q112" s="147"/>
      <c r="R112" s="2233"/>
      <c r="S112" s="2233"/>
      <c r="T112" s="2233"/>
      <c r="U112" s="2234"/>
    </row>
    <row r="113" spans="1:97" s="2206" customFormat="1" ht="13.5" customHeight="1">
      <c r="A113" s="5007"/>
      <c r="B113" s="5008"/>
      <c r="C113" s="5009"/>
      <c r="D113" s="5027" t="s">
        <v>2119</v>
      </c>
      <c r="E113" s="5009"/>
      <c r="F113" s="5066">
        <f>(0.13)*1.1</f>
        <v>0.14300000000000002</v>
      </c>
      <c r="G113" s="5011"/>
      <c r="H113" s="5030"/>
      <c r="I113" s="5067"/>
      <c r="J113" s="147"/>
      <c r="K113" s="175"/>
      <c r="L113" s="147"/>
      <c r="M113" s="147"/>
      <c r="N113" s="147"/>
      <c r="O113" s="147"/>
      <c r="P113" s="147"/>
      <c r="Q113" s="147"/>
      <c r="R113" s="2233"/>
      <c r="S113" s="2233"/>
      <c r="T113" s="2233"/>
      <c r="U113" s="2234"/>
    </row>
    <row r="114" spans="1:97" s="2206" customFormat="1" ht="13.5" customHeight="1">
      <c r="A114" s="5007"/>
      <c r="B114" s="5008"/>
      <c r="C114" s="5009"/>
      <c r="D114" s="5027" t="s">
        <v>2120</v>
      </c>
      <c r="E114" s="5009"/>
      <c r="F114" s="5068"/>
      <c r="G114" s="5011"/>
      <c r="H114" s="5030"/>
      <c r="I114" s="5067"/>
      <c r="J114" s="147"/>
      <c r="K114" s="175"/>
      <c r="L114" s="147"/>
      <c r="M114" s="147"/>
      <c r="N114" s="147"/>
      <c r="O114" s="147"/>
      <c r="P114" s="147"/>
      <c r="Q114" s="147"/>
      <c r="R114" s="2233"/>
      <c r="S114" s="2233"/>
      <c r="T114" s="2233"/>
      <c r="U114" s="2234"/>
    </row>
    <row r="115" spans="1:97" s="2206" customFormat="1" ht="27" customHeight="1">
      <c r="A115" s="5007"/>
      <c r="B115" s="5009"/>
      <c r="C115" s="5009"/>
      <c r="D115" s="5027" t="s">
        <v>2085</v>
      </c>
      <c r="E115" s="5061"/>
      <c r="F115" s="5066"/>
      <c r="G115" s="5011"/>
      <c r="H115" s="5030"/>
      <c r="I115" s="5062"/>
      <c r="J115" s="2304"/>
      <c r="K115" s="2294"/>
      <c r="R115" s="2295"/>
    </row>
    <row r="116" spans="1:97" s="2206" customFormat="1" ht="13.5" customHeight="1">
      <c r="A116" s="5007">
        <v>31</v>
      </c>
      <c r="B116" s="5009">
        <v>731</v>
      </c>
      <c r="C116" s="5009" t="s">
        <v>2121</v>
      </c>
      <c r="D116" s="5009" t="s">
        <v>2122</v>
      </c>
      <c r="E116" s="5009" t="s">
        <v>141</v>
      </c>
      <c r="F116" s="5069">
        <f>SUM(F117)</f>
        <v>125.09</v>
      </c>
      <c r="G116" s="5011"/>
      <c r="H116" s="5030">
        <f>F116*G116</f>
        <v>0</v>
      </c>
      <c r="I116" s="5013" t="s">
        <v>112</v>
      </c>
      <c r="J116" s="2306"/>
      <c r="K116" s="2294"/>
      <c r="R116" s="2295"/>
    </row>
    <row r="117" spans="1:97" s="2206" customFormat="1" ht="13.5" customHeight="1">
      <c r="A117" s="5007"/>
      <c r="B117" s="5009"/>
      <c r="C117" s="5009"/>
      <c r="D117" s="5027" t="s">
        <v>2123</v>
      </c>
      <c r="E117" s="5061"/>
      <c r="F117" s="5066">
        <f>(24.18+26.05+68.15+6.58+0.13)</f>
        <v>125.09</v>
      </c>
      <c r="G117" s="5011"/>
      <c r="H117" s="5030"/>
      <c r="I117" s="5062"/>
      <c r="J117" s="2304"/>
      <c r="K117" s="2294"/>
      <c r="R117" s="2295"/>
    </row>
    <row r="118" spans="1:97" s="2206" customFormat="1" ht="13.5" customHeight="1">
      <c r="A118" s="5007">
        <v>32</v>
      </c>
      <c r="B118" s="5009">
        <v>731</v>
      </c>
      <c r="C118" s="5009" t="s">
        <v>2124</v>
      </c>
      <c r="D118" s="5009" t="s">
        <v>2125</v>
      </c>
      <c r="E118" s="5009" t="s">
        <v>1315</v>
      </c>
      <c r="F118" s="5010">
        <f>F119</f>
        <v>2</v>
      </c>
      <c r="G118" s="5011"/>
      <c r="H118" s="5012">
        <f>ROUND(F118*G118,2)</f>
        <v>0</v>
      </c>
      <c r="I118" s="5013" t="s">
        <v>112</v>
      </c>
      <c r="J118" s="2307"/>
      <c r="K118" s="2294"/>
      <c r="R118" s="2295"/>
    </row>
    <row r="119" spans="1:97" s="2206" customFormat="1" ht="13.5" customHeight="1">
      <c r="A119" s="5007"/>
      <c r="B119" s="5009"/>
      <c r="C119" s="5009"/>
      <c r="D119" s="5027" t="s">
        <v>2126</v>
      </c>
      <c r="E119" s="5061"/>
      <c r="F119" s="5028">
        <v>2</v>
      </c>
      <c r="G119" s="5011"/>
      <c r="H119" s="5030"/>
      <c r="I119" s="5062"/>
      <c r="J119" s="2298"/>
      <c r="K119" s="2294"/>
      <c r="R119" s="2295"/>
    </row>
    <row r="120" spans="1:97" s="2206" customFormat="1" ht="27" customHeight="1">
      <c r="A120" s="5007"/>
      <c r="B120" s="5009"/>
      <c r="C120" s="5009"/>
      <c r="D120" s="5027" t="s">
        <v>2127</v>
      </c>
      <c r="E120" s="5061"/>
      <c r="F120" s="5028"/>
      <c r="G120" s="5011"/>
      <c r="H120" s="5030"/>
      <c r="I120" s="5062"/>
      <c r="J120" s="2298"/>
      <c r="K120" s="2294"/>
      <c r="R120" s="2295"/>
    </row>
    <row r="121" spans="1:97" s="2308" customFormat="1" ht="13.5" customHeight="1">
      <c r="A121" s="5006"/>
      <c r="B121" s="5007"/>
      <c r="C121" s="5003"/>
      <c r="D121" s="5027" t="s">
        <v>2128</v>
      </c>
      <c r="E121" s="5009"/>
      <c r="F121" s="5070"/>
      <c r="G121" s="5071"/>
      <c r="H121" s="5005"/>
      <c r="I121" s="5072"/>
      <c r="J121" s="2250"/>
      <c r="K121" s="2250"/>
      <c r="L121" s="2250"/>
      <c r="M121" s="2250"/>
      <c r="N121" s="2250"/>
      <c r="O121" s="2250"/>
      <c r="P121" s="2250"/>
      <c r="Q121" s="2250"/>
      <c r="R121" s="2250"/>
      <c r="S121" s="2250"/>
      <c r="T121" s="2250"/>
      <c r="U121" s="2250"/>
      <c r="V121" s="2250"/>
      <c r="W121" s="2250"/>
      <c r="X121" s="2250"/>
      <c r="Y121" s="2250"/>
      <c r="Z121" s="2250"/>
      <c r="AA121" s="2250"/>
      <c r="AB121" s="2250"/>
      <c r="AC121" s="2250"/>
      <c r="AD121" s="2250"/>
      <c r="AE121" s="2250"/>
      <c r="AF121" s="2250"/>
      <c r="AG121" s="2250"/>
      <c r="AH121" s="2250"/>
      <c r="AI121" s="2250"/>
      <c r="AJ121" s="2250"/>
      <c r="AK121" s="2250"/>
      <c r="AL121" s="2250"/>
      <c r="AM121" s="2250"/>
      <c r="AN121" s="2250"/>
      <c r="AO121" s="2250"/>
      <c r="AP121" s="2250"/>
      <c r="AQ121" s="2250"/>
      <c r="AR121" s="2250"/>
      <c r="AS121" s="2250"/>
      <c r="AT121" s="2250"/>
      <c r="AU121" s="2250"/>
      <c r="AV121" s="2250"/>
      <c r="AW121" s="2250"/>
      <c r="AX121" s="2250"/>
      <c r="AY121" s="2250"/>
      <c r="AZ121" s="2250"/>
      <c r="BA121" s="2250"/>
      <c r="BB121" s="2250"/>
      <c r="BC121" s="2250"/>
      <c r="BD121" s="2250"/>
      <c r="BE121" s="2250"/>
      <c r="BF121" s="2250"/>
      <c r="BG121" s="2250"/>
      <c r="BH121" s="2250"/>
      <c r="BI121" s="2250"/>
      <c r="BJ121" s="2250"/>
      <c r="BK121" s="2250"/>
      <c r="BL121" s="2250"/>
      <c r="BM121" s="2250"/>
      <c r="BN121" s="2250"/>
      <c r="BO121" s="2250"/>
      <c r="BP121" s="2250"/>
      <c r="BQ121" s="2250"/>
      <c r="BR121" s="2250"/>
      <c r="BS121" s="2250"/>
      <c r="BT121" s="2250"/>
      <c r="BU121" s="2250"/>
      <c r="BV121" s="2250"/>
      <c r="BW121" s="2250"/>
      <c r="BX121" s="2250"/>
      <c r="BY121" s="2250"/>
      <c r="BZ121" s="2250"/>
      <c r="CA121" s="2250"/>
      <c r="CB121" s="2250"/>
      <c r="CC121" s="2250"/>
      <c r="CD121" s="2250"/>
      <c r="CE121" s="2250"/>
      <c r="CF121" s="2250"/>
      <c r="CG121" s="2250"/>
      <c r="CH121" s="2250"/>
      <c r="CI121" s="2250"/>
      <c r="CJ121" s="2250"/>
      <c r="CK121" s="2250"/>
      <c r="CL121" s="2250"/>
      <c r="CM121" s="2250"/>
      <c r="CN121" s="2250"/>
      <c r="CO121" s="2250"/>
      <c r="CP121" s="2250"/>
      <c r="CQ121" s="2250"/>
      <c r="CR121" s="2250"/>
      <c r="CS121" s="2250"/>
    </row>
    <row r="122" spans="1:97" s="2206" customFormat="1" ht="13.5" customHeight="1">
      <c r="A122" s="5007">
        <v>33</v>
      </c>
      <c r="B122" s="5009">
        <v>731</v>
      </c>
      <c r="C122" s="5009" t="s">
        <v>2129</v>
      </c>
      <c r="D122" s="5009" t="s">
        <v>2130</v>
      </c>
      <c r="E122" s="5009" t="s">
        <v>49</v>
      </c>
      <c r="F122" s="5056">
        <f>ROUND(SUM(F124:F124),3)</f>
        <v>1</v>
      </c>
      <c r="G122" s="5011"/>
      <c r="H122" s="5012">
        <f>ROUND(F122*G122,2)</f>
        <v>0</v>
      </c>
      <c r="I122" s="5013" t="s">
        <v>112</v>
      </c>
      <c r="J122" s="2307"/>
      <c r="K122" s="2294"/>
      <c r="R122" s="2295"/>
    </row>
    <row r="123" spans="1:97" s="612" customFormat="1" ht="13.5" customHeight="1">
      <c r="A123" s="5036"/>
      <c r="B123" s="5037"/>
      <c r="C123" s="5042"/>
      <c r="D123" s="5042" t="s">
        <v>2131</v>
      </c>
      <c r="E123" s="5042"/>
      <c r="F123" s="5043"/>
      <c r="G123" s="5073"/>
      <c r="H123" s="5074"/>
      <c r="I123" s="5013"/>
      <c r="J123" s="637"/>
    </row>
    <row r="124" spans="1:97" s="2206" customFormat="1" ht="13.5" customHeight="1">
      <c r="A124" s="5007"/>
      <c r="B124" s="5009"/>
      <c r="C124" s="5009"/>
      <c r="D124" s="5027" t="s">
        <v>2132</v>
      </c>
      <c r="E124" s="5061"/>
      <c r="F124" s="5028">
        <v>1</v>
      </c>
      <c r="G124" s="5011"/>
      <c r="H124" s="5030"/>
      <c r="I124" s="5062"/>
      <c r="J124" s="2311"/>
      <c r="K124" s="2294"/>
      <c r="R124" s="2295"/>
    </row>
    <row r="125" spans="1:97" s="2206" customFormat="1" ht="67.5" customHeight="1">
      <c r="A125" s="5075"/>
      <c r="B125" s="5061"/>
      <c r="C125" s="5061"/>
      <c r="D125" s="5076" t="s">
        <v>2133</v>
      </c>
      <c r="E125" s="5061"/>
      <c r="F125" s="5077"/>
      <c r="G125" s="5071"/>
      <c r="H125" s="5058"/>
      <c r="I125" s="5072"/>
      <c r="J125" s="2308"/>
    </row>
    <row r="126" spans="1:97" s="2308" customFormat="1" ht="13.5" customHeight="1">
      <c r="A126" s="5006"/>
      <c r="B126" s="5007"/>
      <c r="C126" s="5003"/>
      <c r="D126" s="5027" t="s">
        <v>2134</v>
      </c>
      <c r="E126" s="5009"/>
      <c r="F126" s="5070"/>
      <c r="G126" s="5071"/>
      <c r="H126" s="5005"/>
      <c r="I126" s="5072"/>
      <c r="J126" s="2250"/>
      <c r="K126" s="2250"/>
      <c r="L126" s="2250"/>
      <c r="M126" s="2250"/>
      <c r="N126" s="2250"/>
      <c r="O126" s="2250"/>
      <c r="P126" s="2250"/>
      <c r="Q126" s="2250"/>
      <c r="R126" s="2250"/>
      <c r="S126" s="2250"/>
      <c r="T126" s="2250"/>
      <c r="U126" s="2250"/>
      <c r="V126" s="2250"/>
      <c r="W126" s="2250"/>
      <c r="X126" s="2250"/>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250"/>
      <c r="BE126" s="2250"/>
      <c r="BF126" s="2250"/>
      <c r="BG126" s="2250"/>
      <c r="BH126" s="2250"/>
      <c r="BI126" s="2250"/>
      <c r="BJ126" s="2250"/>
      <c r="BK126" s="2250"/>
      <c r="BL126" s="2250"/>
      <c r="BM126" s="2250"/>
      <c r="BN126" s="2250"/>
      <c r="BO126" s="2250"/>
      <c r="BP126" s="2250"/>
      <c r="BQ126" s="2250"/>
      <c r="BR126" s="2250"/>
      <c r="BS126" s="2250"/>
      <c r="BT126" s="2250"/>
      <c r="BU126" s="2250"/>
      <c r="BV126" s="2250"/>
      <c r="BW126" s="2250"/>
      <c r="BX126" s="2250"/>
      <c r="BY126" s="2250"/>
      <c r="BZ126" s="2250"/>
      <c r="CA126" s="2250"/>
      <c r="CB126" s="2250"/>
      <c r="CC126" s="2250"/>
      <c r="CD126" s="2250"/>
      <c r="CE126" s="2250"/>
      <c r="CF126" s="2250"/>
      <c r="CG126" s="2250"/>
      <c r="CH126" s="2250"/>
      <c r="CI126" s="2250"/>
      <c r="CJ126" s="2250"/>
      <c r="CK126" s="2250"/>
      <c r="CL126" s="2250"/>
      <c r="CM126" s="2250"/>
      <c r="CN126" s="2250"/>
      <c r="CO126" s="2250"/>
      <c r="CP126" s="2250"/>
      <c r="CQ126" s="2250"/>
      <c r="CR126" s="2250"/>
      <c r="CS126" s="2250"/>
    </row>
    <row r="127" spans="1:97" s="2206" customFormat="1" ht="67.5" customHeight="1">
      <c r="A127" s="5078"/>
      <c r="B127" s="5053"/>
      <c r="C127" s="5026"/>
      <c r="D127" s="5079" t="s">
        <v>310</v>
      </c>
      <c r="E127" s="5027"/>
      <c r="F127" s="5080"/>
      <c r="G127" s="5055"/>
      <c r="H127" s="5081"/>
      <c r="I127" s="5033"/>
      <c r="J127" s="2315"/>
      <c r="K127" s="2316"/>
      <c r="L127" s="2317"/>
      <c r="M127" s="2317"/>
      <c r="Q127" s="2318"/>
    </row>
    <row r="128" spans="1:97" s="2308" customFormat="1" ht="13.5" customHeight="1">
      <c r="A128" s="5006"/>
      <c r="B128" s="5007"/>
      <c r="C128" s="5003"/>
      <c r="D128" s="5027" t="s">
        <v>2128</v>
      </c>
      <c r="E128" s="5009"/>
      <c r="F128" s="5070"/>
      <c r="G128" s="5071"/>
      <c r="H128" s="5005"/>
      <c r="I128" s="5072"/>
      <c r="J128" s="2250"/>
      <c r="K128" s="2250"/>
      <c r="L128" s="2250"/>
      <c r="M128" s="2250"/>
      <c r="N128" s="2250"/>
      <c r="O128" s="2250"/>
      <c r="P128" s="2250"/>
      <c r="Q128" s="2250"/>
      <c r="R128" s="2250"/>
      <c r="S128" s="2250"/>
      <c r="T128" s="2250"/>
      <c r="U128" s="2250"/>
      <c r="V128" s="2250"/>
      <c r="W128" s="2250"/>
      <c r="X128" s="2250"/>
      <c r="Y128" s="2250"/>
      <c r="Z128" s="2250"/>
      <c r="AA128" s="2250"/>
      <c r="AB128" s="2250"/>
      <c r="AC128" s="2250"/>
      <c r="AD128" s="2250"/>
      <c r="AE128" s="2250"/>
      <c r="AF128" s="2250"/>
      <c r="AG128" s="2250"/>
      <c r="AH128" s="2250"/>
      <c r="AI128" s="2250"/>
      <c r="AJ128" s="2250"/>
      <c r="AK128" s="2250"/>
      <c r="AL128" s="2250"/>
      <c r="AM128" s="2250"/>
      <c r="AN128" s="2250"/>
      <c r="AO128" s="2250"/>
      <c r="AP128" s="2250"/>
      <c r="AQ128" s="2250"/>
      <c r="AR128" s="2250"/>
      <c r="AS128" s="2250"/>
      <c r="AT128" s="2250"/>
      <c r="AU128" s="2250"/>
      <c r="AV128" s="2250"/>
      <c r="AW128" s="2250"/>
      <c r="AX128" s="2250"/>
      <c r="AY128" s="2250"/>
      <c r="AZ128" s="2250"/>
      <c r="BA128" s="2250"/>
      <c r="BB128" s="2250"/>
      <c r="BC128" s="2250"/>
      <c r="BD128" s="2250"/>
      <c r="BE128" s="2250"/>
      <c r="BF128" s="2250"/>
      <c r="BG128" s="2250"/>
      <c r="BH128" s="2250"/>
      <c r="BI128" s="2250"/>
      <c r="BJ128" s="2250"/>
      <c r="BK128" s="2250"/>
      <c r="BL128" s="2250"/>
      <c r="BM128" s="2250"/>
      <c r="BN128" s="2250"/>
      <c r="BO128" s="2250"/>
      <c r="BP128" s="2250"/>
      <c r="BQ128" s="2250"/>
      <c r="BR128" s="2250"/>
      <c r="BS128" s="2250"/>
      <c r="BT128" s="2250"/>
      <c r="BU128" s="2250"/>
      <c r="BV128" s="2250"/>
      <c r="BW128" s="2250"/>
      <c r="BX128" s="2250"/>
      <c r="BY128" s="2250"/>
      <c r="BZ128" s="2250"/>
      <c r="CA128" s="2250"/>
      <c r="CB128" s="2250"/>
      <c r="CC128" s="2250"/>
      <c r="CD128" s="2250"/>
      <c r="CE128" s="2250"/>
      <c r="CF128" s="2250"/>
      <c r="CG128" s="2250"/>
      <c r="CH128" s="2250"/>
      <c r="CI128" s="2250"/>
      <c r="CJ128" s="2250"/>
      <c r="CK128" s="2250"/>
      <c r="CL128" s="2250"/>
      <c r="CM128" s="2250"/>
      <c r="CN128" s="2250"/>
      <c r="CO128" s="2250"/>
      <c r="CP128" s="2250"/>
      <c r="CQ128" s="2250"/>
      <c r="CR128" s="2250"/>
      <c r="CS128" s="2250"/>
    </row>
    <row r="129" spans="1:23" s="2206" customFormat="1" ht="13.5" customHeight="1">
      <c r="A129" s="5007">
        <v>34</v>
      </c>
      <c r="B129" s="5009">
        <v>731</v>
      </c>
      <c r="C129" s="5009" t="s">
        <v>2135</v>
      </c>
      <c r="D129" s="5009" t="s">
        <v>1836</v>
      </c>
      <c r="E129" s="5009" t="s">
        <v>49</v>
      </c>
      <c r="F129" s="5010">
        <f>SUM(F131)</f>
        <v>1</v>
      </c>
      <c r="G129" s="5011"/>
      <c r="H129" s="5012">
        <f>ROUND(F129*G129,2)</f>
        <v>0</v>
      </c>
      <c r="I129" s="5013" t="s">
        <v>112</v>
      </c>
    </row>
    <row r="130" spans="1:23" s="2250" customFormat="1" ht="27" customHeight="1">
      <c r="A130" s="5025"/>
      <c r="B130" s="5026"/>
      <c r="C130" s="5026"/>
      <c r="D130" s="5027" t="s">
        <v>2136</v>
      </c>
      <c r="E130" s="5026"/>
      <c r="F130" s="5028"/>
      <c r="G130" s="5029"/>
      <c r="H130" s="5030"/>
      <c r="I130" s="5033"/>
    </row>
    <row r="131" spans="1:23" s="2250" customFormat="1" ht="13.5" customHeight="1">
      <c r="A131" s="5025"/>
      <c r="B131" s="5026"/>
      <c r="C131" s="5026"/>
      <c r="D131" s="5027" t="s">
        <v>1838</v>
      </c>
      <c r="E131" s="5026"/>
      <c r="F131" s="5028">
        <v>1</v>
      </c>
      <c r="G131" s="5029"/>
      <c r="H131" s="5030"/>
      <c r="I131" s="5033"/>
    </row>
    <row r="132" spans="1:23" s="2206" customFormat="1" ht="13.5" customHeight="1">
      <c r="A132" s="5007">
        <v>35</v>
      </c>
      <c r="B132" s="5009">
        <v>731</v>
      </c>
      <c r="C132" s="5009" t="s">
        <v>2137</v>
      </c>
      <c r="D132" s="5009" t="s">
        <v>1881</v>
      </c>
      <c r="E132" s="5009" t="s">
        <v>49</v>
      </c>
      <c r="F132" s="5010">
        <f>SUM(F133)</f>
        <v>1</v>
      </c>
      <c r="G132" s="5011"/>
      <c r="H132" s="5012">
        <f>ROUND(F132*G132,2)</f>
        <v>0</v>
      </c>
      <c r="I132" s="5013" t="s">
        <v>112</v>
      </c>
    </row>
    <row r="133" spans="1:23" s="2321" customFormat="1" ht="27" customHeight="1">
      <c r="A133" s="5007"/>
      <c r="B133" s="5008"/>
      <c r="C133" s="5009"/>
      <c r="D133" s="5027" t="s">
        <v>1882</v>
      </c>
      <c r="E133" s="5009"/>
      <c r="F133" s="5028">
        <v>1</v>
      </c>
      <c r="G133" s="5011"/>
      <c r="H133" s="5030"/>
      <c r="I133" s="5062"/>
      <c r="J133" s="2320"/>
      <c r="M133" s="2295"/>
    </row>
    <row r="134" spans="1:23" s="2321" customFormat="1" ht="27" customHeight="1">
      <c r="A134" s="5007"/>
      <c r="B134" s="5008"/>
      <c r="C134" s="5009"/>
      <c r="D134" s="5027" t="s">
        <v>1883</v>
      </c>
      <c r="E134" s="5009"/>
      <c r="F134" s="5028"/>
      <c r="G134" s="5011"/>
      <c r="H134" s="5030"/>
      <c r="I134" s="5062"/>
      <c r="J134" s="2320"/>
      <c r="M134" s="2295"/>
    </row>
    <row r="135" spans="1:23" s="612" customFormat="1" ht="13.5" customHeight="1">
      <c r="A135" s="5036">
        <v>36</v>
      </c>
      <c r="B135" s="5037">
        <v>731</v>
      </c>
      <c r="C135" s="5037">
        <v>998733202</v>
      </c>
      <c r="D135" s="5037" t="s">
        <v>2138</v>
      </c>
      <c r="E135" s="5037" t="s">
        <v>10</v>
      </c>
      <c r="F135" s="5038">
        <v>1.86</v>
      </c>
      <c r="G135" s="5039"/>
      <c r="H135" s="5012">
        <f>ROUND(F135*G135,2)</f>
        <v>0</v>
      </c>
      <c r="I135" s="5013" t="s">
        <v>137</v>
      </c>
      <c r="J135" s="178"/>
    </row>
    <row r="136" spans="1:23" s="612" customFormat="1" ht="13.5" customHeight="1">
      <c r="A136" s="5036">
        <v>37</v>
      </c>
      <c r="B136" s="5037" t="s">
        <v>362</v>
      </c>
      <c r="C136" s="5037" t="s">
        <v>2066</v>
      </c>
      <c r="D136" s="5037" t="s">
        <v>2067</v>
      </c>
      <c r="E136" s="5037" t="s">
        <v>69</v>
      </c>
      <c r="F136" s="5038">
        <f>F137</f>
        <v>10</v>
      </c>
      <c r="G136" s="5039"/>
      <c r="H136" s="5012">
        <f>ROUND(F136*G136,2)</f>
        <v>0</v>
      </c>
      <c r="I136" s="5013" t="s">
        <v>137</v>
      </c>
      <c r="J136" s="159"/>
    </row>
    <row r="137" spans="1:23" s="612" customFormat="1" ht="13.5" customHeight="1">
      <c r="A137" s="5036"/>
      <c r="B137" s="5037"/>
      <c r="C137" s="5042"/>
      <c r="D137" s="5042" t="s">
        <v>2139</v>
      </c>
      <c r="E137" s="5042"/>
      <c r="F137" s="5043">
        <v>10</v>
      </c>
      <c r="G137" s="5039"/>
      <c r="H137" s="5074"/>
      <c r="I137" s="5013"/>
    </row>
    <row r="138" spans="1:23" s="612" customFormat="1" ht="27" customHeight="1">
      <c r="A138" s="5036"/>
      <c r="B138" s="5037"/>
      <c r="C138" s="5042"/>
      <c r="D138" s="5042" t="s">
        <v>2069</v>
      </c>
      <c r="E138" s="5042"/>
      <c r="F138" s="5082"/>
      <c r="G138" s="5073"/>
      <c r="H138" s="5074"/>
      <c r="I138" s="5013"/>
    </row>
    <row r="139" spans="1:23" s="612" customFormat="1" ht="13.5" customHeight="1">
      <c r="A139" s="5036"/>
      <c r="B139" s="5037"/>
      <c r="C139" s="5047" t="s">
        <v>2140</v>
      </c>
      <c r="D139" s="5047" t="s">
        <v>2141</v>
      </c>
      <c r="E139" s="5047"/>
      <c r="F139" s="5048"/>
      <c r="G139" s="5049"/>
      <c r="H139" s="5050">
        <f>SUM(H140:H283)</f>
        <v>0</v>
      </c>
      <c r="I139" s="5013"/>
    </row>
    <row r="140" spans="1:23" s="612" customFormat="1" ht="13.5" customHeight="1">
      <c r="A140" s="5036">
        <v>38</v>
      </c>
      <c r="B140" s="5037" t="s">
        <v>2013</v>
      </c>
      <c r="C140" s="5037" t="s">
        <v>2142</v>
      </c>
      <c r="D140" s="5037" t="s">
        <v>2143</v>
      </c>
      <c r="E140" s="5037" t="s">
        <v>205</v>
      </c>
      <c r="F140" s="5038">
        <f>SUM(F141)</f>
        <v>1</v>
      </c>
      <c r="G140" s="5039"/>
      <c r="H140" s="5012">
        <f>ROUND(F140*G140,2)</f>
        <v>0</v>
      </c>
      <c r="I140" s="5013" t="s">
        <v>112</v>
      </c>
      <c r="J140" s="2288"/>
      <c r="K140" s="2289"/>
    </row>
    <row r="141" spans="1:23" s="1371" customFormat="1" ht="13.5" customHeight="1">
      <c r="A141" s="5040"/>
      <c r="B141" s="5041"/>
      <c r="C141" s="5020"/>
      <c r="D141" s="5015" t="s">
        <v>2144</v>
      </c>
      <c r="E141" s="5042"/>
      <c r="F141" s="5043">
        <v>1</v>
      </c>
      <c r="G141" s="5044"/>
      <c r="H141" s="5045"/>
      <c r="I141" s="5046"/>
      <c r="J141" s="2267"/>
      <c r="U141" s="2273"/>
      <c r="W141" s="2273"/>
    </row>
    <row r="142" spans="1:23" s="612" customFormat="1" ht="27" customHeight="1">
      <c r="A142" s="5036"/>
      <c r="B142" s="5037"/>
      <c r="C142" s="5042"/>
      <c r="D142" s="5042" t="s">
        <v>2145</v>
      </c>
      <c r="E142" s="5042"/>
      <c r="F142" s="5082"/>
      <c r="G142" s="5073"/>
      <c r="H142" s="5074"/>
      <c r="I142" s="5013"/>
    </row>
    <row r="143" spans="1:23" s="612" customFormat="1" ht="13.5" customHeight="1">
      <c r="A143" s="5036">
        <v>39</v>
      </c>
      <c r="B143" s="5037" t="s">
        <v>2013</v>
      </c>
      <c r="C143" s="5037" t="s">
        <v>2146</v>
      </c>
      <c r="D143" s="5037" t="s">
        <v>2147</v>
      </c>
      <c r="E143" s="5037" t="s">
        <v>205</v>
      </c>
      <c r="F143" s="5038">
        <f>SUM(F144)</f>
        <v>4</v>
      </c>
      <c r="G143" s="5039"/>
      <c r="H143" s="5012">
        <f>ROUND(F143*G143,2)</f>
        <v>0</v>
      </c>
      <c r="I143" s="5013" t="s">
        <v>112</v>
      </c>
      <c r="J143" s="2288"/>
      <c r="K143" s="2289"/>
    </row>
    <row r="144" spans="1:23" s="1371" customFormat="1" ht="13.5" customHeight="1">
      <c r="A144" s="5040"/>
      <c r="B144" s="5041"/>
      <c r="C144" s="5020"/>
      <c r="D144" s="5015" t="s">
        <v>2148</v>
      </c>
      <c r="E144" s="5042"/>
      <c r="F144" s="5043">
        <v>4</v>
      </c>
      <c r="G144" s="5044"/>
      <c r="H144" s="5045"/>
      <c r="I144" s="5046"/>
      <c r="J144" s="2267"/>
      <c r="U144" s="2273"/>
      <c r="W144" s="2273"/>
    </row>
    <row r="145" spans="1:23" s="612" customFormat="1" ht="27" customHeight="1">
      <c r="A145" s="5036"/>
      <c r="B145" s="5037"/>
      <c r="C145" s="5042"/>
      <c r="D145" s="5042" t="s">
        <v>2145</v>
      </c>
      <c r="E145" s="5042"/>
      <c r="F145" s="5082"/>
      <c r="G145" s="5073"/>
      <c r="H145" s="5074"/>
      <c r="I145" s="5013"/>
    </row>
    <row r="146" spans="1:23" s="612" customFormat="1" ht="13.5" customHeight="1">
      <c r="A146" s="5036">
        <v>40</v>
      </c>
      <c r="B146" s="5037" t="s">
        <v>2013</v>
      </c>
      <c r="C146" s="5037" t="s">
        <v>2149</v>
      </c>
      <c r="D146" s="5037" t="s">
        <v>2150</v>
      </c>
      <c r="E146" s="5037" t="s">
        <v>205</v>
      </c>
      <c r="F146" s="5038">
        <f>SUM(F147)</f>
        <v>3</v>
      </c>
      <c r="G146" s="5039"/>
      <c r="H146" s="5012">
        <f>ROUND(F146*G146,2)</f>
        <v>0</v>
      </c>
      <c r="I146" s="5013" t="s">
        <v>112</v>
      </c>
      <c r="J146" s="2288"/>
      <c r="K146" s="2289"/>
    </row>
    <row r="147" spans="1:23" s="1371" customFormat="1" ht="13.5" customHeight="1">
      <c r="A147" s="5040"/>
      <c r="B147" s="5041"/>
      <c r="C147" s="5020"/>
      <c r="D147" s="5015" t="s">
        <v>2151</v>
      </c>
      <c r="E147" s="5042"/>
      <c r="F147" s="5043">
        <v>3</v>
      </c>
      <c r="G147" s="5044"/>
      <c r="H147" s="5045"/>
      <c r="I147" s="5046"/>
      <c r="J147" s="2267"/>
      <c r="U147" s="2273"/>
      <c r="W147" s="2273"/>
    </row>
    <row r="148" spans="1:23" s="612" customFormat="1" ht="27" customHeight="1">
      <c r="A148" s="5036"/>
      <c r="B148" s="5037"/>
      <c r="C148" s="5042"/>
      <c r="D148" s="5042" t="s">
        <v>2145</v>
      </c>
      <c r="E148" s="5042"/>
      <c r="F148" s="5082"/>
      <c r="G148" s="5073"/>
      <c r="H148" s="5074"/>
      <c r="I148" s="5013"/>
    </row>
    <row r="149" spans="1:23" s="612" customFormat="1" ht="13.5" customHeight="1">
      <c r="A149" s="5036">
        <v>41</v>
      </c>
      <c r="B149" s="5037" t="s">
        <v>2013</v>
      </c>
      <c r="C149" s="5037" t="s">
        <v>2152</v>
      </c>
      <c r="D149" s="5037" t="s">
        <v>2153</v>
      </c>
      <c r="E149" s="5037" t="s">
        <v>205</v>
      </c>
      <c r="F149" s="5038">
        <f>SUM(F150)</f>
        <v>12</v>
      </c>
      <c r="G149" s="5039"/>
      <c r="H149" s="5012">
        <f>ROUND(F149*G149,2)</f>
        <v>0</v>
      </c>
      <c r="I149" s="5013" t="s">
        <v>112</v>
      </c>
      <c r="J149" s="2288"/>
      <c r="K149" s="2289"/>
    </row>
    <row r="150" spans="1:23" s="1371" customFormat="1" ht="13.5" customHeight="1">
      <c r="A150" s="5040"/>
      <c r="B150" s="5041"/>
      <c r="C150" s="5020"/>
      <c r="D150" s="5015" t="s">
        <v>2154</v>
      </c>
      <c r="E150" s="5042"/>
      <c r="F150" s="5043">
        <v>12</v>
      </c>
      <c r="G150" s="5044"/>
      <c r="H150" s="5045"/>
      <c r="I150" s="5046"/>
      <c r="J150" s="2288"/>
      <c r="K150" s="2289"/>
      <c r="U150" s="2273"/>
      <c r="W150" s="2273"/>
    </row>
    <row r="151" spans="1:23" s="612" customFormat="1" ht="27" customHeight="1">
      <c r="A151" s="5036"/>
      <c r="B151" s="5037"/>
      <c r="C151" s="5042"/>
      <c r="D151" s="5042" t="s">
        <v>2145</v>
      </c>
      <c r="E151" s="5042"/>
      <c r="F151" s="5082"/>
      <c r="G151" s="5073"/>
      <c r="H151" s="5074"/>
      <c r="I151" s="5013"/>
      <c r="J151" s="2288"/>
      <c r="K151" s="2289"/>
    </row>
    <row r="152" spans="1:23" s="612" customFormat="1" ht="13.5" customHeight="1">
      <c r="A152" s="5036">
        <v>42</v>
      </c>
      <c r="B152" s="5037" t="s">
        <v>2013</v>
      </c>
      <c r="C152" s="5037" t="s">
        <v>2155</v>
      </c>
      <c r="D152" s="5037" t="s">
        <v>2156</v>
      </c>
      <c r="E152" s="5037" t="s">
        <v>205</v>
      </c>
      <c r="F152" s="5038">
        <f>SUM(F153)</f>
        <v>16</v>
      </c>
      <c r="G152" s="5039"/>
      <c r="H152" s="5012">
        <f>ROUND(F152*G152,2)</f>
        <v>0</v>
      </c>
      <c r="I152" s="5013" t="s">
        <v>112</v>
      </c>
      <c r="J152" s="2288"/>
      <c r="K152" s="2289"/>
    </row>
    <row r="153" spans="1:23" s="1371" customFormat="1" ht="13.5" customHeight="1">
      <c r="A153" s="5040"/>
      <c r="B153" s="5041"/>
      <c r="C153" s="5020"/>
      <c r="D153" s="5015" t="s">
        <v>2157</v>
      </c>
      <c r="E153" s="5042"/>
      <c r="F153" s="5043">
        <v>16</v>
      </c>
      <c r="G153" s="5044"/>
      <c r="H153" s="5045"/>
      <c r="I153" s="5046"/>
      <c r="J153" s="2267"/>
      <c r="U153" s="2273"/>
      <c r="W153" s="2273"/>
    </row>
    <row r="154" spans="1:23" s="612" customFormat="1" ht="27" customHeight="1">
      <c r="A154" s="5036"/>
      <c r="B154" s="5037"/>
      <c r="C154" s="5042"/>
      <c r="D154" s="5042" t="s">
        <v>2145</v>
      </c>
      <c r="E154" s="5042"/>
      <c r="F154" s="5082"/>
      <c r="G154" s="5073"/>
      <c r="H154" s="5074"/>
      <c r="I154" s="5013"/>
    </row>
    <row r="155" spans="1:23" s="612" customFormat="1" ht="13.5" customHeight="1">
      <c r="A155" s="5036">
        <v>43</v>
      </c>
      <c r="B155" s="5037" t="s">
        <v>2013</v>
      </c>
      <c r="C155" s="5037" t="s">
        <v>2158</v>
      </c>
      <c r="D155" s="5037" t="s">
        <v>2159</v>
      </c>
      <c r="E155" s="5037" t="s">
        <v>205</v>
      </c>
      <c r="F155" s="5038">
        <f>SUM(F156)</f>
        <v>10</v>
      </c>
      <c r="G155" s="5039"/>
      <c r="H155" s="5012">
        <f>ROUND(F155*G155,2)</f>
        <v>0</v>
      </c>
      <c r="I155" s="5013" t="s">
        <v>112</v>
      </c>
      <c r="J155" s="2288"/>
      <c r="K155" s="2289"/>
    </row>
    <row r="156" spans="1:23" s="1371" customFormat="1" ht="13.5" customHeight="1">
      <c r="A156" s="5040"/>
      <c r="B156" s="5041"/>
      <c r="C156" s="5020"/>
      <c r="D156" s="5015" t="s">
        <v>2160</v>
      </c>
      <c r="E156" s="5042"/>
      <c r="F156" s="5043">
        <v>10</v>
      </c>
      <c r="G156" s="5044"/>
      <c r="H156" s="5045"/>
      <c r="I156" s="5046"/>
      <c r="J156" s="2267"/>
      <c r="U156" s="2273"/>
      <c r="W156" s="2273"/>
    </row>
    <row r="157" spans="1:23" s="612" customFormat="1" ht="27" customHeight="1">
      <c r="A157" s="5036"/>
      <c r="B157" s="5037"/>
      <c r="C157" s="5042"/>
      <c r="D157" s="5042" t="s">
        <v>2145</v>
      </c>
      <c r="E157" s="5042"/>
      <c r="F157" s="5082"/>
      <c r="G157" s="5073"/>
      <c r="H157" s="5074"/>
      <c r="I157" s="5013"/>
    </row>
    <row r="158" spans="1:23" s="612" customFormat="1" ht="13.5" customHeight="1">
      <c r="A158" s="5036">
        <v>44</v>
      </c>
      <c r="B158" s="5037" t="s">
        <v>2013</v>
      </c>
      <c r="C158" s="5037" t="s">
        <v>2161</v>
      </c>
      <c r="D158" s="5037" t="s">
        <v>2162</v>
      </c>
      <c r="E158" s="5037" t="s">
        <v>205</v>
      </c>
      <c r="F158" s="5038">
        <f>SUM(F159)</f>
        <v>4</v>
      </c>
      <c r="G158" s="5039"/>
      <c r="H158" s="5012">
        <f>ROUND(F158*G158,2)</f>
        <v>0</v>
      </c>
      <c r="I158" s="5013" t="s">
        <v>112</v>
      </c>
      <c r="J158" s="2288"/>
      <c r="K158" s="2289"/>
    </row>
    <row r="159" spans="1:23" s="1371" customFormat="1" ht="13.5" customHeight="1">
      <c r="A159" s="5040"/>
      <c r="B159" s="5041"/>
      <c r="C159" s="5020"/>
      <c r="D159" s="5015" t="s">
        <v>2163</v>
      </c>
      <c r="E159" s="5042"/>
      <c r="F159" s="5043">
        <v>4</v>
      </c>
      <c r="G159" s="5044"/>
      <c r="H159" s="5045"/>
      <c r="I159" s="5046"/>
      <c r="J159" s="2267"/>
      <c r="U159" s="2273"/>
      <c r="W159" s="2273"/>
    </row>
    <row r="160" spans="1:23" s="612" customFormat="1" ht="27" customHeight="1">
      <c r="A160" s="5036"/>
      <c r="B160" s="5037"/>
      <c r="C160" s="5042"/>
      <c r="D160" s="5042" t="s">
        <v>2145</v>
      </c>
      <c r="E160" s="5042"/>
      <c r="F160" s="5082"/>
      <c r="G160" s="5073"/>
      <c r="H160" s="5074"/>
      <c r="I160" s="5013"/>
    </row>
    <row r="161" spans="1:23" s="612" customFormat="1" ht="13.5" customHeight="1">
      <c r="A161" s="5036">
        <v>45</v>
      </c>
      <c r="B161" s="5037" t="s">
        <v>2013</v>
      </c>
      <c r="C161" s="5037" t="s">
        <v>2164</v>
      </c>
      <c r="D161" s="5037" t="s">
        <v>2165</v>
      </c>
      <c r="E161" s="5037" t="s">
        <v>205</v>
      </c>
      <c r="F161" s="5038">
        <f>SUM(F162)</f>
        <v>16</v>
      </c>
      <c r="G161" s="5039"/>
      <c r="H161" s="5012">
        <f>ROUND(F161*G161,2)</f>
        <v>0</v>
      </c>
      <c r="I161" s="5013" t="s">
        <v>112</v>
      </c>
      <c r="J161" s="2288"/>
      <c r="K161" s="2289"/>
    </row>
    <row r="162" spans="1:23" s="1371" customFormat="1" ht="13.5" customHeight="1">
      <c r="A162" s="5040"/>
      <c r="B162" s="5041"/>
      <c r="C162" s="5020"/>
      <c r="D162" s="5015" t="s">
        <v>2166</v>
      </c>
      <c r="E162" s="5042"/>
      <c r="F162" s="5043">
        <v>16</v>
      </c>
      <c r="G162" s="5044"/>
      <c r="H162" s="5045"/>
      <c r="I162" s="5046"/>
      <c r="J162" s="612"/>
      <c r="K162" s="612"/>
      <c r="L162" s="612"/>
      <c r="M162" s="612"/>
      <c r="N162" s="612"/>
      <c r="U162" s="2273"/>
      <c r="W162" s="2273"/>
    </row>
    <row r="163" spans="1:23" s="1371" customFormat="1" ht="13.5" customHeight="1">
      <c r="A163" s="5040"/>
      <c r="B163" s="5041"/>
      <c r="C163" s="5020"/>
      <c r="D163" s="5015" t="s">
        <v>2167</v>
      </c>
      <c r="E163" s="5042"/>
      <c r="F163" s="5043"/>
      <c r="G163" s="5044"/>
      <c r="H163" s="5045"/>
      <c r="I163" s="5046"/>
      <c r="J163" s="2323"/>
      <c r="U163" s="2273"/>
      <c r="W163" s="2273"/>
    </row>
    <row r="164" spans="1:23" s="612" customFormat="1" ht="13.5" customHeight="1">
      <c r="A164" s="5036">
        <v>46</v>
      </c>
      <c r="B164" s="5037" t="s">
        <v>2013</v>
      </c>
      <c r="C164" s="5037" t="s">
        <v>2168</v>
      </c>
      <c r="D164" s="5037" t="s">
        <v>2169</v>
      </c>
      <c r="E164" s="5037" t="s">
        <v>205</v>
      </c>
      <c r="F164" s="5038">
        <f>SUM(F165)</f>
        <v>3</v>
      </c>
      <c r="G164" s="5039"/>
      <c r="H164" s="5012">
        <f>ROUND(F164*G164,2)</f>
        <v>0</v>
      </c>
      <c r="I164" s="5013" t="s">
        <v>112</v>
      </c>
      <c r="J164" s="2288"/>
      <c r="K164" s="2289"/>
    </row>
    <row r="165" spans="1:23" s="1371" customFormat="1" ht="13.5" customHeight="1">
      <c r="A165" s="5040"/>
      <c r="B165" s="5041"/>
      <c r="C165" s="5020"/>
      <c r="D165" s="5015" t="s">
        <v>2170</v>
      </c>
      <c r="E165" s="5042"/>
      <c r="F165" s="5043">
        <v>3</v>
      </c>
      <c r="G165" s="5044"/>
      <c r="H165" s="5045"/>
      <c r="I165" s="5046"/>
      <c r="J165" s="612"/>
      <c r="K165" s="612"/>
      <c r="L165" s="612"/>
      <c r="M165" s="612"/>
      <c r="N165" s="612"/>
      <c r="U165" s="2273"/>
      <c r="W165" s="2273"/>
    </row>
    <row r="166" spans="1:23" s="1371" customFormat="1" ht="13.5" customHeight="1">
      <c r="A166" s="5040"/>
      <c r="B166" s="5041"/>
      <c r="C166" s="5020"/>
      <c r="D166" s="5015" t="s">
        <v>2167</v>
      </c>
      <c r="E166" s="5042"/>
      <c r="F166" s="5043"/>
      <c r="G166" s="5044"/>
      <c r="H166" s="5045"/>
      <c r="I166" s="5046"/>
      <c r="J166" s="2323"/>
      <c r="U166" s="2273"/>
      <c r="W166" s="2273"/>
    </row>
    <row r="167" spans="1:23" s="612" customFormat="1" ht="13.5" customHeight="1">
      <c r="A167" s="5036">
        <v>47</v>
      </c>
      <c r="B167" s="5037" t="s">
        <v>2013</v>
      </c>
      <c r="C167" s="5037" t="s">
        <v>2171</v>
      </c>
      <c r="D167" s="5037" t="s">
        <v>2172</v>
      </c>
      <c r="E167" s="5037" t="s">
        <v>205</v>
      </c>
      <c r="F167" s="5038">
        <f>SUM(F168)</f>
        <v>3</v>
      </c>
      <c r="G167" s="5039"/>
      <c r="H167" s="5012">
        <f>ROUND(F167*G167,2)</f>
        <v>0</v>
      </c>
      <c r="I167" s="5013" t="s">
        <v>112</v>
      </c>
      <c r="J167" s="2288"/>
      <c r="K167" s="2289"/>
      <c r="Q167" s="2324"/>
      <c r="R167" s="660"/>
    </row>
    <row r="168" spans="1:23" s="1371" customFormat="1" ht="13.5" customHeight="1">
      <c r="A168" s="5040"/>
      <c r="B168" s="5041"/>
      <c r="C168" s="5020"/>
      <c r="D168" s="5015" t="s">
        <v>2173</v>
      </c>
      <c r="E168" s="5042"/>
      <c r="F168" s="5043">
        <v>3</v>
      </c>
      <c r="G168" s="5044"/>
      <c r="H168" s="5045"/>
      <c r="I168" s="5046"/>
      <c r="J168" s="612"/>
      <c r="K168" s="612"/>
      <c r="L168" s="612"/>
      <c r="M168" s="612"/>
      <c r="N168" s="612"/>
      <c r="Q168" s="2325"/>
      <c r="R168" s="2326"/>
      <c r="U168" s="2273"/>
      <c r="W168" s="2273"/>
    </row>
    <row r="169" spans="1:23" s="1371" customFormat="1" ht="13.5" customHeight="1">
      <c r="A169" s="5040"/>
      <c r="B169" s="5041"/>
      <c r="C169" s="5020"/>
      <c r="D169" s="5015" t="s">
        <v>2174</v>
      </c>
      <c r="E169" s="5042"/>
      <c r="F169" s="5043"/>
      <c r="G169" s="5044"/>
      <c r="H169" s="5045"/>
      <c r="I169" s="5046"/>
      <c r="J169" s="2323"/>
      <c r="Q169" s="2325"/>
      <c r="R169" s="2326"/>
      <c r="U169" s="2273"/>
      <c r="W169" s="2273"/>
    </row>
    <row r="170" spans="1:23" s="612" customFormat="1" ht="13.5" customHeight="1">
      <c r="A170" s="5036">
        <v>48</v>
      </c>
      <c r="B170" s="5037" t="s">
        <v>2013</v>
      </c>
      <c r="C170" s="5037" t="s">
        <v>2175</v>
      </c>
      <c r="D170" s="5037" t="s">
        <v>2176</v>
      </c>
      <c r="E170" s="5037" t="s">
        <v>205</v>
      </c>
      <c r="F170" s="5038">
        <f>SUM(F171)</f>
        <v>2</v>
      </c>
      <c r="G170" s="5039"/>
      <c r="H170" s="5012">
        <f>ROUND(F170*G170,2)</f>
        <v>0</v>
      </c>
      <c r="I170" s="5013" t="s">
        <v>112</v>
      </c>
      <c r="J170" s="2288"/>
      <c r="K170" s="2289"/>
      <c r="Q170" s="2324"/>
      <c r="R170" s="660"/>
    </row>
    <row r="171" spans="1:23" s="1371" customFormat="1" ht="13.5" customHeight="1">
      <c r="A171" s="5040"/>
      <c r="B171" s="5041"/>
      <c r="C171" s="5020"/>
      <c r="D171" s="5015" t="s">
        <v>2177</v>
      </c>
      <c r="E171" s="5042"/>
      <c r="F171" s="5043">
        <v>2</v>
      </c>
      <c r="G171" s="5044"/>
      <c r="H171" s="5045"/>
      <c r="I171" s="5046"/>
      <c r="J171" s="612"/>
      <c r="K171" s="612"/>
      <c r="L171" s="612"/>
      <c r="M171" s="612"/>
      <c r="N171" s="612"/>
      <c r="Q171" s="2325"/>
      <c r="R171" s="2326"/>
      <c r="U171" s="2273"/>
      <c r="W171" s="2273"/>
    </row>
    <row r="172" spans="1:23" s="1371" customFormat="1" ht="13.5" customHeight="1">
      <c r="A172" s="5040"/>
      <c r="B172" s="5041"/>
      <c r="C172" s="5020"/>
      <c r="D172" s="5015" t="s">
        <v>2174</v>
      </c>
      <c r="E172" s="5042"/>
      <c r="F172" s="5043"/>
      <c r="G172" s="5044"/>
      <c r="H172" s="5045"/>
      <c r="I172" s="5046"/>
      <c r="J172" s="2323"/>
      <c r="Q172" s="2325"/>
      <c r="R172" s="2326"/>
      <c r="U172" s="2273"/>
      <c r="W172" s="2273"/>
    </row>
    <row r="173" spans="1:23" s="612" customFormat="1" ht="13.5" customHeight="1">
      <c r="A173" s="5036">
        <v>49</v>
      </c>
      <c r="B173" s="5037" t="s">
        <v>2013</v>
      </c>
      <c r="C173" s="5037" t="s">
        <v>2178</v>
      </c>
      <c r="D173" s="5037" t="s">
        <v>2179</v>
      </c>
      <c r="E173" s="5037" t="s">
        <v>205</v>
      </c>
      <c r="F173" s="5038">
        <f>SUM(F174)</f>
        <v>2</v>
      </c>
      <c r="G173" s="5039"/>
      <c r="H173" s="5012">
        <f>ROUND(F173*G173,2)</f>
        <v>0</v>
      </c>
      <c r="I173" s="5013" t="s">
        <v>112</v>
      </c>
      <c r="J173" s="2288"/>
      <c r="K173" s="2289"/>
      <c r="M173" s="663"/>
      <c r="Q173" s="2324"/>
      <c r="R173" s="660"/>
    </row>
    <row r="174" spans="1:23" s="1371" customFormat="1" ht="13.5" customHeight="1">
      <c r="A174" s="5040"/>
      <c r="B174" s="5041"/>
      <c r="C174" s="5020"/>
      <c r="D174" s="5015" t="s">
        <v>2180</v>
      </c>
      <c r="E174" s="5042"/>
      <c r="F174" s="5043">
        <v>2</v>
      </c>
      <c r="G174" s="5044"/>
      <c r="H174" s="5045"/>
      <c r="I174" s="5046"/>
      <c r="J174" s="612"/>
      <c r="K174" s="612"/>
      <c r="L174" s="612"/>
      <c r="M174" s="612"/>
      <c r="N174" s="612"/>
      <c r="Q174" s="2325"/>
      <c r="R174" s="2326"/>
      <c r="U174" s="2273"/>
      <c r="W174" s="2273"/>
    </row>
    <row r="175" spans="1:23" s="1371" customFormat="1" ht="13.5" customHeight="1">
      <c r="A175" s="5040"/>
      <c r="B175" s="5041"/>
      <c r="C175" s="5020"/>
      <c r="D175" s="5015" t="s">
        <v>2174</v>
      </c>
      <c r="E175" s="5042"/>
      <c r="F175" s="5043"/>
      <c r="G175" s="5044"/>
      <c r="H175" s="5045"/>
      <c r="I175" s="5046"/>
      <c r="J175" s="2323"/>
      <c r="Q175" s="2325"/>
      <c r="R175" s="2326"/>
      <c r="U175" s="2273"/>
      <c r="W175" s="2273"/>
    </row>
    <row r="176" spans="1:23" s="612" customFormat="1" ht="13.5" customHeight="1">
      <c r="A176" s="5036">
        <v>50</v>
      </c>
      <c r="B176" s="5037" t="s">
        <v>2013</v>
      </c>
      <c r="C176" s="5037" t="s">
        <v>2181</v>
      </c>
      <c r="D176" s="5037" t="s">
        <v>2182</v>
      </c>
      <c r="E176" s="5037" t="s">
        <v>205</v>
      </c>
      <c r="F176" s="5038">
        <f>SUM(F177)</f>
        <v>4</v>
      </c>
      <c r="G176" s="5039"/>
      <c r="H176" s="5012">
        <f>ROUND(F176*G176,2)</f>
        <v>0</v>
      </c>
      <c r="I176" s="5013" t="s">
        <v>112</v>
      </c>
      <c r="J176" s="2288"/>
      <c r="K176" s="2289"/>
      <c r="Q176" s="2324"/>
      <c r="R176" s="660"/>
    </row>
    <row r="177" spans="1:23" s="1371" customFormat="1" ht="13.5" customHeight="1">
      <c r="A177" s="5040"/>
      <c r="B177" s="5041"/>
      <c r="C177" s="5020"/>
      <c r="D177" s="5015" t="s">
        <v>2183</v>
      </c>
      <c r="E177" s="5042"/>
      <c r="F177" s="5043">
        <v>4</v>
      </c>
      <c r="G177" s="5044"/>
      <c r="H177" s="5045"/>
      <c r="I177" s="5046"/>
      <c r="J177" s="612"/>
      <c r="K177" s="612"/>
      <c r="L177" s="612"/>
      <c r="M177" s="612"/>
      <c r="N177" s="612"/>
      <c r="Q177" s="2325"/>
      <c r="R177" s="2326"/>
      <c r="U177" s="2273"/>
      <c r="W177" s="2273"/>
    </row>
    <row r="178" spans="1:23" s="1371" customFormat="1" ht="13.5" customHeight="1">
      <c r="A178" s="5040"/>
      <c r="B178" s="5041"/>
      <c r="C178" s="5020"/>
      <c r="D178" s="5015" t="s">
        <v>2174</v>
      </c>
      <c r="E178" s="5042"/>
      <c r="F178" s="5043"/>
      <c r="G178" s="5044"/>
      <c r="H178" s="5045"/>
      <c r="I178" s="5046"/>
      <c r="J178" s="2323"/>
      <c r="Q178" s="2325"/>
      <c r="R178" s="2326"/>
      <c r="U178" s="2273"/>
      <c r="W178" s="2273"/>
    </row>
    <row r="179" spans="1:23" s="612" customFormat="1" ht="13.5" customHeight="1">
      <c r="A179" s="5036">
        <v>51</v>
      </c>
      <c r="B179" s="5037" t="s">
        <v>2013</v>
      </c>
      <c r="C179" s="5037" t="s">
        <v>2184</v>
      </c>
      <c r="D179" s="5037" t="s">
        <v>2185</v>
      </c>
      <c r="E179" s="5037" t="s">
        <v>205</v>
      </c>
      <c r="F179" s="5038">
        <f>SUM(F180)</f>
        <v>5</v>
      </c>
      <c r="G179" s="5039"/>
      <c r="H179" s="5012">
        <f>ROUND(F179*G179,2)</f>
        <v>0</v>
      </c>
      <c r="I179" s="5013" t="s">
        <v>112</v>
      </c>
      <c r="J179" s="2288"/>
      <c r="K179" s="2289"/>
      <c r="Q179" s="2324"/>
      <c r="R179" s="660"/>
    </row>
    <row r="180" spans="1:23" s="1371" customFormat="1" ht="13.5" customHeight="1">
      <c r="A180" s="5040"/>
      <c r="B180" s="5041"/>
      <c r="C180" s="5020"/>
      <c r="D180" s="5015" t="s">
        <v>2186</v>
      </c>
      <c r="E180" s="5042"/>
      <c r="F180" s="5043">
        <v>5</v>
      </c>
      <c r="G180" s="5044"/>
      <c r="H180" s="5045"/>
      <c r="I180" s="5046"/>
      <c r="J180" s="612"/>
      <c r="K180" s="612"/>
      <c r="L180" s="612"/>
      <c r="M180" s="612"/>
      <c r="N180" s="612"/>
      <c r="Q180" s="2325"/>
      <c r="R180" s="2326"/>
      <c r="U180" s="2273"/>
      <c r="W180" s="2273"/>
    </row>
    <row r="181" spans="1:23" s="1371" customFormat="1" ht="13.5" customHeight="1">
      <c r="A181" s="5040"/>
      <c r="B181" s="5041"/>
      <c r="C181" s="5020"/>
      <c r="D181" s="5015" t="s">
        <v>2174</v>
      </c>
      <c r="E181" s="5042"/>
      <c r="F181" s="5043"/>
      <c r="G181" s="5044"/>
      <c r="H181" s="5045"/>
      <c r="I181" s="5046"/>
      <c r="J181" s="2323"/>
      <c r="Q181" s="2325"/>
      <c r="R181" s="2326"/>
      <c r="U181" s="2273"/>
      <c r="W181" s="2273"/>
    </row>
    <row r="182" spans="1:23" s="612" customFormat="1" ht="13.5" customHeight="1">
      <c r="A182" s="5036">
        <v>52</v>
      </c>
      <c r="B182" s="5037" t="s">
        <v>2013</v>
      </c>
      <c r="C182" s="5037" t="s">
        <v>2187</v>
      </c>
      <c r="D182" s="5037" t="s">
        <v>2188</v>
      </c>
      <c r="E182" s="5037" t="s">
        <v>205</v>
      </c>
      <c r="F182" s="5038">
        <f>SUM(F183)</f>
        <v>1</v>
      </c>
      <c r="G182" s="5039"/>
      <c r="H182" s="5012">
        <f>ROUND(F182*G182,2)</f>
        <v>0</v>
      </c>
      <c r="I182" s="5013" t="s">
        <v>112</v>
      </c>
      <c r="J182" s="2288"/>
      <c r="K182" s="2289"/>
      <c r="Q182" s="2324"/>
      <c r="R182" s="660"/>
    </row>
    <row r="183" spans="1:23" s="1371" customFormat="1" ht="13.5" customHeight="1">
      <c r="A183" s="5040"/>
      <c r="B183" s="5041"/>
      <c r="C183" s="5020"/>
      <c r="D183" s="5015" t="s">
        <v>2189</v>
      </c>
      <c r="E183" s="5042"/>
      <c r="F183" s="5043">
        <v>1</v>
      </c>
      <c r="G183" s="5044"/>
      <c r="H183" s="5045"/>
      <c r="I183" s="5046"/>
      <c r="J183" s="2288"/>
      <c r="K183" s="612"/>
      <c r="L183" s="612"/>
      <c r="M183" s="612"/>
      <c r="N183" s="612"/>
      <c r="Q183" s="2325"/>
      <c r="R183" s="2326"/>
      <c r="U183" s="2273"/>
      <c r="W183" s="2273"/>
    </row>
    <row r="184" spans="1:23" s="1371" customFormat="1" ht="13.5" customHeight="1">
      <c r="A184" s="5040"/>
      <c r="B184" s="5041"/>
      <c r="C184" s="5020"/>
      <c r="D184" s="5015" t="s">
        <v>2190</v>
      </c>
      <c r="E184" s="5042"/>
      <c r="F184" s="5043"/>
      <c r="G184" s="5044"/>
      <c r="H184" s="5045"/>
      <c r="I184" s="5046"/>
      <c r="J184" s="2288"/>
      <c r="K184" s="2261"/>
      <c r="Q184" s="2325"/>
      <c r="R184" s="2326"/>
      <c r="S184" s="2327"/>
      <c r="U184" s="2273"/>
      <c r="W184" s="2273"/>
    </row>
    <row r="185" spans="1:23" s="612" customFormat="1" ht="13.5" customHeight="1">
      <c r="A185" s="5036">
        <v>53</v>
      </c>
      <c r="B185" s="5037" t="s">
        <v>2013</v>
      </c>
      <c r="C185" s="5037" t="s">
        <v>2191</v>
      </c>
      <c r="D185" s="5037" t="s">
        <v>2192</v>
      </c>
      <c r="E185" s="5037" t="s">
        <v>205</v>
      </c>
      <c r="F185" s="5038">
        <f>SUM(F186)</f>
        <v>1</v>
      </c>
      <c r="G185" s="5039"/>
      <c r="H185" s="5012">
        <f>ROUND(F185*G185,2)</f>
        <v>0</v>
      </c>
      <c r="I185" s="5013" t="s">
        <v>112</v>
      </c>
      <c r="J185" s="2288"/>
      <c r="K185" s="2289"/>
      <c r="Q185" s="2324"/>
      <c r="R185" s="660"/>
    </row>
    <row r="186" spans="1:23" s="1371" customFormat="1" ht="13.5" customHeight="1">
      <c r="A186" s="5040"/>
      <c r="B186" s="5041"/>
      <c r="C186" s="5020"/>
      <c r="D186" s="5015" t="s">
        <v>2193</v>
      </c>
      <c r="E186" s="5042"/>
      <c r="F186" s="5043">
        <v>1</v>
      </c>
      <c r="G186" s="5044"/>
      <c r="H186" s="5045"/>
      <c r="I186" s="5046"/>
      <c r="J186" s="2288"/>
      <c r="K186" s="612"/>
      <c r="L186" s="612"/>
      <c r="M186" s="612"/>
      <c r="N186" s="612"/>
      <c r="Q186" s="2325"/>
      <c r="R186" s="2326"/>
      <c r="U186" s="2273"/>
      <c r="W186" s="2273"/>
    </row>
    <row r="187" spans="1:23" s="1371" customFormat="1" ht="13.5" customHeight="1">
      <c r="A187" s="5040"/>
      <c r="B187" s="5041"/>
      <c r="C187" s="5020"/>
      <c r="D187" s="5015" t="s">
        <v>2190</v>
      </c>
      <c r="E187" s="5042"/>
      <c r="F187" s="5043"/>
      <c r="G187" s="5044"/>
      <c r="H187" s="5045"/>
      <c r="I187" s="5046"/>
      <c r="J187" s="2288"/>
      <c r="K187" s="2261"/>
      <c r="Q187" s="2325"/>
      <c r="R187" s="2326"/>
      <c r="S187" s="2327"/>
      <c r="U187" s="2273"/>
      <c r="W187" s="2273"/>
    </row>
    <row r="188" spans="1:23" s="612" customFormat="1" ht="13.5" customHeight="1">
      <c r="A188" s="5036">
        <v>54</v>
      </c>
      <c r="B188" s="5037" t="s">
        <v>2013</v>
      </c>
      <c r="C188" s="5037" t="s">
        <v>2194</v>
      </c>
      <c r="D188" s="5037" t="s">
        <v>2195</v>
      </c>
      <c r="E188" s="5037" t="s">
        <v>205</v>
      </c>
      <c r="F188" s="5038">
        <f>SUM(F189)</f>
        <v>2</v>
      </c>
      <c r="G188" s="5039"/>
      <c r="H188" s="5012">
        <f>ROUND(F188*G188,2)</f>
        <v>0</v>
      </c>
      <c r="I188" s="5013" t="s">
        <v>112</v>
      </c>
      <c r="J188" s="2288"/>
      <c r="K188" s="2289"/>
      <c r="L188" s="2261"/>
      <c r="Q188" s="2324"/>
      <c r="R188" s="660"/>
    </row>
    <row r="189" spans="1:23" s="1371" customFormat="1" ht="13.5" customHeight="1">
      <c r="A189" s="5040"/>
      <c r="B189" s="5041"/>
      <c r="C189" s="5020"/>
      <c r="D189" s="5015" t="s">
        <v>2196</v>
      </c>
      <c r="E189" s="5042"/>
      <c r="F189" s="5043">
        <v>2</v>
      </c>
      <c r="G189" s="5044"/>
      <c r="H189" s="5045"/>
      <c r="I189" s="5046"/>
      <c r="J189" s="2288"/>
      <c r="K189" s="612"/>
      <c r="L189" s="612"/>
      <c r="M189" s="612"/>
      <c r="N189" s="612"/>
      <c r="Q189" s="2325"/>
      <c r="R189" s="2326"/>
      <c r="U189" s="2273"/>
      <c r="W189" s="2273"/>
    </row>
    <row r="190" spans="1:23" s="1371" customFormat="1" ht="13.5" customHeight="1">
      <c r="A190" s="5040"/>
      <c r="B190" s="5041"/>
      <c r="C190" s="5020"/>
      <c r="D190" s="5015" t="s">
        <v>2190</v>
      </c>
      <c r="E190" s="5042"/>
      <c r="F190" s="5043"/>
      <c r="G190" s="5044"/>
      <c r="H190" s="5045"/>
      <c r="I190" s="5046"/>
      <c r="J190" s="2288"/>
      <c r="K190" s="2261"/>
      <c r="Q190" s="2325"/>
      <c r="R190" s="2326"/>
      <c r="S190" s="2327"/>
      <c r="U190" s="2273"/>
      <c r="W190" s="2273"/>
    </row>
    <row r="191" spans="1:23" s="612" customFormat="1" ht="13.5" customHeight="1">
      <c r="A191" s="5036">
        <v>55</v>
      </c>
      <c r="B191" s="5037" t="s">
        <v>2013</v>
      </c>
      <c r="C191" s="5037" t="s">
        <v>2197</v>
      </c>
      <c r="D191" s="5037" t="s">
        <v>2198</v>
      </c>
      <c r="E191" s="5037" t="s">
        <v>205</v>
      </c>
      <c r="F191" s="5038">
        <f>SUM(F192)</f>
        <v>3</v>
      </c>
      <c r="G191" s="5039"/>
      <c r="H191" s="5012">
        <f>ROUND(F191*G191,2)</f>
        <v>0</v>
      </c>
      <c r="I191" s="5013" t="s">
        <v>112</v>
      </c>
      <c r="J191" s="2288"/>
      <c r="K191" s="2289"/>
      <c r="Q191" s="2324"/>
      <c r="R191" s="660"/>
    </row>
    <row r="192" spans="1:23" s="1371" customFormat="1" ht="13.5" customHeight="1">
      <c r="A192" s="5040"/>
      <c r="B192" s="5041"/>
      <c r="C192" s="5020"/>
      <c r="D192" s="5015" t="s">
        <v>2199</v>
      </c>
      <c r="E192" s="5042"/>
      <c r="F192" s="5043">
        <v>3</v>
      </c>
      <c r="G192" s="5044"/>
      <c r="H192" s="5045"/>
      <c r="I192" s="5046"/>
      <c r="J192" s="2288"/>
      <c r="K192" s="612"/>
      <c r="L192" s="612"/>
      <c r="M192" s="612"/>
      <c r="N192" s="612"/>
      <c r="Q192" s="2325"/>
      <c r="R192" s="2326"/>
      <c r="U192" s="2273"/>
      <c r="W192" s="2273"/>
    </row>
    <row r="193" spans="1:23" s="1371" customFormat="1" ht="13.5" customHeight="1">
      <c r="A193" s="5040"/>
      <c r="B193" s="5041"/>
      <c r="C193" s="5020"/>
      <c r="D193" s="5015" t="s">
        <v>2190</v>
      </c>
      <c r="E193" s="5042"/>
      <c r="F193" s="5043"/>
      <c r="G193" s="5044"/>
      <c r="H193" s="5045"/>
      <c r="I193" s="5046"/>
      <c r="J193" s="2288"/>
      <c r="K193" s="177"/>
      <c r="Q193" s="2325"/>
      <c r="R193" s="2326"/>
      <c r="S193" s="2327"/>
      <c r="U193" s="2273"/>
      <c r="W193" s="2273"/>
    </row>
    <row r="194" spans="1:23" s="612" customFormat="1" ht="13.5" customHeight="1">
      <c r="A194" s="5036">
        <v>56</v>
      </c>
      <c r="B194" s="5037" t="s">
        <v>2013</v>
      </c>
      <c r="C194" s="5037" t="s">
        <v>2200</v>
      </c>
      <c r="D194" s="5037" t="s">
        <v>2201</v>
      </c>
      <c r="E194" s="5037" t="s">
        <v>205</v>
      </c>
      <c r="F194" s="5038">
        <f>SUM(F195)</f>
        <v>2</v>
      </c>
      <c r="G194" s="5039"/>
      <c r="H194" s="5012">
        <f>ROUND(F194*G194,2)</f>
        <v>0</v>
      </c>
      <c r="I194" s="5013" t="s">
        <v>112</v>
      </c>
      <c r="J194" s="2288"/>
      <c r="K194" s="2289"/>
      <c r="Q194" s="2324"/>
      <c r="R194" s="660"/>
    </row>
    <row r="195" spans="1:23" s="1371" customFormat="1" ht="13.5" customHeight="1">
      <c r="A195" s="5040"/>
      <c r="B195" s="5041"/>
      <c r="C195" s="5020"/>
      <c r="D195" s="5015" t="s">
        <v>2202</v>
      </c>
      <c r="E195" s="5042"/>
      <c r="F195" s="5043">
        <v>2</v>
      </c>
      <c r="G195" s="5044"/>
      <c r="H195" s="5045"/>
      <c r="I195" s="5046"/>
      <c r="J195" s="2288"/>
      <c r="K195" s="612"/>
      <c r="L195" s="612"/>
      <c r="M195" s="612"/>
      <c r="N195" s="612"/>
      <c r="Q195" s="2325"/>
      <c r="R195" s="2326"/>
      <c r="U195" s="2273"/>
      <c r="W195" s="2273"/>
    </row>
    <row r="196" spans="1:23" s="1371" customFormat="1" ht="13.5" customHeight="1">
      <c r="A196" s="5040"/>
      <c r="B196" s="5041"/>
      <c r="C196" s="5020"/>
      <c r="D196" s="5015" t="s">
        <v>2190</v>
      </c>
      <c r="E196" s="5042"/>
      <c r="F196" s="5043"/>
      <c r="G196" s="5044"/>
      <c r="H196" s="5045"/>
      <c r="I196" s="5046"/>
      <c r="J196" s="2328"/>
      <c r="K196" s="177"/>
      <c r="Q196" s="2325"/>
      <c r="R196" s="2326"/>
      <c r="S196" s="2327"/>
      <c r="U196" s="2273"/>
      <c r="W196" s="2273"/>
    </row>
    <row r="197" spans="1:23" s="612" customFormat="1" ht="27" customHeight="1">
      <c r="A197" s="5036">
        <v>57</v>
      </c>
      <c r="B197" s="5037" t="s">
        <v>2013</v>
      </c>
      <c r="C197" s="5037" t="s">
        <v>2203</v>
      </c>
      <c r="D197" s="5037" t="s">
        <v>2204</v>
      </c>
      <c r="E197" s="5037" t="s">
        <v>205</v>
      </c>
      <c r="F197" s="5038">
        <f>SUM(F198)</f>
        <v>13</v>
      </c>
      <c r="G197" s="5039"/>
      <c r="H197" s="5012">
        <f>ROUND(F197*G197,2)</f>
        <v>0</v>
      </c>
      <c r="I197" s="5013" t="s">
        <v>112</v>
      </c>
      <c r="J197" s="2288"/>
      <c r="K197" s="2289"/>
      <c r="Q197" s="2324"/>
      <c r="R197" s="660"/>
    </row>
    <row r="198" spans="1:23" s="1371" customFormat="1" ht="13.5" customHeight="1">
      <c r="A198" s="5040"/>
      <c r="B198" s="5041"/>
      <c r="C198" s="5020"/>
      <c r="D198" s="5015" t="s">
        <v>2205</v>
      </c>
      <c r="E198" s="5042"/>
      <c r="F198" s="5043">
        <v>13</v>
      </c>
      <c r="G198" s="5044"/>
      <c r="H198" s="5045"/>
      <c r="I198" s="5046"/>
      <c r="J198" s="612"/>
      <c r="K198" s="612"/>
      <c r="L198" s="612"/>
      <c r="M198" s="612"/>
      <c r="N198" s="612"/>
      <c r="Q198" s="2325"/>
      <c r="R198" s="2326"/>
      <c r="U198" s="2273"/>
      <c r="W198" s="2273"/>
    </row>
    <row r="199" spans="1:23" s="1371" customFormat="1" ht="27" customHeight="1">
      <c r="A199" s="5040"/>
      <c r="B199" s="5041"/>
      <c r="C199" s="5020"/>
      <c r="D199" s="5015" t="s">
        <v>2206</v>
      </c>
      <c r="E199" s="5042"/>
      <c r="F199" s="5043"/>
      <c r="G199" s="5044"/>
      <c r="H199" s="5045"/>
      <c r="I199" s="5046"/>
      <c r="J199" s="612"/>
      <c r="K199" s="612"/>
      <c r="L199" s="612"/>
      <c r="M199" s="612"/>
      <c r="N199" s="612"/>
      <c r="Q199" s="2325"/>
      <c r="R199" s="2326"/>
      <c r="U199" s="2273"/>
      <c r="W199" s="2273"/>
    </row>
    <row r="200" spans="1:23" s="612" customFormat="1" ht="13.5" customHeight="1">
      <c r="A200" s="5036">
        <v>58</v>
      </c>
      <c r="B200" s="5037" t="s">
        <v>2013</v>
      </c>
      <c r="C200" s="5037" t="s">
        <v>2207</v>
      </c>
      <c r="D200" s="5037" t="s">
        <v>2208</v>
      </c>
      <c r="E200" s="5037" t="s">
        <v>205</v>
      </c>
      <c r="F200" s="5038">
        <f>SUM(F201)</f>
        <v>17</v>
      </c>
      <c r="G200" s="5039"/>
      <c r="H200" s="5012">
        <f>ROUND(F200*G200,2)</f>
        <v>0</v>
      </c>
      <c r="I200" s="5013" t="s">
        <v>112</v>
      </c>
      <c r="J200" s="2288"/>
      <c r="K200" s="2289"/>
      <c r="Q200" s="2324"/>
      <c r="R200" s="660"/>
    </row>
    <row r="201" spans="1:23" s="1371" customFormat="1" ht="13.5" customHeight="1">
      <c r="A201" s="5040"/>
      <c r="B201" s="5041"/>
      <c r="C201" s="5020"/>
      <c r="D201" s="5015" t="s">
        <v>2209</v>
      </c>
      <c r="E201" s="5042"/>
      <c r="F201" s="5043">
        <v>17</v>
      </c>
      <c r="G201" s="5044"/>
      <c r="H201" s="5045"/>
      <c r="I201" s="5046"/>
      <c r="J201" s="612"/>
      <c r="K201" s="612"/>
      <c r="L201" s="612"/>
      <c r="M201" s="612"/>
      <c r="N201" s="612"/>
      <c r="Q201" s="2325"/>
      <c r="R201" s="2326"/>
      <c r="U201" s="2273"/>
      <c r="W201" s="2273"/>
    </row>
    <row r="202" spans="1:23" s="1371" customFormat="1" ht="13.5" customHeight="1">
      <c r="A202" s="5040"/>
      <c r="B202" s="5041"/>
      <c r="C202" s="5020"/>
      <c r="D202" s="5015" t="s">
        <v>2210</v>
      </c>
      <c r="E202" s="5042"/>
      <c r="F202" s="5043"/>
      <c r="G202" s="5044"/>
      <c r="H202" s="5045"/>
      <c r="I202" s="5046"/>
      <c r="J202" s="2328"/>
      <c r="K202" s="2261"/>
      <c r="Q202" s="2325"/>
      <c r="R202" s="2326"/>
      <c r="S202" s="2327"/>
      <c r="U202" s="2273"/>
      <c r="W202" s="2273"/>
    </row>
    <row r="203" spans="1:23" s="612" customFormat="1" ht="13.5" customHeight="1">
      <c r="A203" s="5036">
        <v>59</v>
      </c>
      <c r="B203" s="5037" t="s">
        <v>2013</v>
      </c>
      <c r="C203" s="5037" t="s">
        <v>2211</v>
      </c>
      <c r="D203" s="5037" t="s">
        <v>2212</v>
      </c>
      <c r="E203" s="5037" t="s">
        <v>205</v>
      </c>
      <c r="F203" s="5038">
        <f>SUM(F204)</f>
        <v>14</v>
      </c>
      <c r="G203" s="5039"/>
      <c r="H203" s="5012">
        <f>ROUND(F203*G203,2)</f>
        <v>0</v>
      </c>
      <c r="I203" s="5013" t="s">
        <v>112</v>
      </c>
      <c r="J203" s="2288"/>
      <c r="K203" s="2289"/>
      <c r="Q203" s="2324"/>
      <c r="R203" s="660"/>
    </row>
    <row r="204" spans="1:23" s="1371" customFormat="1" ht="13.5" customHeight="1">
      <c r="A204" s="5040"/>
      <c r="B204" s="5041"/>
      <c r="C204" s="5020"/>
      <c r="D204" s="5015" t="s">
        <v>2213</v>
      </c>
      <c r="E204" s="5042"/>
      <c r="F204" s="5043">
        <v>14</v>
      </c>
      <c r="G204" s="5044"/>
      <c r="H204" s="5045"/>
      <c r="I204" s="5046"/>
      <c r="J204" s="612"/>
      <c r="K204" s="612"/>
      <c r="L204" s="612"/>
      <c r="M204" s="612"/>
      <c r="N204" s="612"/>
      <c r="Q204" s="2325"/>
      <c r="R204" s="2326"/>
      <c r="U204" s="2273"/>
      <c r="W204" s="2273"/>
    </row>
    <row r="205" spans="1:23" s="1371" customFormat="1" ht="13.5" customHeight="1">
      <c r="A205" s="5040"/>
      <c r="B205" s="5041"/>
      <c r="C205" s="5020"/>
      <c r="D205" s="5015" t="s">
        <v>2214</v>
      </c>
      <c r="E205" s="5042"/>
      <c r="F205" s="5043"/>
      <c r="G205" s="5044"/>
      <c r="H205" s="5045"/>
      <c r="I205" s="5046"/>
      <c r="J205" s="2328"/>
      <c r="K205" s="2261"/>
      <c r="Q205" s="2325"/>
      <c r="R205" s="2326"/>
      <c r="S205" s="2327"/>
      <c r="U205" s="2273"/>
      <c r="W205" s="2273"/>
    </row>
    <row r="206" spans="1:23" s="612" customFormat="1" ht="13.5" customHeight="1">
      <c r="A206" s="5036">
        <v>60</v>
      </c>
      <c r="B206" s="5037" t="s">
        <v>2013</v>
      </c>
      <c r="C206" s="5037" t="s">
        <v>2215</v>
      </c>
      <c r="D206" s="5037" t="s">
        <v>2216</v>
      </c>
      <c r="E206" s="5037" t="s">
        <v>205</v>
      </c>
      <c r="F206" s="5038">
        <f>SUM(F207)</f>
        <v>2</v>
      </c>
      <c r="G206" s="5039"/>
      <c r="H206" s="5012">
        <f>ROUND(F206*G206,2)</f>
        <v>0</v>
      </c>
      <c r="I206" s="5013" t="s">
        <v>112</v>
      </c>
      <c r="J206" s="2288"/>
      <c r="K206" s="2289"/>
      <c r="P206" s="637"/>
    </row>
    <row r="207" spans="1:23" s="1371" customFormat="1" ht="13.5" customHeight="1">
      <c r="A207" s="5040"/>
      <c r="B207" s="5041"/>
      <c r="C207" s="5020"/>
      <c r="D207" s="5015" t="s">
        <v>2217</v>
      </c>
      <c r="E207" s="5042"/>
      <c r="F207" s="5043">
        <v>2</v>
      </c>
      <c r="G207" s="5044"/>
      <c r="H207" s="5045"/>
      <c r="I207" s="5046"/>
      <c r="K207" s="2289"/>
      <c r="P207" s="2329"/>
      <c r="U207" s="2273"/>
      <c r="W207" s="2273"/>
    </row>
    <row r="208" spans="1:23" s="612" customFormat="1" ht="27" customHeight="1">
      <c r="A208" s="5036"/>
      <c r="B208" s="5037"/>
      <c r="C208" s="5042"/>
      <c r="D208" s="5042" t="s">
        <v>2218</v>
      </c>
      <c r="E208" s="5042"/>
      <c r="F208" s="5082"/>
      <c r="G208" s="5073"/>
      <c r="H208" s="5074"/>
      <c r="I208" s="5046"/>
      <c r="J208" s="2288"/>
      <c r="K208" s="2289"/>
    </row>
    <row r="209" spans="1:23" s="612" customFormat="1" ht="13.5" customHeight="1">
      <c r="A209" s="5036">
        <v>61</v>
      </c>
      <c r="B209" s="5037" t="s">
        <v>2013</v>
      </c>
      <c r="C209" s="5037" t="s">
        <v>2219</v>
      </c>
      <c r="D209" s="5037" t="s">
        <v>2220</v>
      </c>
      <c r="E209" s="5037" t="s">
        <v>205</v>
      </c>
      <c r="F209" s="5038">
        <f>SUM(F210)</f>
        <v>2</v>
      </c>
      <c r="G209" s="5039"/>
      <c r="H209" s="5012">
        <f>ROUND(F209*G209,2)</f>
        <v>0</v>
      </c>
      <c r="I209" s="5013" t="s">
        <v>112</v>
      </c>
      <c r="J209" s="2288"/>
      <c r="K209" s="2289"/>
      <c r="P209" s="637"/>
    </row>
    <row r="210" spans="1:23" s="1371" customFormat="1" ht="13.5" customHeight="1">
      <c r="A210" s="5040"/>
      <c r="B210" s="5041"/>
      <c r="C210" s="5020"/>
      <c r="D210" s="5015" t="s">
        <v>2221</v>
      </c>
      <c r="E210" s="5042"/>
      <c r="F210" s="5043">
        <v>2</v>
      </c>
      <c r="G210" s="5044"/>
      <c r="H210" s="5045"/>
      <c r="I210" s="5046"/>
      <c r="J210" s="2288"/>
      <c r="K210" s="2289"/>
      <c r="P210" s="2329"/>
      <c r="U210" s="2273"/>
      <c r="W210" s="2273"/>
    </row>
    <row r="211" spans="1:23" s="612" customFormat="1" ht="27" customHeight="1">
      <c r="A211" s="5036"/>
      <c r="B211" s="5037"/>
      <c r="C211" s="5042"/>
      <c r="D211" s="5042" t="s">
        <v>2218</v>
      </c>
      <c r="E211" s="5042"/>
      <c r="F211" s="5082"/>
      <c r="G211" s="5073"/>
      <c r="H211" s="5074"/>
      <c r="I211" s="5046"/>
      <c r="J211" s="2288"/>
      <c r="K211" s="2289"/>
    </row>
    <row r="212" spans="1:23" s="612" customFormat="1" ht="13.5" customHeight="1">
      <c r="A212" s="5036">
        <v>62</v>
      </c>
      <c r="B212" s="5037" t="s">
        <v>2013</v>
      </c>
      <c r="C212" s="5037" t="s">
        <v>2222</v>
      </c>
      <c r="D212" s="5037" t="s">
        <v>2223</v>
      </c>
      <c r="E212" s="5037" t="s">
        <v>205</v>
      </c>
      <c r="F212" s="5038">
        <f>SUM(F213)</f>
        <v>1</v>
      </c>
      <c r="G212" s="5039"/>
      <c r="H212" s="5012">
        <f>ROUND(F212*G212,2)</f>
        <v>0</v>
      </c>
      <c r="I212" s="5013" t="s">
        <v>112</v>
      </c>
      <c r="J212" s="2288"/>
      <c r="K212" s="2289"/>
      <c r="M212" s="2288"/>
      <c r="P212" s="637"/>
    </row>
    <row r="213" spans="1:23" s="1371" customFormat="1" ht="13.5" customHeight="1">
      <c r="A213" s="5040"/>
      <c r="B213" s="5041"/>
      <c r="C213" s="5020"/>
      <c r="D213" s="5015" t="s">
        <v>2224</v>
      </c>
      <c r="E213" s="5042"/>
      <c r="F213" s="5043">
        <v>1</v>
      </c>
      <c r="G213" s="5044"/>
      <c r="H213" s="5045"/>
      <c r="I213" s="5046"/>
      <c r="J213" s="2288"/>
      <c r="K213" s="2289"/>
      <c r="P213" s="2329"/>
      <c r="U213" s="2273"/>
      <c r="W213" s="2273"/>
    </row>
    <row r="214" spans="1:23" s="612" customFormat="1" ht="27" customHeight="1">
      <c r="A214" s="5036"/>
      <c r="B214" s="5037"/>
      <c r="C214" s="5042"/>
      <c r="D214" s="5042" t="s">
        <v>2218</v>
      </c>
      <c r="E214" s="5042"/>
      <c r="F214" s="5082"/>
      <c r="G214" s="5073"/>
      <c r="H214" s="5074"/>
      <c r="I214" s="5046"/>
      <c r="J214" s="2288"/>
      <c r="K214" s="2289"/>
    </row>
    <row r="215" spans="1:23" s="612" customFormat="1" ht="13.5" customHeight="1">
      <c r="A215" s="5036">
        <v>63</v>
      </c>
      <c r="B215" s="5037" t="s">
        <v>2013</v>
      </c>
      <c r="C215" s="5037" t="s">
        <v>2225</v>
      </c>
      <c r="D215" s="5037" t="s">
        <v>2226</v>
      </c>
      <c r="E215" s="5037" t="s">
        <v>205</v>
      </c>
      <c r="F215" s="5038">
        <f>SUM(F216)</f>
        <v>2</v>
      </c>
      <c r="G215" s="5039"/>
      <c r="H215" s="5012">
        <f>ROUND(F215*G215,2)</f>
        <v>0</v>
      </c>
      <c r="I215" s="5013" t="s">
        <v>112</v>
      </c>
      <c r="J215" s="2288"/>
      <c r="K215" s="2289"/>
      <c r="P215" s="637"/>
    </row>
    <row r="216" spans="1:23" s="1371" customFormat="1" ht="13.5" customHeight="1">
      <c r="A216" s="5040"/>
      <c r="B216" s="5041"/>
      <c r="C216" s="5020"/>
      <c r="D216" s="5015" t="s">
        <v>2227</v>
      </c>
      <c r="E216" s="5042"/>
      <c r="F216" s="5043">
        <v>2</v>
      </c>
      <c r="G216" s="5044"/>
      <c r="H216" s="5045"/>
      <c r="I216" s="5046"/>
      <c r="J216" s="160"/>
      <c r="K216" s="2289"/>
      <c r="P216" s="2329"/>
      <c r="U216" s="2273"/>
      <c r="W216" s="2273"/>
    </row>
    <row r="217" spans="1:23" s="612" customFormat="1" ht="27" customHeight="1">
      <c r="A217" s="5036"/>
      <c r="B217" s="5037"/>
      <c r="C217" s="5042"/>
      <c r="D217" s="5042" t="s">
        <v>2218</v>
      </c>
      <c r="E217" s="5042"/>
      <c r="F217" s="5082"/>
      <c r="G217" s="5073"/>
      <c r="H217" s="5074"/>
      <c r="I217" s="5046"/>
      <c r="J217" s="2288"/>
      <c r="K217" s="2289"/>
    </row>
    <row r="218" spans="1:23" s="612" customFormat="1" ht="13.5" customHeight="1">
      <c r="A218" s="5036">
        <v>64</v>
      </c>
      <c r="B218" s="5037" t="s">
        <v>2013</v>
      </c>
      <c r="C218" s="5037" t="s">
        <v>2228</v>
      </c>
      <c r="D218" s="5037" t="s">
        <v>2229</v>
      </c>
      <c r="E218" s="5037" t="s">
        <v>205</v>
      </c>
      <c r="F218" s="5038">
        <f>SUM(F219)</f>
        <v>3</v>
      </c>
      <c r="G218" s="5039"/>
      <c r="H218" s="5012">
        <f>ROUND(F218*G218,2)</f>
        <v>0</v>
      </c>
      <c r="I218" s="5013" t="s">
        <v>112</v>
      </c>
      <c r="J218" s="2288"/>
      <c r="K218" s="2289"/>
      <c r="P218" s="637"/>
    </row>
    <row r="219" spans="1:23" s="1371" customFormat="1" ht="13.5" customHeight="1">
      <c r="A219" s="5040"/>
      <c r="B219" s="5041"/>
      <c r="C219" s="5020"/>
      <c r="D219" s="5015" t="s">
        <v>2230</v>
      </c>
      <c r="E219" s="5042"/>
      <c r="F219" s="5043">
        <v>3</v>
      </c>
      <c r="G219" s="5044"/>
      <c r="H219" s="5045"/>
      <c r="I219" s="5046"/>
      <c r="J219" s="2288"/>
      <c r="K219" s="2289"/>
      <c r="P219" s="829"/>
      <c r="U219" s="2273"/>
      <c r="W219" s="2273"/>
    </row>
    <row r="220" spans="1:23" s="612" customFormat="1" ht="27" customHeight="1">
      <c r="A220" s="5036"/>
      <c r="B220" s="5037"/>
      <c r="C220" s="5042"/>
      <c r="D220" s="5042" t="s">
        <v>2218</v>
      </c>
      <c r="E220" s="5042"/>
      <c r="F220" s="5082"/>
      <c r="G220" s="5073"/>
      <c r="H220" s="5074"/>
      <c r="I220" s="5046"/>
      <c r="J220" s="2288"/>
      <c r="K220" s="2289"/>
    </row>
    <row r="221" spans="1:23" s="612" customFormat="1" ht="13.5" customHeight="1">
      <c r="A221" s="5036">
        <v>65</v>
      </c>
      <c r="B221" s="5037" t="s">
        <v>2013</v>
      </c>
      <c r="C221" s="5037" t="s">
        <v>2231</v>
      </c>
      <c r="D221" s="5037" t="s">
        <v>2232</v>
      </c>
      <c r="E221" s="5037" t="s">
        <v>205</v>
      </c>
      <c r="F221" s="5038">
        <f>F222</f>
        <v>4</v>
      </c>
      <c r="G221" s="5039"/>
      <c r="H221" s="5012">
        <f>ROUND(F221*G221,2)</f>
        <v>0</v>
      </c>
      <c r="I221" s="5013" t="s">
        <v>112</v>
      </c>
      <c r="J221" s="2288"/>
      <c r="K221" s="2289"/>
      <c r="O221" s="1371"/>
      <c r="P221" s="1371"/>
      <c r="Q221" s="2325"/>
      <c r="R221" s="2326"/>
    </row>
    <row r="222" spans="1:23" s="1371" customFormat="1" ht="13.5" customHeight="1">
      <c r="A222" s="5040"/>
      <c r="B222" s="5041"/>
      <c r="C222" s="5020"/>
      <c r="D222" s="5015" t="s">
        <v>2233</v>
      </c>
      <c r="E222" s="5042"/>
      <c r="F222" s="5043">
        <v>4</v>
      </c>
      <c r="G222" s="5044"/>
      <c r="H222" s="5045"/>
      <c r="I222" s="5046"/>
      <c r="J222" s="2288"/>
      <c r="K222" s="2289"/>
      <c r="L222" s="612"/>
      <c r="M222" s="612"/>
      <c r="N222" s="612"/>
      <c r="O222" s="612"/>
      <c r="P222" s="612"/>
      <c r="Q222" s="2324"/>
      <c r="R222" s="660"/>
      <c r="S222" s="612"/>
      <c r="U222" s="2273"/>
      <c r="W222" s="2273"/>
    </row>
    <row r="223" spans="1:23" ht="13.5" customHeight="1">
      <c r="A223" s="5007">
        <v>67</v>
      </c>
      <c r="B223" s="5008" t="s">
        <v>2013</v>
      </c>
      <c r="C223" s="5009" t="s">
        <v>2234</v>
      </c>
      <c r="D223" s="5009" t="s">
        <v>2235</v>
      </c>
      <c r="E223" s="5009" t="s">
        <v>205</v>
      </c>
      <c r="F223" s="5069">
        <f>SUM(F224)</f>
        <v>2</v>
      </c>
      <c r="G223" s="5011"/>
      <c r="H223" s="5030">
        <f>F223*G223</f>
        <v>0</v>
      </c>
      <c r="I223" s="5013" t="s">
        <v>112</v>
      </c>
      <c r="K223" s="2283"/>
      <c r="P223" s="179"/>
    </row>
    <row r="224" spans="1:23" s="2308" customFormat="1">
      <c r="A224" s="5007"/>
      <c r="B224" s="5008"/>
      <c r="C224" s="5009"/>
      <c r="D224" s="5083" t="s">
        <v>2236</v>
      </c>
      <c r="E224" s="5009"/>
      <c r="F224" s="5084">
        <v>2</v>
      </c>
      <c r="G224" s="5011"/>
      <c r="H224" s="5030"/>
      <c r="I224" s="5085"/>
      <c r="J224" s="161"/>
      <c r="P224" s="2331"/>
      <c r="R224" s="2331"/>
      <c r="U224" s="2331"/>
    </row>
    <row r="225" spans="1:27" ht="13.5" customHeight="1">
      <c r="A225" s="5007">
        <v>68</v>
      </c>
      <c r="B225" s="5008" t="s">
        <v>2013</v>
      </c>
      <c r="C225" s="5009" t="s">
        <v>2237</v>
      </c>
      <c r="D225" s="5009" t="s">
        <v>2238</v>
      </c>
      <c r="E225" s="5009" t="s">
        <v>205</v>
      </c>
      <c r="F225" s="5069">
        <f>SUM(F226)</f>
        <v>1</v>
      </c>
      <c r="G225" s="5011"/>
      <c r="H225" s="5030">
        <f>F225*G225</f>
        <v>0</v>
      </c>
      <c r="I225" s="5013" t="s">
        <v>112</v>
      </c>
      <c r="K225" s="2283"/>
      <c r="R225" s="2331"/>
    </row>
    <row r="226" spans="1:27" s="2308" customFormat="1" ht="13.5" customHeight="1">
      <c r="A226" s="5007"/>
      <c r="B226" s="5009"/>
      <c r="C226" s="5009"/>
      <c r="D226" s="5027" t="s">
        <v>2239</v>
      </c>
      <c r="E226" s="5009"/>
      <c r="F226" s="5084">
        <v>1</v>
      </c>
      <c r="G226" s="5011"/>
      <c r="H226" s="5030"/>
      <c r="I226" s="5086"/>
      <c r="J226" s="161"/>
      <c r="K226" s="2283"/>
      <c r="L226" s="2202"/>
      <c r="M226" s="2331"/>
      <c r="O226" s="2202"/>
      <c r="P226" s="2283"/>
      <c r="Q226" s="2202"/>
      <c r="R226" s="2202"/>
      <c r="S226" s="2202"/>
      <c r="T226" s="2202"/>
      <c r="U226" s="2202"/>
      <c r="V226" s="2202"/>
      <c r="W226" s="2202"/>
      <c r="X226" s="2202"/>
      <c r="Y226" s="2202"/>
      <c r="Z226" s="2202"/>
      <c r="AA226" s="2333"/>
    </row>
    <row r="227" spans="1:27" ht="27" customHeight="1">
      <c r="A227" s="5007"/>
      <c r="B227" s="5009"/>
      <c r="C227" s="5009"/>
      <c r="D227" s="5027" t="s">
        <v>2240</v>
      </c>
      <c r="E227" s="5009"/>
      <c r="F227" s="5084"/>
      <c r="G227" s="5011"/>
      <c r="H227" s="5030"/>
      <c r="I227" s="5086"/>
      <c r="J227" s="2334"/>
    </row>
    <row r="228" spans="1:27" ht="13.5" customHeight="1">
      <c r="A228" s="5007">
        <v>69</v>
      </c>
      <c r="B228" s="5008" t="s">
        <v>2013</v>
      </c>
      <c r="C228" s="5009" t="s">
        <v>2241</v>
      </c>
      <c r="D228" s="5009" t="s">
        <v>2242</v>
      </c>
      <c r="E228" s="5009" t="s">
        <v>205</v>
      </c>
      <c r="F228" s="5069">
        <f>SUM(F229)</f>
        <v>1</v>
      </c>
      <c r="G228" s="5011"/>
      <c r="H228" s="5030">
        <f>F228*G228</f>
        <v>0</v>
      </c>
      <c r="I228" s="5013" t="s">
        <v>112</v>
      </c>
      <c r="K228" s="2283"/>
      <c r="R228" s="2331"/>
      <c r="V228" s="2333"/>
    </row>
    <row r="229" spans="1:27" s="2308" customFormat="1" ht="13.5" customHeight="1">
      <c r="A229" s="5007"/>
      <c r="B229" s="5009"/>
      <c r="C229" s="5009"/>
      <c r="D229" s="5027" t="s">
        <v>2243</v>
      </c>
      <c r="E229" s="5009"/>
      <c r="F229" s="5084">
        <v>1</v>
      </c>
      <c r="G229" s="5011"/>
      <c r="H229" s="5030"/>
      <c r="I229" s="5086"/>
      <c r="J229" s="161"/>
      <c r="K229" s="2283"/>
      <c r="L229" s="2202"/>
      <c r="M229" s="2331"/>
      <c r="P229" s="2331"/>
    </row>
    <row r="230" spans="1:27" ht="27" customHeight="1">
      <c r="A230" s="5007"/>
      <c r="B230" s="5009"/>
      <c r="C230" s="5009"/>
      <c r="D230" s="5027" t="s">
        <v>2240</v>
      </c>
      <c r="E230" s="5009"/>
      <c r="F230" s="5084"/>
      <c r="G230" s="5011"/>
      <c r="H230" s="5030"/>
      <c r="I230" s="5086"/>
      <c r="J230" s="161"/>
      <c r="K230" s="2283"/>
      <c r="M230" s="2331"/>
      <c r="P230" s="2331"/>
    </row>
    <row r="231" spans="1:27" ht="13.5" customHeight="1">
      <c r="A231" s="5007">
        <v>70</v>
      </c>
      <c r="B231" s="5008" t="s">
        <v>2013</v>
      </c>
      <c r="C231" s="5009" t="s">
        <v>2244</v>
      </c>
      <c r="D231" s="5009" t="s">
        <v>2245</v>
      </c>
      <c r="E231" s="5009" t="s">
        <v>205</v>
      </c>
      <c r="F231" s="5069">
        <f>SUM(F232)</f>
        <v>1</v>
      </c>
      <c r="G231" s="5011"/>
      <c r="H231" s="5030">
        <f>F231*G231</f>
        <v>0</v>
      </c>
      <c r="I231" s="5013" t="s">
        <v>112</v>
      </c>
      <c r="J231" s="2335"/>
      <c r="K231" s="2283"/>
      <c r="P231" s="179"/>
    </row>
    <row r="232" spans="1:27" s="2308" customFormat="1">
      <c r="A232" s="5007"/>
      <c r="B232" s="5008"/>
      <c r="C232" s="5009"/>
      <c r="D232" s="5083" t="s">
        <v>2246</v>
      </c>
      <c r="E232" s="5009"/>
      <c r="F232" s="5084">
        <v>1</v>
      </c>
      <c r="G232" s="5011"/>
      <c r="H232" s="5030"/>
      <c r="I232" s="5085"/>
      <c r="J232" s="2202"/>
      <c r="K232" s="2283"/>
      <c r="L232" s="2202"/>
      <c r="M232" s="2202"/>
      <c r="N232" s="2202"/>
      <c r="O232" s="2202"/>
      <c r="P232" s="179"/>
      <c r="Q232" s="2202"/>
      <c r="R232" s="2202"/>
      <c r="U232" s="2331"/>
    </row>
    <row r="233" spans="1:27" s="153" customFormat="1" ht="13.5" customHeight="1">
      <c r="A233" s="5007">
        <v>71</v>
      </c>
      <c r="B233" s="5008" t="s">
        <v>2013</v>
      </c>
      <c r="C233" s="5009" t="s">
        <v>2247</v>
      </c>
      <c r="D233" s="5019" t="s">
        <v>2248</v>
      </c>
      <c r="E233" s="5019" t="s">
        <v>205</v>
      </c>
      <c r="F233" s="5087">
        <f>F234</f>
        <v>1</v>
      </c>
      <c r="G233" s="5022"/>
      <c r="H233" s="5023">
        <f>F233*G233</f>
        <v>0</v>
      </c>
      <c r="I233" s="5013" t="s">
        <v>112</v>
      </c>
      <c r="J233" s="2233"/>
      <c r="K233" s="2289"/>
      <c r="L233" s="2233"/>
      <c r="M233" s="2233"/>
      <c r="N233" s="2233"/>
      <c r="O233" s="2233"/>
      <c r="P233" s="2233"/>
      <c r="Q233" s="2234"/>
      <c r="R233" s="180"/>
    </row>
    <row r="234" spans="1:27" s="153" customFormat="1" ht="13.5" customHeight="1">
      <c r="A234" s="5018"/>
      <c r="B234" s="5019"/>
      <c r="C234" s="5019"/>
      <c r="D234" s="5083" t="s">
        <v>2249</v>
      </c>
      <c r="E234" s="5019"/>
      <c r="F234" s="5088">
        <v>1</v>
      </c>
      <c r="G234" s="5022"/>
      <c r="H234" s="5023"/>
      <c r="I234" s="5089"/>
      <c r="J234" s="162"/>
      <c r="K234" s="593"/>
      <c r="L234" s="593"/>
      <c r="M234" s="593"/>
      <c r="N234" s="593"/>
      <c r="O234" s="593"/>
      <c r="Q234" s="2336"/>
    </row>
    <row r="235" spans="1:27" s="153" customFormat="1" ht="13.5" customHeight="1">
      <c r="A235" s="5007">
        <v>72</v>
      </c>
      <c r="B235" s="5008" t="s">
        <v>2013</v>
      </c>
      <c r="C235" s="5009" t="s">
        <v>2250</v>
      </c>
      <c r="D235" s="5019" t="s">
        <v>2251</v>
      </c>
      <c r="E235" s="5019" t="s">
        <v>205</v>
      </c>
      <c r="F235" s="5087">
        <f>F236</f>
        <v>1</v>
      </c>
      <c r="G235" s="5022"/>
      <c r="H235" s="5023">
        <f>F235*G235</f>
        <v>0</v>
      </c>
      <c r="I235" s="5013" t="s">
        <v>112</v>
      </c>
      <c r="J235" s="2233"/>
      <c r="R235" s="180"/>
    </row>
    <row r="236" spans="1:27" s="153" customFormat="1" ht="13.5" customHeight="1">
      <c r="A236" s="5018"/>
      <c r="B236" s="5019"/>
      <c r="C236" s="5019"/>
      <c r="D236" s="5083" t="s">
        <v>2249</v>
      </c>
      <c r="E236" s="5019"/>
      <c r="F236" s="5088">
        <v>1</v>
      </c>
      <c r="G236" s="5022"/>
      <c r="H236" s="5023"/>
      <c r="I236" s="5089"/>
      <c r="J236" s="162"/>
      <c r="O236" s="181"/>
      <c r="Q236" s="2336"/>
    </row>
    <row r="237" spans="1:27" s="153" customFormat="1" ht="13.5" customHeight="1">
      <c r="A237" s="5007">
        <v>73</v>
      </c>
      <c r="B237" s="5008" t="s">
        <v>2013</v>
      </c>
      <c r="C237" s="5009" t="s">
        <v>2252</v>
      </c>
      <c r="D237" s="5019" t="s">
        <v>2253</v>
      </c>
      <c r="E237" s="5019" t="s">
        <v>205</v>
      </c>
      <c r="F237" s="5087">
        <f>F238</f>
        <v>1</v>
      </c>
      <c r="G237" s="5022"/>
      <c r="H237" s="5023">
        <f>F237*G237</f>
        <v>0</v>
      </c>
      <c r="I237" s="5013" t="s">
        <v>112</v>
      </c>
      <c r="J237" s="2233"/>
      <c r="K237" s="2206"/>
      <c r="L237" s="2206"/>
      <c r="M237" s="2206"/>
      <c r="N237" s="2206"/>
      <c r="O237" s="2206"/>
      <c r="P237" s="2206"/>
      <c r="Q237" s="2206"/>
      <c r="R237" s="2206"/>
      <c r="S237" s="2206"/>
      <c r="T237" s="2206"/>
    </row>
    <row r="238" spans="1:27" s="153" customFormat="1" ht="13.5" customHeight="1">
      <c r="A238" s="5018"/>
      <c r="B238" s="5019"/>
      <c r="C238" s="5019"/>
      <c r="D238" s="5083" t="s">
        <v>2249</v>
      </c>
      <c r="E238" s="5019"/>
      <c r="F238" s="5088">
        <v>1</v>
      </c>
      <c r="G238" s="5022"/>
      <c r="H238" s="5023"/>
      <c r="I238" s="5089"/>
      <c r="J238" s="162"/>
      <c r="K238" s="593"/>
      <c r="L238" s="593"/>
      <c r="M238" s="593"/>
      <c r="N238" s="593"/>
      <c r="O238" s="593"/>
      <c r="P238" s="593"/>
      <c r="Q238" s="593"/>
      <c r="R238" s="593"/>
      <c r="S238" s="593"/>
      <c r="T238" s="2234"/>
    </row>
    <row r="239" spans="1:27" s="153" customFormat="1" ht="13.5" customHeight="1">
      <c r="A239" s="5007">
        <v>74</v>
      </c>
      <c r="B239" s="5008" t="s">
        <v>2013</v>
      </c>
      <c r="C239" s="5009" t="s">
        <v>2254</v>
      </c>
      <c r="D239" s="5019" t="s">
        <v>2255</v>
      </c>
      <c r="E239" s="5019" t="s">
        <v>205</v>
      </c>
      <c r="F239" s="5087">
        <f>F240</f>
        <v>1</v>
      </c>
      <c r="G239" s="5022"/>
      <c r="H239" s="5023">
        <f>F239*G239</f>
        <v>0</v>
      </c>
      <c r="I239" s="5013" t="s">
        <v>112</v>
      </c>
      <c r="J239" s="2233"/>
      <c r="K239" s="2206"/>
      <c r="L239" s="2206"/>
      <c r="M239" s="2206"/>
      <c r="N239" s="2206"/>
      <c r="O239" s="2206"/>
      <c r="P239" s="2206"/>
      <c r="Q239" s="2206"/>
      <c r="R239" s="2206"/>
      <c r="S239" s="2206"/>
      <c r="T239" s="2206"/>
    </row>
    <row r="240" spans="1:27" s="153" customFormat="1" ht="13.5" customHeight="1">
      <c r="A240" s="5018"/>
      <c r="B240" s="5019"/>
      <c r="C240" s="5019"/>
      <c r="D240" s="5083" t="s">
        <v>2249</v>
      </c>
      <c r="E240" s="5019"/>
      <c r="F240" s="5088">
        <v>1</v>
      </c>
      <c r="G240" s="5022"/>
      <c r="H240" s="5023"/>
      <c r="I240" s="5089"/>
      <c r="J240" s="162"/>
      <c r="K240" s="593"/>
      <c r="L240" s="593"/>
      <c r="M240" s="593"/>
      <c r="N240" s="593"/>
      <c r="O240" s="593"/>
      <c r="P240" s="593"/>
      <c r="Q240" s="593"/>
      <c r="R240" s="593"/>
      <c r="S240" s="593"/>
      <c r="T240" s="2234"/>
    </row>
    <row r="241" spans="1:19" s="153" customFormat="1" ht="13.5" customHeight="1">
      <c r="A241" s="5007">
        <v>75</v>
      </c>
      <c r="B241" s="5008" t="s">
        <v>2013</v>
      </c>
      <c r="C241" s="5009" t="s">
        <v>2256</v>
      </c>
      <c r="D241" s="5019" t="s">
        <v>2257</v>
      </c>
      <c r="E241" s="5019" t="s">
        <v>205</v>
      </c>
      <c r="F241" s="5087">
        <f>F242</f>
        <v>1</v>
      </c>
      <c r="G241" s="5022"/>
      <c r="H241" s="5023">
        <f>F241*G241</f>
        <v>0</v>
      </c>
      <c r="I241" s="5013" t="s">
        <v>112</v>
      </c>
      <c r="J241" s="2233"/>
      <c r="K241" s="2283"/>
      <c r="L241" s="2202"/>
      <c r="M241" s="2202"/>
      <c r="N241" s="2337"/>
      <c r="O241" s="2206"/>
      <c r="P241" s="2206"/>
      <c r="R241" s="180"/>
    </row>
    <row r="242" spans="1:19" s="153" customFormat="1" ht="13.5" customHeight="1">
      <c r="A242" s="5018"/>
      <c r="B242" s="5019"/>
      <c r="C242" s="5019"/>
      <c r="D242" s="5083" t="s">
        <v>2249</v>
      </c>
      <c r="E242" s="5019"/>
      <c r="F242" s="5088">
        <v>1</v>
      </c>
      <c r="G242" s="5022"/>
      <c r="H242" s="5023"/>
      <c r="I242" s="5089"/>
      <c r="J242" s="162"/>
      <c r="K242" s="593"/>
      <c r="L242" s="593"/>
      <c r="M242" s="593"/>
      <c r="N242" s="593"/>
      <c r="O242" s="593"/>
      <c r="P242" s="2338"/>
    </row>
    <row r="243" spans="1:19" s="153" customFormat="1" ht="13.5" customHeight="1">
      <c r="A243" s="5007">
        <v>76</v>
      </c>
      <c r="B243" s="5008" t="s">
        <v>2013</v>
      </c>
      <c r="C243" s="5009" t="s">
        <v>2258</v>
      </c>
      <c r="D243" s="5019" t="s">
        <v>2259</v>
      </c>
      <c r="E243" s="5019" t="s">
        <v>205</v>
      </c>
      <c r="F243" s="5087">
        <f>F244</f>
        <v>1</v>
      </c>
      <c r="G243" s="5022"/>
      <c r="H243" s="5023">
        <f>F243*G243</f>
        <v>0</v>
      </c>
      <c r="I243" s="5013" t="s">
        <v>112</v>
      </c>
      <c r="J243" s="2233"/>
      <c r="K243" s="2283"/>
      <c r="L243" s="2202"/>
      <c r="M243" s="2202"/>
      <c r="N243" s="2337"/>
      <c r="O243" s="2202"/>
      <c r="P243" s="2202"/>
      <c r="R243" s="180"/>
    </row>
    <row r="244" spans="1:19" s="153" customFormat="1" ht="13.5" customHeight="1">
      <c r="A244" s="5018"/>
      <c r="B244" s="5019"/>
      <c r="C244" s="5019"/>
      <c r="D244" s="5083" t="s">
        <v>2249</v>
      </c>
      <c r="E244" s="5019"/>
      <c r="F244" s="5088">
        <v>1</v>
      </c>
      <c r="G244" s="5022"/>
      <c r="H244" s="5023"/>
      <c r="I244" s="5089"/>
      <c r="J244" s="162"/>
      <c r="K244" s="593"/>
      <c r="L244" s="593"/>
      <c r="M244" s="593"/>
      <c r="N244" s="593"/>
      <c r="O244" s="593"/>
      <c r="P244" s="2338"/>
    </row>
    <row r="245" spans="1:19" s="153" customFormat="1" ht="27" customHeight="1">
      <c r="A245" s="5007">
        <v>77</v>
      </c>
      <c r="B245" s="5008" t="s">
        <v>2013</v>
      </c>
      <c r="C245" s="5009" t="s">
        <v>2260</v>
      </c>
      <c r="D245" s="5019" t="s">
        <v>2261</v>
      </c>
      <c r="E245" s="5019" t="s">
        <v>205</v>
      </c>
      <c r="F245" s="5087">
        <f>F246</f>
        <v>1</v>
      </c>
      <c r="G245" s="5022"/>
      <c r="H245" s="5023">
        <f>F245*G245</f>
        <v>0</v>
      </c>
      <c r="I245" s="5013" t="s">
        <v>112</v>
      </c>
      <c r="J245" s="2233"/>
      <c r="K245" s="2289"/>
      <c r="L245" s="2233"/>
      <c r="M245" s="2233"/>
      <c r="N245" s="2233"/>
      <c r="O245" s="2233"/>
      <c r="P245" s="2233"/>
      <c r="Q245" s="2234"/>
      <c r="R245" s="2233"/>
      <c r="S245" s="2233"/>
    </row>
    <row r="246" spans="1:19" s="153" customFormat="1" ht="13.5" customHeight="1">
      <c r="A246" s="5018"/>
      <c r="B246" s="5019"/>
      <c r="C246" s="5019"/>
      <c r="D246" s="5083" t="s">
        <v>2249</v>
      </c>
      <c r="E246" s="5019"/>
      <c r="F246" s="5088">
        <v>1</v>
      </c>
      <c r="G246" s="5022"/>
      <c r="H246" s="5023"/>
      <c r="I246" s="5089"/>
      <c r="J246" s="162"/>
      <c r="K246" s="193"/>
      <c r="L246" s="193"/>
      <c r="M246" s="193"/>
      <c r="N246" s="193"/>
      <c r="O246" s="193"/>
      <c r="P246" s="193"/>
      <c r="Q246" s="193"/>
      <c r="R246" s="193"/>
      <c r="S246" s="2234"/>
    </row>
    <row r="247" spans="1:19" s="153" customFormat="1" ht="13.5" customHeight="1">
      <c r="A247" s="5007">
        <v>78</v>
      </c>
      <c r="B247" s="5008" t="s">
        <v>2013</v>
      </c>
      <c r="C247" s="5009" t="s">
        <v>2262</v>
      </c>
      <c r="D247" s="5019" t="s">
        <v>2263</v>
      </c>
      <c r="E247" s="5019" t="s">
        <v>205</v>
      </c>
      <c r="F247" s="5087">
        <f>F248</f>
        <v>1</v>
      </c>
      <c r="G247" s="5022"/>
      <c r="H247" s="5023">
        <f>F247*G247</f>
        <v>0</v>
      </c>
      <c r="I247" s="5013" t="s">
        <v>112</v>
      </c>
      <c r="J247" s="2233"/>
      <c r="K247" s="2289"/>
      <c r="L247" s="2233"/>
      <c r="M247" s="2233"/>
      <c r="N247" s="2233"/>
      <c r="O247" s="2233"/>
      <c r="P247" s="2233"/>
      <c r="Q247" s="2234"/>
      <c r="R247" s="2233"/>
      <c r="S247" s="2233"/>
    </row>
    <row r="248" spans="1:19" s="153" customFormat="1" ht="13.5" customHeight="1">
      <c r="A248" s="5018"/>
      <c r="B248" s="5019"/>
      <c r="C248" s="5019"/>
      <c r="D248" s="5083" t="s">
        <v>2249</v>
      </c>
      <c r="E248" s="5019"/>
      <c r="F248" s="5088">
        <v>1</v>
      </c>
      <c r="G248" s="5022"/>
      <c r="H248" s="5023"/>
      <c r="I248" s="5089"/>
      <c r="J248" s="162"/>
      <c r="K248" s="193"/>
      <c r="L248" s="193"/>
      <c r="M248" s="193"/>
      <c r="N248" s="193"/>
      <c r="O248" s="193"/>
      <c r="P248" s="193"/>
      <c r="Q248" s="193"/>
      <c r="R248" s="193"/>
      <c r="S248" s="2234"/>
    </row>
    <row r="249" spans="1:19" s="153" customFormat="1" ht="13.5" customHeight="1">
      <c r="A249" s="5007">
        <v>79</v>
      </c>
      <c r="B249" s="5008" t="s">
        <v>2013</v>
      </c>
      <c r="C249" s="5009" t="s">
        <v>2264</v>
      </c>
      <c r="D249" s="5019" t="s">
        <v>2265</v>
      </c>
      <c r="E249" s="5019" t="s">
        <v>205</v>
      </c>
      <c r="F249" s="5087">
        <f>F250</f>
        <v>1</v>
      </c>
      <c r="G249" s="5022"/>
      <c r="H249" s="5023">
        <f>F249*G249</f>
        <v>0</v>
      </c>
      <c r="I249" s="5013" t="s">
        <v>112</v>
      </c>
      <c r="J249" s="2233"/>
      <c r="K249" s="2289"/>
      <c r="L249" s="2233"/>
      <c r="M249" s="2233"/>
      <c r="N249" s="2233"/>
      <c r="O249" s="2233"/>
      <c r="P249" s="2233"/>
      <c r="Q249" s="2234"/>
      <c r="R249" s="2233"/>
      <c r="S249" s="2233"/>
    </row>
    <row r="250" spans="1:19" s="153" customFormat="1" ht="13.5" customHeight="1">
      <c r="A250" s="5018"/>
      <c r="B250" s="5019"/>
      <c r="C250" s="5019"/>
      <c r="D250" s="5083" t="s">
        <v>2249</v>
      </c>
      <c r="E250" s="5019"/>
      <c r="F250" s="5088">
        <v>1</v>
      </c>
      <c r="G250" s="5022"/>
      <c r="H250" s="5023"/>
      <c r="I250" s="5089"/>
      <c r="J250" s="162"/>
      <c r="K250" s="193"/>
      <c r="L250" s="193"/>
      <c r="M250" s="193"/>
      <c r="N250" s="193"/>
      <c r="O250" s="193"/>
      <c r="P250" s="193"/>
      <c r="Q250" s="193"/>
      <c r="R250" s="193"/>
      <c r="S250" s="2234"/>
    </row>
    <row r="251" spans="1:19" s="153" customFormat="1" ht="13.5" customHeight="1">
      <c r="A251" s="5007">
        <v>80</v>
      </c>
      <c r="B251" s="5008" t="s">
        <v>2013</v>
      </c>
      <c r="C251" s="5009" t="s">
        <v>2266</v>
      </c>
      <c r="D251" s="5019" t="s">
        <v>2267</v>
      </c>
      <c r="E251" s="5019" t="s">
        <v>205</v>
      </c>
      <c r="F251" s="5087">
        <f>F252</f>
        <v>1</v>
      </c>
      <c r="G251" s="5022"/>
      <c r="H251" s="5023">
        <f>F251*G251</f>
        <v>0</v>
      </c>
      <c r="I251" s="5013" t="s">
        <v>112</v>
      </c>
      <c r="J251" s="2233"/>
      <c r="K251" s="2289"/>
      <c r="L251" s="2233"/>
      <c r="M251" s="2233"/>
      <c r="N251" s="2233"/>
      <c r="O251" s="2233"/>
      <c r="P251" s="2233"/>
      <c r="Q251" s="2234"/>
      <c r="R251" s="2233"/>
      <c r="S251" s="2233"/>
    </row>
    <row r="252" spans="1:19" s="153" customFormat="1" ht="13.5" customHeight="1">
      <c r="A252" s="5018"/>
      <c r="B252" s="5019"/>
      <c r="C252" s="5019"/>
      <c r="D252" s="5083" t="s">
        <v>2249</v>
      </c>
      <c r="E252" s="5019"/>
      <c r="F252" s="5088">
        <v>1</v>
      </c>
      <c r="G252" s="5022"/>
      <c r="H252" s="5023"/>
      <c r="I252" s="5089"/>
      <c r="J252" s="162"/>
      <c r="K252" s="193"/>
      <c r="L252" s="193"/>
      <c r="M252" s="193"/>
      <c r="N252" s="193"/>
      <c r="O252" s="193"/>
      <c r="P252" s="193"/>
      <c r="Q252" s="193"/>
      <c r="R252" s="193"/>
      <c r="S252" s="2234"/>
    </row>
    <row r="253" spans="1:19" s="153" customFormat="1" ht="13.5" customHeight="1">
      <c r="A253" s="5007">
        <v>81</v>
      </c>
      <c r="B253" s="5008" t="s">
        <v>2013</v>
      </c>
      <c r="C253" s="5009" t="s">
        <v>2237</v>
      </c>
      <c r="D253" s="5019" t="s">
        <v>2268</v>
      </c>
      <c r="E253" s="5019" t="s">
        <v>205</v>
      </c>
      <c r="F253" s="5087">
        <f>F254</f>
        <v>1</v>
      </c>
      <c r="G253" s="5022"/>
      <c r="H253" s="5023">
        <f>F253*G253</f>
        <v>0</v>
      </c>
      <c r="I253" s="5013" t="s">
        <v>112</v>
      </c>
      <c r="J253" s="2233"/>
      <c r="K253" s="2289"/>
      <c r="L253" s="2233"/>
      <c r="M253" s="2233"/>
      <c r="N253" s="2233"/>
      <c r="O253" s="2233"/>
      <c r="P253" s="2233"/>
      <c r="Q253" s="2234"/>
      <c r="R253" s="2233"/>
      <c r="S253" s="2233"/>
    </row>
    <row r="254" spans="1:19" s="153" customFormat="1" ht="13.5" customHeight="1">
      <c r="A254" s="5018"/>
      <c r="B254" s="5019"/>
      <c r="C254" s="5019"/>
      <c r="D254" s="5083" t="s">
        <v>2249</v>
      </c>
      <c r="E254" s="5019"/>
      <c r="F254" s="5088">
        <v>1</v>
      </c>
      <c r="G254" s="5022"/>
      <c r="H254" s="5023"/>
      <c r="I254" s="5089"/>
      <c r="J254" s="162"/>
      <c r="K254" s="193"/>
      <c r="L254" s="193"/>
      <c r="M254" s="193"/>
      <c r="N254" s="193"/>
      <c r="O254" s="193"/>
      <c r="P254" s="193"/>
      <c r="Q254" s="193"/>
      <c r="R254" s="193"/>
      <c r="S254" s="2234"/>
    </row>
    <row r="255" spans="1:19" s="153" customFormat="1" ht="27" customHeight="1">
      <c r="A255" s="5007">
        <v>82</v>
      </c>
      <c r="B255" s="5008" t="s">
        <v>2013</v>
      </c>
      <c r="C255" s="5009" t="s">
        <v>2241</v>
      </c>
      <c r="D255" s="5019" t="s">
        <v>2269</v>
      </c>
      <c r="E255" s="5019" t="s">
        <v>205</v>
      </c>
      <c r="F255" s="5087">
        <f>F256</f>
        <v>1</v>
      </c>
      <c r="G255" s="5022"/>
      <c r="H255" s="5023">
        <f>F255*G255</f>
        <v>0</v>
      </c>
      <c r="I255" s="5013" t="s">
        <v>112</v>
      </c>
      <c r="J255" s="2233"/>
      <c r="K255" s="2289"/>
      <c r="L255" s="2233"/>
      <c r="M255" s="2233"/>
      <c r="N255" s="2233"/>
      <c r="O255" s="2233"/>
      <c r="P255" s="2233"/>
      <c r="Q255" s="2234"/>
      <c r="R255" s="2233"/>
      <c r="S255" s="2233"/>
    </row>
    <row r="256" spans="1:19" s="153" customFormat="1" ht="13.5" customHeight="1">
      <c r="A256" s="5018"/>
      <c r="B256" s="5019"/>
      <c r="C256" s="5019"/>
      <c r="D256" s="5083" t="s">
        <v>2249</v>
      </c>
      <c r="E256" s="5019"/>
      <c r="F256" s="5088">
        <v>1</v>
      </c>
      <c r="G256" s="5022"/>
      <c r="H256" s="5023"/>
      <c r="I256" s="5089"/>
      <c r="J256" s="162"/>
      <c r="K256" s="193"/>
      <c r="L256" s="193"/>
      <c r="M256" s="193"/>
      <c r="N256" s="193"/>
      <c r="O256" s="193"/>
      <c r="P256" s="193"/>
      <c r="Q256" s="193"/>
      <c r="R256" s="193"/>
      <c r="S256" s="2234"/>
    </row>
    <row r="257" spans="1:23" s="153" customFormat="1" ht="27" customHeight="1">
      <c r="A257" s="5007">
        <v>83</v>
      </c>
      <c r="B257" s="5008" t="s">
        <v>2013</v>
      </c>
      <c r="C257" s="5009" t="s">
        <v>2244</v>
      </c>
      <c r="D257" s="5019" t="s">
        <v>2270</v>
      </c>
      <c r="E257" s="5019" t="s">
        <v>205</v>
      </c>
      <c r="F257" s="5087">
        <f>F258</f>
        <v>1</v>
      </c>
      <c r="G257" s="5022"/>
      <c r="H257" s="5023">
        <f>F257*G257</f>
        <v>0</v>
      </c>
      <c r="I257" s="5013" t="s">
        <v>112</v>
      </c>
      <c r="J257" s="2233"/>
      <c r="K257" s="2289"/>
      <c r="L257" s="2233"/>
      <c r="M257" s="2233"/>
      <c r="N257" s="2233"/>
      <c r="O257" s="2233"/>
      <c r="P257" s="2233"/>
      <c r="Q257" s="2234"/>
      <c r="R257" s="2233"/>
      <c r="S257" s="2233"/>
    </row>
    <row r="258" spans="1:23" s="153" customFormat="1" ht="13.5" customHeight="1">
      <c r="A258" s="5018"/>
      <c r="B258" s="5019"/>
      <c r="C258" s="5019"/>
      <c r="D258" s="5083" t="s">
        <v>2249</v>
      </c>
      <c r="E258" s="5019"/>
      <c r="F258" s="5088">
        <v>1</v>
      </c>
      <c r="G258" s="5022"/>
      <c r="H258" s="5023"/>
      <c r="I258" s="5089"/>
      <c r="J258" s="162"/>
      <c r="K258" s="193"/>
      <c r="L258" s="193"/>
      <c r="M258" s="193"/>
      <c r="N258" s="193"/>
      <c r="O258" s="193"/>
      <c r="P258" s="193"/>
      <c r="Q258" s="193"/>
      <c r="R258" s="193"/>
      <c r="S258" s="2234"/>
    </row>
    <row r="259" spans="1:23" s="153" customFormat="1" ht="27" customHeight="1">
      <c r="A259" s="5007">
        <v>84</v>
      </c>
      <c r="B259" s="5008" t="s">
        <v>2013</v>
      </c>
      <c r="C259" s="5009" t="s">
        <v>2271</v>
      </c>
      <c r="D259" s="5019" t="s">
        <v>2272</v>
      </c>
      <c r="E259" s="5019" t="s">
        <v>205</v>
      </c>
      <c r="F259" s="5087">
        <f>F260</f>
        <v>1</v>
      </c>
      <c r="G259" s="5022"/>
      <c r="H259" s="5023">
        <f>F259*G259</f>
        <v>0</v>
      </c>
      <c r="I259" s="5013" t="s">
        <v>112</v>
      </c>
      <c r="J259" s="2233"/>
      <c r="K259" s="2289"/>
      <c r="L259" s="2233"/>
      <c r="M259" s="2233"/>
      <c r="N259" s="2233"/>
      <c r="O259" s="2233"/>
      <c r="P259" s="2233"/>
      <c r="Q259" s="2234"/>
      <c r="R259" s="2233"/>
      <c r="S259" s="2233"/>
    </row>
    <row r="260" spans="1:23" s="153" customFormat="1" ht="13.5" customHeight="1">
      <c r="A260" s="5018"/>
      <c r="B260" s="5019"/>
      <c r="C260" s="5019"/>
      <c r="D260" s="5083" t="s">
        <v>2249</v>
      </c>
      <c r="E260" s="5019"/>
      <c r="F260" s="5088">
        <v>1</v>
      </c>
      <c r="G260" s="5022"/>
      <c r="H260" s="5023"/>
      <c r="I260" s="5089"/>
      <c r="J260" s="162"/>
      <c r="K260" s="193"/>
      <c r="L260" s="193"/>
      <c r="M260" s="193"/>
      <c r="N260" s="193"/>
      <c r="O260" s="193"/>
      <c r="P260" s="193"/>
      <c r="Q260" s="193"/>
      <c r="R260" s="193"/>
      <c r="S260" s="2234"/>
    </row>
    <row r="261" spans="1:23" s="153" customFormat="1" ht="13.5" customHeight="1">
      <c r="A261" s="5007">
        <v>85</v>
      </c>
      <c r="B261" s="5008" t="s">
        <v>2013</v>
      </c>
      <c r="C261" s="5009" t="s">
        <v>2273</v>
      </c>
      <c r="D261" s="5019" t="s">
        <v>2274</v>
      </c>
      <c r="E261" s="5019" t="s">
        <v>205</v>
      </c>
      <c r="F261" s="5087">
        <f>F262</f>
        <v>1</v>
      </c>
      <c r="G261" s="5022"/>
      <c r="H261" s="5023">
        <f>F261*G261</f>
        <v>0</v>
      </c>
      <c r="I261" s="5013" t="s">
        <v>112</v>
      </c>
      <c r="J261" s="2233"/>
      <c r="K261" s="2283"/>
      <c r="L261" s="2202"/>
      <c r="M261" s="2202"/>
      <c r="N261" s="2337"/>
      <c r="O261" s="2202"/>
      <c r="P261" s="2202"/>
      <c r="R261" s="2233"/>
      <c r="S261" s="2233"/>
    </row>
    <row r="262" spans="1:23" s="153" customFormat="1" ht="13.5" customHeight="1">
      <c r="A262" s="5018"/>
      <c r="B262" s="5019"/>
      <c r="C262" s="5019"/>
      <c r="D262" s="5083" t="s">
        <v>2249</v>
      </c>
      <c r="E262" s="5019"/>
      <c r="F262" s="5088">
        <v>1</v>
      </c>
      <c r="G262" s="5022"/>
      <c r="H262" s="5023"/>
      <c r="I262" s="5089"/>
      <c r="J262" s="162"/>
      <c r="K262" s="593"/>
      <c r="L262" s="593"/>
      <c r="M262" s="593"/>
      <c r="N262" s="593"/>
      <c r="O262" s="593"/>
      <c r="P262" s="2338"/>
      <c r="R262" s="193"/>
      <c r="S262" s="2234"/>
    </row>
    <row r="263" spans="1:23" s="153" customFormat="1" ht="13.5" customHeight="1">
      <c r="A263" s="5007">
        <v>86</v>
      </c>
      <c r="B263" s="5008" t="s">
        <v>2013</v>
      </c>
      <c r="C263" s="5009" t="s">
        <v>2275</v>
      </c>
      <c r="D263" s="5019" t="s">
        <v>2276</v>
      </c>
      <c r="E263" s="5019" t="s">
        <v>205</v>
      </c>
      <c r="F263" s="5087">
        <f>F264</f>
        <v>1</v>
      </c>
      <c r="G263" s="5022"/>
      <c r="H263" s="5023">
        <f>F263*G263</f>
        <v>0</v>
      </c>
      <c r="I263" s="5013" t="s">
        <v>112</v>
      </c>
      <c r="J263" s="2233"/>
      <c r="K263" s="2283"/>
      <c r="L263" s="2202"/>
      <c r="M263" s="2202"/>
      <c r="N263" s="2337"/>
      <c r="O263" s="2202"/>
      <c r="P263" s="2202"/>
      <c r="R263" s="2233"/>
      <c r="S263" s="2233"/>
    </row>
    <row r="264" spans="1:23" s="153" customFormat="1" ht="13.5" customHeight="1">
      <c r="A264" s="5018"/>
      <c r="B264" s="5019"/>
      <c r="C264" s="5019"/>
      <c r="D264" s="5083" t="s">
        <v>2249</v>
      </c>
      <c r="E264" s="5019"/>
      <c r="F264" s="5088">
        <v>1</v>
      </c>
      <c r="G264" s="5022"/>
      <c r="H264" s="5023"/>
      <c r="I264" s="5089"/>
      <c r="J264" s="162"/>
      <c r="K264" s="593"/>
      <c r="L264" s="593"/>
      <c r="M264" s="593"/>
      <c r="N264" s="593"/>
      <c r="O264" s="593"/>
      <c r="P264" s="2338"/>
      <c r="R264" s="193"/>
      <c r="S264" s="2234"/>
    </row>
    <row r="265" spans="1:23" s="612" customFormat="1" ht="13.5" customHeight="1">
      <c r="A265" s="5036">
        <v>87</v>
      </c>
      <c r="B265" s="5037" t="s">
        <v>2013</v>
      </c>
      <c r="C265" s="5037" t="s">
        <v>2277</v>
      </c>
      <c r="D265" s="5037" t="s">
        <v>2278</v>
      </c>
      <c r="E265" s="5037" t="s">
        <v>205</v>
      </c>
      <c r="F265" s="5038">
        <f>SUM(F266)</f>
        <v>1</v>
      </c>
      <c r="G265" s="5039"/>
      <c r="H265" s="5012">
        <f>ROUND(F265*G265,2)</f>
        <v>0</v>
      </c>
      <c r="I265" s="5013" t="s">
        <v>112</v>
      </c>
      <c r="J265" s="163"/>
      <c r="K265" s="75"/>
      <c r="N265" s="1371"/>
      <c r="O265" s="2339"/>
      <c r="Q265" s="2325"/>
      <c r="R265" s="2326"/>
    </row>
    <row r="266" spans="1:23" s="1371" customFormat="1" ht="27" customHeight="1">
      <c r="A266" s="5040"/>
      <c r="B266" s="5041"/>
      <c r="C266" s="5020"/>
      <c r="D266" s="5015" t="s">
        <v>2279</v>
      </c>
      <c r="E266" s="5042"/>
      <c r="F266" s="5043">
        <v>1</v>
      </c>
      <c r="G266" s="5044"/>
      <c r="H266" s="5045"/>
      <c r="I266" s="5045"/>
      <c r="J266" s="163"/>
      <c r="K266" s="75"/>
      <c r="L266" s="612"/>
      <c r="M266" s="612"/>
      <c r="N266" s="612"/>
      <c r="O266" s="612"/>
      <c r="P266" s="612"/>
      <c r="Q266" s="2324"/>
      <c r="R266" s="660"/>
      <c r="S266" s="612"/>
      <c r="U266" s="2273"/>
      <c r="W266" s="2273"/>
    </row>
    <row r="267" spans="1:23" s="1371" customFormat="1" ht="13.5" customHeight="1">
      <c r="A267" s="5040"/>
      <c r="B267" s="5041"/>
      <c r="C267" s="5020"/>
      <c r="D267" s="5015" t="s">
        <v>2017</v>
      </c>
      <c r="E267" s="5042"/>
      <c r="F267" s="5043"/>
      <c r="G267" s="5044"/>
      <c r="H267" s="5045"/>
      <c r="I267" s="5046"/>
      <c r="J267" s="163"/>
      <c r="K267" s="2288"/>
      <c r="L267" s="2289"/>
      <c r="M267" s="612"/>
      <c r="N267" s="612"/>
      <c r="O267" s="612"/>
      <c r="P267" s="612"/>
      <c r="Q267" s="2324"/>
      <c r="R267" s="660"/>
      <c r="S267" s="612"/>
      <c r="U267" s="2273"/>
      <c r="W267" s="2273"/>
    </row>
    <row r="268" spans="1:23" s="612" customFormat="1" ht="13.5" customHeight="1">
      <c r="A268" s="5036">
        <v>88</v>
      </c>
      <c r="B268" s="5037" t="s">
        <v>2013</v>
      </c>
      <c r="C268" s="5037" t="s">
        <v>2280</v>
      </c>
      <c r="D268" s="5037" t="s">
        <v>2281</v>
      </c>
      <c r="E268" s="5037" t="s">
        <v>205</v>
      </c>
      <c r="F268" s="5038">
        <f>SUM(F269)</f>
        <v>1</v>
      </c>
      <c r="G268" s="5039"/>
      <c r="H268" s="5012">
        <f>ROUND(F268*G268,2)</f>
        <v>0</v>
      </c>
      <c r="I268" s="5013" t="s">
        <v>112</v>
      </c>
      <c r="J268" s="163"/>
      <c r="K268" s="75"/>
      <c r="N268" s="1371"/>
      <c r="O268" s="2339"/>
      <c r="Q268" s="2325"/>
      <c r="R268" s="2326"/>
    </row>
    <row r="269" spans="1:23" s="1371" customFormat="1" ht="27" customHeight="1">
      <c r="A269" s="5040"/>
      <c r="B269" s="5041"/>
      <c r="C269" s="5020"/>
      <c r="D269" s="5015" t="s">
        <v>2282</v>
      </c>
      <c r="E269" s="5042"/>
      <c r="F269" s="5043">
        <v>1</v>
      </c>
      <c r="G269" s="5044"/>
      <c r="H269" s="5045"/>
      <c r="I269" s="5045"/>
      <c r="J269" s="163"/>
      <c r="K269" s="75"/>
      <c r="L269" s="612"/>
      <c r="M269" s="612"/>
      <c r="N269" s="612"/>
      <c r="O269" s="612"/>
      <c r="P269" s="612"/>
      <c r="Q269" s="2324"/>
      <c r="R269" s="660"/>
      <c r="S269" s="612"/>
      <c r="U269" s="2273"/>
      <c r="W269" s="2273"/>
    </row>
    <row r="270" spans="1:23" s="1371" customFormat="1" ht="13.5" customHeight="1">
      <c r="A270" s="5040"/>
      <c r="B270" s="5041"/>
      <c r="C270" s="5020"/>
      <c r="D270" s="5015" t="s">
        <v>2017</v>
      </c>
      <c r="E270" s="5042"/>
      <c r="F270" s="5043"/>
      <c r="G270" s="5044"/>
      <c r="H270" s="5045"/>
      <c r="I270" s="5046"/>
      <c r="J270" s="163"/>
      <c r="K270" s="2288"/>
      <c r="L270" s="2289"/>
      <c r="M270" s="612"/>
      <c r="N270" s="612"/>
      <c r="O270" s="612"/>
      <c r="P270" s="612"/>
      <c r="Q270" s="2324"/>
      <c r="R270" s="660"/>
      <c r="S270" s="612"/>
      <c r="U270" s="2273"/>
      <c r="W270" s="2273"/>
    </row>
    <row r="271" spans="1:23" s="612" customFormat="1" ht="13.5" customHeight="1">
      <c r="A271" s="5036">
        <v>89</v>
      </c>
      <c r="B271" s="5037" t="s">
        <v>2013</v>
      </c>
      <c r="C271" s="5037" t="s">
        <v>2283</v>
      </c>
      <c r="D271" s="5037" t="s">
        <v>2284</v>
      </c>
      <c r="E271" s="5037" t="s">
        <v>205</v>
      </c>
      <c r="F271" s="5038">
        <f>SUM(F272)</f>
        <v>1</v>
      </c>
      <c r="G271" s="5039"/>
      <c r="H271" s="5012">
        <f>ROUND(F271*G271,2)</f>
        <v>0</v>
      </c>
      <c r="I271" s="5013" t="s">
        <v>112</v>
      </c>
      <c r="J271" s="163"/>
      <c r="K271" s="71"/>
      <c r="N271" s="1371"/>
      <c r="O271" s="2339"/>
      <c r="Q271" s="2325"/>
      <c r="R271" s="2326"/>
    </row>
    <row r="272" spans="1:23" s="1371" customFormat="1" ht="27" customHeight="1">
      <c r="A272" s="5040"/>
      <c r="B272" s="5041"/>
      <c r="C272" s="5020"/>
      <c r="D272" s="5015" t="s">
        <v>2285</v>
      </c>
      <c r="E272" s="5042"/>
      <c r="F272" s="5043">
        <v>1</v>
      </c>
      <c r="G272" s="5044"/>
      <c r="H272" s="5045"/>
      <c r="I272" s="5045"/>
      <c r="J272" s="163"/>
      <c r="K272" s="75"/>
      <c r="L272" s="612"/>
      <c r="M272" s="612"/>
      <c r="N272" s="612"/>
      <c r="O272" s="612"/>
      <c r="P272" s="612"/>
      <c r="Q272" s="2324"/>
      <c r="R272" s="660"/>
      <c r="S272" s="612"/>
      <c r="U272" s="2273"/>
      <c r="W272" s="2273"/>
    </row>
    <row r="273" spans="1:23" s="1371" customFormat="1" ht="13.5" customHeight="1">
      <c r="A273" s="5040"/>
      <c r="B273" s="5041"/>
      <c r="C273" s="5020"/>
      <c r="D273" s="5015" t="s">
        <v>2017</v>
      </c>
      <c r="E273" s="5042"/>
      <c r="F273" s="5043"/>
      <c r="G273" s="5044"/>
      <c r="H273" s="5045"/>
      <c r="I273" s="5046"/>
      <c r="J273" s="2288"/>
      <c r="K273" s="2288"/>
      <c r="L273" s="2289"/>
      <c r="M273" s="612"/>
      <c r="N273" s="612"/>
      <c r="O273" s="612"/>
      <c r="P273" s="612"/>
      <c r="Q273" s="2324"/>
      <c r="R273" s="660"/>
      <c r="S273" s="612"/>
      <c r="U273" s="2273"/>
      <c r="W273" s="2273"/>
    </row>
    <row r="274" spans="1:23" s="612" customFormat="1" ht="13.5" customHeight="1">
      <c r="A274" s="5036">
        <v>90</v>
      </c>
      <c r="B274" s="5037" t="s">
        <v>2013</v>
      </c>
      <c r="C274" s="5037" t="s">
        <v>2286</v>
      </c>
      <c r="D274" s="5037" t="s">
        <v>2287</v>
      </c>
      <c r="E274" s="5037" t="s">
        <v>205</v>
      </c>
      <c r="F274" s="5038">
        <f>SUM(F275)</f>
        <v>1</v>
      </c>
      <c r="G274" s="5039"/>
      <c r="H274" s="5012">
        <f>ROUND(F274*G274,2)</f>
        <v>0</v>
      </c>
      <c r="I274" s="5013" t="s">
        <v>112</v>
      </c>
      <c r="J274" s="163"/>
      <c r="K274" s="71"/>
      <c r="N274" s="1371"/>
      <c r="O274" s="2339"/>
      <c r="Q274" s="2325"/>
      <c r="R274" s="2326"/>
    </row>
    <row r="275" spans="1:23" s="1371" customFormat="1" ht="27" customHeight="1">
      <c r="A275" s="5040"/>
      <c r="B275" s="5041"/>
      <c r="C275" s="5020"/>
      <c r="D275" s="5015" t="s">
        <v>2288</v>
      </c>
      <c r="E275" s="5042"/>
      <c r="F275" s="5043">
        <v>1</v>
      </c>
      <c r="G275" s="5044"/>
      <c r="H275" s="5045"/>
      <c r="I275" s="5045"/>
      <c r="J275" s="163"/>
      <c r="K275" s="75"/>
      <c r="L275" s="612"/>
      <c r="M275" s="612"/>
      <c r="N275" s="612"/>
      <c r="O275" s="612"/>
      <c r="P275" s="612"/>
      <c r="Q275" s="2324"/>
      <c r="R275" s="660"/>
      <c r="S275" s="612"/>
      <c r="U275" s="2273"/>
      <c r="W275" s="2273"/>
    </row>
    <row r="276" spans="1:23" s="1371" customFormat="1" ht="13.5" customHeight="1">
      <c r="A276" s="5040"/>
      <c r="B276" s="5041"/>
      <c r="C276" s="5020"/>
      <c r="D276" s="5015" t="s">
        <v>2017</v>
      </c>
      <c r="E276" s="5042"/>
      <c r="F276" s="5043"/>
      <c r="G276" s="5044"/>
      <c r="H276" s="5045"/>
      <c r="I276" s="5046"/>
      <c r="J276" s="2288"/>
      <c r="K276" s="2288"/>
      <c r="L276" s="2289"/>
      <c r="M276" s="612"/>
      <c r="N276" s="612"/>
      <c r="O276" s="612"/>
      <c r="P276" s="612"/>
      <c r="Q276" s="2324"/>
      <c r="R276" s="660"/>
      <c r="S276" s="612"/>
      <c r="U276" s="2273"/>
      <c r="W276" s="2273"/>
    </row>
    <row r="277" spans="1:23" s="2206" customFormat="1" ht="13.5" customHeight="1">
      <c r="A277" s="5007">
        <v>91</v>
      </c>
      <c r="B277" s="5037" t="s">
        <v>2013</v>
      </c>
      <c r="C277" s="5037" t="s">
        <v>2289</v>
      </c>
      <c r="D277" s="5009" t="s">
        <v>2290</v>
      </c>
      <c r="E277" s="5009" t="s">
        <v>49</v>
      </c>
      <c r="F277" s="5010">
        <f>SUM(F278)</f>
        <v>1</v>
      </c>
      <c r="G277" s="5011"/>
      <c r="H277" s="5012">
        <f>ROUND(F277*G277,2)</f>
        <v>0</v>
      </c>
      <c r="I277" s="5013" t="s">
        <v>112</v>
      </c>
    </row>
    <row r="278" spans="1:23" s="2206" customFormat="1" ht="27" customHeight="1">
      <c r="A278" s="5007"/>
      <c r="B278" s="5009"/>
      <c r="C278" s="5009"/>
      <c r="D278" s="5027" t="s">
        <v>2291</v>
      </c>
      <c r="E278" s="5090"/>
      <c r="F278" s="5028">
        <v>1</v>
      </c>
      <c r="G278" s="5011"/>
      <c r="H278" s="5030"/>
      <c r="I278" s="5062"/>
      <c r="J278" s="2320"/>
      <c r="K278" s="2341"/>
    </row>
    <row r="279" spans="1:23" s="2206" customFormat="1" ht="67.5" customHeight="1">
      <c r="A279" s="5078"/>
      <c r="B279" s="5053"/>
      <c r="C279" s="5026"/>
      <c r="D279" s="5079" t="s">
        <v>2292</v>
      </c>
      <c r="E279" s="5027"/>
      <c r="F279" s="5080"/>
      <c r="G279" s="5055"/>
      <c r="H279" s="5081"/>
      <c r="I279" s="5033"/>
      <c r="J279" s="2315"/>
      <c r="K279" s="2316"/>
      <c r="L279" s="2317"/>
      <c r="M279" s="2317"/>
    </row>
    <row r="280" spans="1:23" s="612" customFormat="1" ht="13.5" customHeight="1">
      <c r="A280" s="5036">
        <v>92</v>
      </c>
      <c r="B280" s="5037" t="s">
        <v>2013</v>
      </c>
      <c r="C280" s="5037">
        <v>998734202</v>
      </c>
      <c r="D280" s="5037" t="s">
        <v>2293</v>
      </c>
      <c r="E280" s="5037" t="s">
        <v>10</v>
      </c>
      <c r="F280" s="5038">
        <v>0.27</v>
      </c>
      <c r="G280" s="5039"/>
      <c r="H280" s="5012">
        <f>ROUND(F280*G280,2)</f>
        <v>0</v>
      </c>
      <c r="I280" s="5013" t="s">
        <v>137</v>
      </c>
      <c r="J280" s="164"/>
    </row>
    <row r="281" spans="1:23" s="612" customFormat="1" ht="13.5" customHeight="1">
      <c r="A281" s="5036">
        <v>93</v>
      </c>
      <c r="B281" s="5037" t="s">
        <v>362</v>
      </c>
      <c r="C281" s="5037" t="s">
        <v>2066</v>
      </c>
      <c r="D281" s="5037" t="s">
        <v>2067</v>
      </c>
      <c r="E281" s="5037" t="s">
        <v>69</v>
      </c>
      <c r="F281" s="5038">
        <f>F282</f>
        <v>10</v>
      </c>
      <c r="G281" s="5039"/>
      <c r="H281" s="5012">
        <f>ROUND(F281*G281,2)</f>
        <v>0</v>
      </c>
      <c r="I281" s="5013" t="s">
        <v>137</v>
      </c>
      <c r="J281" s="159"/>
    </row>
    <row r="282" spans="1:23" s="1371" customFormat="1" ht="13.5" customHeight="1">
      <c r="A282" s="5040"/>
      <c r="B282" s="5041"/>
      <c r="C282" s="5020"/>
      <c r="D282" s="5015" t="s">
        <v>2294</v>
      </c>
      <c r="E282" s="5042"/>
      <c r="F282" s="5043">
        <v>10</v>
      </c>
      <c r="G282" s="5044"/>
      <c r="H282" s="5045"/>
      <c r="I282" s="5046"/>
      <c r="J282" s="2267"/>
      <c r="U282" s="2273"/>
      <c r="W282" s="2273"/>
    </row>
    <row r="283" spans="1:23" s="1371" customFormat="1" ht="13.5" customHeight="1">
      <c r="A283" s="5040"/>
      <c r="B283" s="5041"/>
      <c r="C283" s="5020"/>
      <c r="D283" s="5015" t="s">
        <v>2295</v>
      </c>
      <c r="E283" s="5042"/>
      <c r="F283" s="5043"/>
      <c r="G283" s="5044"/>
      <c r="H283" s="5045"/>
      <c r="I283" s="5046"/>
      <c r="J283" s="2267"/>
      <c r="U283" s="2273"/>
      <c r="W283" s="2273"/>
    </row>
    <row r="284" spans="1:23" s="612" customFormat="1" ht="13.5" customHeight="1">
      <c r="A284" s="5036"/>
      <c r="B284" s="5037"/>
      <c r="C284" s="5047">
        <v>735</v>
      </c>
      <c r="D284" s="5047" t="s">
        <v>2296</v>
      </c>
      <c r="E284" s="5047"/>
      <c r="F284" s="5048"/>
      <c r="G284" s="5049"/>
      <c r="H284" s="5050">
        <f>SUM(H285:H387)</f>
        <v>0</v>
      </c>
      <c r="I284" s="5013"/>
    </row>
    <row r="285" spans="1:23" s="612" customFormat="1" ht="13.5" customHeight="1">
      <c r="A285" s="5036">
        <v>94</v>
      </c>
      <c r="B285" s="5037">
        <v>731</v>
      </c>
      <c r="C285" s="5037" t="s">
        <v>2297</v>
      </c>
      <c r="D285" s="5037" t="s">
        <v>2298</v>
      </c>
      <c r="E285" s="5037" t="s">
        <v>163</v>
      </c>
      <c r="F285" s="5038">
        <v>33.07</v>
      </c>
      <c r="G285" s="5039"/>
      <c r="H285" s="5012">
        <f t="shared" ref="H285:H292" si="0">ROUND(F285*G285,2)</f>
        <v>0</v>
      </c>
      <c r="I285" s="5062" t="s">
        <v>112</v>
      </c>
      <c r="J285" s="182"/>
      <c r="K285" s="183"/>
      <c r="L285" s="165"/>
    </row>
    <row r="286" spans="1:23" s="612" customFormat="1" ht="13.5" customHeight="1">
      <c r="A286" s="5036">
        <v>95</v>
      </c>
      <c r="B286" s="5037">
        <v>731</v>
      </c>
      <c r="C286" s="5037" t="s">
        <v>2299</v>
      </c>
      <c r="D286" s="5037" t="s">
        <v>2300</v>
      </c>
      <c r="E286" s="5037" t="s">
        <v>163</v>
      </c>
      <c r="F286" s="5038">
        <v>33.07</v>
      </c>
      <c r="G286" s="5039"/>
      <c r="H286" s="5012">
        <f t="shared" si="0"/>
        <v>0</v>
      </c>
      <c r="I286" s="5062" t="s">
        <v>112</v>
      </c>
      <c r="J286" s="184"/>
      <c r="K286" s="185"/>
      <c r="L286" s="166"/>
      <c r="M286" s="167"/>
    </row>
    <row r="287" spans="1:23" s="612" customFormat="1" ht="13.5" customHeight="1">
      <c r="A287" s="5036">
        <v>96</v>
      </c>
      <c r="B287" s="5037">
        <v>731</v>
      </c>
      <c r="C287" s="5037">
        <v>735191905</v>
      </c>
      <c r="D287" s="5037" t="s">
        <v>2301</v>
      </c>
      <c r="E287" s="5037" t="s">
        <v>205</v>
      </c>
      <c r="F287" s="5038">
        <v>67</v>
      </c>
      <c r="G287" s="5039"/>
      <c r="H287" s="5012">
        <f t="shared" si="0"/>
        <v>0</v>
      </c>
      <c r="I287" s="5013" t="s">
        <v>137</v>
      </c>
      <c r="J287" s="168"/>
      <c r="K287" s="166"/>
      <c r="L287" s="166"/>
      <c r="M287" s="167"/>
    </row>
    <row r="288" spans="1:23" s="612" customFormat="1" ht="13.5" customHeight="1">
      <c r="A288" s="5036">
        <v>97</v>
      </c>
      <c r="B288" s="5037">
        <v>731</v>
      </c>
      <c r="C288" s="5037">
        <v>735191910</v>
      </c>
      <c r="D288" s="5037" t="s">
        <v>2302</v>
      </c>
      <c r="E288" s="5037" t="s">
        <v>163</v>
      </c>
      <c r="F288" s="5038">
        <v>33.07</v>
      </c>
      <c r="G288" s="5039"/>
      <c r="H288" s="5012">
        <f t="shared" si="0"/>
        <v>0</v>
      </c>
      <c r="I288" s="5013" t="s">
        <v>137</v>
      </c>
      <c r="J288" s="159"/>
      <c r="L288" s="166"/>
      <c r="M288" s="166"/>
    </row>
    <row r="289" spans="1:24" s="612" customFormat="1" ht="13.5" customHeight="1">
      <c r="A289" s="5036">
        <v>98</v>
      </c>
      <c r="B289" s="5037">
        <v>731</v>
      </c>
      <c r="C289" s="5037" t="s">
        <v>2303</v>
      </c>
      <c r="D289" s="5037" t="s">
        <v>2304</v>
      </c>
      <c r="E289" s="5037" t="s">
        <v>205</v>
      </c>
      <c r="F289" s="5038">
        <v>67</v>
      </c>
      <c r="G289" s="5039"/>
      <c r="H289" s="5012">
        <f t="shared" si="0"/>
        <v>0</v>
      </c>
      <c r="I289" s="5062" t="s">
        <v>112</v>
      </c>
      <c r="J289" s="159"/>
      <c r="Q289" s="1273"/>
    </row>
    <row r="290" spans="1:24" s="612" customFormat="1" ht="13.5" customHeight="1">
      <c r="A290" s="5036">
        <v>99</v>
      </c>
      <c r="B290" s="5037">
        <v>731</v>
      </c>
      <c r="C290" s="5037" t="s">
        <v>2305</v>
      </c>
      <c r="D290" s="5037" t="s">
        <v>2306</v>
      </c>
      <c r="E290" s="5037" t="s">
        <v>69</v>
      </c>
      <c r="F290" s="5038">
        <v>72</v>
      </c>
      <c r="G290" s="5039"/>
      <c r="H290" s="5012">
        <f t="shared" si="0"/>
        <v>0</v>
      </c>
      <c r="I290" s="5062" t="s">
        <v>112</v>
      </c>
      <c r="J290" s="159"/>
      <c r="Q290" s="1273"/>
    </row>
    <row r="291" spans="1:24" s="612" customFormat="1" ht="13.5" customHeight="1">
      <c r="A291" s="5036">
        <v>100</v>
      </c>
      <c r="B291" s="5037">
        <v>731</v>
      </c>
      <c r="C291" s="5037" t="s">
        <v>2307</v>
      </c>
      <c r="D291" s="5037" t="s">
        <v>2308</v>
      </c>
      <c r="E291" s="5037" t="s">
        <v>49</v>
      </c>
      <c r="F291" s="5038">
        <v>1</v>
      </c>
      <c r="G291" s="5039"/>
      <c r="H291" s="5012">
        <f t="shared" si="0"/>
        <v>0</v>
      </c>
      <c r="I291" s="5062" t="s">
        <v>112</v>
      </c>
      <c r="J291" s="159"/>
    </row>
    <row r="292" spans="1:24" s="612" customFormat="1" ht="13.5" customHeight="1">
      <c r="A292" s="5036">
        <v>101</v>
      </c>
      <c r="B292" s="5037">
        <v>731</v>
      </c>
      <c r="C292" s="5037" t="s">
        <v>2309</v>
      </c>
      <c r="D292" s="5037" t="s">
        <v>2310</v>
      </c>
      <c r="E292" s="5037" t="s">
        <v>205</v>
      </c>
      <c r="F292" s="5038">
        <f>SUM(F294:F294)</f>
        <v>1</v>
      </c>
      <c r="G292" s="5039"/>
      <c r="H292" s="5012">
        <f t="shared" si="0"/>
        <v>0</v>
      </c>
      <c r="I292" s="5062" t="s">
        <v>112</v>
      </c>
      <c r="J292" s="186"/>
      <c r="K292" s="169"/>
    </row>
    <row r="293" spans="1:24" s="2343" customFormat="1" ht="27" customHeight="1">
      <c r="A293" s="5078"/>
      <c r="B293" s="5091"/>
      <c r="C293" s="5092"/>
      <c r="D293" s="5093" t="s">
        <v>2311</v>
      </c>
      <c r="E293" s="5091"/>
      <c r="F293" s="5094"/>
      <c r="G293" s="5095"/>
      <c r="H293" s="5096"/>
      <c r="I293" s="5097"/>
      <c r="J293" s="186"/>
      <c r="K293" s="187"/>
      <c r="L293" s="2320"/>
      <c r="M293" s="2261"/>
      <c r="N293" s="2288"/>
      <c r="O293" s="75"/>
      <c r="P293" s="2288"/>
      <c r="Q293" s="2288"/>
      <c r="R293" s="2288"/>
      <c r="X293" s="2249"/>
    </row>
    <row r="294" spans="1:24" s="2206" customFormat="1" ht="13.5" customHeight="1">
      <c r="A294" s="5098"/>
      <c r="B294" s="5027"/>
      <c r="C294" s="5027"/>
      <c r="D294" s="5027" t="s">
        <v>1708</v>
      </c>
      <c r="E294" s="5027"/>
      <c r="F294" s="5028">
        <v>1</v>
      </c>
      <c r="G294" s="5099"/>
      <c r="H294" s="5100"/>
      <c r="I294" s="5101"/>
      <c r="J294" s="186"/>
      <c r="K294" s="187"/>
      <c r="R294" s="2295"/>
    </row>
    <row r="295" spans="1:24" s="165" customFormat="1" ht="40.5" customHeight="1">
      <c r="A295" s="5102"/>
      <c r="B295" s="4852"/>
      <c r="C295" s="4852"/>
      <c r="D295" s="5103" t="s">
        <v>2312</v>
      </c>
      <c r="E295" s="4852"/>
      <c r="F295" s="5104"/>
      <c r="G295" s="5105"/>
      <c r="H295" s="5106"/>
      <c r="I295" s="5101"/>
      <c r="J295" s="186"/>
      <c r="K295" s="187"/>
      <c r="M295" s="188"/>
      <c r="N295" s="189"/>
    </row>
    <row r="296" spans="1:24" s="165" customFormat="1" ht="13.5" customHeight="1">
      <c r="A296" s="5102"/>
      <c r="B296" s="4852"/>
      <c r="C296" s="4852"/>
      <c r="D296" s="5103" t="s">
        <v>2313</v>
      </c>
      <c r="E296" s="4852"/>
      <c r="F296" s="5104"/>
      <c r="G296" s="5105"/>
      <c r="H296" s="5106"/>
      <c r="I296" s="5101"/>
      <c r="J296" s="5000"/>
    </row>
    <row r="297" spans="1:24" s="612" customFormat="1" ht="13.5" customHeight="1">
      <c r="A297" s="5036">
        <v>102</v>
      </c>
      <c r="B297" s="5037">
        <v>731</v>
      </c>
      <c r="C297" s="5037" t="s">
        <v>2314</v>
      </c>
      <c r="D297" s="5037" t="s">
        <v>2315</v>
      </c>
      <c r="E297" s="5037" t="s">
        <v>205</v>
      </c>
      <c r="F297" s="5038">
        <f>SUM(F299:F300)</f>
        <v>4</v>
      </c>
      <c r="G297" s="5039"/>
      <c r="H297" s="5012">
        <f>ROUND(F297*G297,2)</f>
        <v>0</v>
      </c>
      <c r="I297" s="5062" t="s">
        <v>112</v>
      </c>
      <c r="J297" s="186"/>
      <c r="K297" s="169"/>
    </row>
    <row r="298" spans="1:24" s="2343" customFormat="1" ht="27" customHeight="1">
      <c r="A298" s="5078"/>
      <c r="B298" s="5091"/>
      <c r="C298" s="5092"/>
      <c r="D298" s="5093" t="s">
        <v>2311</v>
      </c>
      <c r="E298" s="5091"/>
      <c r="F298" s="5094"/>
      <c r="G298" s="5095"/>
      <c r="H298" s="5096"/>
      <c r="I298" s="5097"/>
      <c r="J298" s="186"/>
      <c r="K298" s="187"/>
      <c r="L298" s="2320"/>
      <c r="M298" s="2261"/>
      <c r="N298" s="2288"/>
      <c r="O298" s="75"/>
      <c r="P298" s="2288"/>
      <c r="Q298" s="2288"/>
      <c r="R298" s="2288"/>
      <c r="X298" s="2249"/>
    </row>
    <row r="299" spans="1:24" s="2206" customFormat="1" ht="13.5" customHeight="1">
      <c r="A299" s="5098"/>
      <c r="B299" s="5027"/>
      <c r="C299" s="5027"/>
      <c r="D299" s="5027" t="s">
        <v>1708</v>
      </c>
      <c r="E299" s="5027"/>
      <c r="F299" s="5028">
        <v>2</v>
      </c>
      <c r="G299" s="5099"/>
      <c r="H299" s="5100"/>
      <c r="I299" s="5101"/>
      <c r="J299" s="186"/>
      <c r="K299" s="187"/>
      <c r="R299" s="2295"/>
    </row>
    <row r="300" spans="1:24" s="2206" customFormat="1" ht="13.5" customHeight="1">
      <c r="A300" s="5098"/>
      <c r="B300" s="5027"/>
      <c r="C300" s="5027"/>
      <c r="D300" s="5027" t="s">
        <v>1709</v>
      </c>
      <c r="E300" s="5027"/>
      <c r="F300" s="5028">
        <v>2</v>
      </c>
      <c r="G300" s="5099"/>
      <c r="H300" s="5100"/>
      <c r="I300" s="5101"/>
      <c r="J300" s="186"/>
      <c r="K300" s="187"/>
      <c r="R300" s="2295"/>
    </row>
    <row r="301" spans="1:24" s="165" customFormat="1" ht="40.5" customHeight="1">
      <c r="A301" s="5102"/>
      <c r="B301" s="4852"/>
      <c r="C301" s="4852"/>
      <c r="D301" s="5103" t="s">
        <v>2312</v>
      </c>
      <c r="E301" s="4852"/>
      <c r="F301" s="5104"/>
      <c r="G301" s="5105"/>
      <c r="H301" s="5106"/>
      <c r="I301" s="5101"/>
      <c r="J301" s="5001"/>
      <c r="K301" s="190"/>
      <c r="M301" s="188"/>
      <c r="N301" s="189"/>
    </row>
    <row r="302" spans="1:24" s="165" customFormat="1" ht="13.5" customHeight="1">
      <c r="A302" s="5102"/>
      <c r="B302" s="4852"/>
      <c r="C302" s="4852"/>
      <c r="D302" s="5103" t="s">
        <v>2313</v>
      </c>
      <c r="E302" s="4852"/>
      <c r="F302" s="5104"/>
      <c r="G302" s="5105"/>
      <c r="H302" s="5106"/>
      <c r="I302" s="5101"/>
      <c r="J302" s="5000"/>
    </row>
    <row r="303" spans="1:24" s="612" customFormat="1" ht="13.5" customHeight="1">
      <c r="A303" s="5036">
        <v>103</v>
      </c>
      <c r="B303" s="5037">
        <v>731</v>
      </c>
      <c r="C303" s="5037" t="s">
        <v>2316</v>
      </c>
      <c r="D303" s="5037" t="s">
        <v>2317</v>
      </c>
      <c r="E303" s="5037" t="s">
        <v>205</v>
      </c>
      <c r="F303" s="5038">
        <f>SUM(F305:F306)</f>
        <v>7</v>
      </c>
      <c r="G303" s="5039"/>
      <c r="H303" s="5012">
        <f>ROUND(F303*G303,2)</f>
        <v>0</v>
      </c>
      <c r="I303" s="5062" t="s">
        <v>112</v>
      </c>
      <c r="J303" s="186"/>
      <c r="K303" s="169"/>
    </row>
    <row r="304" spans="1:24" s="2343" customFormat="1" ht="27" customHeight="1">
      <c r="A304" s="5078"/>
      <c r="B304" s="5091"/>
      <c r="C304" s="5092"/>
      <c r="D304" s="5093" t="s">
        <v>2318</v>
      </c>
      <c r="E304" s="5091"/>
      <c r="F304" s="5094"/>
      <c r="G304" s="5095"/>
      <c r="H304" s="5096"/>
      <c r="I304" s="5107"/>
      <c r="J304" s="186"/>
      <c r="K304" s="187"/>
      <c r="L304" s="2320"/>
      <c r="M304" s="2261"/>
      <c r="N304" s="75"/>
      <c r="O304" s="75"/>
      <c r="P304" s="2288"/>
      <c r="Q304" s="2288"/>
      <c r="R304" s="2288"/>
      <c r="X304" s="2249"/>
    </row>
    <row r="305" spans="1:24" s="2206" customFormat="1" ht="13.5" customHeight="1">
      <c r="A305" s="5098"/>
      <c r="B305" s="5027"/>
      <c r="C305" s="5027"/>
      <c r="D305" s="5027" t="s">
        <v>1708</v>
      </c>
      <c r="E305" s="5027"/>
      <c r="F305" s="5028">
        <v>5</v>
      </c>
      <c r="G305" s="5099"/>
      <c r="H305" s="5100"/>
      <c r="I305" s="5101"/>
      <c r="J305" s="186"/>
      <c r="K305" s="187"/>
      <c r="N305" s="2241"/>
      <c r="P305" s="2249"/>
      <c r="R305" s="2295"/>
    </row>
    <row r="306" spans="1:24" s="2206" customFormat="1" ht="13.5" customHeight="1">
      <c r="A306" s="5098"/>
      <c r="B306" s="5027"/>
      <c r="C306" s="5027"/>
      <c r="D306" s="5027" t="s">
        <v>1709</v>
      </c>
      <c r="E306" s="5027"/>
      <c r="F306" s="5028">
        <v>2</v>
      </c>
      <c r="G306" s="5099"/>
      <c r="H306" s="5100"/>
      <c r="I306" s="5101"/>
      <c r="J306" s="186"/>
      <c r="K306" s="187"/>
      <c r="N306" s="2241"/>
      <c r="P306" s="2249"/>
      <c r="R306" s="2295"/>
    </row>
    <row r="307" spans="1:24" ht="40.5" customHeight="1">
      <c r="A307" s="5007"/>
      <c r="B307" s="5009"/>
      <c r="C307" s="5009"/>
      <c r="D307" s="5108" t="s">
        <v>2319</v>
      </c>
      <c r="E307" s="5009"/>
      <c r="F307" s="5010"/>
      <c r="G307" s="5011"/>
      <c r="H307" s="5030"/>
      <c r="I307" s="5101"/>
      <c r="J307" s="191"/>
      <c r="K307" s="192"/>
      <c r="L307" s="192"/>
      <c r="M307" s="75"/>
    </row>
    <row r="308" spans="1:24" s="165" customFormat="1" ht="13.5" customHeight="1">
      <c r="A308" s="5102"/>
      <c r="B308" s="4852"/>
      <c r="C308" s="4852"/>
      <c r="D308" s="5103" t="s">
        <v>2313</v>
      </c>
      <c r="E308" s="4852"/>
      <c r="F308" s="5104"/>
      <c r="G308" s="5105"/>
      <c r="H308" s="5106"/>
      <c r="I308" s="5101"/>
    </row>
    <row r="309" spans="1:24" s="612" customFormat="1" ht="13.5" customHeight="1">
      <c r="A309" s="5036">
        <v>104</v>
      </c>
      <c r="B309" s="5037">
        <v>731</v>
      </c>
      <c r="C309" s="5037" t="s">
        <v>2320</v>
      </c>
      <c r="D309" s="5037" t="s">
        <v>2321</v>
      </c>
      <c r="E309" s="5037" t="s">
        <v>205</v>
      </c>
      <c r="F309" s="5038">
        <f>SUM(F311:F311)</f>
        <v>2</v>
      </c>
      <c r="G309" s="5039"/>
      <c r="H309" s="5012">
        <f>ROUND(F309*G309,2)</f>
        <v>0</v>
      </c>
      <c r="I309" s="5062" t="s">
        <v>112</v>
      </c>
      <c r="J309" s="186"/>
      <c r="K309" s="169"/>
    </row>
    <row r="310" spans="1:24" s="2343" customFormat="1" ht="27" customHeight="1">
      <c r="A310" s="5078"/>
      <c r="B310" s="5091"/>
      <c r="C310" s="5092"/>
      <c r="D310" s="5093" t="s">
        <v>2318</v>
      </c>
      <c r="E310" s="5091"/>
      <c r="F310" s="5094"/>
      <c r="G310" s="5095"/>
      <c r="H310" s="5096"/>
      <c r="I310" s="5107"/>
      <c r="J310" s="186"/>
      <c r="K310" s="187"/>
      <c r="L310" s="2320"/>
      <c r="M310" s="2261"/>
      <c r="N310" s="75"/>
      <c r="O310" s="75"/>
      <c r="P310" s="2288"/>
      <c r="Q310" s="2288"/>
      <c r="R310" s="2288"/>
      <c r="X310" s="2249"/>
    </row>
    <row r="311" spans="1:24" s="2206" customFormat="1" ht="13.5" customHeight="1">
      <c r="A311" s="5098"/>
      <c r="B311" s="5027"/>
      <c r="C311" s="5027"/>
      <c r="D311" s="5027" t="s">
        <v>1708</v>
      </c>
      <c r="E311" s="5027"/>
      <c r="F311" s="5028">
        <v>2</v>
      </c>
      <c r="G311" s="5099"/>
      <c r="H311" s="5100"/>
      <c r="I311" s="5101"/>
      <c r="J311" s="186"/>
      <c r="K311" s="187"/>
      <c r="N311" s="2241"/>
      <c r="P311" s="2249"/>
      <c r="R311" s="2295"/>
    </row>
    <row r="312" spans="1:24" ht="40.5" customHeight="1">
      <c r="A312" s="5007"/>
      <c r="B312" s="5009"/>
      <c r="C312" s="5009"/>
      <c r="D312" s="5108" t="s">
        <v>2319</v>
      </c>
      <c r="E312" s="5009"/>
      <c r="F312" s="5010"/>
      <c r="G312" s="5011"/>
      <c r="H312" s="5030"/>
      <c r="I312" s="5101"/>
      <c r="J312" s="186"/>
      <c r="K312" s="187"/>
      <c r="L312" s="192"/>
      <c r="M312" s="75"/>
    </row>
    <row r="313" spans="1:24" s="165" customFormat="1" ht="13.5" customHeight="1">
      <c r="A313" s="5102"/>
      <c r="B313" s="4852"/>
      <c r="C313" s="4852"/>
      <c r="D313" s="5103" t="s">
        <v>2313</v>
      </c>
      <c r="E313" s="4852"/>
      <c r="F313" s="5104"/>
      <c r="G313" s="5105"/>
      <c r="H313" s="5106"/>
      <c r="I313" s="5101"/>
    </row>
    <row r="314" spans="1:24" s="612" customFormat="1" ht="13.5" customHeight="1">
      <c r="A314" s="5036">
        <v>105</v>
      </c>
      <c r="B314" s="5037">
        <v>731</v>
      </c>
      <c r="C314" s="5037" t="s">
        <v>2322</v>
      </c>
      <c r="D314" s="5037" t="s">
        <v>2323</v>
      </c>
      <c r="E314" s="5037" t="s">
        <v>205</v>
      </c>
      <c r="F314" s="5038">
        <f>SUM(F316:F317)</f>
        <v>11</v>
      </c>
      <c r="G314" s="5039"/>
      <c r="H314" s="5012">
        <f>ROUND(F314*G314,2)</f>
        <v>0</v>
      </c>
      <c r="I314" s="5062" t="s">
        <v>112</v>
      </c>
      <c r="J314" s="186"/>
      <c r="K314" s="169"/>
    </row>
    <row r="315" spans="1:24" s="2343" customFormat="1" ht="27" customHeight="1">
      <c r="A315" s="5078"/>
      <c r="B315" s="5091"/>
      <c r="C315" s="5092"/>
      <c r="D315" s="5093" t="s">
        <v>2318</v>
      </c>
      <c r="E315" s="5091"/>
      <c r="F315" s="5094"/>
      <c r="G315" s="5095"/>
      <c r="H315" s="5096"/>
      <c r="I315" s="5107"/>
      <c r="J315" s="186"/>
      <c r="K315" s="187"/>
      <c r="L315" s="2320"/>
      <c r="M315" s="2261"/>
      <c r="N315" s="75"/>
      <c r="O315" s="75"/>
      <c r="P315" s="2288"/>
      <c r="Q315" s="2288"/>
      <c r="R315" s="2288"/>
      <c r="X315" s="2249"/>
    </row>
    <row r="316" spans="1:24" s="2206" customFormat="1" ht="13.5" customHeight="1">
      <c r="A316" s="5098"/>
      <c r="B316" s="5027"/>
      <c r="C316" s="5027"/>
      <c r="D316" s="5027" t="s">
        <v>1708</v>
      </c>
      <c r="E316" s="5027"/>
      <c r="F316" s="5028">
        <v>4</v>
      </c>
      <c r="G316" s="5099"/>
      <c r="H316" s="5100"/>
      <c r="I316" s="5101"/>
      <c r="J316" s="186"/>
      <c r="K316" s="187"/>
      <c r="N316" s="2241"/>
      <c r="P316" s="2249"/>
      <c r="R316" s="2295"/>
    </row>
    <row r="317" spans="1:24" s="2206" customFormat="1" ht="13.5" customHeight="1">
      <c r="A317" s="5098"/>
      <c r="B317" s="5027"/>
      <c r="C317" s="5027"/>
      <c r="D317" s="5027" t="s">
        <v>1709</v>
      </c>
      <c r="E317" s="5027"/>
      <c r="F317" s="5028">
        <v>7</v>
      </c>
      <c r="G317" s="5099"/>
      <c r="H317" s="5100"/>
      <c r="I317" s="5101"/>
      <c r="J317" s="186"/>
      <c r="K317" s="187"/>
      <c r="N317" s="2241"/>
      <c r="P317" s="2249"/>
      <c r="R317" s="2295"/>
    </row>
    <row r="318" spans="1:24" ht="40.5" customHeight="1">
      <c r="A318" s="5007"/>
      <c r="B318" s="5009"/>
      <c r="C318" s="5009"/>
      <c r="D318" s="5108" t="s">
        <v>2319</v>
      </c>
      <c r="E318" s="5009"/>
      <c r="F318" s="5010"/>
      <c r="G318" s="5011"/>
      <c r="H318" s="5030"/>
      <c r="I318" s="5101"/>
      <c r="J318" s="191"/>
      <c r="K318" s="192"/>
      <c r="L318" s="192"/>
      <c r="M318" s="75"/>
    </row>
    <row r="319" spans="1:24" s="165" customFormat="1" ht="13.5" customHeight="1">
      <c r="A319" s="5102"/>
      <c r="B319" s="4852"/>
      <c r="C319" s="4852"/>
      <c r="D319" s="5103" t="s">
        <v>2313</v>
      </c>
      <c r="E319" s="4852"/>
      <c r="F319" s="5104"/>
      <c r="G319" s="5105"/>
      <c r="H319" s="5106"/>
      <c r="I319" s="5101"/>
    </row>
    <row r="320" spans="1:24" s="612" customFormat="1" ht="13.5" customHeight="1">
      <c r="A320" s="5036">
        <v>106</v>
      </c>
      <c r="B320" s="5037">
        <v>731</v>
      </c>
      <c r="C320" s="5037" t="s">
        <v>2324</v>
      </c>
      <c r="D320" s="5037" t="s">
        <v>2325</v>
      </c>
      <c r="E320" s="5037" t="s">
        <v>205</v>
      </c>
      <c r="F320" s="5038">
        <f>SUM(F322:F323)</f>
        <v>9</v>
      </c>
      <c r="G320" s="5039"/>
      <c r="H320" s="5012">
        <f>ROUND(F320*G320,2)</f>
        <v>0</v>
      </c>
      <c r="I320" s="5062" t="s">
        <v>112</v>
      </c>
      <c r="J320" s="186"/>
      <c r="K320" s="169"/>
    </row>
    <row r="321" spans="1:24" s="2343" customFormat="1" ht="27" customHeight="1">
      <c r="A321" s="5078"/>
      <c r="B321" s="5091"/>
      <c r="C321" s="5092"/>
      <c r="D321" s="5093" t="s">
        <v>2318</v>
      </c>
      <c r="E321" s="5091"/>
      <c r="F321" s="5094"/>
      <c r="G321" s="5095"/>
      <c r="H321" s="5096"/>
      <c r="I321" s="5107"/>
      <c r="J321" s="186"/>
      <c r="K321" s="187"/>
      <c r="L321" s="2320"/>
      <c r="M321" s="2261"/>
      <c r="N321" s="75"/>
      <c r="O321" s="75"/>
      <c r="P321" s="2288"/>
      <c r="Q321" s="2288"/>
      <c r="R321" s="2288"/>
      <c r="X321" s="2249"/>
    </row>
    <row r="322" spans="1:24" s="2206" customFormat="1" ht="13.5" customHeight="1">
      <c r="A322" s="5098"/>
      <c r="B322" s="5027"/>
      <c r="C322" s="5027"/>
      <c r="D322" s="5027" t="s">
        <v>1708</v>
      </c>
      <c r="E322" s="5027"/>
      <c r="F322" s="5028">
        <v>1</v>
      </c>
      <c r="G322" s="5099"/>
      <c r="H322" s="5100"/>
      <c r="I322" s="5101"/>
      <c r="J322" s="186"/>
      <c r="K322" s="187"/>
      <c r="N322" s="2241"/>
      <c r="P322" s="2249"/>
      <c r="R322" s="2295"/>
    </row>
    <row r="323" spans="1:24" s="2206" customFormat="1" ht="13.5" customHeight="1">
      <c r="A323" s="5098"/>
      <c r="B323" s="5027"/>
      <c r="C323" s="5027"/>
      <c r="D323" s="5027" t="s">
        <v>1709</v>
      </c>
      <c r="E323" s="5027"/>
      <c r="F323" s="5028">
        <v>8</v>
      </c>
      <c r="G323" s="5099"/>
      <c r="H323" s="5100"/>
      <c r="I323" s="5101"/>
      <c r="J323" s="186"/>
      <c r="K323" s="187"/>
      <c r="N323" s="2241"/>
      <c r="P323" s="2249"/>
      <c r="R323" s="2295"/>
    </row>
    <row r="324" spans="1:24" ht="40.5" customHeight="1">
      <c r="A324" s="5007"/>
      <c r="B324" s="5009"/>
      <c r="C324" s="5009"/>
      <c r="D324" s="5108" t="s">
        <v>2319</v>
      </c>
      <c r="E324" s="5009"/>
      <c r="F324" s="5010"/>
      <c r="G324" s="5011"/>
      <c r="H324" s="5030"/>
      <c r="I324" s="5101"/>
      <c r="J324" s="191"/>
      <c r="K324" s="192"/>
      <c r="L324" s="192"/>
      <c r="M324" s="75"/>
    </row>
    <row r="325" spans="1:24" s="165" customFormat="1" ht="13.5" customHeight="1">
      <c r="A325" s="5102"/>
      <c r="B325" s="4852"/>
      <c r="C325" s="4852"/>
      <c r="D325" s="5103" t="s">
        <v>2313</v>
      </c>
      <c r="E325" s="4852"/>
      <c r="F325" s="5104"/>
      <c r="G325" s="5105"/>
      <c r="H325" s="5106"/>
      <c r="I325" s="5101"/>
    </row>
    <row r="326" spans="1:24" s="612" customFormat="1" ht="13.5" customHeight="1">
      <c r="A326" s="5036">
        <v>107</v>
      </c>
      <c r="B326" s="5037">
        <v>731</v>
      </c>
      <c r="C326" s="5037" t="s">
        <v>2326</v>
      </c>
      <c r="D326" s="5037" t="s">
        <v>2327</v>
      </c>
      <c r="E326" s="5037" t="s">
        <v>205</v>
      </c>
      <c r="F326" s="5038">
        <f>SUM(F328:F328)</f>
        <v>8</v>
      </c>
      <c r="G326" s="5039"/>
      <c r="H326" s="5012">
        <f>ROUND(F326*G326,2)</f>
        <v>0</v>
      </c>
      <c r="I326" s="5062" t="s">
        <v>112</v>
      </c>
      <c r="J326" s="186"/>
      <c r="K326" s="169"/>
    </row>
    <row r="327" spans="1:24" s="2343" customFormat="1" ht="27" customHeight="1">
      <c r="A327" s="5078"/>
      <c r="B327" s="5091"/>
      <c r="C327" s="5092"/>
      <c r="D327" s="5093" t="s">
        <v>2318</v>
      </c>
      <c r="E327" s="5091"/>
      <c r="F327" s="5094"/>
      <c r="G327" s="5095"/>
      <c r="H327" s="5096"/>
      <c r="I327" s="5107"/>
      <c r="J327" s="186"/>
      <c r="K327" s="187"/>
      <c r="L327" s="2320"/>
      <c r="M327" s="2261"/>
      <c r="N327" s="75"/>
      <c r="O327" s="75"/>
      <c r="P327" s="2288"/>
      <c r="Q327" s="2288"/>
      <c r="R327" s="2288"/>
      <c r="X327" s="2249"/>
    </row>
    <row r="328" spans="1:24" s="2206" customFormat="1" ht="13.5" customHeight="1">
      <c r="A328" s="5098"/>
      <c r="B328" s="5027"/>
      <c r="C328" s="5027"/>
      <c r="D328" s="5027" t="s">
        <v>1709</v>
      </c>
      <c r="E328" s="5027"/>
      <c r="F328" s="5028">
        <v>8</v>
      </c>
      <c r="G328" s="5099"/>
      <c r="H328" s="5100"/>
      <c r="I328" s="5101"/>
      <c r="J328" s="186"/>
      <c r="K328" s="187"/>
      <c r="N328" s="2241"/>
      <c r="P328" s="2249"/>
      <c r="R328" s="2295"/>
    </row>
    <row r="329" spans="1:24" ht="40.5" customHeight="1">
      <c r="A329" s="5007"/>
      <c r="B329" s="5009"/>
      <c r="C329" s="5009"/>
      <c r="D329" s="5108" t="s">
        <v>2319</v>
      </c>
      <c r="E329" s="5009"/>
      <c r="F329" s="5010"/>
      <c r="G329" s="5011"/>
      <c r="H329" s="5030"/>
      <c r="I329" s="5101"/>
      <c r="J329" s="186"/>
      <c r="K329" s="187"/>
      <c r="L329" s="192"/>
      <c r="M329" s="75"/>
    </row>
    <row r="330" spans="1:24" s="165" customFormat="1" ht="13.5" customHeight="1">
      <c r="A330" s="5102"/>
      <c r="B330" s="4852"/>
      <c r="C330" s="4852"/>
      <c r="D330" s="5103" t="s">
        <v>2313</v>
      </c>
      <c r="E330" s="4852"/>
      <c r="F330" s="5104"/>
      <c r="G330" s="5105"/>
      <c r="H330" s="5106"/>
      <c r="I330" s="5101"/>
    </row>
    <row r="331" spans="1:24" s="612" customFormat="1" ht="13.5" customHeight="1">
      <c r="A331" s="5036">
        <v>108</v>
      </c>
      <c r="B331" s="5037">
        <v>731</v>
      </c>
      <c r="C331" s="5037" t="s">
        <v>2328</v>
      </c>
      <c r="D331" s="5037" t="s">
        <v>2329</v>
      </c>
      <c r="E331" s="5037" t="s">
        <v>205</v>
      </c>
      <c r="F331" s="5038">
        <f>SUM(F333:F334)</f>
        <v>2</v>
      </c>
      <c r="G331" s="5039"/>
      <c r="H331" s="5012">
        <f>ROUND(F331*G331,2)</f>
        <v>0</v>
      </c>
      <c r="I331" s="5062" t="s">
        <v>112</v>
      </c>
      <c r="J331" s="186"/>
      <c r="K331" s="169"/>
    </row>
    <row r="332" spans="1:24" s="2343" customFormat="1" ht="27" customHeight="1">
      <c r="A332" s="5078"/>
      <c r="B332" s="5091"/>
      <c r="C332" s="5092"/>
      <c r="D332" s="5093" t="s">
        <v>2318</v>
      </c>
      <c r="E332" s="5091"/>
      <c r="F332" s="5094"/>
      <c r="G332" s="5095"/>
      <c r="H332" s="5096"/>
      <c r="I332" s="5107"/>
      <c r="J332" s="186"/>
      <c r="K332" s="187"/>
      <c r="L332" s="2320"/>
      <c r="M332" s="2261"/>
      <c r="N332" s="75"/>
      <c r="O332" s="75"/>
      <c r="P332" s="2288"/>
      <c r="Q332" s="2288"/>
      <c r="R332" s="2288"/>
      <c r="X332" s="2249"/>
    </row>
    <row r="333" spans="1:24" s="2206" customFormat="1" ht="13.5" customHeight="1">
      <c r="A333" s="5098"/>
      <c r="B333" s="5027"/>
      <c r="C333" s="5027"/>
      <c r="D333" s="5027" t="s">
        <v>1708</v>
      </c>
      <c r="E333" s="5027"/>
      <c r="F333" s="5028">
        <v>1</v>
      </c>
      <c r="G333" s="5099"/>
      <c r="H333" s="5100"/>
      <c r="I333" s="5101"/>
      <c r="J333" s="186"/>
      <c r="K333" s="187"/>
      <c r="N333" s="2241"/>
      <c r="P333" s="2249"/>
      <c r="R333" s="2295"/>
    </row>
    <row r="334" spans="1:24" s="2206" customFormat="1" ht="13.5" customHeight="1">
      <c r="A334" s="5098"/>
      <c r="B334" s="5027"/>
      <c r="C334" s="5027"/>
      <c r="D334" s="5027" t="s">
        <v>1709</v>
      </c>
      <c r="E334" s="5027"/>
      <c r="F334" s="5028">
        <v>1</v>
      </c>
      <c r="G334" s="5099"/>
      <c r="H334" s="5100"/>
      <c r="I334" s="5101"/>
      <c r="J334" s="186"/>
      <c r="K334" s="187"/>
      <c r="N334" s="2241"/>
      <c r="P334" s="2249"/>
      <c r="R334" s="2295"/>
    </row>
    <row r="335" spans="1:24" ht="40.5" customHeight="1">
      <c r="A335" s="5007"/>
      <c r="B335" s="5009"/>
      <c r="C335" s="5009"/>
      <c r="D335" s="5108" t="s">
        <v>2319</v>
      </c>
      <c r="E335" s="5009"/>
      <c r="F335" s="5010"/>
      <c r="G335" s="5011"/>
      <c r="H335" s="5030"/>
      <c r="I335" s="5101"/>
      <c r="J335" s="191"/>
      <c r="K335" s="192"/>
      <c r="L335" s="192"/>
      <c r="M335" s="75"/>
    </row>
    <row r="336" spans="1:24" s="165" customFormat="1" ht="13.5" customHeight="1">
      <c r="A336" s="5102"/>
      <c r="B336" s="4852"/>
      <c r="C336" s="4852"/>
      <c r="D336" s="5103" t="s">
        <v>2313</v>
      </c>
      <c r="E336" s="4852"/>
      <c r="F336" s="5104"/>
      <c r="G336" s="5105"/>
      <c r="H336" s="5106"/>
      <c r="I336" s="5101"/>
    </row>
    <row r="337" spans="1:24" s="612" customFormat="1" ht="13.5" customHeight="1">
      <c r="A337" s="5036">
        <v>109</v>
      </c>
      <c r="B337" s="5037">
        <v>731</v>
      </c>
      <c r="C337" s="5037" t="s">
        <v>2330</v>
      </c>
      <c r="D337" s="5037" t="s">
        <v>2331</v>
      </c>
      <c r="E337" s="5037" t="s">
        <v>205</v>
      </c>
      <c r="F337" s="5038">
        <f>SUM(F339:F339)</f>
        <v>4</v>
      </c>
      <c r="G337" s="5039"/>
      <c r="H337" s="5012">
        <f>ROUND(F337*G337,2)</f>
        <v>0</v>
      </c>
      <c r="I337" s="5062" t="s">
        <v>112</v>
      </c>
      <c r="J337" s="186"/>
      <c r="K337" s="169"/>
    </row>
    <row r="338" spans="1:24" s="2343" customFormat="1" ht="27" customHeight="1">
      <c r="A338" s="5078"/>
      <c r="B338" s="5091"/>
      <c r="C338" s="5092"/>
      <c r="D338" s="5093" t="s">
        <v>2318</v>
      </c>
      <c r="E338" s="5091"/>
      <c r="F338" s="5094"/>
      <c r="G338" s="5095"/>
      <c r="H338" s="5096"/>
      <c r="I338" s="5107"/>
      <c r="J338" s="186"/>
      <c r="K338" s="187"/>
      <c r="L338" s="2320"/>
      <c r="M338" s="2261"/>
      <c r="N338" s="75"/>
      <c r="O338" s="75"/>
      <c r="P338" s="2288"/>
      <c r="Q338" s="2288"/>
      <c r="R338" s="2288"/>
      <c r="X338" s="2249"/>
    </row>
    <row r="339" spans="1:24" s="2206" customFormat="1" ht="13.5" customHeight="1">
      <c r="A339" s="5098"/>
      <c r="B339" s="5027"/>
      <c r="C339" s="5027"/>
      <c r="D339" s="5027" t="s">
        <v>1708</v>
      </c>
      <c r="E339" s="5027"/>
      <c r="F339" s="5028">
        <v>4</v>
      </c>
      <c r="G339" s="5099"/>
      <c r="H339" s="5100"/>
      <c r="I339" s="5101"/>
      <c r="J339" s="186"/>
      <c r="K339" s="187"/>
      <c r="N339" s="2241"/>
      <c r="P339" s="2249"/>
      <c r="R339" s="2295"/>
    </row>
    <row r="340" spans="1:24" ht="40.5" customHeight="1">
      <c r="A340" s="5007"/>
      <c r="B340" s="5009"/>
      <c r="C340" s="5009"/>
      <c r="D340" s="5108" t="s">
        <v>2319</v>
      </c>
      <c r="E340" s="5009"/>
      <c r="F340" s="5010"/>
      <c r="G340" s="5011"/>
      <c r="H340" s="5030"/>
      <c r="I340" s="5101"/>
      <c r="J340" s="186"/>
      <c r="K340" s="187"/>
      <c r="L340" s="192"/>
      <c r="M340" s="75"/>
    </row>
    <row r="341" spans="1:24" s="165" customFormat="1" ht="13.5" customHeight="1">
      <c r="A341" s="5102"/>
      <c r="B341" s="4852"/>
      <c r="C341" s="4852"/>
      <c r="D341" s="5103" t="s">
        <v>2313</v>
      </c>
      <c r="E341" s="4852"/>
      <c r="F341" s="5104"/>
      <c r="G341" s="5105"/>
      <c r="H341" s="5106"/>
      <c r="I341" s="5101"/>
    </row>
    <row r="342" spans="1:24" s="612" customFormat="1" ht="13.5" customHeight="1">
      <c r="A342" s="5036">
        <v>110</v>
      </c>
      <c r="B342" s="5037">
        <v>731</v>
      </c>
      <c r="C342" s="5037" t="s">
        <v>2332</v>
      </c>
      <c r="D342" s="5037" t="s">
        <v>2333</v>
      </c>
      <c r="E342" s="5037" t="s">
        <v>205</v>
      </c>
      <c r="F342" s="5038">
        <f>SUM(F344:F344)</f>
        <v>1</v>
      </c>
      <c r="G342" s="5039"/>
      <c r="H342" s="5012">
        <f>ROUND(F342*G342,2)</f>
        <v>0</v>
      </c>
      <c r="I342" s="5062" t="s">
        <v>112</v>
      </c>
      <c r="J342" s="186"/>
      <c r="K342" s="169"/>
    </row>
    <row r="343" spans="1:24" s="2343" customFormat="1" ht="27" customHeight="1">
      <c r="A343" s="5078"/>
      <c r="B343" s="5091"/>
      <c r="C343" s="5092"/>
      <c r="D343" s="5093" t="s">
        <v>2318</v>
      </c>
      <c r="E343" s="5091"/>
      <c r="F343" s="5094"/>
      <c r="G343" s="5095"/>
      <c r="H343" s="5096"/>
      <c r="I343" s="5107"/>
      <c r="J343" s="186"/>
      <c r="K343" s="187"/>
      <c r="L343" s="2320"/>
      <c r="M343" s="2261"/>
      <c r="N343" s="75"/>
      <c r="O343" s="75"/>
      <c r="P343" s="2288"/>
      <c r="Q343" s="2288"/>
      <c r="R343" s="2288"/>
      <c r="X343" s="2249"/>
    </row>
    <row r="344" spans="1:24" s="2206" customFormat="1" ht="13.5" customHeight="1">
      <c r="A344" s="5098"/>
      <c r="B344" s="5027"/>
      <c r="C344" s="5027"/>
      <c r="D344" s="5027" t="s">
        <v>1708</v>
      </c>
      <c r="E344" s="5027"/>
      <c r="F344" s="5028">
        <v>1</v>
      </c>
      <c r="G344" s="5099"/>
      <c r="H344" s="5100"/>
      <c r="I344" s="5101"/>
      <c r="J344" s="186"/>
      <c r="K344" s="187"/>
      <c r="N344" s="2241"/>
      <c r="P344" s="2249"/>
      <c r="R344" s="2295"/>
    </row>
    <row r="345" spans="1:24" ht="40.5" customHeight="1">
      <c r="A345" s="5007"/>
      <c r="B345" s="5009"/>
      <c r="C345" s="5009"/>
      <c r="D345" s="5108" t="s">
        <v>2319</v>
      </c>
      <c r="E345" s="5009"/>
      <c r="F345" s="5010"/>
      <c r="G345" s="5011"/>
      <c r="H345" s="5030"/>
      <c r="I345" s="5101"/>
      <c r="J345" s="186"/>
      <c r="K345" s="187"/>
      <c r="L345" s="192"/>
      <c r="M345" s="75"/>
    </row>
    <row r="346" spans="1:24" s="165" customFormat="1" ht="13.5" customHeight="1">
      <c r="A346" s="5102"/>
      <c r="B346" s="4852"/>
      <c r="C346" s="4852"/>
      <c r="D346" s="5103" t="s">
        <v>2313</v>
      </c>
      <c r="E346" s="4852"/>
      <c r="F346" s="5104"/>
      <c r="G346" s="5105"/>
      <c r="H346" s="5106"/>
      <c r="I346" s="5101"/>
    </row>
    <row r="347" spans="1:24" s="612" customFormat="1" ht="13.5" customHeight="1">
      <c r="A347" s="5036">
        <v>111</v>
      </c>
      <c r="B347" s="5037">
        <v>731</v>
      </c>
      <c r="C347" s="5037" t="s">
        <v>2334</v>
      </c>
      <c r="D347" s="5037" t="s">
        <v>2335</v>
      </c>
      <c r="E347" s="5037" t="s">
        <v>205</v>
      </c>
      <c r="F347" s="5038">
        <f>SUM(F349:F350)</f>
        <v>8</v>
      </c>
      <c r="G347" s="5039"/>
      <c r="H347" s="5012">
        <f>ROUND(F347*G347,2)</f>
        <v>0</v>
      </c>
      <c r="I347" s="5062" t="s">
        <v>112</v>
      </c>
      <c r="J347" s="186"/>
      <c r="K347" s="169"/>
    </row>
    <row r="348" spans="1:24" s="2343" customFormat="1" ht="27" customHeight="1">
      <c r="A348" s="5078"/>
      <c r="B348" s="5091"/>
      <c r="C348" s="5092"/>
      <c r="D348" s="5093" t="s">
        <v>2318</v>
      </c>
      <c r="E348" s="5091"/>
      <c r="F348" s="5094"/>
      <c r="G348" s="5095"/>
      <c r="H348" s="5096"/>
      <c r="I348" s="5107"/>
      <c r="J348" s="186"/>
      <c r="K348" s="187"/>
      <c r="L348" s="2320"/>
      <c r="M348" s="2261"/>
      <c r="N348" s="75"/>
      <c r="O348" s="75"/>
      <c r="P348" s="2288"/>
      <c r="Q348" s="2288"/>
      <c r="R348" s="2288"/>
      <c r="X348" s="2249"/>
    </row>
    <row r="349" spans="1:24" s="2206" customFormat="1" ht="13.5" customHeight="1">
      <c r="A349" s="5098"/>
      <c r="B349" s="5027"/>
      <c r="C349" s="5027"/>
      <c r="D349" s="5027" t="s">
        <v>1708</v>
      </c>
      <c r="E349" s="5027"/>
      <c r="F349" s="5028">
        <v>7</v>
      </c>
      <c r="G349" s="5099"/>
      <c r="H349" s="5100"/>
      <c r="I349" s="5101"/>
      <c r="J349" s="186"/>
      <c r="K349" s="187"/>
      <c r="N349" s="2241"/>
      <c r="P349" s="2249"/>
      <c r="R349" s="2295"/>
    </row>
    <row r="350" spans="1:24" s="2206" customFormat="1" ht="13.5" customHeight="1">
      <c r="A350" s="5098"/>
      <c r="B350" s="5027"/>
      <c r="C350" s="5027"/>
      <c r="D350" s="5027" t="s">
        <v>1709</v>
      </c>
      <c r="E350" s="5027"/>
      <c r="F350" s="5028">
        <v>1</v>
      </c>
      <c r="G350" s="5099"/>
      <c r="H350" s="5100"/>
      <c r="I350" s="5101"/>
      <c r="J350" s="186"/>
      <c r="K350" s="187"/>
      <c r="N350" s="2241"/>
      <c r="P350" s="2249"/>
      <c r="R350" s="2295"/>
    </row>
    <row r="351" spans="1:24" ht="40.5" customHeight="1">
      <c r="A351" s="5007"/>
      <c r="B351" s="5009"/>
      <c r="C351" s="5009"/>
      <c r="D351" s="5108" t="s">
        <v>2319</v>
      </c>
      <c r="E351" s="5009"/>
      <c r="F351" s="5010"/>
      <c r="G351" s="5011"/>
      <c r="H351" s="5030"/>
      <c r="I351" s="5101"/>
      <c r="J351" s="191"/>
      <c r="K351" s="192"/>
      <c r="L351" s="192"/>
      <c r="M351" s="75"/>
    </row>
    <row r="352" spans="1:24" s="165" customFormat="1" ht="13.5" customHeight="1">
      <c r="A352" s="5102"/>
      <c r="B352" s="4852"/>
      <c r="C352" s="4852"/>
      <c r="D352" s="5103" t="s">
        <v>2313</v>
      </c>
      <c r="E352" s="4852"/>
      <c r="F352" s="5104"/>
      <c r="G352" s="5105"/>
      <c r="H352" s="5106"/>
      <c r="I352" s="5101"/>
    </row>
    <row r="353" spans="1:24" s="612" customFormat="1" ht="13.5" customHeight="1">
      <c r="A353" s="5036">
        <v>112</v>
      </c>
      <c r="B353" s="5037">
        <v>731</v>
      </c>
      <c r="C353" s="5037" t="s">
        <v>2336</v>
      </c>
      <c r="D353" s="5037" t="s">
        <v>2337</v>
      </c>
      <c r="E353" s="5037" t="s">
        <v>205</v>
      </c>
      <c r="F353" s="5038">
        <f>SUM(F355:F355)</f>
        <v>4</v>
      </c>
      <c r="G353" s="5039"/>
      <c r="H353" s="5012">
        <f>ROUND(F353*G353,2)</f>
        <v>0</v>
      </c>
      <c r="I353" s="5062" t="s">
        <v>112</v>
      </c>
      <c r="J353" s="186"/>
      <c r="K353" s="169"/>
    </row>
    <row r="354" spans="1:24" s="2343" customFormat="1" ht="27" customHeight="1">
      <c r="A354" s="5078"/>
      <c r="B354" s="5091"/>
      <c r="C354" s="5092"/>
      <c r="D354" s="5093" t="s">
        <v>2318</v>
      </c>
      <c r="E354" s="5091"/>
      <c r="F354" s="5094"/>
      <c r="G354" s="5095"/>
      <c r="H354" s="5096"/>
      <c r="I354" s="5107"/>
      <c r="J354" s="186"/>
      <c r="K354" s="187"/>
      <c r="L354" s="2320"/>
      <c r="M354" s="2261"/>
      <c r="N354" s="75"/>
      <c r="O354" s="75"/>
      <c r="P354" s="2288"/>
      <c r="Q354" s="2288"/>
      <c r="R354" s="2288"/>
      <c r="X354" s="2249"/>
    </row>
    <row r="355" spans="1:24" s="2206" customFormat="1" ht="13.5" customHeight="1">
      <c r="A355" s="5098"/>
      <c r="B355" s="5027"/>
      <c r="C355" s="5027"/>
      <c r="D355" s="5027" t="s">
        <v>1708</v>
      </c>
      <c r="E355" s="5027"/>
      <c r="F355" s="5028">
        <v>4</v>
      </c>
      <c r="G355" s="5099"/>
      <c r="H355" s="5100"/>
      <c r="I355" s="5101"/>
      <c r="J355" s="186"/>
      <c r="K355" s="187"/>
      <c r="N355" s="2241"/>
      <c r="P355" s="2249"/>
      <c r="R355" s="2295"/>
    </row>
    <row r="356" spans="1:24" ht="40.5" customHeight="1">
      <c r="A356" s="5007"/>
      <c r="B356" s="5009"/>
      <c r="C356" s="5009"/>
      <c r="D356" s="5108" t="s">
        <v>2319</v>
      </c>
      <c r="E356" s="5009"/>
      <c r="F356" s="5010"/>
      <c r="G356" s="5011"/>
      <c r="H356" s="5030"/>
      <c r="I356" s="5101"/>
      <c r="J356" s="186"/>
      <c r="K356" s="187"/>
      <c r="L356" s="192"/>
      <c r="M356" s="75"/>
    </row>
    <row r="357" spans="1:24" s="165" customFormat="1" ht="13.5" customHeight="1">
      <c r="A357" s="5102"/>
      <c r="B357" s="4852"/>
      <c r="C357" s="4852"/>
      <c r="D357" s="5103" t="s">
        <v>2313</v>
      </c>
      <c r="E357" s="4852"/>
      <c r="F357" s="5104"/>
      <c r="G357" s="5105"/>
      <c r="H357" s="5106"/>
      <c r="I357" s="5101"/>
    </row>
    <row r="358" spans="1:24" s="612" customFormat="1" ht="13.5" customHeight="1">
      <c r="A358" s="5036">
        <v>113</v>
      </c>
      <c r="B358" s="5037">
        <v>731</v>
      </c>
      <c r="C358" s="5037" t="s">
        <v>2338</v>
      </c>
      <c r="D358" s="5037" t="s">
        <v>2339</v>
      </c>
      <c r="E358" s="5037" t="s">
        <v>205</v>
      </c>
      <c r="F358" s="5038">
        <f>SUM(F360:F360)</f>
        <v>2</v>
      </c>
      <c r="G358" s="5039"/>
      <c r="H358" s="5012">
        <f>ROUND(F358*G358,2)</f>
        <v>0</v>
      </c>
      <c r="I358" s="5062" t="s">
        <v>112</v>
      </c>
      <c r="J358" s="186"/>
      <c r="K358" s="169"/>
    </row>
    <row r="359" spans="1:24" s="2343" customFormat="1" ht="27" customHeight="1">
      <c r="A359" s="5078"/>
      <c r="B359" s="5091"/>
      <c r="C359" s="5092"/>
      <c r="D359" s="5093" t="s">
        <v>2318</v>
      </c>
      <c r="E359" s="5091"/>
      <c r="F359" s="5094"/>
      <c r="G359" s="5095"/>
      <c r="H359" s="5096"/>
      <c r="I359" s="5107"/>
      <c r="J359" s="186"/>
      <c r="K359" s="187"/>
      <c r="L359" s="2320"/>
      <c r="M359" s="2261"/>
      <c r="N359" s="75"/>
      <c r="O359" s="75"/>
      <c r="P359" s="2288"/>
      <c r="Q359" s="2288"/>
      <c r="R359" s="2288"/>
      <c r="X359" s="2249"/>
    </row>
    <row r="360" spans="1:24" s="2206" customFormat="1" ht="13.5" customHeight="1">
      <c r="A360" s="5098"/>
      <c r="B360" s="5027"/>
      <c r="C360" s="5027"/>
      <c r="D360" s="5027" t="s">
        <v>1708</v>
      </c>
      <c r="E360" s="5027"/>
      <c r="F360" s="5028">
        <v>2</v>
      </c>
      <c r="G360" s="5099"/>
      <c r="H360" s="5100"/>
      <c r="I360" s="5101"/>
      <c r="J360" s="186"/>
      <c r="K360" s="187"/>
      <c r="N360" s="2241"/>
      <c r="P360" s="2249"/>
      <c r="R360" s="2295"/>
    </row>
    <row r="361" spans="1:24" ht="40.5" customHeight="1">
      <c r="A361" s="5007"/>
      <c r="B361" s="5009"/>
      <c r="C361" s="5009"/>
      <c r="D361" s="5108" t="s">
        <v>2319</v>
      </c>
      <c r="E361" s="5009"/>
      <c r="F361" s="5010"/>
      <c r="G361" s="5011"/>
      <c r="H361" s="5030"/>
      <c r="I361" s="5101"/>
      <c r="J361" s="186"/>
      <c r="K361" s="187"/>
      <c r="L361" s="192"/>
      <c r="M361" s="75"/>
    </row>
    <row r="362" spans="1:24" s="165" customFormat="1" ht="13.5" customHeight="1">
      <c r="A362" s="5102"/>
      <c r="B362" s="4852"/>
      <c r="C362" s="4852"/>
      <c r="D362" s="5103" t="s">
        <v>2313</v>
      </c>
      <c r="E362" s="4852"/>
      <c r="F362" s="5104"/>
      <c r="G362" s="5105"/>
      <c r="H362" s="5106"/>
      <c r="I362" s="5101"/>
    </row>
    <row r="363" spans="1:24" s="612" customFormat="1" ht="13.5" customHeight="1">
      <c r="A363" s="5036">
        <v>114</v>
      </c>
      <c r="B363" s="5037">
        <v>731</v>
      </c>
      <c r="C363" s="5037" t="s">
        <v>2340</v>
      </c>
      <c r="D363" s="5037" t="s">
        <v>2341</v>
      </c>
      <c r="E363" s="5037" t="s">
        <v>205</v>
      </c>
      <c r="F363" s="5038">
        <f>SUM(F365:F365)</f>
        <v>1</v>
      </c>
      <c r="G363" s="5039"/>
      <c r="H363" s="5012">
        <f>ROUND(F363*G363,2)</f>
        <v>0</v>
      </c>
      <c r="I363" s="5062" t="s">
        <v>112</v>
      </c>
      <c r="J363" s="186"/>
      <c r="K363" s="169"/>
    </row>
    <row r="364" spans="1:24" s="2343" customFormat="1" ht="27" customHeight="1">
      <c r="A364" s="5078"/>
      <c r="B364" s="5091"/>
      <c r="C364" s="5092"/>
      <c r="D364" s="5093" t="s">
        <v>2318</v>
      </c>
      <c r="E364" s="5091"/>
      <c r="F364" s="5094"/>
      <c r="G364" s="5095"/>
      <c r="H364" s="5096"/>
      <c r="I364" s="5107"/>
      <c r="J364" s="186"/>
      <c r="K364" s="187"/>
      <c r="L364" s="2320"/>
      <c r="M364" s="2261"/>
      <c r="N364" s="75"/>
      <c r="O364" s="75"/>
      <c r="P364" s="2288"/>
      <c r="Q364" s="2288"/>
      <c r="R364" s="2288"/>
      <c r="X364" s="2249"/>
    </row>
    <row r="365" spans="1:24" s="2206" customFormat="1" ht="13.5" customHeight="1">
      <c r="A365" s="5098"/>
      <c r="B365" s="5027"/>
      <c r="C365" s="5027"/>
      <c r="D365" s="5027" t="s">
        <v>1708</v>
      </c>
      <c r="E365" s="5027"/>
      <c r="F365" s="5028">
        <v>1</v>
      </c>
      <c r="G365" s="5099"/>
      <c r="H365" s="5100"/>
      <c r="I365" s="5101"/>
      <c r="J365" s="186"/>
      <c r="K365" s="187"/>
      <c r="N365" s="2241"/>
      <c r="P365" s="2249"/>
      <c r="R365" s="2295"/>
    </row>
    <row r="366" spans="1:24" ht="40.5" customHeight="1">
      <c r="A366" s="5007"/>
      <c r="B366" s="5009"/>
      <c r="C366" s="5009"/>
      <c r="D366" s="5108" t="s">
        <v>2319</v>
      </c>
      <c r="E366" s="5009"/>
      <c r="F366" s="5010"/>
      <c r="G366" s="5011"/>
      <c r="H366" s="5030"/>
      <c r="I366" s="5101"/>
      <c r="J366" s="186"/>
      <c r="K366" s="187"/>
      <c r="L366" s="192"/>
      <c r="M366" s="75"/>
    </row>
    <row r="367" spans="1:24" s="165" customFormat="1" ht="13.5" customHeight="1">
      <c r="A367" s="5102"/>
      <c r="B367" s="4852"/>
      <c r="C367" s="4852"/>
      <c r="D367" s="5103" t="s">
        <v>2313</v>
      </c>
      <c r="E367" s="4852"/>
      <c r="F367" s="5104"/>
      <c r="G367" s="5105"/>
      <c r="H367" s="5106"/>
      <c r="I367" s="5101"/>
    </row>
    <row r="368" spans="1:24" s="612" customFormat="1" ht="13.5" customHeight="1">
      <c r="A368" s="5036">
        <v>115</v>
      </c>
      <c r="B368" s="5037">
        <v>731</v>
      </c>
      <c r="C368" s="5037" t="s">
        <v>2342</v>
      </c>
      <c r="D368" s="5037" t="s">
        <v>2343</v>
      </c>
      <c r="E368" s="5037" t="s">
        <v>205</v>
      </c>
      <c r="F368" s="5038">
        <f>SUM(F370:F370)</f>
        <v>1</v>
      </c>
      <c r="G368" s="5039"/>
      <c r="H368" s="5012">
        <f>ROUND(F368*G368,2)</f>
        <v>0</v>
      </c>
      <c r="I368" s="5062" t="s">
        <v>112</v>
      </c>
      <c r="J368" s="186"/>
      <c r="K368" s="169"/>
    </row>
    <row r="369" spans="1:24" s="2343" customFormat="1" ht="27" customHeight="1">
      <c r="A369" s="5078"/>
      <c r="B369" s="5091"/>
      <c r="C369" s="5092"/>
      <c r="D369" s="5093" t="s">
        <v>2318</v>
      </c>
      <c r="E369" s="5091"/>
      <c r="F369" s="5094"/>
      <c r="G369" s="5095"/>
      <c r="H369" s="5096"/>
      <c r="I369" s="5107"/>
      <c r="J369" s="186"/>
      <c r="K369" s="187"/>
      <c r="L369" s="2320"/>
      <c r="M369" s="2261"/>
      <c r="N369" s="2288"/>
      <c r="O369" s="75"/>
      <c r="P369" s="2288"/>
      <c r="Q369" s="2288"/>
      <c r="R369" s="2288"/>
      <c r="X369" s="2249"/>
    </row>
    <row r="370" spans="1:24" s="2206" customFormat="1" ht="13.5" customHeight="1">
      <c r="A370" s="5098"/>
      <c r="B370" s="5027"/>
      <c r="C370" s="5027"/>
      <c r="D370" s="5027" t="s">
        <v>1709</v>
      </c>
      <c r="E370" s="5027"/>
      <c r="F370" s="5028">
        <v>1</v>
      </c>
      <c r="G370" s="5099"/>
      <c r="H370" s="5100"/>
      <c r="I370" s="5101"/>
      <c r="J370" s="186"/>
      <c r="K370" s="187"/>
      <c r="N370" s="2251"/>
      <c r="P370" s="2348"/>
      <c r="R370" s="2295"/>
      <c r="T370" s="2249"/>
    </row>
    <row r="371" spans="1:24" ht="40.5" customHeight="1">
      <c r="A371" s="5007"/>
      <c r="B371" s="5009"/>
      <c r="C371" s="5009"/>
      <c r="D371" s="5108" t="s">
        <v>2319</v>
      </c>
      <c r="E371" s="5009"/>
      <c r="F371" s="5010"/>
      <c r="G371" s="5011"/>
      <c r="H371" s="5030"/>
      <c r="I371" s="5101"/>
      <c r="J371" s="186"/>
      <c r="K371" s="187"/>
      <c r="L371" s="192"/>
      <c r="M371" s="171"/>
    </row>
    <row r="372" spans="1:24" s="165" customFormat="1" ht="13.5" customHeight="1">
      <c r="A372" s="5102"/>
      <c r="B372" s="4852"/>
      <c r="C372" s="4852"/>
      <c r="D372" s="5103" t="s">
        <v>2313</v>
      </c>
      <c r="E372" s="4852"/>
      <c r="F372" s="5104"/>
      <c r="G372" s="5105"/>
      <c r="H372" s="5106"/>
      <c r="I372" s="5101"/>
    </row>
    <row r="373" spans="1:24" s="612" customFormat="1" ht="13.5" customHeight="1">
      <c r="A373" s="5036">
        <v>116</v>
      </c>
      <c r="B373" s="5037">
        <v>731</v>
      </c>
      <c r="C373" s="5037" t="s">
        <v>2344</v>
      </c>
      <c r="D373" s="5037" t="s">
        <v>2345</v>
      </c>
      <c r="E373" s="5037" t="s">
        <v>205</v>
      </c>
      <c r="F373" s="5038">
        <f>SUM(F375:F376)</f>
        <v>2</v>
      </c>
      <c r="G373" s="5039"/>
      <c r="H373" s="5012">
        <f>ROUND(F373*G373,2)</f>
        <v>0</v>
      </c>
      <c r="I373" s="5062" t="s">
        <v>112</v>
      </c>
      <c r="J373" s="186"/>
      <c r="K373" s="169"/>
    </row>
    <row r="374" spans="1:24" s="2343" customFormat="1" ht="27" customHeight="1">
      <c r="A374" s="5078"/>
      <c r="B374" s="5091"/>
      <c r="C374" s="5092"/>
      <c r="D374" s="5093" t="s">
        <v>2318</v>
      </c>
      <c r="E374" s="5091"/>
      <c r="F374" s="5094"/>
      <c r="G374" s="5095"/>
      <c r="H374" s="5096"/>
      <c r="I374" s="5107"/>
      <c r="J374" s="186"/>
      <c r="K374" s="187"/>
      <c r="L374" s="2320"/>
      <c r="M374" s="2261"/>
      <c r="N374" s="2288"/>
      <c r="O374" s="75"/>
      <c r="P374" s="2288"/>
      <c r="Q374" s="2288"/>
      <c r="R374" s="2288"/>
      <c r="X374" s="2249"/>
    </row>
    <row r="375" spans="1:24" s="2206" customFormat="1" ht="13.5" customHeight="1">
      <c r="A375" s="5098"/>
      <c r="B375" s="5027"/>
      <c r="C375" s="5027"/>
      <c r="D375" s="5027" t="s">
        <v>2346</v>
      </c>
      <c r="E375" s="5027"/>
      <c r="F375" s="5028">
        <v>1</v>
      </c>
      <c r="G375" s="5099"/>
      <c r="H375" s="5100"/>
      <c r="I375" s="5101"/>
      <c r="J375" s="186"/>
      <c r="K375" s="187"/>
      <c r="N375" s="2251"/>
      <c r="P375" s="2348"/>
      <c r="R375" s="2295"/>
      <c r="T375" s="2249"/>
    </row>
    <row r="376" spans="1:24" s="2206" customFormat="1" ht="13.5" customHeight="1">
      <c r="A376" s="5098"/>
      <c r="B376" s="5027"/>
      <c r="C376" s="5027"/>
      <c r="D376" s="5027" t="s">
        <v>1708</v>
      </c>
      <c r="E376" s="5027"/>
      <c r="F376" s="5028">
        <v>1</v>
      </c>
      <c r="G376" s="5099"/>
      <c r="H376" s="5100"/>
      <c r="I376" s="5101"/>
      <c r="J376" s="186"/>
      <c r="K376" s="187"/>
      <c r="N376" s="2251"/>
      <c r="P376" s="2348"/>
      <c r="R376" s="2295"/>
      <c r="T376" s="2249"/>
    </row>
    <row r="377" spans="1:24" ht="40.5" customHeight="1">
      <c r="A377" s="5007"/>
      <c r="B377" s="5009"/>
      <c r="C377" s="5009"/>
      <c r="D377" s="5108" t="s">
        <v>2319</v>
      </c>
      <c r="E377" s="5009"/>
      <c r="F377" s="5010"/>
      <c r="G377" s="5011"/>
      <c r="H377" s="5030"/>
      <c r="I377" s="5101"/>
      <c r="J377" s="191"/>
      <c r="K377" s="5237"/>
      <c r="L377" s="5237"/>
      <c r="M377" s="171"/>
    </row>
    <row r="378" spans="1:24" s="165" customFormat="1" ht="13.5" customHeight="1">
      <c r="A378" s="5102"/>
      <c r="B378" s="4852"/>
      <c r="C378" s="4852"/>
      <c r="D378" s="5103" t="s">
        <v>2313</v>
      </c>
      <c r="E378" s="4852"/>
      <c r="F378" s="5104"/>
      <c r="G378" s="5105"/>
      <c r="H378" s="5106"/>
      <c r="I378" s="5101"/>
    </row>
    <row r="379" spans="1:24" s="153" customFormat="1" ht="13.5" customHeight="1">
      <c r="A379" s="5018">
        <v>117</v>
      </c>
      <c r="B379" s="5109">
        <v>731</v>
      </c>
      <c r="C379" s="4852" t="s">
        <v>2347</v>
      </c>
      <c r="D379" s="5019" t="s">
        <v>2348</v>
      </c>
      <c r="E379" s="5019" t="s">
        <v>49</v>
      </c>
      <c r="F379" s="5110">
        <v>1</v>
      </c>
      <c r="G379" s="5022"/>
      <c r="H379" s="5012">
        <f>ROUND(F379*G379,2)</f>
        <v>0</v>
      </c>
      <c r="I379" s="5062" t="s">
        <v>112</v>
      </c>
      <c r="J379" s="2349"/>
      <c r="K379" s="193"/>
      <c r="L379" s="193"/>
      <c r="M379" s="193"/>
      <c r="N379" s="193"/>
      <c r="O379" s="2350"/>
      <c r="P379" s="193"/>
      <c r="Q379" s="194"/>
      <c r="R379" s="193"/>
      <c r="S379" s="193"/>
    </row>
    <row r="380" spans="1:24" s="2206" customFormat="1" ht="27" customHeight="1">
      <c r="A380" s="5007"/>
      <c r="B380" s="5009"/>
      <c r="C380" s="5009"/>
      <c r="D380" s="5027" t="s">
        <v>2349</v>
      </c>
      <c r="E380" s="5009"/>
      <c r="F380" s="5028">
        <v>1</v>
      </c>
      <c r="G380" s="5011"/>
      <c r="H380" s="5030"/>
      <c r="I380" s="5062"/>
    </row>
    <row r="381" spans="1:24" s="165" customFormat="1" ht="81" customHeight="1">
      <c r="A381" s="5102"/>
      <c r="B381" s="4852"/>
      <c r="C381" s="4852"/>
      <c r="D381" s="5076" t="s">
        <v>2350</v>
      </c>
      <c r="E381" s="4852"/>
      <c r="F381" s="5056"/>
      <c r="G381" s="5105"/>
      <c r="H381" s="5106"/>
      <c r="I381" s="5111"/>
      <c r="J381" s="195"/>
      <c r="K381" s="196"/>
    </row>
    <row r="382" spans="1:24" s="612" customFormat="1" ht="13.5" customHeight="1">
      <c r="A382" s="5036">
        <v>118</v>
      </c>
      <c r="B382" s="5037" t="s">
        <v>2013</v>
      </c>
      <c r="C382" s="5037" t="s">
        <v>2351</v>
      </c>
      <c r="D382" s="5037" t="s">
        <v>2352</v>
      </c>
      <c r="E382" s="5037" t="s">
        <v>49</v>
      </c>
      <c r="F382" s="5038">
        <f>F383</f>
        <v>1</v>
      </c>
      <c r="G382" s="5039"/>
      <c r="H382" s="5012">
        <f>ROUND(F382*G382,2)</f>
        <v>0</v>
      </c>
      <c r="I382" s="5013" t="s">
        <v>111</v>
      </c>
      <c r="J382" s="159"/>
      <c r="Q382" s="1273"/>
    </row>
    <row r="383" spans="1:24" s="1371" customFormat="1" ht="13.5" customHeight="1">
      <c r="A383" s="5040"/>
      <c r="B383" s="5041"/>
      <c r="C383" s="5020"/>
      <c r="D383" s="5015" t="s">
        <v>1879</v>
      </c>
      <c r="E383" s="5042"/>
      <c r="F383" s="5043">
        <v>1</v>
      </c>
      <c r="G383" s="5044"/>
      <c r="H383" s="5045"/>
      <c r="I383" s="5046"/>
      <c r="J383" s="2267"/>
      <c r="U383" s="2273"/>
      <c r="W383" s="2273"/>
    </row>
    <row r="384" spans="1:24" s="612" customFormat="1" ht="13.5" customHeight="1">
      <c r="A384" s="5036">
        <v>119</v>
      </c>
      <c r="B384" s="5037">
        <v>731</v>
      </c>
      <c r="C384" s="5037">
        <v>998735202</v>
      </c>
      <c r="D384" s="5037" t="s">
        <v>2353</v>
      </c>
      <c r="E384" s="5037" t="s">
        <v>10</v>
      </c>
      <c r="F384" s="5038">
        <v>1.31</v>
      </c>
      <c r="G384" s="5039"/>
      <c r="H384" s="5012">
        <f>ROUND(F384*G384,2)</f>
        <v>0</v>
      </c>
      <c r="I384" s="5013" t="s">
        <v>137</v>
      </c>
      <c r="J384" s="164"/>
    </row>
    <row r="385" spans="1:23" s="612" customFormat="1" ht="13.5" customHeight="1">
      <c r="A385" s="5036">
        <v>120</v>
      </c>
      <c r="B385" s="5037" t="s">
        <v>362</v>
      </c>
      <c r="C385" s="5037" t="s">
        <v>2066</v>
      </c>
      <c r="D385" s="5037" t="s">
        <v>2067</v>
      </c>
      <c r="E385" s="5037" t="s">
        <v>69</v>
      </c>
      <c r="F385" s="5038">
        <f>F386</f>
        <v>10</v>
      </c>
      <c r="G385" s="5039"/>
      <c r="H385" s="5012">
        <f>ROUND(F385*G385,2)</f>
        <v>0</v>
      </c>
      <c r="I385" s="5013" t="s">
        <v>137</v>
      </c>
      <c r="J385" s="159"/>
    </row>
    <row r="386" spans="1:23" s="1371" customFormat="1" ht="13.5" customHeight="1">
      <c r="A386" s="5040"/>
      <c r="B386" s="5041"/>
      <c r="C386" s="5020"/>
      <c r="D386" s="5015" t="s">
        <v>2354</v>
      </c>
      <c r="E386" s="5042"/>
      <c r="F386" s="5043">
        <v>10</v>
      </c>
      <c r="G386" s="5044"/>
      <c r="H386" s="5045"/>
      <c r="I386" s="5046"/>
      <c r="J386" s="2267"/>
      <c r="U386" s="2273"/>
      <c r="W386" s="2273"/>
    </row>
    <row r="387" spans="1:23" s="1371" customFormat="1" ht="13.5" customHeight="1">
      <c r="A387" s="2268"/>
      <c r="B387" s="1367"/>
      <c r="C387" s="1382"/>
      <c r="D387" s="2230" t="s">
        <v>2295</v>
      </c>
      <c r="E387" s="2269"/>
      <c r="F387" s="2270"/>
      <c r="G387" s="2371"/>
      <c r="H387" s="2271"/>
      <c r="I387" s="2272"/>
      <c r="J387" s="2267"/>
      <c r="U387" s="2273"/>
      <c r="W387" s="2273"/>
    </row>
    <row r="388" spans="1:23" ht="21" customHeight="1">
      <c r="A388" s="2353"/>
      <c r="B388" s="2354"/>
      <c r="C388" s="2354"/>
      <c r="D388" s="2354" t="s">
        <v>0</v>
      </c>
      <c r="E388" s="2354"/>
      <c r="F388" s="2355"/>
      <c r="G388" s="2356"/>
      <c r="H388" s="2356">
        <f>H7</f>
        <v>0</v>
      </c>
      <c r="I388" s="2206"/>
    </row>
    <row r="389" spans="1:23">
      <c r="A389" s="2357"/>
      <c r="B389" s="2357"/>
      <c r="C389" s="2358"/>
      <c r="D389" s="2358"/>
      <c r="E389" s="2359"/>
      <c r="F389" s="2360"/>
      <c r="G389" s="2361"/>
      <c r="H389" s="2361"/>
      <c r="I389" s="2362"/>
    </row>
    <row r="390" spans="1:23" ht="13.5" customHeight="1">
      <c r="A390" s="5208" t="s">
        <v>862</v>
      </c>
      <c r="B390" s="5209"/>
      <c r="C390" s="5210"/>
      <c r="D390" s="2363" t="s">
        <v>1635</v>
      </c>
      <c r="E390" s="2364"/>
      <c r="F390" s="2365"/>
      <c r="G390" s="2366"/>
      <c r="H390" s="2367">
        <f>H388</f>
        <v>0</v>
      </c>
      <c r="I390" s="2368"/>
    </row>
    <row r="391" spans="1:23" ht="13.5" customHeight="1">
      <c r="A391" s="2243"/>
      <c r="B391" s="2246"/>
      <c r="C391" s="2246"/>
      <c r="D391" s="2351"/>
      <c r="E391" s="2369"/>
      <c r="F391" s="2370"/>
      <c r="G391" s="2247"/>
      <c r="H391" s="2248"/>
      <c r="I391" s="2206"/>
    </row>
    <row r="392" spans="1:23" ht="13.5" customHeight="1">
      <c r="A392" s="689" t="s">
        <v>1</v>
      </c>
      <c r="B392" s="689"/>
      <c r="C392" s="689"/>
      <c r="D392" s="689"/>
      <c r="E392" s="689"/>
      <c r="F392" s="876"/>
      <c r="G392" s="689"/>
      <c r="H392" s="689"/>
      <c r="I392" s="689"/>
    </row>
    <row r="393" spans="1:23" ht="27" customHeight="1">
      <c r="A393" s="5159" t="s">
        <v>864</v>
      </c>
      <c r="B393" s="5159"/>
      <c r="C393" s="5159"/>
      <c r="D393" s="5159"/>
      <c r="E393" s="5159"/>
      <c r="F393" s="5159"/>
      <c r="G393" s="5159"/>
      <c r="H393" s="689"/>
      <c r="I393" s="2206"/>
    </row>
    <row r="394" spans="1:23" ht="93.75" customHeight="1">
      <c r="A394" s="5159" t="s">
        <v>104</v>
      </c>
      <c r="B394" s="5159"/>
      <c r="C394" s="5159"/>
      <c r="D394" s="5159"/>
      <c r="E394" s="5159"/>
      <c r="F394" s="5159"/>
      <c r="G394" s="5159"/>
      <c r="H394" s="689"/>
      <c r="I394" s="689"/>
    </row>
    <row r="395" spans="1:23" ht="13.5" customHeight="1">
      <c r="A395" s="5159" t="s">
        <v>105</v>
      </c>
      <c r="B395" s="5159"/>
      <c r="C395" s="5159"/>
      <c r="D395" s="5159"/>
      <c r="E395" s="5159"/>
      <c r="F395" s="5159"/>
      <c r="G395" s="5159"/>
      <c r="H395" s="691"/>
      <c r="I395" s="691"/>
    </row>
    <row r="396" spans="1:23" ht="13.5" customHeight="1">
      <c r="A396" s="5159" t="s">
        <v>106</v>
      </c>
      <c r="B396" s="5159"/>
      <c r="C396" s="5159"/>
      <c r="D396" s="5159"/>
      <c r="E396" s="5159"/>
      <c r="F396" s="5159"/>
      <c r="G396" s="5159"/>
      <c r="H396" s="691"/>
      <c r="I396" s="691"/>
    </row>
    <row r="397" spans="1:23" s="889" customFormat="1" ht="40.5" customHeight="1">
      <c r="A397" s="5156" t="s">
        <v>865</v>
      </c>
      <c r="B397" s="5156"/>
      <c r="C397" s="5156"/>
      <c r="D397" s="5156"/>
      <c r="E397" s="5156"/>
      <c r="F397" s="5156"/>
      <c r="G397" s="5156"/>
      <c r="H397" s="1203"/>
      <c r="I397" s="888"/>
    </row>
    <row r="398" spans="1:23" s="889" customFormat="1" ht="108" customHeight="1">
      <c r="A398" s="5156" t="s">
        <v>1013</v>
      </c>
      <c r="B398" s="5156"/>
      <c r="C398" s="5156"/>
      <c r="D398" s="5156"/>
      <c r="E398" s="5156"/>
      <c r="F398" s="5156"/>
      <c r="G398" s="5156"/>
      <c r="H398" s="1204"/>
      <c r="I398" s="1205"/>
    </row>
  </sheetData>
  <sheetProtection algorithmName="SHA-512" hashValue="yox1/qD/wLa/3EfTg4DSueoeTae+jnpnLgzt/UOV/C/yXxtyJYWsByMdkYoeYUuVtugtBxCk/twCbpMfI0VqfA==" saltValue="S88GR9jswnuoBw/fZDueVw==" spinCount="100000" sheet="1" objects="1" scenarios="1"/>
  <mergeCells count="9">
    <mergeCell ref="A398:G398"/>
    <mergeCell ref="A396:G396"/>
    <mergeCell ref="A397:G397"/>
    <mergeCell ref="A2:I2"/>
    <mergeCell ref="K377:L377"/>
    <mergeCell ref="A390:C390"/>
    <mergeCell ref="A393:G393"/>
    <mergeCell ref="A394:G394"/>
    <mergeCell ref="A395:G395"/>
  </mergeCells>
  <printOptions horizontalCentered="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7CB6-1BB7-4F2D-897D-81AE7BE207BA}">
  <sheetPr>
    <pageSetUpPr fitToPage="1"/>
  </sheetPr>
  <dimension ref="A1:J136"/>
  <sheetViews>
    <sheetView view="pageBreakPreview" zoomScale="120" zoomScaleNormal="115" zoomScaleSheetLayoutView="120" zoomScalePageLayoutView="140" workbookViewId="0"/>
  </sheetViews>
  <sheetFormatPr defaultColWidth="10.6640625" defaultRowHeight="15"/>
  <cols>
    <col min="1" max="1" width="12.83203125" style="2172" bestFit="1" customWidth="1"/>
    <col min="2" max="2" width="52.5" style="2172" customWidth="1"/>
    <col min="3" max="3" width="16.6640625" style="2172" bestFit="1" customWidth="1"/>
    <col min="4" max="4" width="16.83203125" style="2173" bestFit="1" customWidth="1"/>
    <col min="5" max="5" width="23.1640625" style="2173" bestFit="1" customWidth="1"/>
    <col min="6" max="6" width="21" style="2172" customWidth="1"/>
    <col min="7" max="7" width="10.6640625" style="2172"/>
    <col min="8" max="8" width="25.5" style="2172" customWidth="1"/>
    <col min="9" max="9" width="16.6640625" style="2172" customWidth="1"/>
    <col min="10" max="10" width="20.6640625" style="2172" bestFit="1" customWidth="1"/>
    <col min="11" max="16384" width="10.6640625" style="2172"/>
  </cols>
  <sheetData>
    <row r="1" spans="1:10">
      <c r="H1" s="2172" t="s">
        <v>1408</v>
      </c>
      <c r="J1" s="2174">
        <f>F8+F27+F52+F71+F99+F114+F118+F122</f>
        <v>0</v>
      </c>
    </row>
    <row r="2" spans="1:10">
      <c r="A2" s="2172" t="s">
        <v>1409</v>
      </c>
      <c r="B2" s="5238" t="s">
        <v>1410</v>
      </c>
      <c r="C2" s="5238"/>
      <c r="D2" s="5238"/>
      <c r="E2" s="5238"/>
    </row>
    <row r="3" spans="1:10">
      <c r="A3" s="2172" t="s">
        <v>1411</v>
      </c>
      <c r="B3" s="2175" t="s">
        <v>1412</v>
      </c>
      <c r="C3" s="2175"/>
      <c r="D3" s="2175"/>
      <c r="E3" s="2175"/>
    </row>
    <row r="4" spans="1:10">
      <c r="A4" s="2172" t="s">
        <v>1413</v>
      </c>
      <c r="B4" s="2176">
        <f ca="1">TODAY()</f>
        <v>45470</v>
      </c>
    </row>
    <row r="5" spans="1:10">
      <c r="A5" s="2172" t="s">
        <v>1414</v>
      </c>
      <c r="B5" s="2172" t="s">
        <v>1415</v>
      </c>
    </row>
    <row r="7" spans="1:10" ht="30">
      <c r="A7" s="2172" t="s">
        <v>1416</v>
      </c>
      <c r="B7" s="2172" t="s">
        <v>121</v>
      </c>
      <c r="C7" s="2173" t="s">
        <v>1417</v>
      </c>
      <c r="D7" s="2173" t="s">
        <v>1418</v>
      </c>
      <c r="E7" s="2177" t="s">
        <v>1419</v>
      </c>
      <c r="F7" s="2177" t="s">
        <v>1420</v>
      </c>
    </row>
    <row r="8" spans="1:10">
      <c r="A8" s="2178">
        <v>1</v>
      </c>
      <c r="B8" s="2179" t="s">
        <v>1421</v>
      </c>
      <c r="C8" s="2180"/>
      <c r="D8" s="2180"/>
      <c r="E8" s="2181"/>
      <c r="F8" s="2181">
        <f>F9+F21</f>
        <v>0</v>
      </c>
    </row>
    <row r="9" spans="1:10">
      <c r="A9" s="2182"/>
      <c r="B9" s="2183" t="s">
        <v>1422</v>
      </c>
      <c r="C9" s="2184"/>
      <c r="D9" s="2185"/>
      <c r="E9" s="2186"/>
      <c r="F9" s="2187">
        <f>F10+F11+F12+F13+F14+F15+F16+F17+F20+F18+F19</f>
        <v>0</v>
      </c>
    </row>
    <row r="10" spans="1:10" ht="45">
      <c r="A10" s="2188" t="s">
        <v>1423</v>
      </c>
      <c r="B10" s="2177" t="s">
        <v>1424</v>
      </c>
      <c r="C10" s="2173">
        <v>1</v>
      </c>
      <c r="D10" s="2189" t="s">
        <v>1425</v>
      </c>
      <c r="E10" s="2197"/>
      <c r="F10" s="2174">
        <f>Tabulka13[[#This Row],[Jednotková cena v Kč(bez DPH)]]*Tabulka13[[#This Row],[Množství]]</f>
        <v>0</v>
      </c>
    </row>
    <row r="11" spans="1:10" ht="45">
      <c r="A11" s="2188" t="s">
        <v>1426</v>
      </c>
      <c r="B11" s="2177" t="s">
        <v>1427</v>
      </c>
      <c r="C11" s="2173">
        <v>1</v>
      </c>
      <c r="D11" s="2189" t="s">
        <v>1315</v>
      </c>
      <c r="E11" s="2197"/>
      <c r="F11" s="2174">
        <f>Tabulka13[[#This Row],[Jednotková cena v Kč(bez DPH)]]*Tabulka13[[#This Row],[Množství]]</f>
        <v>0</v>
      </c>
    </row>
    <row r="12" spans="1:10" ht="45">
      <c r="A12" s="2188" t="s">
        <v>1428</v>
      </c>
      <c r="B12" s="2177" t="s">
        <v>1429</v>
      </c>
      <c r="C12" s="2173">
        <v>1</v>
      </c>
      <c r="D12" s="2189" t="s">
        <v>1425</v>
      </c>
      <c r="E12" s="2197"/>
      <c r="F12" s="2174">
        <f>Tabulka13[[#This Row],[Jednotková cena v Kč(bez DPH)]]*Tabulka13[[#This Row],[Množství]]</f>
        <v>0</v>
      </c>
    </row>
    <row r="13" spans="1:10" ht="60">
      <c r="A13" s="2188" t="s">
        <v>1430</v>
      </c>
      <c r="B13" s="2177" t="s">
        <v>1431</v>
      </c>
      <c r="C13" s="2173">
        <v>1</v>
      </c>
      <c r="D13" s="2189" t="s">
        <v>1425</v>
      </c>
      <c r="E13" s="2197"/>
      <c r="F13" s="2174">
        <f>Tabulka13[[#This Row],[Jednotková cena v Kč(bez DPH)]]*Tabulka13[[#This Row],[Množství]]</f>
        <v>0</v>
      </c>
    </row>
    <row r="14" spans="1:10">
      <c r="A14" s="2188" t="s">
        <v>1432</v>
      </c>
      <c r="B14" s="2177" t="s">
        <v>1433</v>
      </c>
      <c r="C14" s="2173">
        <v>4</v>
      </c>
      <c r="D14" s="2189" t="s">
        <v>1425</v>
      </c>
      <c r="E14" s="2197"/>
      <c r="F14" s="2174">
        <f>Tabulka13[[#This Row],[Jednotková cena v Kč(bez DPH)]]*Tabulka13[[#This Row],[Množství]]</f>
        <v>0</v>
      </c>
    </row>
    <row r="15" spans="1:10">
      <c r="A15" s="2188" t="s">
        <v>1434</v>
      </c>
      <c r="B15" s="2177" t="s">
        <v>1435</v>
      </c>
      <c r="C15" s="2173">
        <v>2</v>
      </c>
      <c r="D15" s="2189" t="s">
        <v>1425</v>
      </c>
      <c r="E15" s="2197"/>
      <c r="F15" s="2174">
        <f>Tabulka13[[#This Row],[Jednotková cena v Kč(bez DPH)]]*Tabulka13[[#This Row],[Množství]]</f>
        <v>0</v>
      </c>
    </row>
    <row r="16" spans="1:10">
      <c r="A16" s="2188" t="s">
        <v>1436</v>
      </c>
      <c r="B16" s="2177" t="s">
        <v>1437</v>
      </c>
      <c r="C16" s="2173">
        <v>3</v>
      </c>
      <c r="D16" s="2189" t="s">
        <v>1425</v>
      </c>
      <c r="E16" s="2197"/>
      <c r="F16" s="2174">
        <f>Tabulka13[[#This Row],[Jednotková cena v Kč(bez DPH)]]*Tabulka13[[#This Row],[Množství]]</f>
        <v>0</v>
      </c>
    </row>
    <row r="17" spans="1:6" ht="30">
      <c r="A17" s="2188" t="s">
        <v>1438</v>
      </c>
      <c r="B17" s="2177" t="s">
        <v>1439</v>
      </c>
      <c r="C17" s="2173">
        <v>1</v>
      </c>
      <c r="D17" s="2189" t="s">
        <v>1425</v>
      </c>
      <c r="E17" s="2197"/>
      <c r="F17" s="2174">
        <f>Tabulka13[[#This Row],[Jednotková cena v Kč(bez DPH)]]*Tabulka13[[#This Row],[Množství]]</f>
        <v>0</v>
      </c>
    </row>
    <row r="18" spans="1:6">
      <c r="A18" s="2188" t="s">
        <v>1440</v>
      </c>
      <c r="B18" s="2177" t="s">
        <v>1441</v>
      </c>
      <c r="C18" s="2173">
        <v>1</v>
      </c>
      <c r="D18" s="2189" t="s">
        <v>1425</v>
      </c>
      <c r="E18" s="2197"/>
      <c r="F18" s="2174">
        <f>Tabulka13[[#This Row],[Jednotková cena v Kč(bez DPH)]]*Tabulka13[[#This Row],[Množství]]</f>
        <v>0</v>
      </c>
    </row>
    <row r="19" spans="1:6" ht="30">
      <c r="A19" s="2188" t="s">
        <v>1442</v>
      </c>
      <c r="B19" s="2177" t="s">
        <v>1443</v>
      </c>
      <c r="C19" s="2173">
        <v>1</v>
      </c>
      <c r="D19" s="2189" t="s">
        <v>1315</v>
      </c>
      <c r="E19" s="2197"/>
      <c r="F19" s="2174">
        <f>Tabulka13[[#This Row],[Jednotková cena v Kč(bez DPH)]]*Tabulka13[[#This Row],[Množství]]</f>
        <v>0</v>
      </c>
    </row>
    <row r="20" spans="1:6">
      <c r="A20" s="2188" t="s">
        <v>1444</v>
      </c>
      <c r="B20" s="2177" t="s">
        <v>1445</v>
      </c>
      <c r="C20" s="2173">
        <v>1</v>
      </c>
      <c r="D20" s="2189" t="s">
        <v>1425</v>
      </c>
      <c r="E20" s="2197"/>
      <c r="F20" s="2174">
        <f>Tabulka13[[#This Row],[Jednotková cena v Kč(bez DPH)]]*Tabulka13[[#This Row],[Množství]]</f>
        <v>0</v>
      </c>
    </row>
    <row r="21" spans="1:6">
      <c r="A21" s="2182"/>
      <c r="B21" s="2183" t="s">
        <v>1446</v>
      </c>
      <c r="C21" s="2184"/>
      <c r="D21" s="2185"/>
      <c r="E21" s="2198"/>
      <c r="F21" s="2187">
        <f>F22+F23+F24+F25+F26</f>
        <v>0</v>
      </c>
    </row>
    <row r="22" spans="1:6" ht="45">
      <c r="A22" s="2188" t="s">
        <v>1442</v>
      </c>
      <c r="B22" s="2177" t="s">
        <v>1424</v>
      </c>
      <c r="C22" s="2173">
        <v>1</v>
      </c>
      <c r="D22" s="2189" t="s">
        <v>1425</v>
      </c>
      <c r="E22" s="2197"/>
      <c r="F22" s="2174">
        <f>Tabulka13[[#This Row],[Jednotková cena v Kč(bez DPH)]]*Tabulka13[[#This Row],[Množství]]</f>
        <v>0</v>
      </c>
    </row>
    <row r="23" spans="1:6" ht="45">
      <c r="A23" s="2188" t="s">
        <v>1444</v>
      </c>
      <c r="B23" s="2177" t="s">
        <v>1427</v>
      </c>
      <c r="C23" s="2173">
        <v>1</v>
      </c>
      <c r="D23" s="2189" t="s">
        <v>1315</v>
      </c>
      <c r="E23" s="2197"/>
      <c r="F23" s="2174">
        <f>Tabulka13[[#This Row],[Jednotková cena v Kč(bez DPH)]]*Tabulka13[[#This Row],[Množství]]</f>
        <v>0</v>
      </c>
    </row>
    <row r="24" spans="1:6" ht="60">
      <c r="A24" s="2188" t="s">
        <v>1447</v>
      </c>
      <c r="B24" s="2177" t="s">
        <v>1448</v>
      </c>
      <c r="C24" s="2173">
        <v>1</v>
      </c>
      <c r="D24" s="2189" t="s">
        <v>1425</v>
      </c>
      <c r="E24" s="2197"/>
      <c r="F24" s="2174">
        <f>Tabulka13[[#This Row],[Jednotková cena v Kč(bez DPH)]]*Tabulka13[[#This Row],[Množství]]</f>
        <v>0</v>
      </c>
    </row>
    <row r="25" spans="1:6">
      <c r="A25" s="2188" t="s">
        <v>1449</v>
      </c>
      <c r="B25" s="2177" t="s">
        <v>1435</v>
      </c>
      <c r="C25" s="2173">
        <v>1</v>
      </c>
      <c r="D25" s="2189" t="s">
        <v>1425</v>
      </c>
      <c r="E25" s="2197"/>
      <c r="F25" s="2174">
        <f>Tabulka13[[#This Row],[Jednotková cena v Kč(bez DPH)]]*Tabulka13[[#This Row],[Množství]]</f>
        <v>0</v>
      </c>
    </row>
    <row r="26" spans="1:6">
      <c r="A26" s="2188" t="s">
        <v>1450</v>
      </c>
      <c r="B26" s="2177" t="s">
        <v>1437</v>
      </c>
      <c r="C26" s="2173">
        <v>1</v>
      </c>
      <c r="D26" s="2189" t="s">
        <v>1425</v>
      </c>
      <c r="E26" s="2197"/>
      <c r="F26" s="2174">
        <f>Tabulka13[[#This Row],[Jednotková cena v Kč(bez DPH)]]*Tabulka13[[#This Row],[Množství]]</f>
        <v>0</v>
      </c>
    </row>
    <row r="27" spans="1:6">
      <c r="A27" s="2178">
        <v>2</v>
      </c>
      <c r="B27" s="2179" t="s">
        <v>1451</v>
      </c>
      <c r="C27" s="2180"/>
      <c r="D27" s="2180"/>
      <c r="E27" s="2199"/>
      <c r="F27" s="2181">
        <f>F28+F32+F36+F38+F40+F42+F44+F46+F48+F50</f>
        <v>0</v>
      </c>
    </row>
    <row r="28" spans="1:6">
      <c r="A28" s="2190"/>
      <c r="B28" s="2191" t="s">
        <v>1422</v>
      </c>
      <c r="C28" s="2192"/>
      <c r="D28" s="2193"/>
      <c r="E28" s="2200"/>
      <c r="F28" s="2194">
        <f>F29+F30+F31</f>
        <v>0</v>
      </c>
    </row>
    <row r="29" spans="1:6" ht="30">
      <c r="A29" s="2188" t="s">
        <v>1452</v>
      </c>
      <c r="B29" s="2177" t="s">
        <v>1453</v>
      </c>
      <c r="C29" s="2173">
        <v>1</v>
      </c>
      <c r="D29" s="2189" t="s">
        <v>1315</v>
      </c>
      <c r="E29" s="2197"/>
      <c r="F29" s="2174">
        <f>Tabulka13[[#This Row],[Jednotková cena v Kč(bez DPH)]]*Tabulka13[[#This Row],[Množství]]</f>
        <v>0</v>
      </c>
    </row>
    <row r="30" spans="1:6">
      <c r="A30" s="2188" t="s">
        <v>1454</v>
      </c>
      <c r="B30" s="2177" t="s">
        <v>1455</v>
      </c>
      <c r="C30" s="2173">
        <v>1</v>
      </c>
      <c r="D30" s="2189" t="s">
        <v>1315</v>
      </c>
      <c r="E30" s="2197"/>
      <c r="F30" s="2174">
        <f>Tabulka13[[#This Row],[Jednotková cena v Kč(bez DPH)]]*Tabulka13[[#This Row],[Množství]]</f>
        <v>0</v>
      </c>
    </row>
    <row r="31" spans="1:6" ht="30">
      <c r="A31" s="2188" t="s">
        <v>1456</v>
      </c>
      <c r="B31" s="2177" t="s">
        <v>1457</v>
      </c>
      <c r="C31" s="2173">
        <v>1</v>
      </c>
      <c r="D31" s="2189" t="s">
        <v>1315</v>
      </c>
      <c r="E31" s="2197"/>
      <c r="F31" s="2174">
        <f>Tabulka13[[#This Row],[Jednotková cena v Kč(bez DPH)]]*Tabulka13[[#This Row],[Množství]]</f>
        <v>0</v>
      </c>
    </row>
    <row r="32" spans="1:6">
      <c r="A32" s="2190"/>
      <c r="B32" s="2191" t="s">
        <v>1446</v>
      </c>
      <c r="C32" s="2192"/>
      <c r="D32" s="2193"/>
      <c r="E32" s="2200"/>
      <c r="F32" s="2194">
        <f>F33+F34+F35</f>
        <v>0</v>
      </c>
    </row>
    <row r="33" spans="1:6" ht="30">
      <c r="A33" s="2188" t="s">
        <v>1458</v>
      </c>
      <c r="B33" s="2177" t="s">
        <v>1453</v>
      </c>
      <c r="C33" s="2173">
        <v>1</v>
      </c>
      <c r="D33" s="2189" t="s">
        <v>1315</v>
      </c>
      <c r="E33" s="2197"/>
      <c r="F33" s="2174">
        <f>Tabulka13[[#This Row],[Jednotková cena v Kč(bez DPH)]]*Tabulka13[[#This Row],[Množství]]</f>
        <v>0</v>
      </c>
    </row>
    <row r="34" spans="1:6">
      <c r="A34" s="2188" t="s">
        <v>1459</v>
      </c>
      <c r="B34" s="2177" t="s">
        <v>1455</v>
      </c>
      <c r="C34" s="2173">
        <v>1</v>
      </c>
      <c r="D34" s="2189" t="s">
        <v>1315</v>
      </c>
      <c r="E34" s="2197"/>
      <c r="F34" s="2174">
        <f>Tabulka13[[#This Row],[Jednotková cena v Kč(bez DPH)]]*Tabulka13[[#This Row],[Množství]]</f>
        <v>0</v>
      </c>
    </row>
    <row r="35" spans="1:6" ht="30">
      <c r="A35" s="2188" t="s">
        <v>1460</v>
      </c>
      <c r="B35" s="2177" t="s">
        <v>1457</v>
      </c>
      <c r="C35" s="2173">
        <v>1</v>
      </c>
      <c r="D35" s="2189" t="s">
        <v>1315</v>
      </c>
      <c r="E35" s="2197"/>
      <c r="F35" s="2174">
        <f>Tabulka13[[#This Row],[Jednotková cena v Kč(bez DPH)]]*Tabulka13[[#This Row],[Množství]]</f>
        <v>0</v>
      </c>
    </row>
    <row r="36" spans="1:6">
      <c r="A36" s="2190"/>
      <c r="B36" s="2191" t="s">
        <v>1461</v>
      </c>
      <c r="C36" s="2192"/>
      <c r="D36" s="2193"/>
      <c r="E36" s="2200"/>
      <c r="F36" s="2194">
        <f>F37</f>
        <v>0</v>
      </c>
    </row>
    <row r="37" spans="1:6" ht="30">
      <c r="A37" s="2188" t="s">
        <v>1462</v>
      </c>
      <c r="B37" s="2177" t="s">
        <v>1457</v>
      </c>
      <c r="C37" s="2173">
        <v>1</v>
      </c>
      <c r="D37" s="2189" t="s">
        <v>1315</v>
      </c>
      <c r="E37" s="2197"/>
      <c r="F37" s="2174">
        <f>Tabulka13[[#This Row],[Jednotková cena v Kč(bez DPH)]]*Tabulka13[[#This Row],[Množství]]</f>
        <v>0</v>
      </c>
    </row>
    <row r="38" spans="1:6">
      <c r="A38" s="2190"/>
      <c r="B38" s="2191" t="s">
        <v>1463</v>
      </c>
      <c r="C38" s="2192"/>
      <c r="D38" s="2193"/>
      <c r="E38" s="2200"/>
      <c r="F38" s="2194">
        <f>F39</f>
        <v>0</v>
      </c>
    </row>
    <row r="39" spans="1:6" ht="30">
      <c r="A39" s="2188" t="s">
        <v>1464</v>
      </c>
      <c r="B39" s="2177" t="s">
        <v>1457</v>
      </c>
      <c r="C39" s="2173">
        <v>1</v>
      </c>
      <c r="D39" s="2189" t="s">
        <v>1315</v>
      </c>
      <c r="E39" s="2197"/>
      <c r="F39" s="2174">
        <f>Tabulka13[[#This Row],[Jednotková cena v Kč(bez DPH)]]*Tabulka13[[#This Row],[Množství]]</f>
        <v>0</v>
      </c>
    </row>
    <row r="40" spans="1:6">
      <c r="A40" s="2190"/>
      <c r="B40" s="2191" t="s">
        <v>1465</v>
      </c>
      <c r="C40" s="2192"/>
      <c r="D40" s="2193"/>
      <c r="E40" s="2200"/>
      <c r="F40" s="2194">
        <f>F41</f>
        <v>0</v>
      </c>
    </row>
    <row r="41" spans="1:6" ht="30">
      <c r="A41" s="2188" t="s">
        <v>1466</v>
      </c>
      <c r="B41" s="2177" t="s">
        <v>1457</v>
      </c>
      <c r="C41" s="2173">
        <v>1</v>
      </c>
      <c r="D41" s="2189" t="s">
        <v>1315</v>
      </c>
      <c r="E41" s="2197"/>
      <c r="F41" s="2174">
        <f>Tabulka13[[#This Row],[Jednotková cena v Kč(bez DPH)]]*Tabulka13[[#This Row],[Množství]]</f>
        <v>0</v>
      </c>
    </row>
    <row r="42" spans="1:6">
      <c r="A42" s="2190"/>
      <c r="B42" s="2191" t="s">
        <v>1467</v>
      </c>
      <c r="C42" s="2192"/>
      <c r="D42" s="2193"/>
      <c r="E42" s="2200"/>
      <c r="F42" s="2194">
        <f>F43</f>
        <v>0</v>
      </c>
    </row>
    <row r="43" spans="1:6" ht="30">
      <c r="A43" s="2188" t="s">
        <v>1468</v>
      </c>
      <c r="B43" s="2177" t="s">
        <v>1457</v>
      </c>
      <c r="C43" s="2173">
        <v>1</v>
      </c>
      <c r="D43" s="2189" t="s">
        <v>1315</v>
      </c>
      <c r="E43" s="2197"/>
      <c r="F43" s="2174">
        <f>Tabulka13[[#This Row],[Jednotková cena v Kč(bez DPH)]]*Tabulka13[[#This Row],[Množství]]</f>
        <v>0</v>
      </c>
    </row>
    <row r="44" spans="1:6">
      <c r="A44" s="2190"/>
      <c r="B44" s="2191" t="s">
        <v>1469</v>
      </c>
      <c r="C44" s="2192"/>
      <c r="D44" s="2193"/>
      <c r="E44" s="2200"/>
      <c r="F44" s="2194">
        <f>F45</f>
        <v>0</v>
      </c>
    </row>
    <row r="45" spans="1:6" ht="30">
      <c r="A45" s="2188" t="s">
        <v>1470</v>
      </c>
      <c r="B45" s="2177" t="s">
        <v>1457</v>
      </c>
      <c r="C45" s="2173">
        <v>1</v>
      </c>
      <c r="D45" s="2189" t="s">
        <v>1315</v>
      </c>
      <c r="E45" s="2197"/>
      <c r="F45" s="2174">
        <f>Tabulka13[[#This Row],[Jednotková cena v Kč(bez DPH)]]*Tabulka13[[#This Row],[Množství]]</f>
        <v>0</v>
      </c>
    </row>
    <row r="46" spans="1:6">
      <c r="A46" s="2190"/>
      <c r="B46" s="2191" t="s">
        <v>1471</v>
      </c>
      <c r="C46" s="2192"/>
      <c r="D46" s="2193"/>
      <c r="E46" s="2200"/>
      <c r="F46" s="2194">
        <f>F47</f>
        <v>0</v>
      </c>
    </row>
    <row r="47" spans="1:6" ht="30">
      <c r="A47" s="2188" t="s">
        <v>1472</v>
      </c>
      <c r="B47" s="2177" t="s">
        <v>1457</v>
      </c>
      <c r="C47" s="2173">
        <v>1</v>
      </c>
      <c r="D47" s="2189" t="s">
        <v>1315</v>
      </c>
      <c r="E47" s="2197"/>
      <c r="F47" s="2174">
        <f>Tabulka13[[#This Row],[Jednotková cena v Kč(bez DPH)]]*Tabulka13[[#This Row],[Množství]]</f>
        <v>0</v>
      </c>
    </row>
    <row r="48" spans="1:6">
      <c r="A48" s="2190"/>
      <c r="B48" s="2191" t="s">
        <v>1473</v>
      </c>
      <c r="C48" s="2192"/>
      <c r="D48" s="2193"/>
      <c r="E48" s="2200"/>
      <c r="F48" s="2194">
        <f>F49</f>
        <v>0</v>
      </c>
    </row>
    <row r="49" spans="1:6" ht="30">
      <c r="A49" s="2188" t="s">
        <v>1474</v>
      </c>
      <c r="B49" s="2177" t="s">
        <v>1457</v>
      </c>
      <c r="C49" s="2173">
        <v>1</v>
      </c>
      <c r="D49" s="2189" t="s">
        <v>1315</v>
      </c>
      <c r="E49" s="2197"/>
      <c r="F49" s="2174">
        <f>Tabulka13[[#This Row],[Jednotková cena v Kč(bez DPH)]]*Tabulka13[[#This Row],[Množství]]</f>
        <v>0</v>
      </c>
    </row>
    <row r="50" spans="1:6">
      <c r="A50" s="2190"/>
      <c r="B50" s="2191" t="s">
        <v>1475</v>
      </c>
      <c r="C50" s="2192"/>
      <c r="D50" s="2193"/>
      <c r="E50" s="2200"/>
      <c r="F50" s="2194">
        <f>F51</f>
        <v>0</v>
      </c>
    </row>
    <row r="51" spans="1:6" ht="30">
      <c r="A51" s="2188" t="s">
        <v>1476</v>
      </c>
      <c r="B51" s="2177" t="s">
        <v>1457</v>
      </c>
      <c r="C51" s="2173">
        <v>1</v>
      </c>
      <c r="D51" s="2189" t="s">
        <v>1315</v>
      </c>
      <c r="E51" s="2197"/>
      <c r="F51" s="2174">
        <f>Tabulka13[[#This Row],[Jednotková cena v Kč(bez DPH)]]*Tabulka13[[#This Row],[Množství]]</f>
        <v>0</v>
      </c>
    </row>
    <row r="52" spans="1:6">
      <c r="A52" s="2178">
        <v>3</v>
      </c>
      <c r="B52" s="2179" t="s">
        <v>1477</v>
      </c>
      <c r="C52" s="2180"/>
      <c r="D52" s="2180"/>
      <c r="E52" s="2199"/>
      <c r="F52" s="2181">
        <f>SUBTOTAL(109,F53:F70)</f>
        <v>0</v>
      </c>
    </row>
    <row r="53" spans="1:6">
      <c r="A53" s="2188" t="s">
        <v>1478</v>
      </c>
      <c r="B53" s="2177" t="s">
        <v>1479</v>
      </c>
      <c r="C53" s="2173">
        <v>3</v>
      </c>
      <c r="D53" s="2189" t="s">
        <v>1425</v>
      </c>
      <c r="E53" s="2197"/>
      <c r="F53" s="2174">
        <f>Tabulka13[[#This Row],[Jednotková cena v Kč(bez DPH)]]*Tabulka13[[#This Row],[Množství]]</f>
        <v>0</v>
      </c>
    </row>
    <row r="54" spans="1:6">
      <c r="A54" s="2188" t="s">
        <v>1480</v>
      </c>
      <c r="B54" s="2177" t="s">
        <v>1481</v>
      </c>
      <c r="C54" s="2173">
        <v>2</v>
      </c>
      <c r="D54" s="2189" t="s">
        <v>1425</v>
      </c>
      <c r="E54" s="2197"/>
      <c r="F54" s="2174">
        <f>Tabulka13[[#This Row],[Jednotková cena v Kč(bez DPH)]]*Tabulka13[[#This Row],[Množství]]</f>
        <v>0</v>
      </c>
    </row>
    <row r="55" spans="1:6">
      <c r="A55" s="2188" t="s">
        <v>1482</v>
      </c>
      <c r="B55" s="2177" t="s">
        <v>1483</v>
      </c>
      <c r="C55" s="2173">
        <v>1</v>
      </c>
      <c r="D55" s="2189" t="s">
        <v>1425</v>
      </c>
      <c r="E55" s="2197"/>
      <c r="F55" s="2174">
        <f>Tabulka13[[#This Row],[Jednotková cena v Kč(bez DPH)]]*Tabulka13[[#This Row],[Množství]]</f>
        <v>0</v>
      </c>
    </row>
    <row r="56" spans="1:6">
      <c r="A56" s="2188" t="s">
        <v>1484</v>
      </c>
      <c r="B56" s="2177" t="s">
        <v>1485</v>
      </c>
      <c r="C56" s="2173">
        <v>1</v>
      </c>
      <c r="D56" s="2189" t="s">
        <v>1425</v>
      </c>
      <c r="E56" s="2197"/>
      <c r="F56" s="2174">
        <f>Tabulka13[[#This Row],[Jednotková cena v Kč(bez DPH)]]*Tabulka13[[#This Row],[Množství]]</f>
        <v>0</v>
      </c>
    </row>
    <row r="57" spans="1:6">
      <c r="A57" s="2188" t="s">
        <v>1486</v>
      </c>
      <c r="B57" s="2177" t="s">
        <v>1487</v>
      </c>
      <c r="C57" s="2173">
        <v>2</v>
      </c>
      <c r="D57" s="2189" t="s">
        <v>1425</v>
      </c>
      <c r="E57" s="2197"/>
      <c r="F57" s="2174">
        <f>Tabulka13[[#This Row],[Jednotková cena v Kč(bez DPH)]]*Tabulka13[[#This Row],[Množství]]</f>
        <v>0</v>
      </c>
    </row>
    <row r="58" spans="1:6">
      <c r="A58" s="2188" t="s">
        <v>1488</v>
      </c>
      <c r="B58" s="2177" t="s">
        <v>1489</v>
      </c>
      <c r="C58" s="2173">
        <v>2</v>
      </c>
      <c r="D58" s="2189" t="s">
        <v>1425</v>
      </c>
      <c r="E58" s="2197"/>
      <c r="F58" s="2174">
        <f>Tabulka13[[#This Row],[Jednotková cena v Kč(bez DPH)]]*Tabulka13[[#This Row],[Množství]]</f>
        <v>0</v>
      </c>
    </row>
    <row r="59" spans="1:6">
      <c r="A59" s="2188" t="s">
        <v>1490</v>
      </c>
      <c r="B59" s="2177" t="s">
        <v>1491</v>
      </c>
      <c r="C59" s="2173">
        <v>9</v>
      </c>
      <c r="D59" s="2189" t="s">
        <v>1425</v>
      </c>
      <c r="E59" s="2197"/>
      <c r="F59" s="2174">
        <f>Tabulka13[[#This Row],[Jednotková cena v Kč(bez DPH)]]*Tabulka13[[#This Row],[Množství]]</f>
        <v>0</v>
      </c>
    </row>
    <row r="60" spans="1:6">
      <c r="A60" s="2188" t="s">
        <v>1492</v>
      </c>
      <c r="B60" s="2177" t="s">
        <v>1493</v>
      </c>
      <c r="C60" s="2173">
        <v>5</v>
      </c>
      <c r="D60" s="2189" t="s">
        <v>1425</v>
      </c>
      <c r="E60" s="2197"/>
      <c r="F60" s="2174">
        <f>Tabulka13[[#This Row],[Jednotková cena v Kč(bez DPH)]]*Tabulka13[[#This Row],[Množství]]</f>
        <v>0</v>
      </c>
    </row>
    <row r="61" spans="1:6">
      <c r="A61" s="2188" t="s">
        <v>1494</v>
      </c>
      <c r="B61" s="2177" t="s">
        <v>1495</v>
      </c>
      <c r="C61" s="2173">
        <v>2</v>
      </c>
      <c r="D61" s="2189" t="s">
        <v>1425</v>
      </c>
      <c r="E61" s="2197"/>
      <c r="F61" s="2174">
        <f>Tabulka13[[#This Row],[Jednotková cena v Kč(bez DPH)]]*Tabulka13[[#This Row],[Množství]]</f>
        <v>0</v>
      </c>
    </row>
    <row r="62" spans="1:6">
      <c r="A62" s="2188" t="s">
        <v>1496</v>
      </c>
      <c r="B62" s="2177" t="s">
        <v>1497</v>
      </c>
      <c r="C62" s="2173">
        <v>7</v>
      </c>
      <c r="D62" s="2189" t="s">
        <v>1425</v>
      </c>
      <c r="E62" s="2197"/>
      <c r="F62" s="2174">
        <f>Tabulka13[[#This Row],[Jednotková cena v Kč(bez DPH)]]*Tabulka13[[#This Row],[Množství]]</f>
        <v>0</v>
      </c>
    </row>
    <row r="63" spans="1:6">
      <c r="A63" s="2188" t="s">
        <v>1498</v>
      </c>
      <c r="B63" s="2177" t="s">
        <v>1499</v>
      </c>
      <c r="C63" s="2173">
        <v>2</v>
      </c>
      <c r="D63" s="2189" t="s">
        <v>1425</v>
      </c>
      <c r="E63" s="2197"/>
      <c r="F63" s="2174">
        <f>Tabulka13[[#This Row],[Jednotková cena v Kč(bez DPH)]]*Tabulka13[[#This Row],[Množství]]</f>
        <v>0</v>
      </c>
    </row>
    <row r="64" spans="1:6">
      <c r="A64" s="2188" t="s">
        <v>1500</v>
      </c>
      <c r="B64" s="2177" t="s">
        <v>1501</v>
      </c>
      <c r="C64" s="2173">
        <v>4</v>
      </c>
      <c r="D64" s="2189" t="s">
        <v>1425</v>
      </c>
      <c r="E64" s="2197"/>
      <c r="F64" s="2174">
        <f>Tabulka13[[#This Row],[Jednotková cena v Kč(bez DPH)]]*Tabulka13[[#This Row],[Množství]]</f>
        <v>0</v>
      </c>
    </row>
    <row r="65" spans="1:6">
      <c r="A65" s="2188" t="s">
        <v>1502</v>
      </c>
      <c r="B65" s="2177" t="s">
        <v>1503</v>
      </c>
      <c r="C65" s="2173">
        <v>1</v>
      </c>
      <c r="D65" s="2189" t="s">
        <v>1425</v>
      </c>
      <c r="E65" s="2197"/>
      <c r="F65" s="2174">
        <f>Tabulka13[[#This Row],[Jednotková cena v Kč(bez DPH)]]*Tabulka13[[#This Row],[Množství]]</f>
        <v>0</v>
      </c>
    </row>
    <row r="66" spans="1:6">
      <c r="A66" s="2188" t="s">
        <v>1504</v>
      </c>
      <c r="B66" s="2177" t="s">
        <v>1505</v>
      </c>
      <c r="C66" s="2173">
        <v>4</v>
      </c>
      <c r="D66" s="2189" t="s">
        <v>1425</v>
      </c>
      <c r="E66" s="2197"/>
      <c r="F66" s="2174">
        <f>Tabulka13[[#This Row],[Jednotková cena v Kč(bez DPH)]]*Tabulka13[[#This Row],[Množství]]</f>
        <v>0</v>
      </c>
    </row>
    <row r="67" spans="1:6" ht="30">
      <c r="A67" s="2188" t="s">
        <v>1506</v>
      </c>
      <c r="B67" s="2177" t="s">
        <v>1507</v>
      </c>
      <c r="C67" s="2173">
        <v>1</v>
      </c>
      <c r="D67" s="2189" t="s">
        <v>1425</v>
      </c>
      <c r="E67" s="2197"/>
      <c r="F67" s="2174">
        <f>Tabulka13[[#This Row],[Jednotková cena v Kč(bez DPH)]]*Tabulka13[[#This Row],[Množství]]</f>
        <v>0</v>
      </c>
    </row>
    <row r="68" spans="1:6" ht="30">
      <c r="A68" s="2188" t="s">
        <v>1508</v>
      </c>
      <c r="B68" s="2177" t="s">
        <v>1509</v>
      </c>
      <c r="C68" s="2173">
        <v>1</v>
      </c>
      <c r="D68" s="2189" t="s">
        <v>1425</v>
      </c>
      <c r="E68" s="2197"/>
      <c r="F68" s="2174">
        <f>Tabulka13[[#This Row],[Jednotková cena v Kč(bez DPH)]]*Tabulka13[[#This Row],[Množství]]</f>
        <v>0</v>
      </c>
    </row>
    <row r="69" spans="1:6">
      <c r="A69" s="2188" t="s">
        <v>1510</v>
      </c>
      <c r="B69" s="2177" t="s">
        <v>1511</v>
      </c>
      <c r="C69" s="2173">
        <v>1</v>
      </c>
      <c r="D69" s="2189" t="s">
        <v>1425</v>
      </c>
      <c r="E69" s="2197"/>
      <c r="F69" s="2174">
        <f>Tabulka13[[#This Row],[Jednotková cena v Kč(bez DPH)]]*Tabulka13[[#This Row],[Množství]]</f>
        <v>0</v>
      </c>
    </row>
    <row r="70" spans="1:6">
      <c r="A70" s="2188" t="s">
        <v>1512</v>
      </c>
      <c r="B70" s="2177" t="s">
        <v>1513</v>
      </c>
      <c r="C70" s="2173">
        <v>1</v>
      </c>
      <c r="D70" s="2189" t="s">
        <v>1425</v>
      </c>
      <c r="E70" s="2197"/>
      <c r="F70" s="2174">
        <f>Tabulka13[[#This Row],[Jednotková cena v Kč(bez DPH)]]*Tabulka13[[#This Row],[Množství]]</f>
        <v>0</v>
      </c>
    </row>
    <row r="71" spans="1:6">
      <c r="A71" s="2178">
        <v>4</v>
      </c>
      <c r="B71" s="2179" t="s">
        <v>1514</v>
      </c>
      <c r="C71" s="2180"/>
      <c r="D71" s="2180"/>
      <c r="E71" s="2199"/>
      <c r="F71" s="2181">
        <f>SUBTOTAL(109,F72:F98)</f>
        <v>0</v>
      </c>
    </row>
    <row r="72" spans="1:6" ht="45">
      <c r="A72" s="2188" t="s">
        <v>1515</v>
      </c>
      <c r="B72" s="2177" t="s">
        <v>1516</v>
      </c>
      <c r="C72" s="2173">
        <f>C53+C54+C55+C56</f>
        <v>7</v>
      </c>
      <c r="D72" s="2189" t="s">
        <v>1315</v>
      </c>
      <c r="E72" s="2197"/>
      <c r="F72" s="2174">
        <f>Tabulka13[[#This Row],[Jednotková cena v Kč(bez DPH)]]*Tabulka13[[#This Row],[Množství]]</f>
        <v>0</v>
      </c>
    </row>
    <row r="73" spans="1:6" ht="30">
      <c r="A73" s="2188" t="s">
        <v>1517</v>
      </c>
      <c r="B73" s="2177" t="s">
        <v>1518</v>
      </c>
      <c r="C73" s="2173">
        <v>2</v>
      </c>
      <c r="D73" s="2189" t="s">
        <v>1315</v>
      </c>
      <c r="E73" s="2197"/>
      <c r="F73" s="2174">
        <f>Tabulka13[[#This Row],[Jednotková cena v Kč(bez DPH)]]*Tabulka13[[#This Row],[Množství]]</f>
        <v>0</v>
      </c>
    </row>
    <row r="74" spans="1:6">
      <c r="A74" s="2188" t="s">
        <v>1519</v>
      </c>
      <c r="B74" s="2177" t="s">
        <v>1520</v>
      </c>
      <c r="C74" s="2173">
        <f>C59</f>
        <v>9</v>
      </c>
      <c r="D74" s="2189" t="s">
        <v>1315</v>
      </c>
      <c r="E74" s="2197"/>
      <c r="F74" s="2174">
        <f>Tabulka13[[#This Row],[Jednotková cena v Kč(bez DPH)]]*Tabulka13[[#This Row],[Množství]]</f>
        <v>0</v>
      </c>
    </row>
    <row r="75" spans="1:6" ht="30">
      <c r="A75" s="2188" t="s">
        <v>1521</v>
      </c>
      <c r="B75" s="2177" t="s">
        <v>1522</v>
      </c>
      <c r="C75" s="2173">
        <f>C60</f>
        <v>5</v>
      </c>
      <c r="D75" s="2189" t="s">
        <v>1315</v>
      </c>
      <c r="E75" s="2197"/>
      <c r="F75" s="2174">
        <f>Tabulka13[[#This Row],[Jednotková cena v Kč(bez DPH)]]*Tabulka13[[#This Row],[Množství]]</f>
        <v>0</v>
      </c>
    </row>
    <row r="76" spans="1:6" ht="60">
      <c r="A76" s="2188" t="s">
        <v>1523</v>
      </c>
      <c r="B76" s="2177" t="s">
        <v>1524</v>
      </c>
      <c r="C76" s="2173">
        <v>2</v>
      </c>
      <c r="D76" s="2189" t="s">
        <v>1315</v>
      </c>
      <c r="E76" s="2197"/>
      <c r="F76" s="2174">
        <f>Tabulka13[[#This Row],[Jednotková cena v Kč(bez DPH)]]*Tabulka13[[#This Row],[Množství]]</f>
        <v>0</v>
      </c>
    </row>
    <row r="77" spans="1:6" ht="45">
      <c r="A77" s="2188" t="s">
        <v>1525</v>
      </c>
      <c r="B77" s="2177" t="s">
        <v>1526</v>
      </c>
      <c r="C77" s="2173">
        <v>7</v>
      </c>
      <c r="D77" s="2189" t="s">
        <v>1315</v>
      </c>
      <c r="E77" s="2197"/>
      <c r="F77" s="2174">
        <f>Tabulka13[[#This Row],[Jednotková cena v Kč(bez DPH)]]*Tabulka13[[#This Row],[Množství]]</f>
        <v>0</v>
      </c>
    </row>
    <row r="78" spans="1:6" ht="30">
      <c r="A78" s="2188" t="s">
        <v>1527</v>
      </c>
      <c r="B78" s="2177" t="s">
        <v>1528</v>
      </c>
      <c r="C78" s="2173">
        <v>2</v>
      </c>
      <c r="D78" s="2189" t="s">
        <v>1315</v>
      </c>
      <c r="E78" s="2197"/>
      <c r="F78" s="2174">
        <f>Tabulka13[[#This Row],[Jednotková cena v Kč(bez DPH)]]*Tabulka13[[#This Row],[Množství]]</f>
        <v>0</v>
      </c>
    </row>
    <row r="79" spans="1:6" ht="30">
      <c r="A79" s="2188" t="s">
        <v>1529</v>
      </c>
      <c r="B79" s="2177" t="s">
        <v>1530</v>
      </c>
      <c r="C79" s="2173">
        <v>9</v>
      </c>
      <c r="D79" s="2189" t="s">
        <v>1315</v>
      </c>
      <c r="E79" s="2197"/>
      <c r="F79" s="2174">
        <f>Tabulka13[[#This Row],[Jednotková cena v Kč(bez DPH)]]*Tabulka13[[#This Row],[Množství]]</f>
        <v>0</v>
      </c>
    </row>
    <row r="80" spans="1:6" ht="30">
      <c r="A80" s="2188" t="s">
        <v>1531</v>
      </c>
      <c r="B80" s="2177" t="s">
        <v>1532</v>
      </c>
      <c r="C80" s="2173">
        <v>2</v>
      </c>
      <c r="D80" s="2189" t="s">
        <v>1315</v>
      </c>
      <c r="E80" s="2197"/>
      <c r="F80" s="2174">
        <f>Tabulka13[[#This Row],[Jednotková cena v Kč(bez DPH)]]*Tabulka13[[#This Row],[Množství]]</f>
        <v>0</v>
      </c>
    </row>
    <row r="81" spans="1:6">
      <c r="A81" s="2188" t="s">
        <v>1533</v>
      </c>
      <c r="B81" s="2177" t="s">
        <v>1534</v>
      </c>
      <c r="C81" s="2173">
        <v>1</v>
      </c>
      <c r="D81" s="2189" t="s">
        <v>1315</v>
      </c>
      <c r="E81" s="2197"/>
      <c r="F81" s="2174">
        <f>Tabulka13[[#This Row],[Jednotková cena v Kč(bez DPH)]]*Tabulka13[[#This Row],[Množství]]</f>
        <v>0</v>
      </c>
    </row>
    <row r="82" spans="1:6">
      <c r="A82" s="2188" t="s">
        <v>1535</v>
      </c>
      <c r="B82" s="2177" t="s">
        <v>1536</v>
      </c>
      <c r="C82" s="2173">
        <v>1</v>
      </c>
      <c r="D82" s="2189" t="s">
        <v>1315</v>
      </c>
      <c r="E82" s="2197"/>
      <c r="F82" s="2174">
        <f>Tabulka13[[#This Row],[Jednotková cena v Kč(bez DPH)]]*Tabulka13[[#This Row],[Množství]]</f>
        <v>0</v>
      </c>
    </row>
    <row r="83" spans="1:6">
      <c r="A83" s="2188" t="s">
        <v>1537</v>
      </c>
      <c r="B83" s="2177" t="s">
        <v>1538</v>
      </c>
      <c r="C83" s="2173">
        <v>8</v>
      </c>
      <c r="D83" s="2189" t="s">
        <v>1315</v>
      </c>
      <c r="E83" s="2197"/>
      <c r="F83" s="2174">
        <f>Tabulka13[[#This Row],[Jednotková cena v Kč(bez DPH)]]*Tabulka13[[#This Row],[Množství]]</f>
        <v>0</v>
      </c>
    </row>
    <row r="84" spans="1:6">
      <c r="A84" s="2188" t="s">
        <v>1539</v>
      </c>
      <c r="B84" s="2177" t="s">
        <v>1540</v>
      </c>
      <c r="C84" s="2173">
        <v>1</v>
      </c>
      <c r="D84" s="2189" t="s">
        <v>1315</v>
      </c>
      <c r="E84" s="2197"/>
      <c r="F84" s="2174">
        <f>Tabulka13[[#This Row],[Jednotková cena v Kč(bez DPH)]]*Tabulka13[[#This Row],[Množství]]</f>
        <v>0</v>
      </c>
    </row>
    <row r="85" spans="1:6">
      <c r="A85" s="2188" t="s">
        <v>1541</v>
      </c>
      <c r="B85" s="2177" t="s">
        <v>1542</v>
      </c>
      <c r="C85" s="2173">
        <v>2</v>
      </c>
      <c r="D85" s="2189" t="s">
        <v>1315</v>
      </c>
      <c r="E85" s="2197"/>
      <c r="F85" s="2174">
        <f>Tabulka13[[#This Row],[Jednotková cena v Kč(bez DPH)]]*Tabulka13[[#This Row],[Množství]]</f>
        <v>0</v>
      </c>
    </row>
    <row r="86" spans="1:6">
      <c r="A86" s="2188" t="s">
        <v>1543</v>
      </c>
      <c r="B86" s="2177" t="s">
        <v>1544</v>
      </c>
      <c r="C86" s="2173">
        <v>1</v>
      </c>
      <c r="D86" s="2189" t="s">
        <v>1315</v>
      </c>
      <c r="E86" s="2197"/>
      <c r="F86" s="2174">
        <f>Tabulka13[[#This Row],[Jednotková cena v Kč(bez DPH)]]*Tabulka13[[#This Row],[Množství]]</f>
        <v>0</v>
      </c>
    </row>
    <row r="87" spans="1:6">
      <c r="A87" s="2188" t="s">
        <v>1545</v>
      </c>
      <c r="B87" s="2177" t="s">
        <v>1546</v>
      </c>
      <c r="C87" s="2173">
        <v>1</v>
      </c>
      <c r="D87" s="2189" t="s">
        <v>1315</v>
      </c>
      <c r="E87" s="2197"/>
      <c r="F87" s="2174">
        <f>Tabulka13[[#This Row],[Jednotková cena v Kč(bez DPH)]]*Tabulka13[[#This Row],[Množství]]</f>
        <v>0</v>
      </c>
    </row>
    <row r="88" spans="1:6">
      <c r="A88" s="2188" t="s">
        <v>1547</v>
      </c>
      <c r="B88" s="2177" t="s">
        <v>1548</v>
      </c>
      <c r="C88" s="2173">
        <v>6</v>
      </c>
      <c r="D88" s="2189" t="s">
        <v>1315</v>
      </c>
      <c r="E88" s="2197"/>
      <c r="F88" s="2174">
        <f>Tabulka13[[#This Row],[Jednotková cena v Kč(bez DPH)]]*Tabulka13[[#This Row],[Množství]]</f>
        <v>0</v>
      </c>
    </row>
    <row r="89" spans="1:6" ht="45">
      <c r="A89" s="2188" t="s">
        <v>1549</v>
      </c>
      <c r="B89" s="2177" t="s">
        <v>1550</v>
      </c>
      <c r="C89" s="2173">
        <v>8</v>
      </c>
      <c r="D89" s="2189" t="s">
        <v>1315</v>
      </c>
      <c r="E89" s="2197"/>
      <c r="F89" s="2174">
        <f>Tabulka13[[#This Row],[Jednotková cena v Kč(bez DPH)]]*Tabulka13[[#This Row],[Množství]]</f>
        <v>0</v>
      </c>
    </row>
    <row r="90" spans="1:6" ht="33">
      <c r="A90" s="2188" t="s">
        <v>1551</v>
      </c>
      <c r="B90" s="2177" t="s">
        <v>1552</v>
      </c>
      <c r="C90" s="2173">
        <v>8</v>
      </c>
      <c r="D90" s="2189" t="s">
        <v>1315</v>
      </c>
      <c r="E90" s="2197"/>
      <c r="F90" s="2174">
        <f>Tabulka13[[#This Row],[Jednotková cena v Kč(bez DPH)]]*Tabulka13[[#This Row],[Množství]]</f>
        <v>0</v>
      </c>
    </row>
    <row r="91" spans="1:6" ht="60">
      <c r="A91" s="2188" t="s">
        <v>1553</v>
      </c>
      <c r="B91" s="2177" t="s">
        <v>1554</v>
      </c>
      <c r="C91" s="2173">
        <v>2</v>
      </c>
      <c r="D91" s="2189" t="s">
        <v>1315</v>
      </c>
      <c r="E91" s="2197"/>
      <c r="F91" s="2174">
        <f>Tabulka13[[#This Row],[Jednotková cena v Kč(bez DPH)]]*Tabulka13[[#This Row],[Množství]]</f>
        <v>0</v>
      </c>
    </row>
    <row r="92" spans="1:6" ht="60">
      <c r="A92" s="2188" t="s">
        <v>1555</v>
      </c>
      <c r="B92" s="2177" t="s">
        <v>1556</v>
      </c>
      <c r="C92" s="2173">
        <v>3</v>
      </c>
      <c r="D92" s="2189" t="s">
        <v>1315</v>
      </c>
      <c r="E92" s="2197"/>
      <c r="F92" s="2174">
        <f>Tabulka13[[#This Row],[Jednotková cena v Kč(bez DPH)]]*Tabulka13[[#This Row],[Množství]]</f>
        <v>0</v>
      </c>
    </row>
    <row r="93" spans="1:6" ht="30">
      <c r="A93" s="2188" t="s">
        <v>1557</v>
      </c>
      <c r="B93" s="2177" t="s">
        <v>1558</v>
      </c>
      <c r="C93" s="2173">
        <v>1</v>
      </c>
      <c r="D93" s="2189" t="s">
        <v>1315</v>
      </c>
      <c r="E93" s="2197"/>
      <c r="F93" s="2174">
        <f>Tabulka13[[#This Row],[Jednotková cena v Kč(bez DPH)]]*Tabulka13[[#This Row],[Množství]]</f>
        <v>0</v>
      </c>
    </row>
    <row r="94" spans="1:6" ht="75">
      <c r="A94" s="2188" t="s">
        <v>1559</v>
      </c>
      <c r="B94" s="2177" t="s">
        <v>1560</v>
      </c>
      <c r="C94" s="2173">
        <v>2</v>
      </c>
      <c r="D94" s="2189" t="s">
        <v>1315</v>
      </c>
      <c r="E94" s="2197"/>
      <c r="F94" s="2174">
        <f>Tabulka13[[#This Row],[Jednotková cena v Kč(bez DPH)]]*Tabulka13[[#This Row],[Množství]]</f>
        <v>0</v>
      </c>
    </row>
    <row r="95" spans="1:6" ht="30">
      <c r="A95" s="2188" t="s">
        <v>1561</v>
      </c>
      <c r="B95" s="2177" t="s">
        <v>1562</v>
      </c>
      <c r="C95" s="2173">
        <v>1</v>
      </c>
      <c r="D95" s="2189" t="s">
        <v>1315</v>
      </c>
      <c r="E95" s="2197"/>
      <c r="F95" s="2174">
        <f>Tabulka13[[#This Row],[Jednotková cena v Kč(bez DPH)]]*Tabulka13[[#This Row],[Množství]]</f>
        <v>0</v>
      </c>
    </row>
    <row r="96" spans="1:6" ht="30">
      <c r="A96" s="2188" t="s">
        <v>1563</v>
      </c>
      <c r="B96" s="2177" t="s">
        <v>1564</v>
      </c>
      <c r="C96" s="2173">
        <v>1</v>
      </c>
      <c r="D96" s="2189" t="s">
        <v>1315</v>
      </c>
      <c r="E96" s="2197"/>
      <c r="F96" s="2174">
        <f>Tabulka13[[#This Row],[Jednotková cena v Kč(bez DPH)]]*Tabulka13[[#This Row],[Množství]]</f>
        <v>0</v>
      </c>
    </row>
    <row r="97" spans="1:6" ht="30">
      <c r="A97" s="2188" t="s">
        <v>1565</v>
      </c>
      <c r="B97" s="2177" t="s">
        <v>1566</v>
      </c>
      <c r="C97" s="2173">
        <v>5</v>
      </c>
      <c r="D97" s="2189" t="s">
        <v>1315</v>
      </c>
      <c r="E97" s="2197"/>
      <c r="F97" s="2174">
        <f>Tabulka13[[#This Row],[Jednotková cena v Kč(bez DPH)]]*Tabulka13[[#This Row],[Množství]]</f>
        <v>0</v>
      </c>
    </row>
    <row r="98" spans="1:6">
      <c r="A98" s="2188" t="s">
        <v>1567</v>
      </c>
      <c r="B98" s="2177" t="s">
        <v>1568</v>
      </c>
      <c r="C98" s="2173">
        <v>5</v>
      </c>
      <c r="D98" s="2189" t="s">
        <v>1315</v>
      </c>
      <c r="E98" s="2197"/>
      <c r="F98" s="2174">
        <f>Tabulka13[[#This Row],[Jednotková cena v Kč(bez DPH)]]*Tabulka13[[#This Row],[Množství]]</f>
        <v>0</v>
      </c>
    </row>
    <row r="99" spans="1:6">
      <c r="A99" s="2178">
        <v>5</v>
      </c>
      <c r="B99" s="2179" t="s">
        <v>1569</v>
      </c>
      <c r="C99" s="2180"/>
      <c r="D99" s="2180"/>
      <c r="E99" s="2199"/>
      <c r="F99" s="2181">
        <f>SUBTOTAL(109,F100:F113)</f>
        <v>0</v>
      </c>
    </row>
    <row r="100" spans="1:6">
      <c r="A100" s="2188" t="s">
        <v>1570</v>
      </c>
      <c r="B100" s="2195" t="s">
        <v>1571</v>
      </c>
      <c r="C100" s="2173">
        <f>'[17]Kabelová listina'!$C$160</f>
        <v>146</v>
      </c>
      <c r="D100" s="2189" t="s">
        <v>141</v>
      </c>
      <c r="E100" s="2197"/>
      <c r="F100" s="2174">
        <f>Tabulka13[[#This Row],[Jednotková cena v Kč(bez DPH)]]*Tabulka13[[#This Row],[Množství]]</f>
        <v>0</v>
      </c>
    </row>
    <row r="101" spans="1:6">
      <c r="A101" s="2188" t="s">
        <v>1572</v>
      </c>
      <c r="B101" s="2195" t="s">
        <v>1573</v>
      </c>
      <c r="C101" s="2173">
        <f>'[17]Kabelová listina'!$C$161</f>
        <v>62</v>
      </c>
      <c r="D101" s="2189" t="s">
        <v>141</v>
      </c>
      <c r="E101" s="2197"/>
      <c r="F101" s="2174">
        <f>Tabulka13[[#This Row],[Jednotková cena v Kč(bez DPH)]]*Tabulka13[[#This Row],[Množství]]</f>
        <v>0</v>
      </c>
    </row>
    <row r="102" spans="1:6">
      <c r="A102" s="2188" t="s">
        <v>1574</v>
      </c>
      <c r="B102" s="2195" t="s">
        <v>1575</v>
      </c>
      <c r="C102" s="2173">
        <f>'[17]Kabelová listina'!$C$162</f>
        <v>13</v>
      </c>
      <c r="D102" s="2189" t="s">
        <v>141</v>
      </c>
      <c r="E102" s="2197"/>
      <c r="F102" s="2174">
        <f>Tabulka13[[#This Row],[Jednotková cena v Kč(bez DPH)]]*Tabulka13[[#This Row],[Množství]]</f>
        <v>0</v>
      </c>
    </row>
    <row r="103" spans="1:6">
      <c r="A103" s="2188" t="s">
        <v>1576</v>
      </c>
      <c r="B103" s="2195" t="s">
        <v>1577</v>
      </c>
      <c r="C103" s="2173">
        <f>'[17]Kabelová listina'!$C$163</f>
        <v>60</v>
      </c>
      <c r="D103" s="2189" t="s">
        <v>141</v>
      </c>
      <c r="E103" s="2197"/>
      <c r="F103" s="2174">
        <f>Tabulka13[[#This Row],[Jednotková cena v Kč(bez DPH)]]*Tabulka13[[#This Row],[Množství]]</f>
        <v>0</v>
      </c>
    </row>
    <row r="104" spans="1:6">
      <c r="A104" s="2188" t="s">
        <v>1578</v>
      </c>
      <c r="B104" s="2172" t="s">
        <v>1579</v>
      </c>
      <c r="C104" s="2173">
        <f>'[17]Kabelová listina'!$C$164</f>
        <v>374</v>
      </c>
      <c r="D104" s="2189" t="s">
        <v>141</v>
      </c>
      <c r="E104" s="2197"/>
      <c r="F104" s="2174">
        <f>Tabulka13[[#This Row],[Jednotková cena v Kč(bez DPH)]]*Tabulka13[[#This Row],[Množství]]</f>
        <v>0</v>
      </c>
    </row>
    <row r="105" spans="1:6">
      <c r="A105" s="2188" t="s">
        <v>1580</v>
      </c>
      <c r="B105" s="2172" t="s">
        <v>1581</v>
      </c>
      <c r="C105" s="2173">
        <f>'[17]Kabelová listina'!$C$165</f>
        <v>686</v>
      </c>
      <c r="D105" s="2189" t="s">
        <v>141</v>
      </c>
      <c r="E105" s="2197"/>
      <c r="F105" s="2174">
        <f>Tabulka13[[#This Row],[Jednotková cena v Kč(bez DPH)]]*Tabulka13[[#This Row],[Množství]]</f>
        <v>0</v>
      </c>
    </row>
    <row r="106" spans="1:6">
      <c r="A106" s="2188" t="s">
        <v>1582</v>
      </c>
      <c r="B106" s="2172" t="s">
        <v>1583</v>
      </c>
      <c r="C106" s="2173">
        <f>'[17]Kabelová listina'!$C$166</f>
        <v>66</v>
      </c>
      <c r="D106" s="2189" t="s">
        <v>141</v>
      </c>
      <c r="E106" s="2197"/>
      <c r="F106" s="2174">
        <f>Tabulka13[[#This Row],[Jednotková cena v Kč(bez DPH)]]*Tabulka13[[#This Row],[Množství]]</f>
        <v>0</v>
      </c>
    </row>
    <row r="107" spans="1:6">
      <c r="A107" s="2188" t="s">
        <v>1584</v>
      </c>
      <c r="B107" s="2177" t="s">
        <v>1585</v>
      </c>
      <c r="C107" s="2173">
        <v>15</v>
      </c>
      <c r="D107" s="2189" t="s">
        <v>1425</v>
      </c>
      <c r="E107" s="2197"/>
      <c r="F107" s="2174">
        <f>Tabulka13[[#This Row],[Jednotková cena v Kč(bez DPH)]]*Tabulka13[[#This Row],[Množství]]</f>
        <v>0</v>
      </c>
    </row>
    <row r="108" spans="1:6" ht="30">
      <c r="A108" s="2188" t="s">
        <v>1586</v>
      </c>
      <c r="B108" s="2177" t="s">
        <v>1587</v>
      </c>
      <c r="C108" s="2173">
        <v>4</v>
      </c>
      <c r="D108" s="2189" t="s">
        <v>1425</v>
      </c>
      <c r="E108" s="2197"/>
      <c r="F108" s="2174">
        <f>Tabulka13[[#This Row],[Jednotková cena v Kč(bez DPH)]]*Tabulka13[[#This Row],[Množství]]</f>
        <v>0</v>
      </c>
    </row>
    <row r="109" spans="1:6" ht="30">
      <c r="A109" s="2188" t="s">
        <v>1588</v>
      </c>
      <c r="B109" s="2177" t="s">
        <v>1589</v>
      </c>
      <c r="C109" s="2173">
        <v>20</v>
      </c>
      <c r="D109" s="2189" t="s">
        <v>141</v>
      </c>
      <c r="E109" s="2197"/>
      <c r="F109" s="2174">
        <f>Tabulka13[[#This Row],[Jednotková cena v Kč(bez DPH)]]*Tabulka13[[#This Row],[Množství]]</f>
        <v>0</v>
      </c>
    </row>
    <row r="110" spans="1:6">
      <c r="A110" s="2188" t="s">
        <v>1590</v>
      </c>
      <c r="B110" s="2177" t="s">
        <v>1591</v>
      </c>
      <c r="C110" s="2173">
        <v>50</v>
      </c>
      <c r="D110" s="2189" t="s">
        <v>141</v>
      </c>
      <c r="E110" s="2197"/>
      <c r="F110" s="2174">
        <f>Tabulka13[[#This Row],[Jednotková cena v Kč(bez DPH)]]*Tabulka13[[#This Row],[Množství]]</f>
        <v>0</v>
      </c>
    </row>
    <row r="111" spans="1:6">
      <c r="A111" s="2188" t="s">
        <v>1592</v>
      </c>
      <c r="B111" s="2177" t="s">
        <v>1593</v>
      </c>
      <c r="C111" s="2173">
        <v>120</v>
      </c>
      <c r="D111" s="2189" t="s">
        <v>1425</v>
      </c>
      <c r="E111" s="2197"/>
      <c r="F111" s="2174">
        <f>Tabulka13[[#This Row],[Jednotková cena v Kč(bez DPH)]]*Tabulka13[[#This Row],[Množství]]</f>
        <v>0</v>
      </c>
    </row>
    <row r="112" spans="1:6">
      <c r="A112" s="2188" t="s">
        <v>1594</v>
      </c>
      <c r="B112" s="2177" t="s">
        <v>1595</v>
      </c>
      <c r="C112" s="2173">
        <v>19</v>
      </c>
      <c r="D112" s="2189" t="s">
        <v>1425</v>
      </c>
      <c r="E112" s="2197"/>
      <c r="F112" s="2174">
        <f>Tabulka13[[#This Row],[Jednotková cena v Kč(bez DPH)]]*Tabulka13[[#This Row],[Množství]]</f>
        <v>0</v>
      </c>
    </row>
    <row r="113" spans="1:6" ht="30">
      <c r="A113" s="2188" t="s">
        <v>1596</v>
      </c>
      <c r="B113" s="2177" t="s">
        <v>1597</v>
      </c>
      <c r="C113" s="2173">
        <v>20</v>
      </c>
      <c r="D113" s="2189" t="s">
        <v>1425</v>
      </c>
      <c r="E113" s="2197"/>
      <c r="F113" s="2174">
        <f>Tabulka13[[#This Row],[Jednotková cena v Kč(bez DPH)]]*Tabulka13[[#This Row],[Množství]]</f>
        <v>0</v>
      </c>
    </row>
    <row r="114" spans="1:6">
      <c r="A114" s="2178">
        <v>6</v>
      </c>
      <c r="B114" s="2179" t="s">
        <v>1598</v>
      </c>
      <c r="C114" s="2180"/>
      <c r="D114" s="2180"/>
      <c r="E114" s="2199"/>
      <c r="F114" s="2181">
        <f>SUBTOTAL(109,F115:F117)</f>
        <v>0</v>
      </c>
    </row>
    <row r="115" spans="1:6">
      <c r="A115" s="2188" t="s">
        <v>1599</v>
      </c>
      <c r="B115" s="2177" t="s">
        <v>1600</v>
      </c>
      <c r="C115" s="2173">
        <f>C100+C101+C102+C103</f>
        <v>281</v>
      </c>
      <c r="D115" s="2189" t="s">
        <v>141</v>
      </c>
      <c r="E115" s="2197"/>
      <c r="F115" s="2174">
        <f>Tabulka13[[#This Row],[Jednotková cena v Kč(bez DPH)]]*Tabulka13[[#This Row],[Množství]]</f>
        <v>0</v>
      </c>
    </row>
    <row r="116" spans="1:6">
      <c r="A116" s="2188" t="s">
        <v>1601</v>
      </c>
      <c r="B116" s="2177" t="s">
        <v>1602</v>
      </c>
      <c r="C116" s="2173">
        <f>C104+C105+C106</f>
        <v>1126</v>
      </c>
      <c r="D116" s="2189" t="s">
        <v>141</v>
      </c>
      <c r="E116" s="2197"/>
      <c r="F116" s="2174">
        <f>Tabulka13[[#This Row],[Jednotková cena v Kč(bez DPH)]]*Tabulka13[[#This Row],[Množství]]</f>
        <v>0</v>
      </c>
    </row>
    <row r="117" spans="1:6">
      <c r="A117" s="2188" t="s">
        <v>1603</v>
      </c>
      <c r="B117" s="2177" t="s">
        <v>1598</v>
      </c>
      <c r="C117" s="2173">
        <v>1</v>
      </c>
      <c r="D117" s="2189" t="s">
        <v>1315</v>
      </c>
      <c r="E117" s="2197"/>
      <c r="F117" s="2174">
        <f>Tabulka13[[#This Row],[Jednotková cena v Kč(bez DPH)]]*Tabulka13[[#This Row],[Množství]]</f>
        <v>0</v>
      </c>
    </row>
    <row r="118" spans="1:6">
      <c r="A118" s="2179" t="s">
        <v>131</v>
      </c>
      <c r="B118" s="2179" t="s">
        <v>1604</v>
      </c>
      <c r="C118" s="2179"/>
      <c r="D118" s="2179"/>
      <c r="E118" s="2199"/>
      <c r="F118" s="2181">
        <f>SUBTOTAL(109,F119:F121)</f>
        <v>0</v>
      </c>
    </row>
    <row r="119" spans="1:6" ht="30">
      <c r="A119" s="2188" t="s">
        <v>1605</v>
      </c>
      <c r="B119" s="2177" t="s">
        <v>1606</v>
      </c>
      <c r="C119" s="2173">
        <v>1</v>
      </c>
      <c r="D119" s="2189" t="s">
        <v>1425</v>
      </c>
      <c r="E119" s="2197"/>
      <c r="F119" s="2174">
        <f>Tabulka13[[#This Row],[Jednotková cena v Kč(bez DPH)]]*Tabulka13[[#This Row],[Množství]]</f>
        <v>0</v>
      </c>
    </row>
    <row r="120" spans="1:6" ht="30">
      <c r="A120" s="2188" t="s">
        <v>1607</v>
      </c>
      <c r="B120" s="2177" t="s">
        <v>1608</v>
      </c>
      <c r="C120" s="2173">
        <v>1</v>
      </c>
      <c r="D120" s="2189" t="s">
        <v>1425</v>
      </c>
      <c r="E120" s="2197"/>
      <c r="F120" s="2174">
        <f>Tabulka13[[#This Row],[Jednotková cena v Kč(bez DPH)]]*Tabulka13[[#This Row],[Množství]]</f>
        <v>0</v>
      </c>
    </row>
    <row r="121" spans="1:6">
      <c r="A121" s="2188" t="s">
        <v>1609</v>
      </c>
      <c r="B121" s="2177" t="s">
        <v>1610</v>
      </c>
      <c r="C121" s="2173">
        <v>99</v>
      </c>
      <c r="D121" s="2189" t="s">
        <v>1611</v>
      </c>
      <c r="E121" s="2197"/>
      <c r="F121" s="2174">
        <f>Tabulka13[[#This Row],[Jednotková cena v Kč(bez DPH)]]*Tabulka13[[#This Row],[Množství]]</f>
        <v>0</v>
      </c>
    </row>
    <row r="122" spans="1:6">
      <c r="A122" s="2178" t="s">
        <v>1171</v>
      </c>
      <c r="B122" s="2179" t="s">
        <v>1612</v>
      </c>
      <c r="C122" s="2180"/>
      <c r="D122" s="2180"/>
      <c r="E122" s="2199"/>
      <c r="F122" s="2181">
        <f>SUBTOTAL(109,F123:F133)</f>
        <v>0</v>
      </c>
    </row>
    <row r="123" spans="1:6">
      <c r="A123" s="2188" t="s">
        <v>1613</v>
      </c>
      <c r="B123" s="2177" t="s">
        <v>1614</v>
      </c>
      <c r="C123" s="2173">
        <v>1</v>
      </c>
      <c r="D123" s="2189" t="s">
        <v>1315</v>
      </c>
      <c r="E123" s="2197"/>
      <c r="F123" s="2174">
        <f>Tabulka13[[#This Row],[Jednotková cena v Kč(bez DPH)]]*Tabulka13[[#This Row],[Množství]]</f>
        <v>0</v>
      </c>
    </row>
    <row r="124" spans="1:6">
      <c r="A124" s="2188" t="s">
        <v>1615</v>
      </c>
      <c r="B124" s="2177" t="s">
        <v>1616</v>
      </c>
      <c r="C124" s="2173">
        <v>1</v>
      </c>
      <c r="D124" s="2189" t="s">
        <v>1315</v>
      </c>
      <c r="E124" s="2197"/>
      <c r="F124" s="2174">
        <f>Tabulka13[[#This Row],[Jednotková cena v Kč(bez DPH)]]*Tabulka13[[#This Row],[Množství]]</f>
        <v>0</v>
      </c>
    </row>
    <row r="125" spans="1:6">
      <c r="A125" s="2188" t="s">
        <v>1617</v>
      </c>
      <c r="B125" s="2177" t="s">
        <v>1618</v>
      </c>
      <c r="C125" s="2173">
        <v>1</v>
      </c>
      <c r="D125" s="2189" t="s">
        <v>1315</v>
      </c>
      <c r="E125" s="2197"/>
      <c r="F125" s="2174">
        <f>Tabulka13[[#This Row],[Jednotková cena v Kč(bez DPH)]]*Tabulka13[[#This Row],[Množství]]</f>
        <v>0</v>
      </c>
    </row>
    <row r="126" spans="1:6" ht="30">
      <c r="A126" s="2188" t="s">
        <v>1619</v>
      </c>
      <c r="B126" s="2177" t="s">
        <v>1620</v>
      </c>
      <c r="C126" s="2173">
        <v>1</v>
      </c>
      <c r="D126" s="2189" t="s">
        <v>1315</v>
      </c>
      <c r="E126" s="2197"/>
      <c r="F126" s="2174">
        <f>Tabulka13[[#This Row],[Jednotková cena v Kč(bez DPH)]]*Tabulka13[[#This Row],[Množství]]</f>
        <v>0</v>
      </c>
    </row>
    <row r="127" spans="1:6" ht="30">
      <c r="A127" s="2188" t="s">
        <v>1621</v>
      </c>
      <c r="B127" s="2177" t="s">
        <v>1622</v>
      </c>
      <c r="C127" s="2173">
        <v>3</v>
      </c>
      <c r="D127" s="2189" t="s">
        <v>1315</v>
      </c>
      <c r="E127" s="2197"/>
      <c r="F127" s="2174">
        <f>Tabulka13[[#This Row],[Jednotková cena v Kč(bez DPH)]]*Tabulka13[[#This Row],[Množství]]</f>
        <v>0</v>
      </c>
    </row>
    <row r="128" spans="1:6" ht="30">
      <c r="A128" s="2188" t="s">
        <v>1623</v>
      </c>
      <c r="B128" s="2177" t="s">
        <v>1624</v>
      </c>
      <c r="C128" s="2173">
        <v>2</v>
      </c>
      <c r="D128" s="2189" t="s">
        <v>1315</v>
      </c>
      <c r="E128" s="2197"/>
      <c r="F128" s="2174">
        <f>Tabulka13[[#This Row],[Jednotková cena v Kč(bez DPH)]]*Tabulka13[[#This Row],[Množství]]</f>
        <v>0</v>
      </c>
    </row>
    <row r="129" spans="1:6" ht="30">
      <c r="A129" s="2188" t="s">
        <v>1625</v>
      </c>
      <c r="B129" s="2177" t="s">
        <v>1626</v>
      </c>
      <c r="C129" s="2173">
        <v>8</v>
      </c>
      <c r="D129" s="2189" t="s">
        <v>1315</v>
      </c>
      <c r="E129" s="2197"/>
      <c r="F129" s="2174">
        <f>Tabulka13[[#This Row],[Jednotková cena v Kč(bez DPH)]]*Tabulka13[[#This Row],[Množství]]</f>
        <v>0</v>
      </c>
    </row>
    <row r="130" spans="1:6" ht="30">
      <c r="A130" s="2188" t="s">
        <v>1627</v>
      </c>
      <c r="B130" s="2177" t="s">
        <v>1628</v>
      </c>
      <c r="C130" s="2173">
        <v>2</v>
      </c>
      <c r="D130" s="2189" t="s">
        <v>1315</v>
      </c>
      <c r="E130" s="2197"/>
      <c r="F130" s="2174">
        <f>Tabulka13[[#This Row],[Jednotková cena v Kč(bez DPH)]]*Tabulka13[[#This Row],[Množství]]</f>
        <v>0</v>
      </c>
    </row>
    <row r="131" spans="1:6" ht="30">
      <c r="A131" s="2188" t="s">
        <v>1629</v>
      </c>
      <c r="B131" s="2177" t="s">
        <v>1630</v>
      </c>
      <c r="C131" s="2173">
        <v>1</v>
      </c>
      <c r="D131" s="2189" t="s">
        <v>1315</v>
      </c>
      <c r="E131" s="2197"/>
      <c r="F131" s="2174">
        <f>Tabulka13[[#This Row],[Jednotková cena v Kč(bez DPH)]]*Tabulka13[[#This Row],[Množství]]</f>
        <v>0</v>
      </c>
    </row>
    <row r="132" spans="1:6" ht="30">
      <c r="A132" s="2188" t="s">
        <v>1631</v>
      </c>
      <c r="B132" s="2177" t="s">
        <v>1632</v>
      </c>
      <c r="C132" s="2173">
        <v>120</v>
      </c>
      <c r="D132" s="2189" t="s">
        <v>1315</v>
      </c>
      <c r="E132" s="2197"/>
      <c r="F132" s="2174">
        <f>Tabulka13[[#This Row],[Jednotková cena v Kč(bez DPH)]]*Tabulka13[[#This Row],[Množství]]</f>
        <v>0</v>
      </c>
    </row>
    <row r="133" spans="1:6" ht="30">
      <c r="A133" s="2188" t="s">
        <v>1633</v>
      </c>
      <c r="B133" s="2177" t="s">
        <v>1634</v>
      </c>
      <c r="C133" s="2173">
        <v>1</v>
      </c>
      <c r="D133" s="2189" t="s">
        <v>1315</v>
      </c>
      <c r="E133" s="2197"/>
      <c r="F133" s="2174">
        <f>Tabulka13[[#This Row],[Jednotková cena v Kč(bez DPH)]]*Tabulka13[[#This Row],[Množství]]</f>
        <v>0</v>
      </c>
    </row>
    <row r="134" spans="1:6">
      <c r="C134" s="2196"/>
    </row>
    <row r="135" spans="1:6">
      <c r="C135" s="2196"/>
    </row>
    <row r="136" spans="1:6">
      <c r="C136" s="2196"/>
    </row>
  </sheetData>
  <sheetProtection algorithmName="SHA-512" hashValue="413/QIiLT2OfgPA4K4vpa/cvRTI6N2c9xYETcmvHqgSlWalGsXZlW+DTSTW6COJY0nkPWj18O/nD67BZz2lFyw==" saltValue="GigvYkx3GJ6E7d6JhhdCCQ==" spinCount="100000" sheet="1" objects="1" scenarios="1"/>
  <mergeCells count="1">
    <mergeCell ref="B2:E2"/>
  </mergeCells>
  <pageMargins left="0.23622047244094491" right="0.23622047244094491" top="0.74803149606299213" bottom="0.74803149606299213" header="0.31496062992125984" footer="0.31496062992125984"/>
  <pageSetup paperSize="9" scale="88" fitToHeight="0" orientation="portrait" horizontalDpi="4294967293" verticalDpi="4294967293" r:id="rId1"/>
  <headerFooter>
    <oddHeader>&amp;RSoupis komponent</oddHeader>
    <oddFooter>Stránka &amp;P z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49E5-C470-4A4D-9B38-7DE6CD0EBC56}">
  <sheetPr>
    <tabColor rgb="FFFF00FF"/>
    <pageSetUpPr fitToPage="1"/>
  </sheetPr>
  <dimension ref="A1:DQ381"/>
  <sheetViews>
    <sheetView zoomScaleNormal="100" workbookViewId="0"/>
  </sheetViews>
  <sheetFormatPr defaultRowHeight="10.5"/>
  <cols>
    <col min="1" max="1" width="4.83203125" style="1757" customWidth="1"/>
    <col min="2" max="2" width="4.83203125" style="1989" customWidth="1"/>
    <col min="3" max="3" width="16.83203125" style="1757" customWidth="1"/>
    <col min="4" max="4" width="75.83203125" style="1757" customWidth="1"/>
    <col min="5" max="5" width="7.83203125" style="1757" customWidth="1"/>
    <col min="6" max="6" width="11.83203125" style="2162" customWidth="1"/>
    <col min="7" max="7" width="15.33203125" style="1757" customWidth="1"/>
    <col min="8" max="8" width="18.33203125" style="1757" customWidth="1"/>
    <col min="9" max="9" width="19.83203125" style="1757" customWidth="1"/>
    <col min="10" max="10" width="19" style="1757" customWidth="1"/>
    <col min="11" max="11" width="9.33203125" style="1757"/>
    <col min="12" max="12" width="13.1640625" style="1757" customWidth="1"/>
    <col min="13" max="13" width="12.6640625" style="1757" customWidth="1"/>
    <col min="14" max="15" width="9.33203125" style="1757"/>
    <col min="16" max="16" width="13.33203125" style="1757" customWidth="1"/>
    <col min="17" max="17" width="11.83203125" style="1757" customWidth="1"/>
    <col min="18" max="18" width="12.5" style="1757" customWidth="1"/>
    <col min="19" max="22" width="9.33203125" style="1757"/>
    <col min="23" max="23" width="12.33203125" style="1757" customWidth="1"/>
    <col min="24" max="16384" width="9.33203125" style="1757"/>
  </cols>
  <sheetData>
    <row r="1" spans="1:20" s="111" customFormat="1" ht="19.5" customHeight="1">
      <c r="A1" s="1" t="s">
        <v>2760</v>
      </c>
      <c r="B1" s="2013"/>
      <c r="C1" s="28"/>
      <c r="D1" s="28"/>
      <c r="J1" s="483"/>
    </row>
    <row r="2" spans="1:20" s="2014" customFormat="1" ht="13.5" customHeight="1">
      <c r="A2" s="5228" t="s">
        <v>115</v>
      </c>
      <c r="B2" s="5239"/>
      <c r="C2" s="5239"/>
      <c r="D2" s="5239"/>
      <c r="E2" s="5239"/>
      <c r="F2" s="5239"/>
      <c r="G2" s="5239"/>
      <c r="H2" s="5239"/>
      <c r="I2" s="5239"/>
    </row>
    <row r="3" spans="1:20" s="2014" customFormat="1" ht="13.5" customHeight="1">
      <c r="A3" s="2015" t="s">
        <v>1797</v>
      </c>
      <c r="B3" s="2016"/>
      <c r="C3" s="2016"/>
      <c r="D3" s="2016"/>
      <c r="E3" s="2016"/>
      <c r="F3" s="2017"/>
      <c r="G3" s="2017"/>
      <c r="H3" s="2018"/>
      <c r="I3" s="2018"/>
    </row>
    <row r="4" spans="1:20" s="111" customFormat="1" ht="13.5" customHeight="1">
      <c r="A4" s="112"/>
      <c r="B4" s="113"/>
      <c r="C4" s="113"/>
      <c r="D4" s="113"/>
      <c r="E4" s="113"/>
      <c r="F4" s="114"/>
      <c r="G4" s="114"/>
      <c r="H4" s="251"/>
      <c r="I4" s="251"/>
      <c r="K4" s="251"/>
      <c r="L4" s="251"/>
      <c r="M4" s="251"/>
      <c r="N4" s="251"/>
      <c r="O4" s="251"/>
      <c r="P4" s="251"/>
      <c r="Q4" s="1756"/>
    </row>
    <row r="5" spans="1:20" ht="24.75" customHeight="1">
      <c r="A5" s="115" t="s">
        <v>118</v>
      </c>
      <c r="B5" s="116" t="s">
        <v>119</v>
      </c>
      <c r="C5" s="115" t="s">
        <v>120</v>
      </c>
      <c r="D5" s="115" t="s">
        <v>1798</v>
      </c>
      <c r="E5" s="115" t="s">
        <v>122</v>
      </c>
      <c r="F5" s="117" t="s">
        <v>123</v>
      </c>
      <c r="G5" s="115" t="s">
        <v>124</v>
      </c>
      <c r="H5" s="115" t="s">
        <v>2</v>
      </c>
      <c r="I5" s="115" t="s">
        <v>46</v>
      </c>
      <c r="J5" s="2019"/>
    </row>
    <row r="6" spans="1:20" ht="12.75" customHeight="1">
      <c r="A6" s="115" t="s">
        <v>125</v>
      </c>
      <c r="B6" s="116" t="s">
        <v>126</v>
      </c>
      <c r="C6" s="115" t="s">
        <v>127</v>
      </c>
      <c r="D6" s="115" t="s">
        <v>128</v>
      </c>
      <c r="E6" s="115" t="s">
        <v>129</v>
      </c>
      <c r="F6" s="117" t="s">
        <v>130</v>
      </c>
      <c r="G6" s="115" t="s">
        <v>131</v>
      </c>
      <c r="H6" s="115">
        <v>8</v>
      </c>
      <c r="I6" s="115">
        <v>9</v>
      </c>
      <c r="J6" s="2020"/>
    </row>
    <row r="7" spans="1:20" s="251" customFormat="1" ht="21" customHeight="1">
      <c r="A7" s="2021"/>
      <c r="B7" s="1760"/>
      <c r="C7" s="1761" t="s">
        <v>366</v>
      </c>
      <c r="D7" s="1762" t="s">
        <v>367</v>
      </c>
      <c r="E7" s="1761"/>
      <c r="F7" s="2022"/>
      <c r="G7" s="2023"/>
      <c r="H7" s="2024">
        <f>H8+H121+H200+H226+H263+H285+H320</f>
        <v>0</v>
      </c>
    </row>
    <row r="8" spans="1:20" s="251" customFormat="1" ht="13.5" customHeight="1">
      <c r="A8" s="2025"/>
      <c r="B8" s="2026"/>
      <c r="C8" s="2026">
        <v>741</v>
      </c>
      <c r="D8" s="2026" t="s">
        <v>1799</v>
      </c>
      <c r="E8" s="2026"/>
      <c r="F8" s="2027"/>
      <c r="G8" s="2028"/>
      <c r="H8" s="2024">
        <f>SUM(H9:H120)</f>
        <v>0</v>
      </c>
      <c r="I8" s="2029"/>
    </row>
    <row r="9" spans="1:20" s="2036" customFormat="1" ht="13.5" customHeight="1">
      <c r="A9" s="2030">
        <v>1</v>
      </c>
      <c r="B9" s="2031">
        <v>741</v>
      </c>
      <c r="C9" s="2031" t="s">
        <v>1800</v>
      </c>
      <c r="D9" s="2031" t="s">
        <v>3739</v>
      </c>
      <c r="E9" s="237" t="s">
        <v>205</v>
      </c>
      <c r="F9" s="2032">
        <f>ROUND(SUM(F11:F11),3)</f>
        <v>8</v>
      </c>
      <c r="G9" s="2163"/>
      <c r="H9" s="1775">
        <f t="shared" ref="H9" si="0">ROUND(F9*G9,2)</f>
        <v>0</v>
      </c>
      <c r="I9" s="2033" t="s">
        <v>111</v>
      </c>
      <c r="J9" s="2034"/>
      <c r="K9" s="2035"/>
      <c r="M9" s="1576"/>
      <c r="O9" s="2037"/>
      <c r="P9" s="2038"/>
      <c r="Q9" s="2037"/>
      <c r="T9" s="2039"/>
    </row>
    <row r="10" spans="1:20" s="2036" customFormat="1" ht="13.5" customHeight="1">
      <c r="A10" s="2040"/>
      <c r="B10" s="2031"/>
      <c r="C10" s="2031"/>
      <c r="D10" s="238" t="s">
        <v>3740</v>
      </c>
      <c r="E10" s="237"/>
      <c r="F10" s="239"/>
      <c r="G10" s="2163"/>
      <c r="H10" s="1839"/>
      <c r="I10" s="2033"/>
      <c r="J10" s="1890"/>
      <c r="N10" s="2041"/>
      <c r="O10" s="2037"/>
      <c r="P10" s="2037"/>
      <c r="Q10" s="2037"/>
      <c r="T10" s="2039"/>
    </row>
    <row r="11" spans="1:20" s="2036" customFormat="1" ht="13.5" customHeight="1">
      <c r="A11" s="2040"/>
      <c r="B11" s="2031"/>
      <c r="C11" s="2031"/>
      <c r="D11" s="238" t="s">
        <v>1222</v>
      </c>
      <c r="E11" s="2031"/>
      <c r="F11" s="2042">
        <v>8</v>
      </c>
      <c r="G11" s="2163"/>
      <c r="H11" s="1839"/>
      <c r="I11" s="2033"/>
      <c r="M11" s="1576"/>
      <c r="O11" s="2037"/>
      <c r="P11" s="2038"/>
      <c r="Q11" s="2037"/>
    </row>
    <row r="12" spans="1:20" s="2036" customFormat="1" ht="13.5" customHeight="1">
      <c r="A12" s="2040"/>
      <c r="B12" s="2031"/>
      <c r="C12" s="2031"/>
      <c r="D12" s="240" t="s">
        <v>3741</v>
      </c>
      <c r="E12" s="237"/>
      <c r="F12" s="2042"/>
      <c r="G12" s="2163"/>
      <c r="H12" s="1839"/>
      <c r="I12" s="2033"/>
      <c r="M12" s="1576"/>
      <c r="O12" s="2037"/>
      <c r="P12" s="2038"/>
      <c r="Q12" s="2037"/>
    </row>
    <row r="13" spans="1:20" s="2036" customFormat="1" ht="13.5" customHeight="1">
      <c r="A13" s="2030">
        <v>2</v>
      </c>
      <c r="B13" s="2031">
        <v>741</v>
      </c>
      <c r="C13" s="2031" t="s">
        <v>3123</v>
      </c>
      <c r="D13" s="2031" t="s">
        <v>3742</v>
      </c>
      <c r="E13" s="237" t="s">
        <v>205</v>
      </c>
      <c r="F13" s="2032">
        <f>ROUND(SUM(F15:F17),3)</f>
        <v>6</v>
      </c>
      <c r="G13" s="2163"/>
      <c r="H13" s="1775">
        <f t="shared" ref="H13" si="1">ROUND(F13*G13,2)</f>
        <v>0</v>
      </c>
      <c r="I13" s="2033" t="s">
        <v>111</v>
      </c>
      <c r="J13" s="2034"/>
      <c r="K13" s="2035"/>
      <c r="M13" s="1576"/>
      <c r="O13" s="2037"/>
      <c r="P13" s="2038"/>
      <c r="Q13" s="2037"/>
      <c r="T13" s="2039"/>
    </row>
    <row r="14" spans="1:20" s="2036" customFormat="1" ht="13.5" customHeight="1">
      <c r="A14" s="2040"/>
      <c r="B14" s="2031"/>
      <c r="C14" s="2031"/>
      <c r="D14" s="238" t="s">
        <v>3743</v>
      </c>
      <c r="E14" s="237"/>
      <c r="F14" s="239"/>
      <c r="G14" s="2163"/>
      <c r="H14" s="1839"/>
      <c r="I14" s="2033"/>
      <c r="J14" s="1890"/>
      <c r="N14" s="2041"/>
      <c r="O14" s="2037"/>
      <c r="P14" s="2037"/>
      <c r="Q14" s="2037"/>
      <c r="T14" s="2039"/>
    </row>
    <row r="15" spans="1:20" s="2036" customFormat="1" ht="13.5" customHeight="1">
      <c r="A15" s="2040"/>
      <c r="B15" s="2031"/>
      <c r="C15" s="2031"/>
      <c r="D15" s="238" t="s">
        <v>1221</v>
      </c>
      <c r="E15" s="2031"/>
      <c r="F15" s="2042">
        <v>3</v>
      </c>
      <c r="G15" s="2163"/>
      <c r="H15" s="1839"/>
      <c r="I15" s="2033"/>
      <c r="M15" s="1576"/>
      <c r="O15" s="2037"/>
      <c r="P15" s="2038"/>
      <c r="Q15" s="2037"/>
    </row>
    <row r="16" spans="1:20" s="2036" customFormat="1" ht="13.5" customHeight="1">
      <c r="A16" s="2040"/>
      <c r="B16" s="2031"/>
      <c r="C16" s="2031"/>
      <c r="D16" s="238" t="s">
        <v>1169</v>
      </c>
      <c r="E16" s="2031"/>
      <c r="F16" s="2042">
        <v>1</v>
      </c>
      <c r="G16" s="2163"/>
      <c r="H16" s="1839"/>
      <c r="I16" s="2033"/>
      <c r="M16" s="1576"/>
      <c r="O16" s="2037"/>
      <c r="P16" s="2038"/>
      <c r="Q16" s="2037"/>
    </row>
    <row r="17" spans="1:20" s="2036" customFormat="1" ht="13.5" customHeight="1">
      <c r="A17" s="2040"/>
      <c r="B17" s="2031"/>
      <c r="C17" s="2031"/>
      <c r="D17" s="238" t="s">
        <v>1222</v>
      </c>
      <c r="E17" s="2031"/>
      <c r="F17" s="2042">
        <v>2</v>
      </c>
      <c r="G17" s="2163"/>
      <c r="H17" s="1839"/>
      <c r="I17" s="2033"/>
      <c r="M17" s="1576"/>
      <c r="O17" s="2037"/>
      <c r="P17" s="2038"/>
      <c r="Q17" s="2037"/>
    </row>
    <row r="18" spans="1:20" s="2036" customFormat="1" ht="13.5" customHeight="1">
      <c r="A18" s="2040"/>
      <c r="B18" s="2031"/>
      <c r="C18" s="2031"/>
      <c r="D18" s="240" t="s">
        <v>3741</v>
      </c>
      <c r="E18" s="237"/>
      <c r="F18" s="2042"/>
      <c r="G18" s="2163"/>
      <c r="H18" s="1839"/>
      <c r="I18" s="2033"/>
      <c r="M18" s="1576"/>
      <c r="O18" s="2037"/>
      <c r="P18" s="2038"/>
      <c r="Q18" s="2037"/>
    </row>
    <row r="19" spans="1:20" s="2036" customFormat="1" ht="13.5" customHeight="1">
      <c r="A19" s="2030">
        <v>3</v>
      </c>
      <c r="B19" s="2031">
        <v>741</v>
      </c>
      <c r="C19" s="2031" t="s">
        <v>3129</v>
      </c>
      <c r="D19" s="2031" t="s">
        <v>3744</v>
      </c>
      <c r="E19" s="237" t="s">
        <v>205</v>
      </c>
      <c r="F19" s="2032">
        <f>ROUND(SUM(F21:F21),3)</f>
        <v>1</v>
      </c>
      <c r="G19" s="2163"/>
      <c r="H19" s="1775">
        <f t="shared" ref="H19" si="2">ROUND(F19*G19,2)</f>
        <v>0</v>
      </c>
      <c r="I19" s="2033" t="s">
        <v>111</v>
      </c>
      <c r="J19" s="2034"/>
      <c r="K19" s="2035"/>
      <c r="M19" s="1576"/>
      <c r="O19" s="2037"/>
      <c r="P19" s="2038"/>
      <c r="Q19" s="2037"/>
      <c r="T19" s="2039"/>
    </row>
    <row r="20" spans="1:20" s="2036" customFormat="1" ht="13.5" customHeight="1">
      <c r="A20" s="2040"/>
      <c r="B20" s="2031"/>
      <c r="C20" s="2031"/>
      <c r="D20" s="238" t="s">
        <v>3745</v>
      </c>
      <c r="E20" s="237"/>
      <c r="F20" s="239"/>
      <c r="G20" s="2163"/>
      <c r="H20" s="1839"/>
      <c r="I20" s="2033"/>
      <c r="J20" s="1890"/>
      <c r="N20" s="2041"/>
      <c r="O20" s="2037"/>
      <c r="P20" s="2037"/>
      <c r="Q20" s="2037"/>
      <c r="T20" s="2039"/>
    </row>
    <row r="21" spans="1:20" s="2036" customFormat="1" ht="13.5" customHeight="1">
      <c r="A21" s="2040"/>
      <c r="B21" s="2031"/>
      <c r="C21" s="2031"/>
      <c r="D21" s="238" t="s">
        <v>1222</v>
      </c>
      <c r="E21" s="2031"/>
      <c r="F21" s="2042">
        <v>1</v>
      </c>
      <c r="G21" s="2163"/>
      <c r="H21" s="1839"/>
      <c r="I21" s="2033"/>
      <c r="M21" s="1576"/>
      <c r="O21" s="2037"/>
      <c r="P21" s="2038"/>
      <c r="Q21" s="2037"/>
    </row>
    <row r="22" spans="1:20" s="2036" customFormat="1" ht="13.5" customHeight="1">
      <c r="A22" s="2040"/>
      <c r="B22" s="2031"/>
      <c r="C22" s="2031"/>
      <c r="D22" s="240" t="s">
        <v>3741</v>
      </c>
      <c r="E22" s="237"/>
      <c r="F22" s="2042"/>
      <c r="G22" s="2163"/>
      <c r="H22" s="1839"/>
      <c r="I22" s="2033"/>
      <c r="M22" s="1576"/>
      <c r="O22" s="2037"/>
      <c r="P22" s="2038"/>
      <c r="Q22" s="2037"/>
    </row>
    <row r="23" spans="1:20" s="2036" customFormat="1" ht="13.5" customHeight="1">
      <c r="A23" s="2030">
        <v>4</v>
      </c>
      <c r="B23" s="2031">
        <v>741</v>
      </c>
      <c r="C23" s="2031" t="s">
        <v>3134</v>
      </c>
      <c r="D23" s="2031" t="s">
        <v>3746</v>
      </c>
      <c r="E23" s="237" t="s">
        <v>205</v>
      </c>
      <c r="F23" s="2032">
        <f>ROUND(SUM(F25:F26),3)</f>
        <v>3</v>
      </c>
      <c r="G23" s="2163"/>
      <c r="H23" s="1775">
        <f t="shared" ref="H23" si="3">ROUND(F23*G23,2)</f>
        <v>0</v>
      </c>
      <c r="I23" s="2033" t="s">
        <v>111</v>
      </c>
      <c r="J23" s="2034"/>
      <c r="K23" s="2035"/>
      <c r="M23" s="1576"/>
      <c r="O23" s="2037"/>
      <c r="P23" s="2038"/>
      <c r="Q23" s="2037"/>
      <c r="T23" s="2039"/>
    </row>
    <row r="24" spans="1:20" s="2036" customFormat="1" ht="13.5" customHeight="1">
      <c r="A24" s="2040"/>
      <c r="B24" s="2031"/>
      <c r="C24" s="2031"/>
      <c r="D24" s="238" t="s">
        <v>3747</v>
      </c>
      <c r="E24" s="237"/>
      <c r="F24" s="239"/>
      <c r="G24" s="2163"/>
      <c r="H24" s="1839"/>
      <c r="I24" s="2033"/>
      <c r="J24" s="1890"/>
      <c r="N24" s="2041"/>
      <c r="O24" s="2037"/>
      <c r="P24" s="2037"/>
      <c r="Q24" s="2037"/>
      <c r="T24" s="2039"/>
    </row>
    <row r="25" spans="1:20" s="2036" customFormat="1" ht="13.5" customHeight="1">
      <c r="A25" s="2040"/>
      <c r="B25" s="2031"/>
      <c r="C25" s="2031"/>
      <c r="D25" s="238" t="s">
        <v>1169</v>
      </c>
      <c r="E25" s="2031"/>
      <c r="F25" s="2042">
        <v>1</v>
      </c>
      <c r="G25" s="2163"/>
      <c r="H25" s="1839"/>
      <c r="I25" s="2033"/>
      <c r="M25" s="1576"/>
      <c r="O25" s="2037"/>
      <c r="P25" s="2038"/>
      <c r="Q25" s="2037"/>
    </row>
    <row r="26" spans="1:20" s="2036" customFormat="1" ht="13.5" customHeight="1">
      <c r="A26" s="2040"/>
      <c r="B26" s="2031"/>
      <c r="C26" s="2031"/>
      <c r="D26" s="238" t="s">
        <v>1222</v>
      </c>
      <c r="E26" s="2031"/>
      <c r="F26" s="2042">
        <v>2</v>
      </c>
      <c r="G26" s="2163"/>
      <c r="H26" s="1839"/>
      <c r="I26" s="2033"/>
      <c r="M26" s="1576"/>
      <c r="O26" s="2037"/>
      <c r="P26" s="2038"/>
      <c r="Q26" s="2037"/>
    </row>
    <row r="27" spans="1:20" s="2036" customFormat="1" ht="13.5" customHeight="1">
      <c r="A27" s="2040"/>
      <c r="B27" s="2031"/>
      <c r="C27" s="2031"/>
      <c r="D27" s="240" t="s">
        <v>3741</v>
      </c>
      <c r="E27" s="237"/>
      <c r="F27" s="2042"/>
      <c r="G27" s="2163"/>
      <c r="H27" s="1839"/>
      <c r="I27" s="2033"/>
      <c r="M27" s="1576"/>
      <c r="O27" s="2037"/>
      <c r="P27" s="2038"/>
      <c r="Q27" s="2037"/>
    </row>
    <row r="28" spans="1:20" s="2036" customFormat="1" ht="13.5" customHeight="1">
      <c r="A28" s="2030">
        <v>5</v>
      </c>
      <c r="B28" s="2031">
        <v>741</v>
      </c>
      <c r="C28" s="2031" t="s">
        <v>3748</v>
      </c>
      <c r="D28" s="2031" t="s">
        <v>3749</v>
      </c>
      <c r="E28" s="237" t="s">
        <v>205</v>
      </c>
      <c r="F28" s="2032">
        <f>ROUND(SUM(F30:F31),3)</f>
        <v>25</v>
      </c>
      <c r="G28" s="2163"/>
      <c r="H28" s="1775">
        <f t="shared" ref="H28" si="4">ROUND(F28*G28,2)</f>
        <v>0</v>
      </c>
      <c r="I28" s="2033" t="s">
        <v>111</v>
      </c>
      <c r="J28" s="2034"/>
      <c r="K28" s="2035"/>
      <c r="M28" s="1576"/>
      <c r="O28" s="2037"/>
      <c r="P28" s="2038"/>
      <c r="Q28" s="2037"/>
      <c r="T28" s="2039"/>
    </row>
    <row r="29" spans="1:20" s="2036" customFormat="1" ht="13.5" customHeight="1">
      <c r="A29" s="2040"/>
      <c r="B29" s="2031"/>
      <c r="C29" s="2031"/>
      <c r="D29" s="238" t="s">
        <v>3750</v>
      </c>
      <c r="E29" s="237"/>
      <c r="F29" s="239"/>
      <c r="G29" s="2163"/>
      <c r="H29" s="1839"/>
      <c r="I29" s="2033"/>
      <c r="J29" s="1890"/>
      <c r="N29" s="2041"/>
      <c r="O29" s="2037"/>
      <c r="P29" s="2037"/>
      <c r="Q29" s="2037"/>
      <c r="T29" s="2039"/>
    </row>
    <row r="30" spans="1:20" s="2036" customFormat="1" ht="13.5" customHeight="1">
      <c r="A30" s="2040"/>
      <c r="B30" s="2031"/>
      <c r="C30" s="2031"/>
      <c r="D30" s="238" t="s">
        <v>1221</v>
      </c>
      <c r="E30" s="2031"/>
      <c r="F30" s="2042">
        <v>16</v>
      </c>
      <c r="G30" s="2163"/>
      <c r="H30" s="1839"/>
      <c r="I30" s="2033"/>
      <c r="M30" s="1576"/>
      <c r="O30" s="2037"/>
      <c r="P30" s="2038"/>
      <c r="Q30" s="2037"/>
    </row>
    <row r="31" spans="1:20" s="2036" customFormat="1" ht="13.5" customHeight="1">
      <c r="A31" s="2040"/>
      <c r="B31" s="2031"/>
      <c r="C31" s="2031"/>
      <c r="D31" s="238" t="s">
        <v>1169</v>
      </c>
      <c r="E31" s="2031"/>
      <c r="F31" s="2042">
        <v>9</v>
      </c>
      <c r="G31" s="2163"/>
      <c r="H31" s="1839"/>
      <c r="I31" s="2033"/>
      <c r="M31" s="1576"/>
      <c r="O31" s="2037"/>
      <c r="P31" s="2038"/>
      <c r="Q31" s="2037"/>
    </row>
    <row r="32" spans="1:20" s="2036" customFormat="1" ht="13.5" customHeight="1">
      <c r="A32" s="2040"/>
      <c r="B32" s="2031"/>
      <c r="C32" s="2031"/>
      <c r="D32" s="240" t="s">
        <v>3741</v>
      </c>
      <c r="E32" s="237"/>
      <c r="F32" s="2042"/>
      <c r="G32" s="2163"/>
      <c r="H32" s="1839"/>
      <c r="I32" s="2033"/>
      <c r="M32" s="1576"/>
      <c r="O32" s="2037"/>
      <c r="P32" s="2038"/>
      <c r="Q32" s="2037"/>
    </row>
    <row r="33" spans="1:20" s="2036" customFormat="1" ht="13.5" customHeight="1">
      <c r="A33" s="2030">
        <v>6</v>
      </c>
      <c r="B33" s="2031">
        <v>741</v>
      </c>
      <c r="C33" s="2031" t="s">
        <v>3751</v>
      </c>
      <c r="D33" s="2031" t="s">
        <v>3752</v>
      </c>
      <c r="E33" s="237" t="s">
        <v>205</v>
      </c>
      <c r="F33" s="2032">
        <f>ROUND(SUM(F35:F35),3)</f>
        <v>1</v>
      </c>
      <c r="G33" s="2163"/>
      <c r="H33" s="1775">
        <f t="shared" ref="H33" si="5">ROUND(F33*G33,2)</f>
        <v>0</v>
      </c>
      <c r="I33" s="2033" t="s">
        <v>111</v>
      </c>
      <c r="J33" s="2034"/>
      <c r="K33" s="2035"/>
      <c r="M33" s="1576"/>
      <c r="O33" s="2037"/>
      <c r="P33" s="2038"/>
      <c r="Q33" s="2037"/>
      <c r="T33" s="2039"/>
    </row>
    <row r="34" spans="1:20" s="2036" customFormat="1" ht="13.5" customHeight="1">
      <c r="A34" s="2040"/>
      <c r="B34" s="2031"/>
      <c r="C34" s="2031"/>
      <c r="D34" s="238" t="s">
        <v>3753</v>
      </c>
      <c r="E34" s="237"/>
      <c r="F34" s="239"/>
      <c r="G34" s="2163"/>
      <c r="H34" s="1839"/>
      <c r="I34" s="2033"/>
      <c r="J34" s="1890"/>
      <c r="N34" s="2041"/>
      <c r="O34" s="2037"/>
      <c r="P34" s="2037"/>
      <c r="Q34" s="2037"/>
      <c r="T34" s="2039"/>
    </row>
    <row r="35" spans="1:20" s="2036" customFormat="1" ht="13.5" customHeight="1">
      <c r="A35" s="2040"/>
      <c r="B35" s="2031"/>
      <c r="C35" s="2031"/>
      <c r="D35" s="238" t="s">
        <v>1169</v>
      </c>
      <c r="E35" s="2031"/>
      <c r="F35" s="2042">
        <v>1</v>
      </c>
      <c r="G35" s="2163"/>
      <c r="H35" s="1839"/>
      <c r="I35" s="2033"/>
      <c r="M35" s="1576"/>
      <c r="O35" s="2037"/>
      <c r="P35" s="2038"/>
      <c r="Q35" s="2037"/>
    </row>
    <row r="36" spans="1:20" s="2036" customFormat="1" ht="13.5" customHeight="1">
      <c r="A36" s="2040"/>
      <c r="B36" s="2031"/>
      <c r="C36" s="2031"/>
      <c r="D36" s="240" t="s">
        <v>3741</v>
      </c>
      <c r="E36" s="237"/>
      <c r="F36" s="2042"/>
      <c r="G36" s="2163"/>
      <c r="H36" s="1839"/>
      <c r="I36" s="2033"/>
      <c r="M36" s="1576"/>
      <c r="O36" s="2037"/>
      <c r="P36" s="2038"/>
      <c r="Q36" s="2037"/>
    </row>
    <row r="37" spans="1:20" s="2036" customFormat="1" ht="13.5" customHeight="1">
      <c r="A37" s="2030">
        <v>7</v>
      </c>
      <c r="B37" s="2031">
        <v>741</v>
      </c>
      <c r="C37" s="2031" t="s">
        <v>3754</v>
      </c>
      <c r="D37" s="2031" t="s">
        <v>3755</v>
      </c>
      <c r="E37" s="237" t="s">
        <v>205</v>
      </c>
      <c r="F37" s="2032">
        <f>ROUND(SUM(F39:F40),3)</f>
        <v>77</v>
      </c>
      <c r="G37" s="2163"/>
      <c r="H37" s="1775">
        <f t="shared" ref="H37" si="6">ROUND(F37*G37,2)</f>
        <v>0</v>
      </c>
      <c r="I37" s="2033" t="s">
        <v>111</v>
      </c>
      <c r="J37" s="2034"/>
      <c r="K37" s="2035"/>
      <c r="M37" s="1576"/>
      <c r="O37" s="2037"/>
      <c r="P37" s="2038"/>
      <c r="Q37" s="2037"/>
      <c r="T37" s="2039"/>
    </row>
    <row r="38" spans="1:20" s="2036" customFormat="1" ht="13.5" customHeight="1">
      <c r="A38" s="2040"/>
      <c r="B38" s="2031"/>
      <c r="C38" s="2031"/>
      <c r="D38" s="238" t="s">
        <v>3756</v>
      </c>
      <c r="E38" s="237"/>
      <c r="F38" s="239"/>
      <c r="G38" s="2163"/>
      <c r="H38" s="1839"/>
      <c r="I38" s="2033"/>
      <c r="J38" s="1890"/>
      <c r="N38" s="2041"/>
      <c r="O38" s="2037"/>
      <c r="P38" s="2037"/>
      <c r="Q38" s="2037"/>
      <c r="T38" s="2039"/>
    </row>
    <row r="39" spans="1:20" s="2036" customFormat="1" ht="13.5" customHeight="1">
      <c r="A39" s="2040"/>
      <c r="B39" s="2031"/>
      <c r="C39" s="2031"/>
      <c r="D39" s="238" t="s">
        <v>1169</v>
      </c>
      <c r="E39" s="2031"/>
      <c r="F39" s="2042">
        <v>20</v>
      </c>
      <c r="G39" s="2163"/>
      <c r="H39" s="1839"/>
      <c r="I39" s="2033"/>
      <c r="M39" s="1576"/>
      <c r="O39" s="2037"/>
      <c r="P39" s="2038"/>
      <c r="Q39" s="2037"/>
    </row>
    <row r="40" spans="1:20" s="2036" customFormat="1" ht="13.5" customHeight="1">
      <c r="A40" s="2040"/>
      <c r="B40" s="2031"/>
      <c r="C40" s="2031"/>
      <c r="D40" s="238" t="s">
        <v>1222</v>
      </c>
      <c r="E40" s="2031"/>
      <c r="F40" s="2042">
        <v>57</v>
      </c>
      <c r="G40" s="2163"/>
      <c r="H40" s="1839"/>
      <c r="I40" s="2033"/>
      <c r="M40" s="1576"/>
      <c r="O40" s="2037"/>
      <c r="P40" s="2038"/>
      <c r="Q40" s="2037"/>
    </row>
    <row r="41" spans="1:20" s="2036" customFormat="1" ht="13.5" customHeight="1">
      <c r="A41" s="2040"/>
      <c r="B41" s="2031"/>
      <c r="C41" s="2031"/>
      <c r="D41" s="240" t="s">
        <v>3741</v>
      </c>
      <c r="E41" s="237"/>
      <c r="F41" s="2042"/>
      <c r="G41" s="2163"/>
      <c r="H41" s="1839"/>
      <c r="I41" s="2033"/>
      <c r="M41" s="1576"/>
      <c r="O41" s="2037"/>
      <c r="P41" s="2038"/>
      <c r="Q41" s="2037"/>
    </row>
    <row r="42" spans="1:20" s="2036" customFormat="1" ht="13.5" customHeight="1">
      <c r="A42" s="2030">
        <v>8</v>
      </c>
      <c r="B42" s="2031">
        <v>741</v>
      </c>
      <c r="C42" s="2031" t="s">
        <v>3757</v>
      </c>
      <c r="D42" s="2031" t="s">
        <v>3758</v>
      </c>
      <c r="E42" s="237" t="s">
        <v>205</v>
      </c>
      <c r="F42" s="2032">
        <f>ROUND(SUM(F44:F44),3)</f>
        <v>86</v>
      </c>
      <c r="G42" s="2163"/>
      <c r="H42" s="1775">
        <f t="shared" ref="H42" si="7">ROUND(F42*G42,2)</f>
        <v>0</v>
      </c>
      <c r="I42" s="2033" t="s">
        <v>111</v>
      </c>
      <c r="J42" s="2034"/>
      <c r="K42" s="2035"/>
      <c r="M42" s="1576"/>
      <c r="O42" s="2037"/>
      <c r="P42" s="2038"/>
      <c r="Q42" s="2037"/>
      <c r="T42" s="2039"/>
    </row>
    <row r="43" spans="1:20" s="2036" customFormat="1" ht="13.5" customHeight="1">
      <c r="A43" s="2040"/>
      <c r="B43" s="2031"/>
      <c r="C43" s="2031"/>
      <c r="D43" s="238" t="s">
        <v>3759</v>
      </c>
      <c r="E43" s="237"/>
      <c r="F43" s="239"/>
      <c r="G43" s="2163"/>
      <c r="H43" s="1839"/>
      <c r="I43" s="2033"/>
      <c r="J43" s="1890"/>
      <c r="N43" s="2041"/>
      <c r="O43" s="2037"/>
      <c r="P43" s="2037"/>
      <c r="Q43" s="2037"/>
      <c r="T43" s="2039"/>
    </row>
    <row r="44" spans="1:20" s="2036" customFormat="1" ht="13.5" customHeight="1">
      <c r="A44" s="2040"/>
      <c r="B44" s="2031"/>
      <c r="C44" s="2031"/>
      <c r="D44" s="238" t="s">
        <v>1222</v>
      </c>
      <c r="E44" s="2031"/>
      <c r="F44" s="2042">
        <v>86</v>
      </c>
      <c r="G44" s="2163"/>
      <c r="H44" s="1839"/>
      <c r="I44" s="2033"/>
      <c r="M44" s="1576"/>
      <c r="O44" s="2037"/>
      <c r="P44" s="2038"/>
      <c r="Q44" s="2037"/>
    </row>
    <row r="45" spans="1:20" s="2036" customFormat="1" ht="13.5" customHeight="1">
      <c r="A45" s="2040"/>
      <c r="B45" s="2031"/>
      <c r="C45" s="2031"/>
      <c r="D45" s="240" t="s">
        <v>3741</v>
      </c>
      <c r="E45" s="237"/>
      <c r="F45" s="2042"/>
      <c r="G45" s="2163"/>
      <c r="H45" s="1839"/>
      <c r="I45" s="2033"/>
      <c r="M45" s="1576"/>
      <c r="O45" s="2037"/>
      <c r="P45" s="2038"/>
      <c r="Q45" s="2037"/>
    </row>
    <row r="46" spans="1:20" s="2036" customFormat="1" ht="13.5" customHeight="1">
      <c r="A46" s="2030">
        <v>9</v>
      </c>
      <c r="B46" s="2031">
        <v>741</v>
      </c>
      <c r="C46" s="2031" t="s">
        <v>3760</v>
      </c>
      <c r="D46" s="2031" t="s">
        <v>3761</v>
      </c>
      <c r="E46" s="237" t="s">
        <v>205</v>
      </c>
      <c r="F46" s="2032">
        <f>ROUND(SUM(F48:F48),3)</f>
        <v>45</v>
      </c>
      <c r="G46" s="2163"/>
      <c r="H46" s="1775">
        <f t="shared" ref="H46" si="8">ROUND(F46*G46,2)</f>
        <v>0</v>
      </c>
      <c r="I46" s="2033" t="s">
        <v>111</v>
      </c>
      <c r="J46" s="2034"/>
      <c r="K46" s="2035"/>
      <c r="M46" s="1576"/>
      <c r="O46" s="2037"/>
      <c r="P46" s="2038"/>
      <c r="Q46" s="2037"/>
      <c r="T46" s="2039"/>
    </row>
    <row r="47" spans="1:20" s="2036" customFormat="1" ht="13.5" customHeight="1">
      <c r="A47" s="2040"/>
      <c r="B47" s="2031"/>
      <c r="C47" s="2031"/>
      <c r="D47" s="238" t="s">
        <v>3759</v>
      </c>
      <c r="E47" s="237"/>
      <c r="F47" s="239"/>
      <c r="G47" s="2163"/>
      <c r="H47" s="1839"/>
      <c r="I47" s="2033"/>
      <c r="J47" s="1890"/>
      <c r="N47" s="2041"/>
      <c r="O47" s="2037"/>
      <c r="P47" s="2037"/>
      <c r="Q47" s="2037"/>
      <c r="T47" s="2039"/>
    </row>
    <row r="48" spans="1:20" s="2036" customFormat="1" ht="13.5" customHeight="1">
      <c r="A48" s="2040"/>
      <c r="B48" s="2031"/>
      <c r="C48" s="2031"/>
      <c r="D48" s="238" t="s">
        <v>1169</v>
      </c>
      <c r="E48" s="2031"/>
      <c r="F48" s="2042">
        <v>45</v>
      </c>
      <c r="G48" s="2163"/>
      <c r="H48" s="1839"/>
      <c r="I48" s="2033"/>
      <c r="M48" s="1576"/>
      <c r="O48" s="2037"/>
      <c r="P48" s="2038"/>
      <c r="Q48" s="2037"/>
    </row>
    <row r="49" spans="1:20" s="2036" customFormat="1" ht="13.5" customHeight="1">
      <c r="A49" s="2040"/>
      <c r="B49" s="2031"/>
      <c r="C49" s="2031"/>
      <c r="D49" s="240" t="s">
        <v>3741</v>
      </c>
      <c r="E49" s="237"/>
      <c r="F49" s="2042"/>
      <c r="G49" s="2163"/>
      <c r="H49" s="1839"/>
      <c r="I49" s="2033"/>
      <c r="M49" s="1576"/>
      <c r="O49" s="2037"/>
      <c r="P49" s="2038"/>
      <c r="Q49" s="2037"/>
    </row>
    <row r="50" spans="1:20" s="2036" customFormat="1" ht="13.5" customHeight="1">
      <c r="A50" s="2030">
        <v>10</v>
      </c>
      <c r="B50" s="2031">
        <v>741</v>
      </c>
      <c r="C50" s="2031" t="s">
        <v>3762</v>
      </c>
      <c r="D50" s="2031" t="s">
        <v>3763</v>
      </c>
      <c r="E50" s="237" t="s">
        <v>205</v>
      </c>
      <c r="F50" s="2032">
        <f>ROUND(SUM(F52:F52),3)</f>
        <v>1</v>
      </c>
      <c r="G50" s="2163"/>
      <c r="H50" s="1775">
        <f t="shared" ref="H50" si="9">ROUND(F50*G50,2)</f>
        <v>0</v>
      </c>
      <c r="I50" s="2033" t="s">
        <v>111</v>
      </c>
      <c r="J50" s="2034"/>
      <c r="K50" s="2035"/>
      <c r="M50" s="1576"/>
      <c r="O50" s="2037"/>
      <c r="P50" s="2038"/>
      <c r="Q50" s="2037"/>
      <c r="T50" s="2039"/>
    </row>
    <row r="51" spans="1:20" s="2036" customFormat="1" ht="13.5" customHeight="1">
      <c r="A51" s="2040"/>
      <c r="B51" s="2031"/>
      <c r="C51" s="2031"/>
      <c r="D51" s="238" t="s">
        <v>3764</v>
      </c>
      <c r="E51" s="237"/>
      <c r="F51" s="239"/>
      <c r="G51" s="2163"/>
      <c r="H51" s="1839"/>
      <c r="I51" s="2033"/>
      <c r="J51" s="1890"/>
      <c r="N51" s="2041"/>
      <c r="O51" s="2037"/>
      <c r="P51" s="2037"/>
      <c r="Q51" s="2037"/>
      <c r="T51" s="2039"/>
    </row>
    <row r="52" spans="1:20" s="2036" customFormat="1" ht="13.5" customHeight="1">
      <c r="A52" s="2040"/>
      <c r="B52" s="2031"/>
      <c r="C52" s="2031"/>
      <c r="D52" s="238" t="s">
        <v>1222</v>
      </c>
      <c r="E52" s="2031"/>
      <c r="F52" s="2042">
        <v>1</v>
      </c>
      <c r="G52" s="2163"/>
      <c r="H52" s="1839"/>
      <c r="I52" s="2033"/>
      <c r="M52" s="1576"/>
      <c r="O52" s="2037"/>
      <c r="P52" s="2038"/>
      <c r="Q52" s="2037"/>
    </row>
    <row r="53" spans="1:20" s="2036" customFormat="1" ht="13.5" customHeight="1">
      <c r="A53" s="2040"/>
      <c r="B53" s="2031"/>
      <c r="C53" s="2031"/>
      <c r="D53" s="240" t="s">
        <v>3741</v>
      </c>
      <c r="E53" s="237"/>
      <c r="F53" s="2042"/>
      <c r="G53" s="2163"/>
      <c r="H53" s="1839"/>
      <c r="I53" s="2033"/>
      <c r="M53" s="1576"/>
      <c r="O53" s="2037"/>
      <c r="P53" s="2038"/>
      <c r="Q53" s="2037"/>
    </row>
    <row r="54" spans="1:20" s="2036" customFormat="1" ht="13.5" customHeight="1">
      <c r="A54" s="2030">
        <v>11</v>
      </c>
      <c r="B54" s="2031">
        <v>741</v>
      </c>
      <c r="C54" s="2031" t="s">
        <v>3765</v>
      </c>
      <c r="D54" s="2031" t="s">
        <v>3766</v>
      </c>
      <c r="E54" s="237" t="s">
        <v>205</v>
      </c>
      <c r="F54" s="2032">
        <f>ROUND(SUM(F56:F56),3)</f>
        <v>3</v>
      </c>
      <c r="G54" s="2163"/>
      <c r="H54" s="1775">
        <f t="shared" ref="H54" si="10">ROUND(F54*G54,2)</f>
        <v>0</v>
      </c>
      <c r="I54" s="2033" t="s">
        <v>111</v>
      </c>
      <c r="J54" s="2034"/>
      <c r="K54" s="2035"/>
      <c r="M54" s="1576"/>
      <c r="O54" s="2037"/>
      <c r="P54" s="2038"/>
      <c r="Q54" s="2037"/>
      <c r="T54" s="2039"/>
    </row>
    <row r="55" spans="1:20" s="2036" customFormat="1" ht="13.5" customHeight="1">
      <c r="A55" s="2040"/>
      <c r="B55" s="2031"/>
      <c r="C55" s="2031"/>
      <c r="D55" s="238" t="s">
        <v>3767</v>
      </c>
      <c r="E55" s="237"/>
      <c r="F55" s="239"/>
      <c r="G55" s="2163"/>
      <c r="H55" s="1839"/>
      <c r="I55" s="2033"/>
      <c r="J55" s="1890"/>
      <c r="N55" s="2041"/>
      <c r="O55" s="2037"/>
      <c r="P55" s="2037"/>
      <c r="Q55" s="2037"/>
      <c r="T55" s="2039"/>
    </row>
    <row r="56" spans="1:20" s="2036" customFormat="1" ht="13.5" customHeight="1">
      <c r="A56" s="2040"/>
      <c r="B56" s="2031"/>
      <c r="C56" s="2031"/>
      <c r="D56" s="238" t="s">
        <v>1169</v>
      </c>
      <c r="E56" s="2031"/>
      <c r="F56" s="2042">
        <v>3</v>
      </c>
      <c r="G56" s="2163"/>
      <c r="H56" s="1839"/>
      <c r="I56" s="2033"/>
      <c r="M56" s="1576"/>
      <c r="O56" s="2037"/>
      <c r="P56" s="2038"/>
      <c r="Q56" s="2037"/>
    </row>
    <row r="57" spans="1:20" s="2036" customFormat="1" ht="13.5" customHeight="1">
      <c r="A57" s="2040"/>
      <c r="B57" s="2031"/>
      <c r="C57" s="2031"/>
      <c r="D57" s="240" t="s">
        <v>3741</v>
      </c>
      <c r="E57" s="237"/>
      <c r="F57" s="2042"/>
      <c r="G57" s="2163"/>
      <c r="H57" s="1839"/>
      <c r="I57" s="2033"/>
      <c r="M57" s="1576"/>
      <c r="O57" s="2037"/>
      <c r="P57" s="2038"/>
      <c r="Q57" s="2037"/>
    </row>
    <row r="58" spans="1:20" s="2036" customFormat="1" ht="13.5" customHeight="1">
      <c r="A58" s="2030">
        <v>12</v>
      </c>
      <c r="B58" s="2031">
        <v>741</v>
      </c>
      <c r="C58" s="2031" t="s">
        <v>3768</v>
      </c>
      <c r="D58" s="2031" t="s">
        <v>3769</v>
      </c>
      <c r="E58" s="237" t="s">
        <v>205</v>
      </c>
      <c r="F58" s="2032">
        <f>ROUND(SUM(F60:F61),3)</f>
        <v>35</v>
      </c>
      <c r="G58" s="2163"/>
      <c r="H58" s="1775">
        <f t="shared" ref="H58" si="11">ROUND(F58*G58,2)</f>
        <v>0</v>
      </c>
      <c r="I58" s="2033" t="s">
        <v>111</v>
      </c>
      <c r="J58" s="2034"/>
      <c r="K58" s="2035"/>
      <c r="M58" s="1576"/>
      <c r="O58" s="2037"/>
      <c r="P58" s="2038"/>
      <c r="Q58" s="2037"/>
      <c r="T58" s="2039"/>
    </row>
    <row r="59" spans="1:20" s="2036" customFormat="1" ht="13.5" customHeight="1">
      <c r="A59" s="2040"/>
      <c r="B59" s="2031"/>
      <c r="C59" s="2031"/>
      <c r="D59" s="238" t="s">
        <v>3770</v>
      </c>
      <c r="E59" s="237"/>
      <c r="F59" s="239"/>
      <c r="G59" s="2163"/>
      <c r="H59" s="1839"/>
      <c r="I59" s="2033"/>
      <c r="J59" s="1890"/>
      <c r="N59" s="2041"/>
      <c r="O59" s="2037"/>
      <c r="P59" s="2037"/>
      <c r="Q59" s="2037"/>
      <c r="T59" s="2039"/>
    </row>
    <row r="60" spans="1:20" s="2036" customFormat="1" ht="13.5" customHeight="1">
      <c r="A60" s="2040"/>
      <c r="B60" s="2031"/>
      <c r="C60" s="2031"/>
      <c r="D60" s="238" t="s">
        <v>1169</v>
      </c>
      <c r="E60" s="2031"/>
      <c r="F60" s="2042">
        <v>24</v>
      </c>
      <c r="G60" s="2163"/>
      <c r="H60" s="1839"/>
      <c r="I60" s="2033"/>
      <c r="M60" s="1576"/>
      <c r="O60" s="2037"/>
      <c r="P60" s="2038"/>
      <c r="Q60" s="2037"/>
    </row>
    <row r="61" spans="1:20" s="2036" customFormat="1" ht="13.5" customHeight="1">
      <c r="A61" s="2040"/>
      <c r="B61" s="2031"/>
      <c r="C61" s="2031"/>
      <c r="D61" s="238" t="s">
        <v>1222</v>
      </c>
      <c r="E61" s="2031"/>
      <c r="F61" s="2042">
        <v>11</v>
      </c>
      <c r="G61" s="2163"/>
      <c r="H61" s="1839"/>
      <c r="I61" s="2033"/>
      <c r="M61" s="1576"/>
      <c r="O61" s="2037"/>
      <c r="P61" s="2038"/>
      <c r="Q61" s="2037"/>
    </row>
    <row r="62" spans="1:20" s="2036" customFormat="1" ht="13.5" customHeight="1">
      <c r="A62" s="2040"/>
      <c r="B62" s="2031"/>
      <c r="C62" s="2031"/>
      <c r="D62" s="240" t="s">
        <v>3741</v>
      </c>
      <c r="E62" s="237"/>
      <c r="F62" s="2042"/>
      <c r="G62" s="2163"/>
      <c r="H62" s="1839"/>
      <c r="I62" s="2033"/>
      <c r="M62" s="1576"/>
      <c r="O62" s="2037"/>
      <c r="P62" s="2038"/>
      <c r="Q62" s="2037"/>
    </row>
    <row r="63" spans="1:20" s="2036" customFormat="1" ht="13.5" customHeight="1">
      <c r="A63" s="2030">
        <v>13</v>
      </c>
      <c r="B63" s="2031">
        <v>741</v>
      </c>
      <c r="C63" s="2031" t="s">
        <v>3771</v>
      </c>
      <c r="D63" s="2031" t="s">
        <v>3772</v>
      </c>
      <c r="E63" s="237" t="s">
        <v>205</v>
      </c>
      <c r="F63" s="2032">
        <f>ROUND(SUM(F65:F65),3)</f>
        <v>6</v>
      </c>
      <c r="G63" s="2163"/>
      <c r="H63" s="1775">
        <f t="shared" ref="H63" si="12">ROUND(F63*G63,2)</f>
        <v>0</v>
      </c>
      <c r="I63" s="2033" t="s">
        <v>111</v>
      </c>
      <c r="J63" s="2034"/>
      <c r="K63" s="2035"/>
      <c r="M63" s="1576"/>
      <c r="O63" s="2037"/>
      <c r="P63" s="2038"/>
      <c r="Q63" s="2037"/>
      <c r="T63" s="2039"/>
    </row>
    <row r="64" spans="1:20" s="2036" customFormat="1" ht="13.5" customHeight="1">
      <c r="A64" s="2040"/>
      <c r="B64" s="2031"/>
      <c r="C64" s="2031"/>
      <c r="D64" s="238" t="s">
        <v>3770</v>
      </c>
      <c r="E64" s="237"/>
      <c r="F64" s="239"/>
      <c r="G64" s="2163"/>
      <c r="H64" s="1839"/>
      <c r="I64" s="2033"/>
      <c r="J64" s="1890"/>
      <c r="N64" s="2041"/>
      <c r="O64" s="2037"/>
      <c r="P64" s="2037"/>
      <c r="Q64" s="2037"/>
      <c r="T64" s="2039"/>
    </row>
    <row r="65" spans="1:20" s="2036" customFormat="1" ht="13.5" customHeight="1">
      <c r="A65" s="2040"/>
      <c r="B65" s="2031"/>
      <c r="C65" s="2031"/>
      <c r="D65" s="238" t="s">
        <v>1169</v>
      </c>
      <c r="E65" s="2031"/>
      <c r="F65" s="2042">
        <v>6</v>
      </c>
      <c r="G65" s="2163"/>
      <c r="H65" s="1839"/>
      <c r="I65" s="2033"/>
      <c r="M65" s="1576"/>
      <c r="O65" s="2037"/>
      <c r="P65" s="2038"/>
      <c r="Q65" s="2037"/>
    </row>
    <row r="66" spans="1:20" s="2036" customFormat="1" ht="13.5" customHeight="1">
      <c r="A66" s="2040"/>
      <c r="B66" s="2031"/>
      <c r="C66" s="2031"/>
      <c r="D66" s="240" t="s">
        <v>3741</v>
      </c>
      <c r="E66" s="237"/>
      <c r="F66" s="2042"/>
      <c r="G66" s="2163"/>
      <c r="H66" s="1839"/>
      <c r="I66" s="2033"/>
      <c r="M66" s="1576"/>
      <c r="O66" s="2037"/>
      <c r="P66" s="2038"/>
      <c r="Q66" s="2037"/>
    </row>
    <row r="67" spans="1:20" s="2036" customFormat="1" ht="13.5" customHeight="1">
      <c r="A67" s="2030">
        <v>14</v>
      </c>
      <c r="B67" s="2031">
        <v>741</v>
      </c>
      <c r="C67" s="2031" t="s">
        <v>3773</v>
      </c>
      <c r="D67" s="2031" t="s">
        <v>3774</v>
      </c>
      <c r="E67" s="237" t="s">
        <v>205</v>
      </c>
      <c r="F67" s="2032">
        <f>ROUND(SUM(F69:F70),3)</f>
        <v>25</v>
      </c>
      <c r="G67" s="2163"/>
      <c r="H67" s="1775">
        <f t="shared" ref="H67" si="13">ROUND(F67*G67,2)</f>
        <v>0</v>
      </c>
      <c r="I67" s="2033" t="s">
        <v>111</v>
      </c>
      <c r="J67" s="2034"/>
      <c r="K67" s="2035"/>
      <c r="M67" s="1576"/>
      <c r="O67" s="2037"/>
      <c r="P67" s="2038"/>
      <c r="Q67" s="2037"/>
      <c r="T67" s="2039"/>
    </row>
    <row r="68" spans="1:20" s="2036" customFormat="1" ht="13.5" customHeight="1">
      <c r="A68" s="2040"/>
      <c r="B68" s="2031"/>
      <c r="C68" s="2031"/>
      <c r="D68" s="238" t="s">
        <v>3775</v>
      </c>
      <c r="E68" s="237"/>
      <c r="F68" s="239"/>
      <c r="G68" s="2163"/>
      <c r="H68" s="1839"/>
      <c r="I68" s="2033"/>
      <c r="J68" s="1890"/>
      <c r="N68" s="2041"/>
      <c r="O68" s="2037"/>
      <c r="P68" s="2037"/>
      <c r="Q68" s="2037"/>
      <c r="T68" s="2039"/>
    </row>
    <row r="69" spans="1:20" s="2036" customFormat="1" ht="13.5" customHeight="1">
      <c r="A69" s="2040"/>
      <c r="B69" s="2031"/>
      <c r="C69" s="2031"/>
      <c r="D69" s="238" t="s">
        <v>1169</v>
      </c>
      <c r="E69" s="2031"/>
      <c r="F69" s="2042">
        <v>7</v>
      </c>
      <c r="G69" s="2163"/>
      <c r="H69" s="1839"/>
      <c r="I69" s="2033"/>
      <c r="M69" s="1576"/>
      <c r="O69" s="2037"/>
      <c r="P69" s="2038"/>
      <c r="Q69" s="2037"/>
    </row>
    <row r="70" spans="1:20" s="2036" customFormat="1" ht="13.5" customHeight="1">
      <c r="A70" s="2040"/>
      <c r="B70" s="2031"/>
      <c r="C70" s="2031"/>
      <c r="D70" s="238" t="s">
        <v>1222</v>
      </c>
      <c r="E70" s="2031"/>
      <c r="F70" s="2042">
        <v>18</v>
      </c>
      <c r="G70" s="2163"/>
      <c r="H70" s="1839"/>
      <c r="I70" s="2033"/>
      <c r="M70" s="1576"/>
      <c r="O70" s="2037"/>
      <c r="P70" s="2038"/>
      <c r="Q70" s="2037"/>
    </row>
    <row r="71" spans="1:20" s="2036" customFormat="1" ht="13.5" customHeight="1">
      <c r="A71" s="2040"/>
      <c r="B71" s="2031"/>
      <c r="C71" s="2031"/>
      <c r="D71" s="240" t="s">
        <v>3741</v>
      </c>
      <c r="E71" s="237"/>
      <c r="F71" s="2042"/>
      <c r="G71" s="2163"/>
      <c r="H71" s="1839"/>
      <c r="I71" s="2033"/>
      <c r="M71" s="1576"/>
      <c r="O71" s="2037"/>
      <c r="P71" s="2038"/>
      <c r="Q71" s="2037"/>
    </row>
    <row r="72" spans="1:20" s="2036" customFormat="1" ht="13.5" customHeight="1">
      <c r="A72" s="2030">
        <v>15</v>
      </c>
      <c r="B72" s="2031">
        <v>741</v>
      </c>
      <c r="C72" s="2031" t="s">
        <v>3776</v>
      </c>
      <c r="D72" s="2031" t="s">
        <v>3777</v>
      </c>
      <c r="E72" s="237" t="s">
        <v>205</v>
      </c>
      <c r="F72" s="2032">
        <f>ROUND(SUM(F74:F75),3)</f>
        <v>41</v>
      </c>
      <c r="G72" s="2163"/>
      <c r="H72" s="1775">
        <f t="shared" ref="H72" si="14">ROUND(F72*G72,2)</f>
        <v>0</v>
      </c>
      <c r="I72" s="2033" t="s">
        <v>111</v>
      </c>
      <c r="J72" s="2034"/>
      <c r="K72" s="2035"/>
      <c r="M72" s="1576"/>
      <c r="O72" s="2037"/>
      <c r="P72" s="2038"/>
      <c r="Q72" s="2037"/>
      <c r="T72" s="2039"/>
    </row>
    <row r="73" spans="1:20" s="2036" customFormat="1" ht="13.5" customHeight="1">
      <c r="A73" s="2040"/>
      <c r="B73" s="2031"/>
      <c r="C73" s="2031"/>
      <c r="D73" s="238" t="s">
        <v>3778</v>
      </c>
      <c r="E73" s="237"/>
      <c r="F73" s="239"/>
      <c r="G73" s="2163"/>
      <c r="H73" s="1839"/>
      <c r="I73" s="2033"/>
      <c r="J73" s="1890"/>
      <c r="N73" s="2041"/>
      <c r="O73" s="2037"/>
      <c r="P73" s="2037"/>
      <c r="Q73" s="2037"/>
      <c r="T73" s="2039"/>
    </row>
    <row r="74" spans="1:20" s="2036" customFormat="1" ht="13.5" customHeight="1">
      <c r="A74" s="2040"/>
      <c r="B74" s="2031"/>
      <c r="C74" s="2031"/>
      <c r="D74" s="238" t="s">
        <v>1169</v>
      </c>
      <c r="E74" s="2031"/>
      <c r="F74" s="2042">
        <v>32</v>
      </c>
      <c r="G74" s="2163"/>
      <c r="H74" s="1839"/>
      <c r="I74" s="2033"/>
      <c r="M74" s="1576"/>
      <c r="O74" s="2037"/>
      <c r="P74" s="2038"/>
      <c r="Q74" s="2037"/>
    </row>
    <row r="75" spans="1:20" s="2036" customFormat="1" ht="13.5" customHeight="1">
      <c r="A75" s="2040"/>
      <c r="B75" s="2031"/>
      <c r="C75" s="2031"/>
      <c r="D75" s="238" t="s">
        <v>1222</v>
      </c>
      <c r="E75" s="2031"/>
      <c r="F75" s="2042">
        <v>9</v>
      </c>
      <c r="G75" s="2163"/>
      <c r="H75" s="1839"/>
      <c r="I75" s="2033"/>
      <c r="M75" s="1576"/>
      <c r="O75" s="2037"/>
      <c r="P75" s="2038"/>
      <c r="Q75" s="2037"/>
    </row>
    <row r="76" spans="1:20" s="2036" customFormat="1" ht="13.5" customHeight="1">
      <c r="A76" s="2040"/>
      <c r="B76" s="2031"/>
      <c r="C76" s="2031"/>
      <c r="D76" s="240" t="s">
        <v>3741</v>
      </c>
      <c r="E76" s="237"/>
      <c r="F76" s="2042"/>
      <c r="G76" s="2163"/>
      <c r="H76" s="1839"/>
      <c r="I76" s="2033"/>
      <c r="M76" s="1576"/>
      <c r="O76" s="2037"/>
      <c r="P76" s="2038"/>
      <c r="Q76" s="2037"/>
    </row>
    <row r="77" spans="1:20" s="2036" customFormat="1" ht="13.5" customHeight="1">
      <c r="A77" s="2030">
        <v>16</v>
      </c>
      <c r="B77" s="2031">
        <v>741</v>
      </c>
      <c r="C77" s="2031" t="s">
        <v>3779</v>
      </c>
      <c r="D77" s="2031" t="s">
        <v>3780</v>
      </c>
      <c r="E77" s="237" t="s">
        <v>205</v>
      </c>
      <c r="F77" s="2032">
        <f>ROUND(SUM(F79:F79),3)</f>
        <v>5</v>
      </c>
      <c r="G77" s="2163"/>
      <c r="H77" s="1775">
        <f t="shared" ref="H77" si="15">ROUND(F77*G77,2)</f>
        <v>0</v>
      </c>
      <c r="I77" s="2033" t="s">
        <v>111</v>
      </c>
      <c r="J77" s="2034"/>
      <c r="K77" s="2035"/>
      <c r="M77" s="1576"/>
      <c r="O77" s="2037"/>
      <c r="P77" s="2038"/>
      <c r="Q77" s="2037"/>
      <c r="T77" s="2039"/>
    </row>
    <row r="78" spans="1:20" s="2036" customFormat="1" ht="13.5" customHeight="1">
      <c r="A78" s="2040"/>
      <c r="B78" s="2031"/>
      <c r="C78" s="2031"/>
      <c r="D78" s="238" t="s">
        <v>3781</v>
      </c>
      <c r="E78" s="237"/>
      <c r="F78" s="239"/>
      <c r="G78" s="2163"/>
      <c r="H78" s="1839"/>
      <c r="I78" s="2033"/>
      <c r="J78" s="1890"/>
      <c r="N78" s="2041"/>
      <c r="O78" s="2037"/>
      <c r="P78" s="2037"/>
      <c r="Q78" s="2037"/>
      <c r="T78" s="2039"/>
    </row>
    <row r="79" spans="1:20" s="2036" customFormat="1" ht="13.5" customHeight="1">
      <c r="A79" s="2040"/>
      <c r="B79" s="2031"/>
      <c r="C79" s="2031"/>
      <c r="D79" s="238" t="s">
        <v>1169</v>
      </c>
      <c r="E79" s="2031"/>
      <c r="F79" s="2042">
        <v>5</v>
      </c>
      <c r="G79" s="2163"/>
      <c r="H79" s="1839"/>
      <c r="I79" s="2033"/>
      <c r="M79" s="1576"/>
      <c r="O79" s="2037"/>
      <c r="P79" s="2038"/>
      <c r="Q79" s="2037"/>
    </row>
    <row r="80" spans="1:20" s="2036" customFormat="1" ht="13.5" customHeight="1">
      <c r="A80" s="2040"/>
      <c r="B80" s="2031"/>
      <c r="C80" s="2031"/>
      <c r="D80" s="240" t="s">
        <v>3741</v>
      </c>
      <c r="E80" s="237"/>
      <c r="F80" s="2042"/>
      <c r="G80" s="2163"/>
      <c r="H80" s="1839"/>
      <c r="I80" s="2033"/>
      <c r="M80" s="1576"/>
      <c r="O80" s="2037"/>
      <c r="P80" s="2038"/>
      <c r="Q80" s="2037"/>
    </row>
    <row r="81" spans="1:20" s="2036" customFormat="1" ht="13.5" customHeight="1">
      <c r="A81" s="2030">
        <v>17</v>
      </c>
      <c r="B81" s="2031">
        <v>741</v>
      </c>
      <c r="C81" s="2031" t="s">
        <v>3782</v>
      </c>
      <c r="D81" s="2031" t="s">
        <v>3783</v>
      </c>
      <c r="E81" s="237" t="s">
        <v>205</v>
      </c>
      <c r="F81" s="239">
        <f>SUM(F83:F85)</f>
        <v>29</v>
      </c>
      <c r="G81" s="2163"/>
      <c r="H81" s="1775">
        <f t="shared" ref="H81" si="16">ROUND(F81*G81,2)</f>
        <v>0</v>
      </c>
      <c r="I81" s="2033" t="s">
        <v>111</v>
      </c>
      <c r="J81" s="2043"/>
      <c r="M81" s="1576"/>
      <c r="O81" s="2037"/>
      <c r="P81" s="2038"/>
      <c r="Q81" s="2037"/>
    </row>
    <row r="82" spans="1:20" s="2036" customFormat="1" ht="13.5" customHeight="1">
      <c r="A82" s="2040"/>
      <c r="B82" s="2031"/>
      <c r="C82" s="2031"/>
      <c r="D82" s="238" t="s">
        <v>3784</v>
      </c>
      <c r="E82" s="237"/>
      <c r="F82" s="239"/>
      <c r="G82" s="2163"/>
      <c r="H82" s="1839"/>
      <c r="I82" s="2033"/>
      <c r="J82" s="2035"/>
      <c r="O82" s="2037"/>
      <c r="P82" s="2037"/>
      <c r="Q82" s="2037"/>
      <c r="T82" s="2034"/>
    </row>
    <row r="83" spans="1:20" s="2036" customFormat="1" ht="13.5" customHeight="1">
      <c r="A83" s="2040"/>
      <c r="B83" s="2031"/>
      <c r="C83" s="2031"/>
      <c r="D83" s="238" t="s">
        <v>1221</v>
      </c>
      <c r="E83" s="2031"/>
      <c r="F83" s="2042">
        <v>5</v>
      </c>
      <c r="G83" s="2163"/>
      <c r="H83" s="1839"/>
      <c r="I83" s="2033"/>
      <c r="M83" s="1576"/>
      <c r="O83" s="2034"/>
      <c r="P83" s="2038"/>
      <c r="Q83" s="2037"/>
    </row>
    <row r="84" spans="1:20" s="2036" customFormat="1" ht="13.5" customHeight="1">
      <c r="A84" s="2044"/>
      <c r="B84" s="2031"/>
      <c r="C84" s="2031"/>
      <c r="D84" s="238" t="s">
        <v>1169</v>
      </c>
      <c r="E84" s="2031"/>
      <c r="F84" s="2042">
        <v>19</v>
      </c>
      <c r="G84" s="2163"/>
      <c r="H84" s="1839"/>
      <c r="I84" s="2033"/>
      <c r="M84" s="1576"/>
      <c r="O84" s="2037"/>
      <c r="P84" s="2038"/>
      <c r="Q84" s="2037"/>
    </row>
    <row r="85" spans="1:20" s="2036" customFormat="1" ht="13.5" customHeight="1">
      <c r="A85" s="2044"/>
      <c r="B85" s="2031"/>
      <c r="C85" s="2031"/>
      <c r="D85" s="238" t="s">
        <v>1222</v>
      </c>
      <c r="E85" s="2031"/>
      <c r="F85" s="2042">
        <v>5</v>
      </c>
      <c r="G85" s="2163"/>
      <c r="H85" s="1839"/>
      <c r="I85" s="2033"/>
      <c r="M85" s="1576"/>
      <c r="O85" s="2037"/>
      <c r="P85" s="2038"/>
      <c r="Q85" s="2037"/>
    </row>
    <row r="86" spans="1:20" s="2036" customFormat="1" ht="13.5" customHeight="1">
      <c r="A86" s="2040"/>
      <c r="B86" s="2031"/>
      <c r="C86" s="2031"/>
      <c r="D86" s="240" t="s">
        <v>3741</v>
      </c>
      <c r="E86" s="237"/>
      <c r="F86" s="2042"/>
      <c r="G86" s="2163"/>
      <c r="H86" s="1839"/>
      <c r="I86" s="2033"/>
      <c r="M86" s="1576"/>
      <c r="O86" s="2037"/>
      <c r="P86" s="2038"/>
      <c r="Q86" s="2037"/>
    </row>
    <row r="87" spans="1:20" s="2036" customFormat="1" ht="13.5" customHeight="1">
      <c r="A87" s="2030">
        <v>18</v>
      </c>
      <c r="B87" s="2031">
        <v>741</v>
      </c>
      <c r="C87" s="2031" t="s">
        <v>3785</v>
      </c>
      <c r="D87" s="2031" t="s">
        <v>3786</v>
      </c>
      <c r="E87" s="237" t="s">
        <v>205</v>
      </c>
      <c r="F87" s="239">
        <f>SUM(F89:F90)</f>
        <v>16</v>
      </c>
      <c r="G87" s="2163"/>
      <c r="H87" s="1775">
        <f t="shared" ref="H87" si="17">ROUND(F87*G87,2)</f>
        <v>0</v>
      </c>
      <c r="I87" s="2033" t="s">
        <v>111</v>
      </c>
      <c r="M87" s="1576"/>
      <c r="O87" s="2037"/>
      <c r="P87" s="2038"/>
      <c r="Q87" s="2037"/>
    </row>
    <row r="88" spans="1:20" s="2036" customFormat="1" ht="13.5" customHeight="1">
      <c r="A88" s="2040"/>
      <c r="B88" s="2031"/>
      <c r="C88" s="2031"/>
      <c r="D88" s="238" t="s">
        <v>3787</v>
      </c>
      <c r="E88" s="237"/>
      <c r="F88" s="239"/>
      <c r="G88" s="2163"/>
      <c r="H88" s="1839"/>
      <c r="I88" s="2033"/>
      <c r="J88" s="2035"/>
      <c r="O88" s="2037"/>
      <c r="P88" s="2037"/>
      <c r="Q88" s="2037"/>
      <c r="T88" s="2034"/>
    </row>
    <row r="89" spans="1:20" s="2036" customFormat="1" ht="13.5" customHeight="1">
      <c r="A89" s="2044"/>
      <c r="B89" s="2031"/>
      <c r="C89" s="2031"/>
      <c r="D89" s="238" t="s">
        <v>1169</v>
      </c>
      <c r="E89" s="2031"/>
      <c r="F89" s="2042">
        <v>6</v>
      </c>
      <c r="G89" s="2163"/>
      <c r="H89" s="1839"/>
      <c r="I89" s="2033"/>
      <c r="M89" s="1576"/>
      <c r="O89" s="2037"/>
      <c r="P89" s="2038"/>
      <c r="Q89" s="2037"/>
    </row>
    <row r="90" spans="1:20" s="2036" customFormat="1" ht="13.5" customHeight="1">
      <c r="A90" s="2044"/>
      <c r="B90" s="2031"/>
      <c r="C90" s="2031"/>
      <c r="D90" s="238" t="s">
        <v>1222</v>
      </c>
      <c r="E90" s="2031"/>
      <c r="F90" s="2042">
        <v>10</v>
      </c>
      <c r="G90" s="2163"/>
      <c r="H90" s="1839"/>
      <c r="I90" s="2033"/>
      <c r="M90" s="1576"/>
      <c r="O90" s="2037"/>
      <c r="P90" s="2038"/>
      <c r="Q90" s="2037"/>
    </row>
    <row r="91" spans="1:20" s="2036" customFormat="1" ht="13.5" customHeight="1">
      <c r="A91" s="2040"/>
      <c r="B91" s="2031"/>
      <c r="C91" s="2031"/>
      <c r="D91" s="240" t="s">
        <v>3741</v>
      </c>
      <c r="E91" s="237"/>
      <c r="F91" s="2042"/>
      <c r="G91" s="2163"/>
      <c r="H91" s="1839"/>
      <c r="I91" s="2033"/>
      <c r="M91" s="1576"/>
      <c r="O91" s="2037"/>
      <c r="P91" s="2038"/>
      <c r="Q91" s="2037"/>
    </row>
    <row r="92" spans="1:20" s="2036" customFormat="1" ht="13.5" customHeight="1">
      <c r="A92" s="2030">
        <v>19</v>
      </c>
      <c r="B92" s="2031">
        <v>741</v>
      </c>
      <c r="C92" s="2031" t="s">
        <v>3788</v>
      </c>
      <c r="D92" s="2031" t="s">
        <v>3789</v>
      </c>
      <c r="E92" s="237" t="s">
        <v>205</v>
      </c>
      <c r="F92" s="239">
        <f>SUM(F94:F95)</f>
        <v>19</v>
      </c>
      <c r="G92" s="2163"/>
      <c r="H92" s="1775">
        <f t="shared" ref="H92" si="18">ROUND(F92*G92,2)</f>
        <v>0</v>
      </c>
      <c r="I92" s="2033" t="s">
        <v>111</v>
      </c>
      <c r="M92" s="1576"/>
      <c r="O92" s="2037"/>
      <c r="P92" s="2038"/>
      <c r="Q92" s="2037"/>
    </row>
    <row r="93" spans="1:20" s="2036" customFormat="1" ht="13.5" customHeight="1">
      <c r="A93" s="2040"/>
      <c r="B93" s="2031"/>
      <c r="C93" s="2031"/>
      <c r="D93" s="238" t="s">
        <v>3787</v>
      </c>
      <c r="E93" s="237"/>
      <c r="F93" s="239"/>
      <c r="G93" s="2163"/>
      <c r="H93" s="1839"/>
      <c r="I93" s="2033"/>
      <c r="J93" s="2035"/>
      <c r="O93" s="2037"/>
      <c r="P93" s="2037"/>
      <c r="Q93" s="2037"/>
      <c r="T93" s="2034"/>
    </row>
    <row r="94" spans="1:20" s="2036" customFormat="1" ht="13.5" customHeight="1">
      <c r="A94" s="2044"/>
      <c r="B94" s="2031"/>
      <c r="C94" s="2031"/>
      <c r="D94" s="238" t="s">
        <v>1169</v>
      </c>
      <c r="E94" s="2031"/>
      <c r="F94" s="2042">
        <v>7</v>
      </c>
      <c r="G94" s="2163"/>
      <c r="H94" s="1839"/>
      <c r="I94" s="2033"/>
      <c r="M94" s="1576"/>
      <c r="O94" s="2037"/>
      <c r="P94" s="2038"/>
      <c r="Q94" s="2037"/>
    </row>
    <row r="95" spans="1:20" s="2036" customFormat="1" ht="13.5" customHeight="1">
      <c r="A95" s="2044"/>
      <c r="B95" s="2031"/>
      <c r="C95" s="2031"/>
      <c r="D95" s="238" t="s">
        <v>1222</v>
      </c>
      <c r="E95" s="2031"/>
      <c r="F95" s="2042">
        <v>12</v>
      </c>
      <c r="G95" s="2163"/>
      <c r="H95" s="1839"/>
      <c r="I95" s="2033"/>
      <c r="M95" s="1576"/>
      <c r="O95" s="2037"/>
      <c r="P95" s="2038"/>
      <c r="Q95" s="2037"/>
    </row>
    <row r="96" spans="1:20" s="2036" customFormat="1" ht="13.5" customHeight="1">
      <c r="A96" s="2040"/>
      <c r="B96" s="2031"/>
      <c r="C96" s="2031"/>
      <c r="D96" s="240" t="s">
        <v>3741</v>
      </c>
      <c r="E96" s="237"/>
      <c r="F96" s="2042"/>
      <c r="G96" s="2163"/>
      <c r="H96" s="1839"/>
      <c r="I96" s="2033"/>
      <c r="M96" s="1576"/>
      <c r="O96" s="2037"/>
      <c r="P96" s="2038"/>
      <c r="Q96" s="2037"/>
    </row>
    <row r="97" spans="1:20" s="2036" customFormat="1" ht="13.5" customHeight="1">
      <c r="A97" s="2030">
        <v>20</v>
      </c>
      <c r="B97" s="2031">
        <v>741</v>
      </c>
      <c r="C97" s="2031" t="s">
        <v>3790</v>
      </c>
      <c r="D97" s="2031" t="s">
        <v>3791</v>
      </c>
      <c r="E97" s="237" t="s">
        <v>205</v>
      </c>
      <c r="F97" s="239">
        <f>SUM(F99:F100)</f>
        <v>10</v>
      </c>
      <c r="G97" s="2163"/>
      <c r="H97" s="1775">
        <f t="shared" ref="H97" si="19">ROUND(F97*G97,2)</f>
        <v>0</v>
      </c>
      <c r="I97" s="2033" t="s">
        <v>111</v>
      </c>
      <c r="M97" s="1576"/>
      <c r="O97" s="2037"/>
      <c r="P97" s="2038"/>
      <c r="Q97" s="2037"/>
    </row>
    <row r="98" spans="1:20" s="2036" customFormat="1" ht="13.5" customHeight="1">
      <c r="A98" s="2040"/>
      <c r="B98" s="2031"/>
      <c r="C98" s="2031"/>
      <c r="D98" s="238" t="s">
        <v>3792</v>
      </c>
      <c r="E98" s="237"/>
      <c r="F98" s="239"/>
      <c r="G98" s="2163"/>
      <c r="H98" s="1839"/>
      <c r="I98" s="2033"/>
      <c r="J98" s="2035"/>
      <c r="O98" s="2037"/>
      <c r="P98" s="2037"/>
      <c r="Q98" s="2037"/>
      <c r="T98" s="2034"/>
    </row>
    <row r="99" spans="1:20" s="2036" customFormat="1" ht="13.5" customHeight="1">
      <c r="A99" s="2044"/>
      <c r="B99" s="2031"/>
      <c r="C99" s="2031"/>
      <c r="D99" s="238" t="s">
        <v>1169</v>
      </c>
      <c r="E99" s="2031"/>
      <c r="F99" s="2042">
        <v>5</v>
      </c>
      <c r="G99" s="2163"/>
      <c r="H99" s="1839"/>
      <c r="I99" s="2033"/>
      <c r="M99" s="1576"/>
      <c r="O99" s="2037"/>
      <c r="P99" s="2038"/>
      <c r="Q99" s="2037"/>
    </row>
    <row r="100" spans="1:20" s="2036" customFormat="1" ht="13.5" customHeight="1">
      <c r="A100" s="2044"/>
      <c r="B100" s="2031"/>
      <c r="C100" s="2031"/>
      <c r="D100" s="238" t="s">
        <v>1222</v>
      </c>
      <c r="E100" s="2031"/>
      <c r="F100" s="2042">
        <v>5</v>
      </c>
      <c r="G100" s="2163"/>
      <c r="H100" s="1839"/>
      <c r="I100" s="2033"/>
      <c r="M100" s="1576"/>
      <c r="O100" s="2037"/>
      <c r="P100" s="2038"/>
      <c r="Q100" s="2037"/>
    </row>
    <row r="101" spans="1:20" s="2036" customFormat="1" ht="13.5" customHeight="1">
      <c r="A101" s="2040"/>
      <c r="B101" s="2031"/>
      <c r="C101" s="2031"/>
      <c r="D101" s="240" t="s">
        <v>3741</v>
      </c>
      <c r="E101" s="237"/>
      <c r="F101" s="2042"/>
      <c r="G101" s="2163"/>
      <c r="H101" s="1839"/>
      <c r="I101" s="2033"/>
      <c r="M101" s="1576"/>
      <c r="O101" s="2037"/>
      <c r="P101" s="2038"/>
      <c r="Q101" s="2037"/>
    </row>
    <row r="102" spans="1:20" s="2036" customFormat="1" ht="13.5" customHeight="1">
      <c r="A102" s="2030">
        <v>21</v>
      </c>
      <c r="B102" s="2031">
        <v>741</v>
      </c>
      <c r="C102" s="2031" t="s">
        <v>3793</v>
      </c>
      <c r="D102" s="2031" t="s">
        <v>3794</v>
      </c>
      <c r="E102" s="237" t="s">
        <v>205</v>
      </c>
      <c r="F102" s="239">
        <f>SUM(F104:F104)</f>
        <v>3</v>
      </c>
      <c r="G102" s="2163"/>
      <c r="H102" s="1775">
        <f t="shared" ref="H102" si="20">ROUND(F102*G102,2)</f>
        <v>0</v>
      </c>
      <c r="I102" s="2033" t="s">
        <v>111</v>
      </c>
      <c r="M102" s="1576"/>
      <c r="O102" s="2037"/>
      <c r="P102" s="2038"/>
      <c r="Q102" s="2037"/>
    </row>
    <row r="103" spans="1:20" s="2036" customFormat="1" ht="13.5" customHeight="1">
      <c r="A103" s="2040"/>
      <c r="B103" s="2031"/>
      <c r="C103" s="2031"/>
      <c r="D103" s="238" t="s">
        <v>3792</v>
      </c>
      <c r="E103" s="237"/>
      <c r="F103" s="239"/>
      <c r="G103" s="2163"/>
      <c r="H103" s="1839"/>
      <c r="I103" s="2033"/>
      <c r="J103" s="2035"/>
      <c r="O103" s="2037"/>
      <c r="P103" s="2037"/>
      <c r="Q103" s="2037"/>
      <c r="T103" s="2034"/>
    </row>
    <row r="104" spans="1:20" s="2036" customFormat="1" ht="13.5" customHeight="1">
      <c r="A104" s="2044"/>
      <c r="B104" s="2031"/>
      <c r="C104" s="2031"/>
      <c r="D104" s="238" t="s">
        <v>1169</v>
      </c>
      <c r="E104" s="2031"/>
      <c r="F104" s="2042">
        <v>3</v>
      </c>
      <c r="G104" s="2163"/>
      <c r="H104" s="1839"/>
      <c r="I104" s="2033"/>
      <c r="M104" s="1576"/>
      <c r="O104" s="2037"/>
      <c r="P104" s="2038"/>
      <c r="Q104" s="2037"/>
    </row>
    <row r="105" spans="1:20" s="2036" customFormat="1" ht="13.5" customHeight="1">
      <c r="A105" s="2040"/>
      <c r="B105" s="2031"/>
      <c r="C105" s="2031"/>
      <c r="D105" s="240" t="s">
        <v>3741</v>
      </c>
      <c r="E105" s="237"/>
      <c r="F105" s="2042"/>
      <c r="G105" s="2163"/>
      <c r="H105" s="1839"/>
      <c r="I105" s="2033"/>
      <c r="M105" s="1576"/>
      <c r="O105" s="2037"/>
      <c r="P105" s="2038"/>
      <c r="Q105" s="2037"/>
    </row>
    <row r="106" spans="1:20" s="2036" customFormat="1" ht="13.5" customHeight="1">
      <c r="A106" s="2030">
        <v>22</v>
      </c>
      <c r="B106" s="2031">
        <v>741</v>
      </c>
      <c r="C106" s="2031" t="s">
        <v>3795</v>
      </c>
      <c r="D106" s="2031" t="s">
        <v>3796</v>
      </c>
      <c r="E106" s="237" t="s">
        <v>205</v>
      </c>
      <c r="F106" s="239">
        <f>SUM(F108:F109)</f>
        <v>2</v>
      </c>
      <c r="G106" s="2163"/>
      <c r="H106" s="1775">
        <f t="shared" ref="H106" si="21">ROUND(F106*G106,2)</f>
        <v>0</v>
      </c>
      <c r="I106" s="2033" t="s">
        <v>111</v>
      </c>
      <c r="M106" s="1576"/>
      <c r="O106" s="2037"/>
      <c r="P106" s="2038"/>
      <c r="Q106" s="2037"/>
    </row>
    <row r="107" spans="1:20" s="2036" customFormat="1" ht="13.5" customHeight="1">
      <c r="A107" s="2040"/>
      <c r="B107" s="2031"/>
      <c r="C107" s="2031"/>
      <c r="D107" s="238" t="s">
        <v>3792</v>
      </c>
      <c r="E107" s="237"/>
      <c r="F107" s="239"/>
      <c r="G107" s="2163"/>
      <c r="H107" s="1839"/>
      <c r="I107" s="2033"/>
      <c r="J107" s="2035"/>
      <c r="O107" s="2037"/>
      <c r="P107" s="2037"/>
      <c r="Q107" s="2037"/>
      <c r="T107" s="2034"/>
    </row>
    <row r="108" spans="1:20" s="2036" customFormat="1" ht="13.5" customHeight="1">
      <c r="A108" s="2044"/>
      <c r="B108" s="2031"/>
      <c r="C108" s="2031"/>
      <c r="D108" s="238" t="s">
        <v>1169</v>
      </c>
      <c r="E108" s="2031"/>
      <c r="F108" s="2042">
        <v>1</v>
      </c>
      <c r="G108" s="2163"/>
      <c r="H108" s="1839"/>
      <c r="I108" s="2033"/>
      <c r="M108" s="1576"/>
      <c r="O108" s="2037"/>
      <c r="P108" s="2038"/>
      <c r="Q108" s="2037"/>
    </row>
    <row r="109" spans="1:20" s="2036" customFormat="1" ht="13.5" customHeight="1">
      <c r="A109" s="2044"/>
      <c r="B109" s="2031"/>
      <c r="C109" s="2031"/>
      <c r="D109" s="238" t="s">
        <v>1222</v>
      </c>
      <c r="E109" s="2031"/>
      <c r="F109" s="2042">
        <v>1</v>
      </c>
      <c r="G109" s="2163"/>
      <c r="H109" s="1839"/>
      <c r="I109" s="2033"/>
      <c r="M109" s="1576"/>
      <c r="O109" s="2037"/>
      <c r="P109" s="2038"/>
      <c r="Q109" s="2037"/>
    </row>
    <row r="110" spans="1:20" s="2036" customFormat="1" ht="13.5" customHeight="1">
      <c r="A110" s="2040"/>
      <c r="B110" s="2031"/>
      <c r="C110" s="2031"/>
      <c r="D110" s="240" t="s">
        <v>3741</v>
      </c>
      <c r="E110" s="237"/>
      <c r="F110" s="2042"/>
      <c r="G110" s="2163"/>
      <c r="H110" s="1839"/>
      <c r="I110" s="2033"/>
      <c r="M110" s="1576"/>
      <c r="O110" s="2037"/>
      <c r="P110" s="2038"/>
      <c r="Q110" s="2037"/>
    </row>
    <row r="111" spans="1:20" s="2036" customFormat="1" ht="13.5" customHeight="1">
      <c r="A111" s="2030">
        <v>23</v>
      </c>
      <c r="B111" s="2031">
        <v>741</v>
      </c>
      <c r="C111" s="2031" t="s">
        <v>3797</v>
      </c>
      <c r="D111" s="2031" t="s">
        <v>3798</v>
      </c>
      <c r="E111" s="237" t="s">
        <v>205</v>
      </c>
      <c r="F111" s="239">
        <f>SUM(F113:F115)</f>
        <v>10</v>
      </c>
      <c r="G111" s="2163"/>
      <c r="H111" s="1775">
        <f t="shared" ref="H111" si="22">ROUND(F111*G111,2)</f>
        <v>0</v>
      </c>
      <c r="I111" s="2033" t="s">
        <v>111</v>
      </c>
      <c r="M111" s="1576"/>
      <c r="O111" s="2037"/>
      <c r="P111" s="2038"/>
      <c r="Q111" s="2037"/>
    </row>
    <row r="112" spans="1:20" s="2036" customFormat="1" ht="13.5" customHeight="1">
      <c r="A112" s="2040"/>
      <c r="B112" s="2031"/>
      <c r="C112" s="2031"/>
      <c r="D112" s="238" t="s">
        <v>3799</v>
      </c>
      <c r="E112" s="237"/>
      <c r="F112" s="239"/>
      <c r="G112" s="2163"/>
      <c r="H112" s="1839"/>
      <c r="I112" s="2033"/>
      <c r="J112" s="2035"/>
      <c r="O112" s="2037"/>
      <c r="P112" s="2037"/>
      <c r="Q112" s="2037"/>
      <c r="T112" s="2034"/>
    </row>
    <row r="113" spans="1:97" s="2036" customFormat="1" ht="13.5" customHeight="1">
      <c r="A113" s="2040"/>
      <c r="B113" s="2031"/>
      <c r="C113" s="2031"/>
      <c r="D113" s="238" t="s">
        <v>1221</v>
      </c>
      <c r="E113" s="2031"/>
      <c r="F113" s="2042">
        <v>3</v>
      </c>
      <c r="G113" s="2163"/>
      <c r="H113" s="1839"/>
      <c r="I113" s="2033"/>
      <c r="M113" s="1576"/>
      <c r="O113" s="2034"/>
      <c r="P113" s="2038"/>
      <c r="Q113" s="2037"/>
    </row>
    <row r="114" spans="1:97" s="2036" customFormat="1" ht="13.5" customHeight="1">
      <c r="A114" s="2044"/>
      <c r="B114" s="2031"/>
      <c r="C114" s="2031"/>
      <c r="D114" s="238" t="s">
        <v>1169</v>
      </c>
      <c r="E114" s="2031"/>
      <c r="F114" s="2042">
        <v>2</v>
      </c>
      <c r="G114" s="2163"/>
      <c r="H114" s="1839"/>
      <c r="I114" s="2033"/>
      <c r="M114" s="1576"/>
      <c r="O114" s="2037"/>
      <c r="P114" s="2038"/>
      <c r="Q114" s="2037"/>
    </row>
    <row r="115" spans="1:97" s="2036" customFormat="1" ht="13.5" customHeight="1">
      <c r="A115" s="2044"/>
      <c r="B115" s="2031"/>
      <c r="C115" s="2031"/>
      <c r="D115" s="238" t="s">
        <v>1222</v>
      </c>
      <c r="E115" s="2031"/>
      <c r="F115" s="2042">
        <v>5</v>
      </c>
      <c r="G115" s="2163"/>
      <c r="H115" s="1839"/>
      <c r="I115" s="2033"/>
      <c r="M115" s="1576"/>
      <c r="O115" s="2037"/>
      <c r="P115" s="2038"/>
      <c r="Q115" s="2037"/>
    </row>
    <row r="116" spans="1:97" s="2036" customFormat="1" ht="13.5" customHeight="1">
      <c r="A116" s="2040"/>
      <c r="B116" s="2031"/>
      <c r="C116" s="2031"/>
      <c r="D116" s="240" t="s">
        <v>3800</v>
      </c>
      <c r="E116" s="237"/>
      <c r="F116" s="2042"/>
      <c r="G116" s="2163"/>
      <c r="H116" s="1839"/>
      <c r="I116" s="2033"/>
      <c r="M116" s="1576"/>
      <c r="O116" s="2037"/>
      <c r="P116" s="2038"/>
      <c r="Q116" s="2037"/>
    </row>
    <row r="117" spans="1:97" s="1968" customFormat="1" ht="13.5" customHeight="1">
      <c r="A117" s="2045" t="s">
        <v>1218</v>
      </c>
      <c r="B117" s="2046">
        <v>741</v>
      </c>
      <c r="C117" s="2046">
        <v>998741312</v>
      </c>
      <c r="D117" s="2046" t="s">
        <v>3801</v>
      </c>
      <c r="E117" s="2046" t="s">
        <v>10</v>
      </c>
      <c r="F117" s="2032">
        <v>0.78</v>
      </c>
      <c r="G117" s="2164"/>
      <c r="H117" s="1775">
        <f t="shared" ref="H117:H118" si="23">ROUND(F117*G117,2)</f>
        <v>0</v>
      </c>
      <c r="I117" s="2047" t="s">
        <v>1801</v>
      </c>
      <c r="J117" s="2048"/>
      <c r="K117" s="2049"/>
      <c r="L117" s="2050"/>
      <c r="M117" s="2050"/>
      <c r="N117" s="2050"/>
      <c r="O117" s="2050"/>
      <c r="P117" s="2050"/>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row>
    <row r="118" spans="1:97" s="1952" customFormat="1" ht="13.5" customHeight="1">
      <c r="A118" s="2045" t="s">
        <v>1223</v>
      </c>
      <c r="B118" s="2046" t="s">
        <v>362</v>
      </c>
      <c r="C118" s="2046" t="s">
        <v>1802</v>
      </c>
      <c r="D118" s="2046" t="s">
        <v>1803</v>
      </c>
      <c r="E118" s="2046" t="s">
        <v>69</v>
      </c>
      <c r="F118" s="2051">
        <f>ROUND(SUM(F119),3)</f>
        <v>20</v>
      </c>
      <c r="G118" s="2164"/>
      <c r="H118" s="1775">
        <f t="shared" si="23"/>
        <v>0</v>
      </c>
      <c r="I118" s="2047" t="s">
        <v>1801</v>
      </c>
      <c r="J118" s="2020"/>
      <c r="K118" s="2050"/>
      <c r="L118" s="2050"/>
      <c r="M118" s="2050"/>
      <c r="N118" s="2050"/>
      <c r="O118" s="2050"/>
      <c r="P118" s="2050"/>
      <c r="Q118" s="1951"/>
      <c r="R118" s="1951"/>
      <c r="S118" s="1951"/>
      <c r="T118" s="1951"/>
      <c r="U118" s="1951"/>
      <c r="V118" s="1951"/>
      <c r="W118" s="1951"/>
      <c r="X118" s="1951"/>
      <c r="Y118" s="1951"/>
      <c r="Z118" s="1951"/>
      <c r="AA118" s="1951"/>
      <c r="AB118" s="1951"/>
      <c r="AC118" s="1951"/>
      <c r="AD118" s="1951"/>
      <c r="AE118" s="1951"/>
      <c r="AF118" s="1951"/>
      <c r="AG118" s="1951"/>
      <c r="AH118" s="1951"/>
      <c r="AI118" s="1951"/>
      <c r="AJ118" s="1951"/>
      <c r="AK118" s="1951"/>
      <c r="AL118" s="1951"/>
      <c r="AM118" s="1951"/>
      <c r="AN118" s="1951"/>
      <c r="AO118" s="1951"/>
      <c r="AP118" s="1951"/>
      <c r="AQ118" s="1951"/>
      <c r="AR118" s="1951"/>
      <c r="AS118" s="1951"/>
      <c r="AT118" s="1951"/>
      <c r="AU118" s="1951"/>
      <c r="AV118" s="1951"/>
      <c r="AW118" s="1951"/>
      <c r="AX118" s="1951"/>
      <c r="AY118" s="1951"/>
      <c r="AZ118" s="1951"/>
      <c r="BA118" s="1951"/>
      <c r="BB118" s="1951"/>
      <c r="BC118" s="1951"/>
      <c r="BD118" s="1951"/>
      <c r="BE118" s="1951"/>
      <c r="BF118" s="1951"/>
      <c r="BG118" s="1951"/>
      <c r="BH118" s="1951"/>
      <c r="BI118" s="1951"/>
      <c r="BJ118" s="1951"/>
      <c r="BK118" s="1951"/>
      <c r="BL118" s="1951"/>
      <c r="BM118" s="1951"/>
      <c r="BN118" s="1951"/>
      <c r="BO118" s="1951"/>
      <c r="BP118" s="1951"/>
      <c r="BQ118" s="1951"/>
      <c r="BR118" s="1951"/>
      <c r="BS118" s="1951"/>
      <c r="BT118" s="1951"/>
      <c r="BU118" s="1951"/>
      <c r="BV118" s="1951"/>
      <c r="BW118" s="1951"/>
      <c r="BX118" s="1951"/>
      <c r="BY118" s="1951"/>
      <c r="BZ118" s="1951"/>
      <c r="CA118" s="1951"/>
      <c r="CB118" s="1951"/>
      <c r="CC118" s="1951"/>
      <c r="CD118" s="1951"/>
      <c r="CE118" s="1951"/>
      <c r="CF118" s="1951"/>
      <c r="CG118" s="1951"/>
      <c r="CH118" s="1951"/>
      <c r="CI118" s="1951"/>
      <c r="CJ118" s="1951"/>
      <c r="CK118" s="1951"/>
      <c r="CL118" s="1951"/>
      <c r="CM118" s="1951"/>
      <c r="CN118" s="1951"/>
      <c r="CO118" s="1951"/>
      <c r="CP118" s="1951"/>
      <c r="CQ118" s="1951"/>
      <c r="CR118" s="1951"/>
      <c r="CS118" s="1951"/>
    </row>
    <row r="119" spans="1:97" s="1952" customFormat="1" ht="13.5" customHeight="1">
      <c r="A119" s="2045"/>
      <c r="B119" s="2046"/>
      <c r="C119" s="2046"/>
      <c r="D119" s="145" t="s">
        <v>1804</v>
      </c>
      <c r="E119" s="2046"/>
      <c r="F119" s="2052">
        <v>20</v>
      </c>
      <c r="G119" s="2164"/>
      <c r="H119" s="1782"/>
      <c r="I119" s="2047"/>
      <c r="J119" s="1951"/>
      <c r="K119" s="2050"/>
      <c r="L119" s="2050"/>
      <c r="M119" s="2050"/>
      <c r="N119" s="2050"/>
      <c r="O119" s="2050"/>
      <c r="P119" s="2050"/>
      <c r="Q119" s="1951"/>
      <c r="R119" s="1951"/>
      <c r="S119" s="1951"/>
      <c r="T119" s="1951"/>
      <c r="U119" s="1951"/>
      <c r="V119" s="1951"/>
      <c r="W119" s="1951"/>
      <c r="X119" s="1951"/>
      <c r="Y119" s="1951"/>
      <c r="Z119" s="1951"/>
      <c r="AA119" s="1951"/>
      <c r="AB119" s="1951"/>
      <c r="AC119" s="1951"/>
      <c r="AD119" s="1951"/>
      <c r="AE119" s="1951"/>
      <c r="AF119" s="1951"/>
      <c r="AG119" s="1951"/>
      <c r="AH119" s="1951"/>
      <c r="AI119" s="1951"/>
      <c r="AJ119" s="1951"/>
      <c r="AK119" s="1951"/>
      <c r="AL119" s="1951"/>
      <c r="AM119" s="1951"/>
      <c r="AN119" s="1951"/>
      <c r="AO119" s="1951"/>
      <c r="AP119" s="1951"/>
      <c r="AQ119" s="1951"/>
      <c r="AR119" s="1951"/>
      <c r="AS119" s="1951"/>
      <c r="AT119" s="1951"/>
      <c r="AU119" s="1951"/>
      <c r="AV119" s="1951"/>
      <c r="AW119" s="1951"/>
      <c r="AX119" s="1951"/>
      <c r="AY119" s="1951"/>
      <c r="AZ119" s="1951"/>
      <c r="BA119" s="1951"/>
      <c r="BB119" s="1951"/>
      <c r="BC119" s="1951"/>
      <c r="BD119" s="1951"/>
      <c r="BE119" s="1951"/>
      <c r="BF119" s="1951"/>
      <c r="BG119" s="1951"/>
      <c r="BH119" s="1951"/>
      <c r="BI119" s="1951"/>
      <c r="BJ119" s="1951"/>
      <c r="BK119" s="1951"/>
      <c r="BL119" s="1951"/>
      <c r="BM119" s="1951"/>
      <c r="BN119" s="1951"/>
      <c r="BO119" s="1951"/>
      <c r="BP119" s="1951"/>
      <c r="BQ119" s="1951"/>
      <c r="BR119" s="1951"/>
      <c r="BS119" s="1951"/>
      <c r="BT119" s="1951"/>
      <c r="BU119" s="1951"/>
      <c r="BV119" s="1951"/>
      <c r="BW119" s="1951"/>
      <c r="BX119" s="1951"/>
      <c r="BY119" s="1951"/>
      <c r="BZ119" s="1951"/>
      <c r="CA119" s="1951"/>
      <c r="CB119" s="1951"/>
      <c r="CC119" s="1951"/>
      <c r="CD119" s="1951"/>
      <c r="CE119" s="1951"/>
      <c r="CF119" s="1951"/>
      <c r="CG119" s="1951"/>
      <c r="CH119" s="1951"/>
      <c r="CI119" s="1951"/>
      <c r="CJ119" s="1951"/>
      <c r="CK119" s="1951"/>
      <c r="CL119" s="1951"/>
      <c r="CM119" s="1951"/>
      <c r="CN119" s="1951"/>
      <c r="CO119" s="1951"/>
      <c r="CP119" s="1951"/>
      <c r="CQ119" s="1951"/>
      <c r="CR119" s="1951"/>
      <c r="CS119" s="1951"/>
    </row>
    <row r="120" spans="1:97" s="1952" customFormat="1" ht="27" customHeight="1">
      <c r="A120" s="2045"/>
      <c r="B120" s="2046"/>
      <c r="C120" s="2046"/>
      <c r="D120" s="145" t="s">
        <v>1805</v>
      </c>
      <c r="E120" s="2046"/>
      <c r="F120" s="2032"/>
      <c r="G120" s="2164"/>
      <c r="H120" s="1782"/>
      <c r="I120" s="2047"/>
      <c r="J120" s="1951"/>
      <c r="K120" s="2050"/>
      <c r="L120" s="2050"/>
      <c r="M120" s="2050"/>
      <c r="N120" s="2053"/>
      <c r="O120" s="2050"/>
      <c r="P120" s="2050"/>
      <c r="Q120" s="1951"/>
      <c r="R120" s="1951"/>
      <c r="S120" s="1951"/>
      <c r="T120" s="1951"/>
      <c r="U120" s="1951"/>
      <c r="V120" s="1951"/>
      <c r="W120" s="1951"/>
      <c r="X120" s="1951"/>
      <c r="Y120" s="1951"/>
      <c r="Z120" s="1951"/>
      <c r="AA120" s="1951"/>
      <c r="AB120" s="1951"/>
      <c r="AC120" s="1951"/>
      <c r="AD120" s="1951"/>
      <c r="AE120" s="1951"/>
      <c r="AF120" s="1951"/>
      <c r="AG120" s="1951"/>
      <c r="AH120" s="1951"/>
      <c r="AI120" s="1951"/>
      <c r="AJ120" s="1951"/>
      <c r="AK120" s="1951"/>
      <c r="AL120" s="1951"/>
      <c r="AM120" s="1951"/>
      <c r="AN120" s="1951"/>
      <c r="AO120" s="1951"/>
      <c r="AP120" s="1951"/>
      <c r="AQ120" s="1951"/>
      <c r="AR120" s="1951"/>
      <c r="AS120" s="1951"/>
      <c r="AT120" s="1951"/>
      <c r="AU120" s="1951"/>
      <c r="AV120" s="1951"/>
      <c r="AW120" s="1951"/>
      <c r="AX120" s="1951"/>
      <c r="AY120" s="1951"/>
      <c r="AZ120" s="1951"/>
      <c r="BA120" s="1951"/>
      <c r="BB120" s="1951"/>
      <c r="BC120" s="1951"/>
      <c r="BD120" s="1951"/>
      <c r="BE120" s="1951"/>
      <c r="BF120" s="1951"/>
      <c r="BG120" s="1951"/>
      <c r="BH120" s="1951"/>
      <c r="BI120" s="1951"/>
      <c r="BJ120" s="1951"/>
      <c r="BK120" s="1951"/>
      <c r="BL120" s="1951"/>
      <c r="BM120" s="1951"/>
      <c r="BN120" s="1951"/>
      <c r="BO120" s="1951"/>
      <c r="BP120" s="1951"/>
      <c r="BQ120" s="1951"/>
      <c r="BR120" s="1951"/>
      <c r="BS120" s="1951"/>
      <c r="BT120" s="1951"/>
      <c r="BU120" s="1951"/>
      <c r="BV120" s="1951"/>
      <c r="BW120" s="1951"/>
      <c r="BX120" s="1951"/>
      <c r="BY120" s="1951"/>
      <c r="BZ120" s="1951"/>
      <c r="CA120" s="1951"/>
      <c r="CB120" s="1951"/>
      <c r="CC120" s="1951"/>
      <c r="CD120" s="1951"/>
      <c r="CE120" s="1951"/>
      <c r="CF120" s="1951"/>
      <c r="CG120" s="1951"/>
      <c r="CH120" s="1951"/>
      <c r="CI120" s="1951"/>
      <c r="CJ120" s="1951"/>
      <c r="CK120" s="1951"/>
      <c r="CL120" s="1951"/>
      <c r="CM120" s="1951"/>
      <c r="CN120" s="1951"/>
      <c r="CO120" s="1951"/>
      <c r="CP120" s="1951"/>
      <c r="CQ120" s="1951"/>
      <c r="CR120" s="1951"/>
      <c r="CS120" s="1951"/>
    </row>
    <row r="121" spans="1:97" s="251" customFormat="1" ht="13.5" customHeight="1">
      <c r="A121" s="2054"/>
      <c r="B121" s="2026"/>
      <c r="C121" s="2026">
        <v>741</v>
      </c>
      <c r="D121" s="2026" t="s">
        <v>1806</v>
      </c>
      <c r="E121" s="2026"/>
      <c r="F121" s="2055"/>
      <c r="G121" s="2165"/>
      <c r="H121" s="2024">
        <f>SUM(H122:H199)</f>
        <v>0</v>
      </c>
      <c r="I121" s="2029"/>
      <c r="K121" s="2050"/>
      <c r="L121" s="2050"/>
      <c r="M121" s="2050"/>
      <c r="N121" s="2050"/>
      <c r="O121" s="2050"/>
      <c r="P121" s="2050"/>
    </row>
    <row r="122" spans="1:97" s="1771" customFormat="1" ht="13.5" customHeight="1">
      <c r="A122" s="2030">
        <v>26</v>
      </c>
      <c r="B122" s="2046">
        <v>741</v>
      </c>
      <c r="C122" s="2046" t="s">
        <v>3802</v>
      </c>
      <c r="D122" s="2046" t="s">
        <v>3803</v>
      </c>
      <c r="E122" s="119" t="s">
        <v>205</v>
      </c>
      <c r="F122" s="2032">
        <f>ROUND(SUM(F124:F126),3)</f>
        <v>261</v>
      </c>
      <c r="G122" s="2163"/>
      <c r="H122" s="1775">
        <f t="shared" ref="H122" si="24">ROUND(F122*G122,2)</f>
        <v>0</v>
      </c>
      <c r="I122" s="2033" t="s">
        <v>111</v>
      </c>
      <c r="J122" s="2056"/>
      <c r="K122" s="2057"/>
      <c r="L122" s="2058"/>
      <c r="M122" s="2058"/>
      <c r="N122" s="2058"/>
      <c r="O122" s="2058"/>
      <c r="P122" s="2058"/>
      <c r="Q122" s="2058"/>
      <c r="R122" s="2058"/>
      <c r="S122" s="2058"/>
      <c r="T122" s="2058"/>
      <c r="U122" s="2058"/>
      <c r="V122" s="2058"/>
      <c r="W122" s="2059"/>
      <c r="X122" s="2059"/>
      <c r="Y122" s="2058"/>
      <c r="Z122" s="2058"/>
    </row>
    <row r="123" spans="1:97" s="1771" customFormat="1" ht="13.5" customHeight="1">
      <c r="A123" s="2040"/>
      <c r="B123" s="2046"/>
      <c r="C123" s="2046"/>
      <c r="D123" s="240" t="s">
        <v>3804</v>
      </c>
      <c r="E123" s="119"/>
      <c r="F123" s="241"/>
      <c r="G123" s="2164"/>
      <c r="H123" s="1782"/>
      <c r="I123" s="2047"/>
      <c r="J123" s="1852"/>
      <c r="K123" s="2060"/>
      <c r="L123" s="2061"/>
      <c r="M123" s="2061"/>
      <c r="N123" s="2061"/>
      <c r="O123" s="2061"/>
      <c r="P123" s="2061"/>
      <c r="Q123" s="2061"/>
      <c r="R123" s="2061"/>
      <c r="S123" s="2061"/>
      <c r="T123" s="2061"/>
      <c r="U123" s="2061"/>
      <c r="V123" s="2061"/>
      <c r="W123" s="2056"/>
      <c r="X123" s="2062"/>
      <c r="Y123" s="2061"/>
      <c r="Z123" s="2061"/>
    </row>
    <row r="124" spans="1:97" s="1771" customFormat="1" ht="13.5" customHeight="1">
      <c r="A124" s="2063"/>
      <c r="B124" s="2063"/>
      <c r="C124" s="2063"/>
      <c r="D124" s="145" t="s">
        <v>1019</v>
      </c>
      <c r="E124" s="2046"/>
      <c r="F124" s="2042">
        <v>2</v>
      </c>
      <c r="G124" s="2164"/>
      <c r="H124" s="1782"/>
      <c r="I124" s="2047"/>
      <c r="K124" s="1860"/>
    </row>
    <row r="125" spans="1:97" s="1771" customFormat="1" ht="13.5" customHeight="1">
      <c r="A125" s="2063"/>
      <c r="B125" s="2063"/>
      <c r="C125" s="2063"/>
      <c r="D125" s="145" t="s">
        <v>1027</v>
      </c>
      <c r="E125" s="2046"/>
      <c r="F125" s="2042">
        <v>65</v>
      </c>
      <c r="G125" s="2164"/>
      <c r="H125" s="1782"/>
      <c r="I125" s="2047"/>
      <c r="K125" s="1860"/>
    </row>
    <row r="126" spans="1:97" s="1771" customFormat="1" ht="13.5" customHeight="1">
      <c r="A126" s="2064"/>
      <c r="B126" s="2046"/>
      <c r="C126" s="2046"/>
      <c r="D126" s="145" t="s">
        <v>1222</v>
      </c>
      <c r="E126" s="2046"/>
      <c r="F126" s="2042">
        <v>194</v>
      </c>
      <c r="G126" s="2164"/>
      <c r="H126" s="1782"/>
      <c r="I126" s="2047"/>
    </row>
    <row r="127" spans="1:97" s="1771" customFormat="1" ht="13.5" customHeight="1">
      <c r="A127" s="2064"/>
      <c r="B127" s="2046"/>
      <c r="C127" s="2046"/>
      <c r="D127" s="240" t="s">
        <v>3805</v>
      </c>
      <c r="E127" s="119"/>
      <c r="F127" s="2052"/>
      <c r="G127" s="2164"/>
      <c r="H127" s="1782"/>
      <c r="I127" s="2047"/>
      <c r="N127" s="2065"/>
    </row>
    <row r="128" spans="1:97" s="1771" customFormat="1" ht="13.5" customHeight="1">
      <c r="A128" s="2030">
        <v>27</v>
      </c>
      <c r="B128" s="2046">
        <v>741</v>
      </c>
      <c r="C128" s="2046" t="s">
        <v>3806</v>
      </c>
      <c r="D128" s="2046" t="s">
        <v>3807</v>
      </c>
      <c r="E128" s="119" t="s">
        <v>205</v>
      </c>
      <c r="F128" s="2032">
        <f>ROUND(SUM(F130:F132),3)</f>
        <v>71</v>
      </c>
      <c r="G128" s="2163"/>
      <c r="H128" s="1775">
        <f t="shared" ref="H128" si="25">ROUND(F128*G128,2)</f>
        <v>0</v>
      </c>
      <c r="I128" s="2033" t="s">
        <v>111</v>
      </c>
      <c r="J128" s="2056"/>
      <c r="K128" s="2057"/>
      <c r="L128" s="2058"/>
      <c r="M128" s="2058"/>
      <c r="N128" s="2058"/>
      <c r="O128" s="2058"/>
      <c r="P128" s="2058"/>
      <c r="Q128" s="2058"/>
      <c r="R128" s="2058"/>
      <c r="S128" s="2058"/>
      <c r="T128" s="2058"/>
      <c r="U128" s="2058"/>
      <c r="V128" s="2058"/>
      <c r="W128" s="2059"/>
      <c r="X128" s="2059"/>
      <c r="Y128" s="2058"/>
      <c r="Z128" s="2058"/>
    </row>
    <row r="129" spans="1:26" s="1771" customFormat="1" ht="13.5" customHeight="1">
      <c r="A129" s="2040"/>
      <c r="B129" s="2046"/>
      <c r="C129" s="2046"/>
      <c r="D129" s="240" t="s">
        <v>3808</v>
      </c>
      <c r="E129" s="119"/>
      <c r="F129" s="241"/>
      <c r="G129" s="2164"/>
      <c r="H129" s="1782"/>
      <c r="I129" s="2047"/>
      <c r="J129" s="1852"/>
      <c r="K129" s="2060"/>
      <c r="L129" s="2061"/>
      <c r="M129" s="2061"/>
      <c r="N129" s="2061"/>
      <c r="O129" s="2061"/>
      <c r="P129" s="2061"/>
      <c r="Q129" s="2061"/>
      <c r="R129" s="2061"/>
      <c r="S129" s="2061"/>
      <c r="T129" s="2061"/>
      <c r="U129" s="2061"/>
      <c r="V129" s="2061"/>
      <c r="W129" s="2056"/>
      <c r="X129" s="2062"/>
      <c r="Y129" s="2061"/>
      <c r="Z129" s="2061"/>
    </row>
    <row r="130" spans="1:26" s="1771" customFormat="1" ht="13.5" customHeight="1">
      <c r="A130" s="2040"/>
      <c r="B130" s="2046"/>
      <c r="C130" s="2046"/>
      <c r="D130" s="145" t="s">
        <v>1019</v>
      </c>
      <c r="E130" s="2046"/>
      <c r="F130" s="2042">
        <v>15</v>
      </c>
      <c r="G130" s="2164"/>
      <c r="H130" s="1782"/>
      <c r="I130" s="2047"/>
    </row>
    <row r="131" spans="1:26" s="1771" customFormat="1" ht="13.5" customHeight="1">
      <c r="A131" s="2040"/>
      <c r="B131" s="2046"/>
      <c r="C131" s="2046"/>
      <c r="D131" s="145" t="s">
        <v>1027</v>
      </c>
      <c r="E131" s="2046"/>
      <c r="F131" s="2042">
        <v>53</v>
      </c>
      <c r="G131" s="2164"/>
      <c r="H131" s="1782"/>
      <c r="I131" s="2047"/>
    </row>
    <row r="132" spans="1:26" s="1771" customFormat="1" ht="13.5" customHeight="1">
      <c r="A132" s="2040"/>
      <c r="B132" s="2046"/>
      <c r="C132" s="2046"/>
      <c r="D132" s="145" t="s">
        <v>1222</v>
      </c>
      <c r="E132" s="2046"/>
      <c r="F132" s="2042">
        <v>3</v>
      </c>
      <c r="G132" s="2164"/>
      <c r="H132" s="1782"/>
      <c r="I132" s="2047"/>
    </row>
    <row r="133" spans="1:26" s="1771" customFormat="1" ht="13.5" customHeight="1">
      <c r="A133" s="2040"/>
      <c r="B133" s="2046"/>
      <c r="C133" s="2046"/>
      <c r="D133" s="240" t="s">
        <v>3805</v>
      </c>
      <c r="E133" s="119"/>
      <c r="F133" s="2052"/>
      <c r="G133" s="2164"/>
      <c r="H133" s="1782"/>
      <c r="I133" s="2047"/>
    </row>
    <row r="134" spans="1:26" s="1771" customFormat="1" ht="13.5" customHeight="1">
      <c r="A134" s="2030">
        <v>28</v>
      </c>
      <c r="B134" s="2046">
        <v>741</v>
      </c>
      <c r="C134" s="2046" t="s">
        <v>3809</v>
      </c>
      <c r="D134" s="2046" t="s">
        <v>3810</v>
      </c>
      <c r="E134" s="119" t="s">
        <v>205</v>
      </c>
      <c r="F134" s="2032">
        <f>ROUND(SUM(F136:F137),3)</f>
        <v>14</v>
      </c>
      <c r="G134" s="2163"/>
      <c r="H134" s="1775">
        <f t="shared" ref="H134" si="26">ROUND(F134*G134,2)</f>
        <v>0</v>
      </c>
      <c r="I134" s="2033" t="s">
        <v>111</v>
      </c>
      <c r="J134" s="2056"/>
      <c r="K134" s="2057"/>
      <c r="W134" s="2059"/>
    </row>
    <row r="135" spans="1:26" s="1771" customFormat="1" ht="13.5" customHeight="1">
      <c r="A135" s="2040"/>
      <c r="B135" s="2046"/>
      <c r="C135" s="2046"/>
      <c r="D135" s="240" t="s">
        <v>3811</v>
      </c>
      <c r="E135" s="119"/>
      <c r="F135" s="241"/>
      <c r="G135" s="2164"/>
      <c r="H135" s="1782"/>
      <c r="I135" s="2047"/>
      <c r="J135" s="1852"/>
      <c r="W135" s="2056"/>
    </row>
    <row r="136" spans="1:26" s="1771" customFormat="1" ht="13.5" customHeight="1">
      <c r="A136" s="2040"/>
      <c r="B136" s="2046"/>
      <c r="C136" s="2046"/>
      <c r="D136" s="145" t="s">
        <v>1027</v>
      </c>
      <c r="E136" s="2046"/>
      <c r="F136" s="2042">
        <v>12</v>
      </c>
      <c r="G136" s="2164"/>
      <c r="H136" s="1782"/>
      <c r="I136" s="2047"/>
      <c r="W136" s="2056"/>
    </row>
    <row r="137" spans="1:26" s="1771" customFormat="1" ht="13.5" customHeight="1">
      <c r="A137" s="2040"/>
      <c r="B137" s="2046"/>
      <c r="C137" s="2046"/>
      <c r="D137" s="145" t="s">
        <v>1222</v>
      </c>
      <c r="E137" s="2046"/>
      <c r="F137" s="2042">
        <v>2</v>
      </c>
      <c r="G137" s="2164"/>
      <c r="H137" s="1782"/>
      <c r="I137" s="2047"/>
    </row>
    <row r="138" spans="1:26" s="1771" customFormat="1" ht="13.5" customHeight="1">
      <c r="A138" s="2040"/>
      <c r="B138" s="2046"/>
      <c r="C138" s="2046"/>
      <c r="D138" s="240" t="s">
        <v>3805</v>
      </c>
      <c r="F138" s="2065"/>
      <c r="G138" s="2164"/>
      <c r="H138" s="1782"/>
      <c r="I138" s="2047"/>
    </row>
    <row r="139" spans="1:26" s="1771" customFormat="1" ht="13.5" customHeight="1">
      <c r="A139" s="2030">
        <v>29</v>
      </c>
      <c r="B139" s="2046">
        <v>741</v>
      </c>
      <c r="C139" s="2046" t="s">
        <v>3812</v>
      </c>
      <c r="D139" s="2046" t="s">
        <v>3813</v>
      </c>
      <c r="E139" s="119" t="s">
        <v>205</v>
      </c>
      <c r="F139" s="2032">
        <f>ROUND(SUM(F141:F141),3)</f>
        <v>8</v>
      </c>
      <c r="G139" s="2163"/>
      <c r="H139" s="1775">
        <f t="shared" ref="H139" si="27">ROUND(F139*G139,2)</f>
        <v>0</v>
      </c>
      <c r="I139" s="2033" t="s">
        <v>111</v>
      </c>
      <c r="J139" s="2056"/>
      <c r="K139" s="2057"/>
      <c r="L139" s="2058"/>
      <c r="M139" s="2058"/>
      <c r="N139" s="2058"/>
      <c r="O139" s="2058"/>
      <c r="P139" s="2058"/>
      <c r="Q139" s="2058"/>
      <c r="R139" s="2058"/>
      <c r="S139" s="2058"/>
      <c r="T139" s="2058"/>
      <c r="U139" s="2058"/>
      <c r="V139" s="2058"/>
      <c r="W139" s="2059"/>
      <c r="X139" s="2059"/>
      <c r="Y139" s="2058"/>
      <c r="Z139" s="2058"/>
    </row>
    <row r="140" spans="1:26" s="1771" customFormat="1" ht="13.5" customHeight="1">
      <c r="A140" s="2040"/>
      <c r="B140" s="2046"/>
      <c r="C140" s="2046"/>
      <c r="D140" s="240" t="s">
        <v>3814</v>
      </c>
      <c r="E140" s="119"/>
      <c r="F140" s="241"/>
      <c r="G140" s="2164"/>
      <c r="H140" s="1782"/>
      <c r="I140" s="2047"/>
      <c r="J140" s="1852"/>
      <c r="K140" s="2060"/>
      <c r="L140" s="2061"/>
      <c r="M140" s="2061"/>
      <c r="N140" s="2061"/>
      <c r="O140" s="2061"/>
      <c r="P140" s="2061"/>
      <c r="Q140" s="2061"/>
      <c r="R140" s="2061"/>
      <c r="S140" s="2061"/>
      <c r="T140" s="2061"/>
      <c r="U140" s="2061"/>
      <c r="V140" s="2061"/>
      <c r="W140" s="2056"/>
      <c r="X140" s="2062"/>
      <c r="Y140" s="2061"/>
      <c r="Z140" s="2061"/>
    </row>
    <row r="141" spans="1:26" s="1771" customFormat="1" ht="13.5" customHeight="1">
      <c r="A141" s="2064"/>
      <c r="B141" s="2046"/>
      <c r="C141" s="2046"/>
      <c r="D141" s="145" t="s">
        <v>1222</v>
      </c>
      <c r="E141" s="2046"/>
      <c r="F141" s="2042">
        <v>8</v>
      </c>
      <c r="G141" s="2164"/>
      <c r="H141" s="1782"/>
      <c r="I141" s="2047"/>
    </row>
    <row r="142" spans="1:26" s="1771" customFormat="1" ht="13.5" customHeight="1">
      <c r="A142" s="2064"/>
      <c r="B142" s="2046"/>
      <c r="C142" s="2046"/>
      <c r="D142" s="240" t="s">
        <v>3805</v>
      </c>
      <c r="E142" s="119"/>
      <c r="F142" s="2052"/>
      <c r="G142" s="2164"/>
      <c r="H142" s="1782"/>
      <c r="I142" s="2047"/>
      <c r="N142" s="2065"/>
    </row>
    <row r="143" spans="1:26" s="1771" customFormat="1" ht="13.5" customHeight="1">
      <c r="A143" s="2030">
        <v>30</v>
      </c>
      <c r="B143" s="2046">
        <v>741</v>
      </c>
      <c r="C143" s="2046" t="s">
        <v>3815</v>
      </c>
      <c r="D143" s="2066" t="s">
        <v>3816</v>
      </c>
      <c r="E143" s="119" t="s">
        <v>205</v>
      </c>
      <c r="F143" s="2032">
        <f>ROUND(SUM(F145:F146),3)</f>
        <v>55</v>
      </c>
      <c r="G143" s="2163"/>
      <c r="H143" s="1775">
        <f t="shared" ref="H143" si="28">ROUND(F143*G143,2)</f>
        <v>0</v>
      </c>
      <c r="I143" s="2033" t="s">
        <v>111</v>
      </c>
      <c r="J143" s="1872"/>
      <c r="K143" s="1785"/>
      <c r="L143" s="1785"/>
      <c r="M143" s="1785"/>
      <c r="N143" s="1785"/>
      <c r="O143" s="1785"/>
      <c r="P143" s="1785"/>
      <c r="Q143" s="1785"/>
      <c r="R143" s="2067"/>
      <c r="S143" s="1833"/>
      <c r="T143" s="1833"/>
      <c r="U143" s="2067"/>
      <c r="V143" s="2058"/>
      <c r="W143" s="2059"/>
    </row>
    <row r="144" spans="1:26" s="1771" customFormat="1" ht="13.5" customHeight="1">
      <c r="A144" s="2040"/>
      <c r="B144" s="2046"/>
      <c r="C144" s="2046"/>
      <c r="D144" s="145" t="s">
        <v>3817</v>
      </c>
      <c r="E144" s="119"/>
      <c r="F144" s="2052"/>
      <c r="G144" s="2164"/>
      <c r="H144" s="1782"/>
      <c r="I144" s="2047"/>
      <c r="J144" s="1890"/>
      <c r="K144" s="1785"/>
      <c r="L144" s="1785"/>
      <c r="M144" s="1785"/>
      <c r="N144" s="1785"/>
      <c r="O144" s="1785"/>
      <c r="P144" s="1785"/>
      <c r="Q144" s="1785"/>
      <c r="R144" s="1872"/>
      <c r="S144" s="1833"/>
      <c r="T144" s="1833"/>
      <c r="U144" s="1872"/>
      <c r="V144" s="2061"/>
      <c r="W144" s="2056"/>
    </row>
    <row r="145" spans="1:23" s="1771" customFormat="1" ht="13.5" customHeight="1">
      <c r="A145" s="2040"/>
      <c r="B145" s="2046"/>
      <c r="C145" s="2046"/>
      <c r="D145" s="145" t="s">
        <v>1027</v>
      </c>
      <c r="E145" s="2046"/>
      <c r="F145" s="2042">
        <v>23</v>
      </c>
      <c r="G145" s="2164"/>
      <c r="H145" s="1782"/>
      <c r="I145" s="2047"/>
    </row>
    <row r="146" spans="1:23" s="1771" customFormat="1" ht="13.5" customHeight="1">
      <c r="A146" s="2040"/>
      <c r="B146" s="2046"/>
      <c r="C146" s="2046"/>
      <c r="D146" s="145" t="s">
        <v>1222</v>
      </c>
      <c r="E146" s="2046"/>
      <c r="F146" s="2042">
        <v>32</v>
      </c>
      <c r="G146" s="2164"/>
      <c r="H146" s="1782"/>
      <c r="I146" s="2047"/>
    </row>
    <row r="147" spans="1:23" s="1771" customFormat="1" ht="13.5" customHeight="1">
      <c r="A147" s="2040"/>
      <c r="B147" s="2046"/>
      <c r="C147" s="2046"/>
      <c r="D147" s="145" t="s">
        <v>3818</v>
      </c>
      <c r="E147" s="2046"/>
      <c r="F147" s="2052"/>
      <c r="G147" s="2164"/>
      <c r="H147" s="1782"/>
      <c r="I147" s="2047"/>
    </row>
    <row r="148" spans="1:23" s="1771" customFormat="1" ht="13.5" customHeight="1">
      <c r="A148" s="2030">
        <v>31</v>
      </c>
      <c r="B148" s="2046">
        <v>741</v>
      </c>
      <c r="C148" s="2046" t="s">
        <v>3819</v>
      </c>
      <c r="D148" s="2066" t="s">
        <v>3820</v>
      </c>
      <c r="E148" s="119" t="s">
        <v>205</v>
      </c>
      <c r="F148" s="2032">
        <f>ROUND(SUM(F150:F152),3)</f>
        <v>18</v>
      </c>
      <c r="G148" s="2163"/>
      <c r="H148" s="1775">
        <f t="shared" ref="H148" si="29">ROUND(F148*G148,2)</f>
        <v>0</v>
      </c>
      <c r="I148" s="2033" t="s">
        <v>111</v>
      </c>
      <c r="J148" s="1872"/>
      <c r="K148" s="1785"/>
      <c r="L148" s="1785"/>
      <c r="M148" s="1785"/>
      <c r="N148" s="1785"/>
      <c r="O148" s="1785"/>
      <c r="P148" s="1785"/>
      <c r="Q148" s="1785"/>
      <c r="R148" s="2067"/>
      <c r="S148" s="1833"/>
      <c r="T148" s="1833"/>
      <c r="U148" s="2067"/>
      <c r="V148" s="2058"/>
      <c r="W148" s="2059"/>
    </row>
    <row r="149" spans="1:23" s="1771" customFormat="1" ht="13.5" customHeight="1">
      <c r="A149" s="2040"/>
      <c r="B149" s="2046"/>
      <c r="C149" s="2046"/>
      <c r="D149" s="145" t="s">
        <v>3821</v>
      </c>
      <c r="E149" s="119"/>
      <c r="F149" s="2052"/>
      <c r="G149" s="2164"/>
      <c r="H149" s="1782"/>
      <c r="I149" s="2047"/>
      <c r="J149" s="1890"/>
      <c r="K149" s="1785"/>
      <c r="L149" s="1785"/>
      <c r="M149" s="1785"/>
      <c r="N149" s="1785"/>
      <c r="O149" s="1785"/>
      <c r="P149" s="1785"/>
      <c r="Q149" s="1785"/>
      <c r="R149" s="1872"/>
      <c r="S149" s="1833"/>
      <c r="T149" s="1833"/>
      <c r="U149" s="1872"/>
      <c r="V149" s="2061"/>
      <c r="W149" s="2056"/>
    </row>
    <row r="150" spans="1:23" s="1771" customFormat="1" ht="13.5" customHeight="1">
      <c r="A150" s="2040"/>
      <c r="B150" s="2046"/>
      <c r="C150" s="2046"/>
      <c r="D150" s="145" t="s">
        <v>1019</v>
      </c>
      <c r="E150" s="2046"/>
      <c r="F150" s="2042">
        <v>2</v>
      </c>
      <c r="G150" s="2164"/>
      <c r="H150" s="1782"/>
      <c r="I150" s="2047"/>
    </row>
    <row r="151" spans="1:23" s="1771" customFormat="1" ht="13.5" customHeight="1">
      <c r="A151" s="2040"/>
      <c r="B151" s="2046"/>
      <c r="C151" s="2046"/>
      <c r="D151" s="145" t="s">
        <v>1027</v>
      </c>
      <c r="E151" s="2046"/>
      <c r="F151" s="2042">
        <v>4</v>
      </c>
      <c r="G151" s="2164"/>
      <c r="H151" s="1782"/>
      <c r="I151" s="2047"/>
    </row>
    <row r="152" spans="1:23" s="1771" customFormat="1" ht="13.5" customHeight="1">
      <c r="A152" s="2040"/>
      <c r="B152" s="2046"/>
      <c r="C152" s="2046"/>
      <c r="D152" s="145" t="s">
        <v>1222</v>
      </c>
      <c r="E152" s="2046"/>
      <c r="F152" s="2042">
        <v>12</v>
      </c>
      <c r="G152" s="2164"/>
      <c r="H152" s="1782"/>
      <c r="I152" s="2047"/>
    </row>
    <row r="153" spans="1:23" s="1771" customFormat="1" ht="13.5" customHeight="1">
      <c r="A153" s="2040"/>
      <c r="B153" s="2046"/>
      <c r="C153" s="2046"/>
      <c r="D153" s="145" t="s">
        <v>3818</v>
      </c>
      <c r="E153" s="2046"/>
      <c r="F153" s="2052"/>
      <c r="G153" s="2164"/>
      <c r="H153" s="1782"/>
      <c r="I153" s="2047"/>
    </row>
    <row r="154" spans="1:23" s="1771" customFormat="1" ht="13.5" customHeight="1">
      <c r="A154" s="2030">
        <v>32</v>
      </c>
      <c r="B154" s="2046">
        <v>741</v>
      </c>
      <c r="C154" s="2046" t="s">
        <v>3822</v>
      </c>
      <c r="D154" s="2066" t="s">
        <v>3823</v>
      </c>
      <c r="E154" s="119" t="s">
        <v>205</v>
      </c>
      <c r="F154" s="2032">
        <f>ROUND(SUM(F156:F157),3)</f>
        <v>33</v>
      </c>
      <c r="G154" s="2163"/>
      <c r="H154" s="1775">
        <f t="shared" ref="H154" si="30">ROUND(F154*G154,2)</f>
        <v>0</v>
      </c>
      <c r="I154" s="2033" t="s">
        <v>111</v>
      </c>
      <c r="J154" s="1872"/>
      <c r="K154" s="1785"/>
      <c r="L154" s="251"/>
      <c r="M154" s="251"/>
      <c r="N154" s="251"/>
      <c r="O154" s="251"/>
      <c r="P154" s="251"/>
      <c r="Q154" s="251"/>
      <c r="R154" s="1860"/>
      <c r="T154" s="2059"/>
      <c r="U154" s="2067"/>
    </row>
    <row r="155" spans="1:23" s="1771" customFormat="1" ht="13.5" customHeight="1">
      <c r="A155" s="2040"/>
      <c r="B155" s="2046"/>
      <c r="C155" s="2046"/>
      <c r="D155" s="145" t="s">
        <v>3824</v>
      </c>
      <c r="E155" s="119"/>
      <c r="F155" s="2052"/>
      <c r="G155" s="2164"/>
      <c r="H155" s="1782"/>
      <c r="I155" s="2047"/>
      <c r="J155" s="1890"/>
      <c r="K155" s="251"/>
      <c r="L155" s="251"/>
      <c r="M155" s="251"/>
      <c r="N155" s="251"/>
      <c r="O155" s="251"/>
      <c r="P155" s="1756"/>
      <c r="Q155" s="1872"/>
      <c r="S155" s="1860"/>
      <c r="T155" s="2056"/>
      <c r="U155" s="1872"/>
    </row>
    <row r="156" spans="1:23" s="1771" customFormat="1" ht="13.5" customHeight="1">
      <c r="A156" s="2040"/>
      <c r="B156" s="2046"/>
      <c r="C156" s="2046"/>
      <c r="D156" s="145" t="s">
        <v>1027</v>
      </c>
      <c r="E156" s="2046"/>
      <c r="F156" s="2052">
        <v>12</v>
      </c>
      <c r="G156" s="2164"/>
      <c r="H156" s="1782"/>
      <c r="I156" s="2047"/>
      <c r="U156" s="1872"/>
    </row>
    <row r="157" spans="1:23" s="1771" customFormat="1" ht="13.5" customHeight="1">
      <c r="A157" s="2040"/>
      <c r="B157" s="2046"/>
      <c r="C157" s="2046"/>
      <c r="D157" s="145" t="s">
        <v>1222</v>
      </c>
      <c r="E157" s="2046"/>
      <c r="F157" s="2052">
        <v>21</v>
      </c>
      <c r="G157" s="2164"/>
      <c r="H157" s="1782"/>
      <c r="I157" s="2047"/>
      <c r="J157" s="251"/>
      <c r="K157" s="1860"/>
      <c r="L157" s="251"/>
      <c r="M157" s="251"/>
      <c r="N157" s="251"/>
      <c r="O157" s="1756"/>
      <c r="P157" s="1756"/>
    </row>
    <row r="158" spans="1:23" s="1771" customFormat="1" ht="13.5" customHeight="1">
      <c r="A158" s="2040"/>
      <c r="B158" s="2046"/>
      <c r="C158" s="2046"/>
      <c r="D158" s="145" t="s">
        <v>1807</v>
      </c>
      <c r="E158" s="119"/>
      <c r="F158" s="2068"/>
      <c r="G158" s="2164"/>
      <c r="H158" s="1782"/>
      <c r="I158" s="2047"/>
    </row>
    <row r="159" spans="1:23" s="1771" customFormat="1" ht="13.5" customHeight="1">
      <c r="A159" s="2030">
        <v>33</v>
      </c>
      <c r="B159" s="2046">
        <v>741</v>
      </c>
      <c r="C159" s="2046" t="s">
        <v>3825</v>
      </c>
      <c r="D159" s="2046" t="s">
        <v>3826</v>
      </c>
      <c r="E159" s="119" t="s">
        <v>205</v>
      </c>
      <c r="F159" s="2032">
        <f>ROUND(SUM(F161),3)</f>
        <v>1</v>
      </c>
      <c r="G159" s="2163"/>
      <c r="H159" s="1775">
        <f t="shared" ref="H159" si="31">ROUND(F159*G159,2)</f>
        <v>0</v>
      </c>
      <c r="I159" s="2033" t="s">
        <v>111</v>
      </c>
      <c r="J159" s="2056"/>
      <c r="K159" s="2057"/>
      <c r="L159" s="2058"/>
      <c r="M159" s="2058"/>
      <c r="N159" s="2058"/>
      <c r="O159" s="2058"/>
      <c r="P159" s="2058"/>
      <c r="Q159" s="2058"/>
      <c r="R159" s="2058"/>
      <c r="S159" s="2058"/>
      <c r="T159" s="2058"/>
      <c r="U159" s="2058"/>
      <c r="V159" s="2058"/>
      <c r="W159" s="2059"/>
    </row>
    <row r="160" spans="1:23" s="1771" customFormat="1" ht="13.5" customHeight="1">
      <c r="A160" s="2040"/>
      <c r="B160" s="2046"/>
      <c r="C160" s="2046"/>
      <c r="D160" s="145" t="s">
        <v>3827</v>
      </c>
      <c r="E160" s="119"/>
      <c r="F160" s="2052"/>
      <c r="G160" s="2164"/>
      <c r="H160" s="1782"/>
      <c r="I160" s="2047"/>
      <c r="J160" s="1852"/>
      <c r="K160" s="2057"/>
      <c r="L160" s="2058"/>
      <c r="M160" s="2058"/>
      <c r="N160" s="2058"/>
      <c r="O160" s="2058"/>
      <c r="P160" s="2058"/>
      <c r="Q160" s="2058"/>
      <c r="R160" s="2058"/>
      <c r="S160" s="2058"/>
      <c r="T160" s="2058"/>
      <c r="U160" s="2058"/>
      <c r="V160" s="2058"/>
      <c r="W160" s="2056"/>
    </row>
    <row r="161" spans="1:23" s="1771" customFormat="1" ht="13.5" customHeight="1">
      <c r="A161" s="2040"/>
      <c r="B161" s="2046"/>
      <c r="C161" s="2046"/>
      <c r="D161" s="240" t="s">
        <v>1169</v>
      </c>
      <c r="E161" s="2046"/>
      <c r="F161" s="2042">
        <v>1</v>
      </c>
      <c r="G161" s="2164"/>
      <c r="H161" s="1782"/>
      <c r="I161" s="2047"/>
    </row>
    <row r="162" spans="1:23" s="1771" customFormat="1" ht="13.5" customHeight="1">
      <c r="A162" s="2040"/>
      <c r="B162" s="2046"/>
      <c r="C162" s="2046"/>
      <c r="D162" s="145" t="s">
        <v>1807</v>
      </c>
      <c r="E162" s="2046"/>
      <c r="F162" s="2052"/>
      <c r="G162" s="2164"/>
      <c r="H162" s="1782"/>
      <c r="I162" s="2047"/>
    </row>
    <row r="163" spans="1:23" s="1771" customFormat="1" ht="13.5" customHeight="1">
      <c r="A163" s="2030">
        <v>34</v>
      </c>
      <c r="B163" s="2046">
        <v>741</v>
      </c>
      <c r="C163" s="2046" t="s">
        <v>3828</v>
      </c>
      <c r="D163" s="2066" t="s">
        <v>3829</v>
      </c>
      <c r="E163" s="119" t="s">
        <v>205</v>
      </c>
      <c r="F163" s="2032">
        <f>ROUND(SUM(F165:F166),3)</f>
        <v>44</v>
      </c>
      <c r="G163" s="2166"/>
      <c r="H163" s="1775">
        <f t="shared" ref="H163" si="32">ROUND(F163*G163,2)</f>
        <v>0</v>
      </c>
      <c r="I163" s="2047" t="s">
        <v>111</v>
      </c>
      <c r="J163" s="2056"/>
      <c r="K163" s="2057"/>
      <c r="L163" s="2058"/>
      <c r="M163" s="2058"/>
      <c r="N163" s="2058"/>
      <c r="O163" s="2058"/>
      <c r="P163" s="2058"/>
      <c r="Q163" s="2058"/>
      <c r="R163" s="2058"/>
      <c r="S163" s="2058"/>
      <c r="T163" s="2058"/>
      <c r="U163" s="2058"/>
      <c r="V163" s="2058"/>
      <c r="W163" s="2059"/>
    </row>
    <row r="164" spans="1:23" s="1771" customFormat="1" ht="13.5" customHeight="1">
      <c r="A164" s="2069"/>
      <c r="B164" s="2046"/>
      <c r="C164" s="2069"/>
      <c r="D164" s="145" t="s">
        <v>3830</v>
      </c>
      <c r="E164" s="119"/>
      <c r="F164" s="2052"/>
      <c r="G164" s="2166"/>
      <c r="H164" s="1782"/>
      <c r="I164" s="2047"/>
      <c r="J164" s="2056"/>
      <c r="K164" s="2057"/>
      <c r="L164" s="251"/>
      <c r="W164" s="2059"/>
    </row>
    <row r="165" spans="1:23" s="1771" customFormat="1" ht="13.5" customHeight="1">
      <c r="A165" s="2069"/>
      <c r="B165" s="2046"/>
      <c r="C165" s="2069"/>
      <c r="D165" s="145" t="s">
        <v>1027</v>
      </c>
      <c r="E165" s="2046"/>
      <c r="F165" s="2052">
        <v>13</v>
      </c>
      <c r="G165" s="2166"/>
      <c r="H165" s="1782"/>
      <c r="I165" s="2047"/>
      <c r="J165" s="251"/>
      <c r="L165" s="251"/>
    </row>
    <row r="166" spans="1:23" s="1771" customFormat="1" ht="13.5" customHeight="1">
      <c r="A166" s="2069"/>
      <c r="B166" s="2046"/>
      <c r="C166" s="2069"/>
      <c r="D166" s="145" t="s">
        <v>1222</v>
      </c>
      <c r="E166" s="2046"/>
      <c r="F166" s="2052">
        <v>31</v>
      </c>
      <c r="G166" s="2166"/>
      <c r="H166" s="1782"/>
      <c r="I166" s="2047"/>
      <c r="J166" s="251"/>
      <c r="L166" s="251"/>
    </row>
    <row r="167" spans="1:23" s="1771" customFormat="1" ht="13.5" customHeight="1">
      <c r="A167" s="2069"/>
      <c r="B167" s="2046"/>
      <c r="C167" s="2069"/>
      <c r="D167" s="145" t="s">
        <v>1807</v>
      </c>
      <c r="E167" s="119"/>
      <c r="F167" s="2068"/>
      <c r="G167" s="2166"/>
      <c r="H167" s="1782"/>
      <c r="I167" s="2047"/>
      <c r="J167" s="251"/>
      <c r="L167" s="251"/>
    </row>
    <row r="168" spans="1:23" s="1771" customFormat="1" ht="13.5" customHeight="1">
      <c r="A168" s="2030">
        <v>35</v>
      </c>
      <c r="B168" s="2046">
        <v>741</v>
      </c>
      <c r="C168" s="2046" t="s">
        <v>3831</v>
      </c>
      <c r="D168" s="2046" t="s">
        <v>3832</v>
      </c>
      <c r="E168" s="119" t="s">
        <v>205</v>
      </c>
      <c r="F168" s="2032">
        <f>ROUND(SUM(F170:F171),3)</f>
        <v>10</v>
      </c>
      <c r="G168" s="2166"/>
      <c r="H168" s="1775">
        <f t="shared" ref="H168" si="33">ROUND(F168*G168,2)</f>
        <v>0</v>
      </c>
      <c r="I168" s="2047" t="s">
        <v>111</v>
      </c>
      <c r="J168" s="2056"/>
      <c r="K168" s="2057"/>
      <c r="L168" s="2058"/>
      <c r="M168" s="2058"/>
      <c r="N168" s="2058"/>
      <c r="O168" s="2058"/>
      <c r="P168" s="2058"/>
      <c r="Q168" s="2058"/>
      <c r="R168" s="2058"/>
      <c r="S168" s="2058"/>
      <c r="T168" s="2058"/>
      <c r="U168" s="2058"/>
      <c r="V168" s="2058"/>
      <c r="W168" s="2059"/>
    </row>
    <row r="169" spans="1:23" s="1771" customFormat="1" ht="13.5" customHeight="1">
      <c r="A169" s="2069"/>
      <c r="B169" s="2046"/>
      <c r="C169" s="2069"/>
      <c r="D169" s="145" t="s">
        <v>3833</v>
      </c>
      <c r="E169" s="119"/>
      <c r="F169" s="2068"/>
      <c r="G169" s="2166"/>
      <c r="H169" s="1782"/>
      <c r="I169" s="2047"/>
      <c r="J169" s="2056"/>
      <c r="K169" s="2057"/>
      <c r="L169" s="251"/>
      <c r="W169" s="2059"/>
    </row>
    <row r="170" spans="1:23" s="1771" customFormat="1" ht="13.5" customHeight="1">
      <c r="A170" s="2069"/>
      <c r="B170" s="2046"/>
      <c r="C170" s="2069"/>
      <c r="D170" s="145" t="s">
        <v>1019</v>
      </c>
      <c r="E170" s="2046"/>
      <c r="F170" s="2052">
        <v>7</v>
      </c>
      <c r="G170" s="2166"/>
      <c r="H170" s="1782"/>
      <c r="I170" s="2047"/>
      <c r="J170" s="1852"/>
      <c r="L170" s="251"/>
      <c r="W170" s="2059"/>
    </row>
    <row r="171" spans="1:23" s="1771" customFormat="1" ht="13.5" customHeight="1">
      <c r="A171" s="2069"/>
      <c r="B171" s="2046"/>
      <c r="C171" s="2069"/>
      <c r="D171" s="145" t="s">
        <v>1027</v>
      </c>
      <c r="E171" s="2046"/>
      <c r="F171" s="2052">
        <v>3</v>
      </c>
      <c r="G171" s="2166"/>
      <c r="H171" s="1782"/>
      <c r="I171" s="2047"/>
      <c r="J171" s="251"/>
      <c r="L171" s="251"/>
    </row>
    <row r="172" spans="1:23" s="1771" customFormat="1" ht="13.5" customHeight="1">
      <c r="A172" s="2069"/>
      <c r="B172" s="2046"/>
      <c r="C172" s="2069"/>
      <c r="D172" s="145" t="s">
        <v>1807</v>
      </c>
      <c r="E172" s="119"/>
      <c r="F172" s="2052"/>
      <c r="G172" s="2166"/>
      <c r="H172" s="1782"/>
      <c r="I172" s="2047"/>
      <c r="J172" s="251"/>
      <c r="L172" s="251"/>
    </row>
    <row r="173" spans="1:23" s="1771" customFormat="1" ht="13.5" customHeight="1">
      <c r="A173" s="2030">
        <v>36</v>
      </c>
      <c r="B173" s="2046">
        <v>741</v>
      </c>
      <c r="C173" s="2046" t="s">
        <v>3834</v>
      </c>
      <c r="D173" s="2066" t="s">
        <v>3835</v>
      </c>
      <c r="E173" s="119" t="s">
        <v>205</v>
      </c>
      <c r="F173" s="2032">
        <f>ROUND(SUM(F175:F176),3)</f>
        <v>45</v>
      </c>
      <c r="G173" s="2166"/>
      <c r="H173" s="1775">
        <f t="shared" ref="H173" si="34">ROUND(F173*G173,2)</f>
        <v>0</v>
      </c>
      <c r="I173" s="2047" t="s">
        <v>111</v>
      </c>
      <c r="J173" s="2056"/>
      <c r="K173" s="2057"/>
      <c r="L173" s="2058"/>
      <c r="M173" s="2058"/>
      <c r="N173" s="2058"/>
      <c r="O173" s="2058"/>
      <c r="P173" s="2058"/>
      <c r="Q173" s="2058"/>
      <c r="R173" s="2058"/>
      <c r="S173" s="2058"/>
      <c r="T173" s="2058"/>
      <c r="U173" s="2058"/>
      <c r="V173" s="2058"/>
      <c r="W173" s="2059"/>
    </row>
    <row r="174" spans="1:23" s="1771" customFormat="1" ht="13.5" customHeight="1">
      <c r="A174" s="2069"/>
      <c r="B174" s="2046"/>
      <c r="C174" s="2069"/>
      <c r="D174" s="145" t="s">
        <v>3836</v>
      </c>
      <c r="E174" s="119"/>
      <c r="F174" s="2052"/>
      <c r="G174" s="2166"/>
      <c r="H174" s="1782"/>
      <c r="I174" s="2047"/>
      <c r="J174" s="2056"/>
      <c r="K174" s="2057"/>
      <c r="L174" s="251"/>
      <c r="W174" s="2059"/>
    </row>
    <row r="175" spans="1:23" s="1771" customFormat="1" ht="13.5" customHeight="1">
      <c r="A175" s="2069"/>
      <c r="B175" s="2046"/>
      <c r="C175" s="2069"/>
      <c r="D175" s="145" t="s">
        <v>1027</v>
      </c>
      <c r="E175" s="2046"/>
      <c r="F175" s="2052">
        <v>26</v>
      </c>
      <c r="G175" s="2166"/>
      <c r="H175" s="1782"/>
      <c r="I175" s="2047"/>
      <c r="J175" s="251"/>
      <c r="L175" s="251"/>
    </row>
    <row r="176" spans="1:23" s="1771" customFormat="1" ht="13.5" customHeight="1">
      <c r="A176" s="2069"/>
      <c r="B176" s="2046"/>
      <c r="C176" s="2069"/>
      <c r="D176" s="145" t="s">
        <v>1222</v>
      </c>
      <c r="E176" s="2046"/>
      <c r="F176" s="2052">
        <v>19</v>
      </c>
      <c r="G176" s="2166"/>
      <c r="H176" s="1782"/>
      <c r="I176" s="2047"/>
      <c r="J176" s="251"/>
      <c r="L176" s="251"/>
    </row>
    <row r="177" spans="1:23" s="1771" customFormat="1" ht="13.5" customHeight="1">
      <c r="A177" s="2069"/>
      <c r="B177" s="2046"/>
      <c r="C177" s="2069"/>
      <c r="D177" s="145" t="s">
        <v>1807</v>
      </c>
      <c r="E177" s="119"/>
      <c r="F177" s="2068"/>
      <c r="G177" s="2166"/>
      <c r="H177" s="1782"/>
      <c r="I177" s="2047"/>
      <c r="J177" s="251"/>
      <c r="L177" s="251"/>
      <c r="R177" s="2066"/>
      <c r="S177" s="119"/>
      <c r="T177" s="484"/>
      <c r="U177" s="1795"/>
      <c r="V177" s="1782"/>
      <c r="W177" s="2047"/>
    </row>
    <row r="178" spans="1:23" s="1771" customFormat="1" ht="13.5" customHeight="1">
      <c r="A178" s="2030">
        <v>37</v>
      </c>
      <c r="B178" s="2046">
        <v>741</v>
      </c>
      <c r="C178" s="2046" t="s">
        <v>3837</v>
      </c>
      <c r="D178" s="2066" t="s">
        <v>3838</v>
      </c>
      <c r="E178" s="119" t="s">
        <v>205</v>
      </c>
      <c r="F178" s="2032">
        <f>ROUND(SUM(F180:F181),3)</f>
        <v>9</v>
      </c>
      <c r="G178" s="2166"/>
      <c r="H178" s="1775">
        <f t="shared" ref="H178" si="35">ROUND(F178*G178,2)</f>
        <v>0</v>
      </c>
      <c r="I178" s="2047" t="s">
        <v>111</v>
      </c>
      <c r="J178" s="2056"/>
      <c r="K178" s="2057"/>
      <c r="L178" s="2058"/>
      <c r="M178" s="2058"/>
      <c r="N178" s="2058"/>
      <c r="O178" s="2058"/>
      <c r="P178" s="2058"/>
      <c r="Q178" s="2058"/>
      <c r="R178" s="2058"/>
      <c r="S178" s="2058"/>
      <c r="T178" s="2058"/>
      <c r="U178" s="2058"/>
      <c r="V178" s="2058"/>
      <c r="W178" s="2059"/>
    </row>
    <row r="179" spans="1:23" s="1771" customFormat="1" ht="13.5" customHeight="1">
      <c r="A179" s="2069"/>
      <c r="B179" s="2046"/>
      <c r="C179" s="2069"/>
      <c r="D179" s="145" t="s">
        <v>3839</v>
      </c>
      <c r="E179" s="119"/>
      <c r="F179" s="2052"/>
      <c r="G179" s="2166"/>
      <c r="H179" s="1782"/>
      <c r="I179" s="2047"/>
      <c r="J179" s="2056"/>
      <c r="K179" s="2057"/>
      <c r="L179" s="251"/>
      <c r="R179" s="145"/>
      <c r="S179" s="2046"/>
      <c r="T179" s="2070"/>
      <c r="U179" s="1795"/>
      <c r="V179" s="1782"/>
      <c r="W179" s="2059"/>
    </row>
    <row r="180" spans="1:23" s="1771" customFormat="1" ht="13.5" customHeight="1">
      <c r="A180" s="2069"/>
      <c r="B180" s="2046"/>
      <c r="C180" s="2069"/>
      <c r="D180" s="145" t="s">
        <v>1019</v>
      </c>
      <c r="E180" s="2046"/>
      <c r="F180" s="2052">
        <v>3</v>
      </c>
      <c r="G180" s="2166"/>
      <c r="H180" s="1782"/>
      <c r="I180" s="2047"/>
      <c r="J180" s="1852"/>
      <c r="L180" s="251"/>
      <c r="R180" s="145"/>
      <c r="S180" s="2046"/>
      <c r="T180" s="2070"/>
      <c r="U180" s="1795"/>
      <c r="V180" s="1782"/>
      <c r="W180" s="2059"/>
    </row>
    <row r="181" spans="1:23" s="1771" customFormat="1" ht="13.5" customHeight="1">
      <c r="A181" s="2069"/>
      <c r="B181" s="2046"/>
      <c r="C181" s="2069"/>
      <c r="D181" s="145" t="s">
        <v>1027</v>
      </c>
      <c r="E181" s="2046"/>
      <c r="F181" s="2052">
        <v>6</v>
      </c>
      <c r="G181" s="2166"/>
      <c r="H181" s="1782"/>
      <c r="I181" s="2047"/>
      <c r="J181" s="251"/>
      <c r="L181" s="251"/>
      <c r="R181" s="145"/>
      <c r="S181" s="2046"/>
      <c r="T181" s="2070"/>
      <c r="U181" s="1795"/>
      <c r="V181" s="1782"/>
      <c r="W181" s="2047"/>
    </row>
    <row r="182" spans="1:23" s="1771" customFormat="1" ht="13.5" customHeight="1">
      <c r="A182" s="2069"/>
      <c r="B182" s="2046"/>
      <c r="C182" s="2069"/>
      <c r="D182" s="145" t="s">
        <v>1807</v>
      </c>
      <c r="E182" s="119"/>
      <c r="F182" s="2068"/>
      <c r="G182" s="2166"/>
      <c r="H182" s="1782"/>
      <c r="I182" s="2047"/>
      <c r="J182" s="251"/>
      <c r="L182" s="251"/>
    </row>
    <row r="183" spans="1:23" s="1771" customFormat="1" ht="13.5" customHeight="1">
      <c r="A183" s="2030">
        <v>38</v>
      </c>
      <c r="B183" s="2046">
        <v>741</v>
      </c>
      <c r="C183" s="2046" t="s">
        <v>3840</v>
      </c>
      <c r="D183" s="2066" t="s">
        <v>3841</v>
      </c>
      <c r="E183" s="119" t="s">
        <v>205</v>
      </c>
      <c r="F183" s="2032">
        <f>ROUND(SUM(F185:F186),3)</f>
        <v>18</v>
      </c>
      <c r="G183" s="2166"/>
      <c r="H183" s="1775">
        <f t="shared" ref="H183" si="36">ROUND(F183*G183,2)</f>
        <v>0</v>
      </c>
      <c r="I183" s="2047" t="s">
        <v>111</v>
      </c>
      <c r="J183" s="2056"/>
      <c r="K183" s="2057"/>
      <c r="L183" s="2058"/>
      <c r="M183" s="2058"/>
      <c r="N183" s="2058"/>
      <c r="O183" s="2058"/>
      <c r="P183" s="2058"/>
      <c r="Q183" s="2058"/>
      <c r="R183" s="2058"/>
      <c r="S183" s="2058"/>
      <c r="T183" s="2058"/>
      <c r="U183" s="2058"/>
      <c r="V183" s="2058"/>
      <c r="W183" s="2059"/>
    </row>
    <row r="184" spans="1:23" s="1771" customFormat="1" ht="13.5" customHeight="1">
      <c r="A184" s="2069"/>
      <c r="B184" s="2046"/>
      <c r="C184" s="2069"/>
      <c r="D184" s="145" t="s">
        <v>3842</v>
      </c>
      <c r="E184" s="119"/>
      <c r="F184" s="2052"/>
      <c r="G184" s="2166"/>
      <c r="H184" s="1782"/>
      <c r="I184" s="2047"/>
      <c r="J184" s="1852"/>
      <c r="L184" s="251"/>
      <c r="W184" s="2059"/>
    </row>
    <row r="185" spans="1:23" s="1771" customFormat="1" ht="13.5" customHeight="1">
      <c r="A185" s="2069"/>
      <c r="B185" s="2046"/>
      <c r="C185" s="2069"/>
      <c r="D185" s="145" t="s">
        <v>1027</v>
      </c>
      <c r="E185" s="2046"/>
      <c r="F185" s="2052">
        <v>9</v>
      </c>
      <c r="G185" s="2166"/>
      <c r="H185" s="1782"/>
      <c r="I185" s="2047"/>
      <c r="J185" s="251"/>
      <c r="L185" s="251"/>
    </row>
    <row r="186" spans="1:23" s="1771" customFormat="1" ht="13.5" customHeight="1">
      <c r="A186" s="2069"/>
      <c r="B186" s="2046"/>
      <c r="C186" s="2069"/>
      <c r="D186" s="145" t="s">
        <v>1222</v>
      </c>
      <c r="E186" s="2046"/>
      <c r="F186" s="2052">
        <v>9</v>
      </c>
      <c r="G186" s="2166"/>
      <c r="H186" s="1782"/>
      <c r="I186" s="2047"/>
      <c r="J186" s="251"/>
      <c r="L186" s="251"/>
    </row>
    <row r="187" spans="1:23" s="1771" customFormat="1" ht="13.5" customHeight="1">
      <c r="A187" s="2069"/>
      <c r="B187" s="2046"/>
      <c r="C187" s="2069"/>
      <c r="D187" s="145" t="s">
        <v>1807</v>
      </c>
      <c r="E187" s="119"/>
      <c r="F187" s="2068"/>
      <c r="G187" s="2166"/>
      <c r="H187" s="1782"/>
      <c r="I187" s="2047"/>
      <c r="J187" s="251"/>
      <c r="L187" s="251"/>
    </row>
    <row r="188" spans="1:23" s="1771" customFormat="1" ht="13.5" customHeight="1">
      <c r="A188" s="2030">
        <v>39</v>
      </c>
      <c r="B188" s="2046">
        <v>741</v>
      </c>
      <c r="C188" s="2046" t="s">
        <v>3843</v>
      </c>
      <c r="D188" s="2066" t="s">
        <v>3844</v>
      </c>
      <c r="E188" s="119" t="s">
        <v>205</v>
      </c>
      <c r="F188" s="2032">
        <f>ROUND(SUM(F190),3)</f>
        <v>4</v>
      </c>
      <c r="G188" s="2166"/>
      <c r="H188" s="1775">
        <f t="shared" ref="H188" si="37">ROUND(F188*G188,2)</f>
        <v>0</v>
      </c>
      <c r="I188" s="2047" t="s">
        <v>111</v>
      </c>
      <c r="J188" s="2056"/>
      <c r="K188" s="2057"/>
      <c r="L188" s="2058"/>
      <c r="M188" s="2058"/>
      <c r="N188" s="2058"/>
      <c r="O188" s="2058"/>
      <c r="P188" s="2058"/>
      <c r="Q188" s="2058"/>
      <c r="R188" s="2058"/>
      <c r="S188" s="2058"/>
      <c r="T188" s="2058"/>
      <c r="U188" s="2058"/>
      <c r="V188" s="2058"/>
      <c r="W188" s="2059"/>
    </row>
    <row r="189" spans="1:23" s="1771" customFormat="1" ht="13.5" customHeight="1">
      <c r="A189" s="2069"/>
      <c r="B189" s="2046"/>
      <c r="C189" s="2069"/>
      <c r="D189" s="145" t="s">
        <v>3845</v>
      </c>
      <c r="E189" s="119"/>
      <c r="F189" s="2052"/>
      <c r="G189" s="2166"/>
      <c r="H189" s="1782"/>
      <c r="I189" s="2047"/>
      <c r="J189" s="1852"/>
      <c r="L189" s="251"/>
      <c r="W189" s="2059"/>
    </row>
    <row r="190" spans="1:23" s="1771" customFormat="1" ht="13.5" customHeight="1">
      <c r="A190" s="2069"/>
      <c r="B190" s="2046"/>
      <c r="C190" s="2069"/>
      <c r="D190" s="145" t="s">
        <v>1027</v>
      </c>
      <c r="E190" s="2046"/>
      <c r="F190" s="2052">
        <v>4</v>
      </c>
      <c r="G190" s="2166"/>
      <c r="H190" s="1782"/>
      <c r="I190" s="2047"/>
      <c r="J190" s="251"/>
      <c r="L190" s="251"/>
    </row>
    <row r="191" spans="1:23" s="1771" customFormat="1" ht="13.5" customHeight="1">
      <c r="A191" s="2069"/>
      <c r="B191" s="2046"/>
      <c r="C191" s="2069"/>
      <c r="D191" s="145" t="s">
        <v>1807</v>
      </c>
      <c r="E191" s="119"/>
      <c r="F191" s="2068"/>
      <c r="G191" s="2166"/>
      <c r="H191" s="1782"/>
      <c r="I191" s="2047"/>
      <c r="J191" s="251"/>
      <c r="L191" s="251"/>
    </row>
    <row r="192" spans="1:23" s="1771" customFormat="1" ht="13.5" customHeight="1">
      <c r="A192" s="2030">
        <v>40</v>
      </c>
      <c r="B192" s="2046">
        <v>741</v>
      </c>
      <c r="C192" s="2046" t="s">
        <v>3846</v>
      </c>
      <c r="D192" s="2066" t="s">
        <v>3847</v>
      </c>
      <c r="E192" s="119" t="s">
        <v>205</v>
      </c>
      <c r="F192" s="2032">
        <f>ROUND(SUM(F194:F194),3)</f>
        <v>4</v>
      </c>
      <c r="G192" s="2166"/>
      <c r="H192" s="1775">
        <f t="shared" ref="H192" si="38">ROUND(F192*G192,2)</f>
        <v>0</v>
      </c>
      <c r="I192" s="2047" t="s">
        <v>111</v>
      </c>
      <c r="J192" s="2056"/>
      <c r="K192" s="2057"/>
      <c r="L192" s="2058"/>
      <c r="M192" s="2058"/>
      <c r="N192" s="2058"/>
      <c r="O192" s="2058"/>
      <c r="P192" s="2058"/>
      <c r="Q192" s="2058"/>
      <c r="R192" s="2058"/>
      <c r="S192" s="2058"/>
      <c r="T192" s="2058"/>
      <c r="U192" s="2058"/>
      <c r="V192" s="2058"/>
      <c r="W192" s="2059"/>
    </row>
    <row r="193" spans="1:97" s="1771" customFormat="1" ht="13.5" customHeight="1">
      <c r="A193" s="2069"/>
      <c r="B193" s="2046"/>
      <c r="C193" s="2069"/>
      <c r="D193" s="145" t="s">
        <v>3848</v>
      </c>
      <c r="E193" s="119"/>
      <c r="F193" s="2052"/>
      <c r="G193" s="2166"/>
      <c r="H193" s="1782"/>
      <c r="I193" s="2047"/>
      <c r="J193" s="2056"/>
      <c r="K193" s="2057"/>
      <c r="L193" s="251"/>
      <c r="W193" s="2059"/>
    </row>
    <row r="194" spans="1:97" s="1771" customFormat="1" ht="13.5" customHeight="1">
      <c r="A194" s="2069"/>
      <c r="B194" s="2046"/>
      <c r="C194" s="2069"/>
      <c r="D194" s="145" t="s">
        <v>1222</v>
      </c>
      <c r="E194" s="2046"/>
      <c r="F194" s="2052">
        <v>4</v>
      </c>
      <c r="G194" s="2166"/>
      <c r="H194" s="1782"/>
      <c r="I194" s="2047"/>
      <c r="J194" s="251"/>
      <c r="L194" s="251"/>
    </row>
    <row r="195" spans="1:97" s="1771" customFormat="1" ht="13.5" customHeight="1">
      <c r="A195" s="2069"/>
      <c r="B195" s="2046"/>
      <c r="C195" s="2069"/>
      <c r="D195" s="145" t="s">
        <v>1807</v>
      </c>
      <c r="E195" s="119"/>
      <c r="F195" s="2068"/>
      <c r="G195" s="2166"/>
      <c r="H195" s="1782"/>
      <c r="I195" s="2047"/>
      <c r="J195" s="251"/>
      <c r="L195" s="251"/>
    </row>
    <row r="196" spans="1:97" s="1968" customFormat="1" ht="13.5" customHeight="1">
      <c r="A196" s="2045" t="s">
        <v>1277</v>
      </c>
      <c r="B196" s="2046">
        <v>741</v>
      </c>
      <c r="C196" s="2046">
        <v>998741312</v>
      </c>
      <c r="D196" s="2046" t="s">
        <v>3801</v>
      </c>
      <c r="E196" s="2046" t="s">
        <v>10</v>
      </c>
      <c r="F196" s="2032">
        <v>0.78</v>
      </c>
      <c r="G196" s="2164"/>
      <c r="H196" s="1775">
        <f t="shared" ref="H196:H197" si="39">ROUND(F196*G196,2)</f>
        <v>0</v>
      </c>
      <c r="I196" s="2047" t="s">
        <v>1801</v>
      </c>
      <c r="J196" s="2048"/>
      <c r="K196" s="2049"/>
      <c r="L196" s="2050"/>
      <c r="M196" s="2050"/>
      <c r="N196" s="2050"/>
      <c r="O196" s="2050"/>
      <c r="P196" s="2050"/>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c r="BY196" s="251"/>
      <c r="BZ196" s="251"/>
      <c r="CA196" s="251"/>
      <c r="CB196" s="251"/>
      <c r="CC196" s="251"/>
      <c r="CD196" s="251"/>
      <c r="CE196" s="251"/>
      <c r="CF196" s="251"/>
      <c r="CG196" s="251"/>
      <c r="CH196" s="251"/>
      <c r="CI196" s="251"/>
      <c r="CJ196" s="251"/>
      <c r="CK196" s="251"/>
      <c r="CL196" s="251"/>
      <c r="CM196" s="251"/>
      <c r="CN196" s="251"/>
      <c r="CO196" s="251"/>
      <c r="CP196" s="251"/>
      <c r="CQ196" s="251"/>
      <c r="CR196" s="251"/>
      <c r="CS196" s="251"/>
    </row>
    <row r="197" spans="1:97" s="1952" customFormat="1" ht="13.5" customHeight="1">
      <c r="A197" s="2045" t="s">
        <v>1281</v>
      </c>
      <c r="B197" s="2046" t="s">
        <v>362</v>
      </c>
      <c r="C197" s="2046" t="s">
        <v>1802</v>
      </c>
      <c r="D197" s="2046" t="s">
        <v>1803</v>
      </c>
      <c r="E197" s="2046" t="s">
        <v>69</v>
      </c>
      <c r="F197" s="2051">
        <f>ROUND(SUM(F198),3)</f>
        <v>20</v>
      </c>
      <c r="G197" s="2164"/>
      <c r="H197" s="1775">
        <f t="shared" si="39"/>
        <v>0</v>
      </c>
      <c r="I197" s="2047" t="s">
        <v>1801</v>
      </c>
      <c r="J197" s="2020"/>
      <c r="K197" s="2050"/>
      <c r="L197" s="2050"/>
      <c r="M197" s="2050"/>
      <c r="N197" s="2050"/>
      <c r="O197" s="2050"/>
      <c r="P197" s="2050"/>
      <c r="Q197" s="1951"/>
      <c r="R197" s="1951"/>
      <c r="S197" s="1951"/>
      <c r="T197" s="1951"/>
      <c r="U197" s="1951"/>
      <c r="V197" s="1951"/>
      <c r="W197" s="1951"/>
      <c r="X197" s="1951"/>
      <c r="Y197" s="1951"/>
      <c r="Z197" s="1951"/>
      <c r="AA197" s="1951"/>
      <c r="AB197" s="1951"/>
      <c r="AC197" s="1951"/>
      <c r="AD197" s="1951"/>
      <c r="AE197" s="1951"/>
      <c r="AF197" s="1951"/>
      <c r="AG197" s="1951"/>
      <c r="AH197" s="1951"/>
      <c r="AI197" s="1951"/>
      <c r="AJ197" s="1951"/>
      <c r="AK197" s="1951"/>
      <c r="AL197" s="1951"/>
      <c r="AM197" s="1951"/>
      <c r="AN197" s="1951"/>
      <c r="AO197" s="1951"/>
      <c r="AP197" s="1951"/>
      <c r="AQ197" s="1951"/>
      <c r="AR197" s="1951"/>
      <c r="AS197" s="1951"/>
      <c r="AT197" s="1951"/>
      <c r="AU197" s="1951"/>
      <c r="AV197" s="1951"/>
      <c r="AW197" s="1951"/>
      <c r="AX197" s="1951"/>
      <c r="AY197" s="1951"/>
      <c r="AZ197" s="1951"/>
      <c r="BA197" s="1951"/>
      <c r="BB197" s="1951"/>
      <c r="BC197" s="1951"/>
      <c r="BD197" s="1951"/>
      <c r="BE197" s="1951"/>
      <c r="BF197" s="1951"/>
      <c r="BG197" s="1951"/>
      <c r="BH197" s="1951"/>
      <c r="BI197" s="1951"/>
      <c r="BJ197" s="1951"/>
      <c r="BK197" s="1951"/>
      <c r="BL197" s="1951"/>
      <c r="BM197" s="1951"/>
      <c r="BN197" s="1951"/>
      <c r="BO197" s="1951"/>
      <c r="BP197" s="1951"/>
      <c r="BQ197" s="1951"/>
      <c r="BR197" s="1951"/>
      <c r="BS197" s="1951"/>
      <c r="BT197" s="1951"/>
      <c r="BU197" s="1951"/>
      <c r="BV197" s="1951"/>
      <c r="BW197" s="1951"/>
      <c r="BX197" s="1951"/>
      <c r="BY197" s="1951"/>
      <c r="BZ197" s="1951"/>
      <c r="CA197" s="1951"/>
      <c r="CB197" s="1951"/>
      <c r="CC197" s="1951"/>
      <c r="CD197" s="1951"/>
      <c r="CE197" s="1951"/>
      <c r="CF197" s="1951"/>
      <c r="CG197" s="1951"/>
      <c r="CH197" s="1951"/>
      <c r="CI197" s="1951"/>
      <c r="CJ197" s="1951"/>
      <c r="CK197" s="1951"/>
      <c r="CL197" s="1951"/>
      <c r="CM197" s="1951"/>
      <c r="CN197" s="1951"/>
      <c r="CO197" s="1951"/>
      <c r="CP197" s="1951"/>
      <c r="CQ197" s="1951"/>
      <c r="CR197" s="1951"/>
      <c r="CS197" s="1951"/>
    </row>
    <row r="198" spans="1:97" s="1952" customFormat="1" ht="13.5" customHeight="1">
      <c r="A198" s="2045"/>
      <c r="B198" s="2046"/>
      <c r="C198" s="2046"/>
      <c r="D198" s="145" t="s">
        <v>1804</v>
      </c>
      <c r="E198" s="2046"/>
      <c r="F198" s="2052">
        <v>20</v>
      </c>
      <c r="G198" s="2164"/>
      <c r="H198" s="1782"/>
      <c r="I198" s="2047"/>
      <c r="J198" s="1951"/>
      <c r="K198" s="2050"/>
      <c r="L198" s="2050"/>
      <c r="M198" s="2050"/>
      <c r="N198" s="2050"/>
      <c r="O198" s="2050"/>
      <c r="P198" s="2050"/>
      <c r="Q198" s="1951"/>
      <c r="R198" s="1951"/>
      <c r="S198" s="1951"/>
      <c r="T198" s="1951"/>
      <c r="U198" s="1951"/>
      <c r="V198" s="1951"/>
      <c r="W198" s="1951"/>
      <c r="X198" s="1951"/>
      <c r="Y198" s="1951"/>
      <c r="Z198" s="1951"/>
      <c r="AA198" s="1951"/>
      <c r="AB198" s="1951"/>
      <c r="AC198" s="1951"/>
      <c r="AD198" s="1951"/>
      <c r="AE198" s="1951"/>
      <c r="AF198" s="1951"/>
      <c r="AG198" s="1951"/>
      <c r="AH198" s="1951"/>
      <c r="AI198" s="1951"/>
      <c r="AJ198" s="1951"/>
      <c r="AK198" s="1951"/>
      <c r="AL198" s="1951"/>
      <c r="AM198" s="1951"/>
      <c r="AN198" s="1951"/>
      <c r="AO198" s="1951"/>
      <c r="AP198" s="1951"/>
      <c r="AQ198" s="1951"/>
      <c r="AR198" s="1951"/>
      <c r="AS198" s="1951"/>
      <c r="AT198" s="1951"/>
      <c r="AU198" s="1951"/>
      <c r="AV198" s="1951"/>
      <c r="AW198" s="1951"/>
      <c r="AX198" s="1951"/>
      <c r="AY198" s="1951"/>
      <c r="AZ198" s="1951"/>
      <c r="BA198" s="1951"/>
      <c r="BB198" s="1951"/>
      <c r="BC198" s="1951"/>
      <c r="BD198" s="1951"/>
      <c r="BE198" s="1951"/>
      <c r="BF198" s="1951"/>
      <c r="BG198" s="1951"/>
      <c r="BH198" s="1951"/>
      <c r="BI198" s="1951"/>
      <c r="BJ198" s="1951"/>
      <c r="BK198" s="1951"/>
      <c r="BL198" s="1951"/>
      <c r="BM198" s="1951"/>
      <c r="BN198" s="1951"/>
      <c r="BO198" s="1951"/>
      <c r="BP198" s="1951"/>
      <c r="BQ198" s="1951"/>
      <c r="BR198" s="1951"/>
      <c r="BS198" s="1951"/>
      <c r="BT198" s="1951"/>
      <c r="BU198" s="1951"/>
      <c r="BV198" s="1951"/>
      <c r="BW198" s="1951"/>
      <c r="BX198" s="1951"/>
      <c r="BY198" s="1951"/>
      <c r="BZ198" s="1951"/>
      <c r="CA198" s="1951"/>
      <c r="CB198" s="1951"/>
      <c r="CC198" s="1951"/>
      <c r="CD198" s="1951"/>
      <c r="CE198" s="1951"/>
      <c r="CF198" s="1951"/>
      <c r="CG198" s="1951"/>
      <c r="CH198" s="1951"/>
      <c r="CI198" s="1951"/>
      <c r="CJ198" s="1951"/>
      <c r="CK198" s="1951"/>
      <c r="CL198" s="1951"/>
      <c r="CM198" s="1951"/>
      <c r="CN198" s="1951"/>
      <c r="CO198" s="1951"/>
      <c r="CP198" s="1951"/>
      <c r="CQ198" s="1951"/>
      <c r="CR198" s="1951"/>
      <c r="CS198" s="1951"/>
    </row>
    <row r="199" spans="1:97" s="1952" customFormat="1" ht="27" customHeight="1">
      <c r="A199" s="2045"/>
      <c r="B199" s="2046"/>
      <c r="C199" s="2046"/>
      <c r="D199" s="145" t="s">
        <v>1805</v>
      </c>
      <c r="E199" s="2046"/>
      <c r="F199" s="2032"/>
      <c r="G199" s="2164"/>
      <c r="H199" s="1782"/>
      <c r="I199" s="2047"/>
      <c r="J199" s="1951"/>
      <c r="K199" s="2050"/>
      <c r="L199" s="2050"/>
      <c r="M199" s="2050"/>
      <c r="N199" s="2053"/>
      <c r="O199" s="2050"/>
      <c r="P199" s="2050"/>
      <c r="Q199" s="1951"/>
      <c r="R199" s="1951"/>
      <c r="S199" s="1951"/>
      <c r="T199" s="1951"/>
      <c r="U199" s="1951"/>
      <c r="V199" s="1951"/>
      <c r="W199" s="1951"/>
      <c r="X199" s="1951"/>
      <c r="Y199" s="1951"/>
      <c r="Z199" s="1951"/>
      <c r="AA199" s="1951"/>
      <c r="AB199" s="1951"/>
      <c r="AC199" s="1951"/>
      <c r="AD199" s="1951"/>
      <c r="AE199" s="1951"/>
      <c r="AF199" s="1951"/>
      <c r="AG199" s="1951"/>
      <c r="AH199" s="1951"/>
      <c r="AI199" s="1951"/>
      <c r="AJ199" s="1951"/>
      <c r="AK199" s="1951"/>
      <c r="AL199" s="1951"/>
      <c r="AM199" s="1951"/>
      <c r="AN199" s="1951"/>
      <c r="AO199" s="1951"/>
      <c r="AP199" s="1951"/>
      <c r="AQ199" s="1951"/>
      <c r="AR199" s="1951"/>
      <c r="AS199" s="1951"/>
      <c r="AT199" s="1951"/>
      <c r="AU199" s="1951"/>
      <c r="AV199" s="1951"/>
      <c r="AW199" s="1951"/>
      <c r="AX199" s="1951"/>
      <c r="AY199" s="1951"/>
      <c r="AZ199" s="1951"/>
      <c r="BA199" s="1951"/>
      <c r="BB199" s="1951"/>
      <c r="BC199" s="1951"/>
      <c r="BD199" s="1951"/>
      <c r="BE199" s="1951"/>
      <c r="BF199" s="1951"/>
      <c r="BG199" s="1951"/>
      <c r="BH199" s="1951"/>
      <c r="BI199" s="1951"/>
      <c r="BJ199" s="1951"/>
      <c r="BK199" s="1951"/>
      <c r="BL199" s="1951"/>
      <c r="BM199" s="1951"/>
      <c r="BN199" s="1951"/>
      <c r="BO199" s="1951"/>
      <c r="BP199" s="1951"/>
      <c r="BQ199" s="1951"/>
      <c r="BR199" s="1951"/>
      <c r="BS199" s="1951"/>
      <c r="BT199" s="1951"/>
      <c r="BU199" s="1951"/>
      <c r="BV199" s="1951"/>
      <c r="BW199" s="1951"/>
      <c r="BX199" s="1951"/>
      <c r="BY199" s="1951"/>
      <c r="BZ199" s="1951"/>
      <c r="CA199" s="1951"/>
      <c r="CB199" s="1951"/>
      <c r="CC199" s="1951"/>
      <c r="CD199" s="1951"/>
      <c r="CE199" s="1951"/>
      <c r="CF199" s="1951"/>
      <c r="CG199" s="1951"/>
      <c r="CH199" s="1951"/>
      <c r="CI199" s="1951"/>
      <c r="CJ199" s="1951"/>
      <c r="CK199" s="1951"/>
      <c r="CL199" s="1951"/>
      <c r="CM199" s="1951"/>
      <c r="CN199" s="1951"/>
      <c r="CO199" s="1951"/>
      <c r="CP199" s="1951"/>
      <c r="CQ199" s="1951"/>
      <c r="CR199" s="1951"/>
      <c r="CS199" s="1951"/>
    </row>
    <row r="200" spans="1:97" s="1771" customFormat="1" ht="13.5" customHeight="1">
      <c r="A200" s="2071"/>
      <c r="B200" s="2026"/>
      <c r="C200" s="2026">
        <v>741</v>
      </c>
      <c r="D200" s="2026" t="s">
        <v>1808</v>
      </c>
      <c r="E200" s="2026"/>
      <c r="F200" s="2055"/>
      <c r="G200" s="2164"/>
      <c r="H200" s="2024">
        <f>SUM(H201:H225)</f>
        <v>0</v>
      </c>
      <c r="I200" s="2029"/>
      <c r="J200" s="2072"/>
      <c r="K200" s="1772"/>
      <c r="L200" s="1772"/>
      <c r="M200" s="1772"/>
      <c r="N200" s="1772"/>
      <c r="O200" s="1772"/>
      <c r="P200" s="1772"/>
    </row>
    <row r="201" spans="1:97" s="1771" customFormat="1" ht="13.5" customHeight="1">
      <c r="A201" s="2030">
        <v>43</v>
      </c>
      <c r="B201" s="2046">
        <v>741</v>
      </c>
      <c r="C201" s="2046" t="s">
        <v>1809</v>
      </c>
      <c r="D201" s="2046" t="s">
        <v>3849</v>
      </c>
      <c r="E201" s="2046" t="s">
        <v>141</v>
      </c>
      <c r="F201" s="2051">
        <f>ROUND(SUM(F202),3)</f>
        <v>3500</v>
      </c>
      <c r="G201" s="2166"/>
      <c r="H201" s="1775">
        <f t="shared" ref="H201" si="40">ROUND(F201*G201,2)</f>
        <v>0</v>
      </c>
      <c r="I201" s="2033" t="s">
        <v>111</v>
      </c>
      <c r="J201" s="1874"/>
      <c r="K201" s="1785"/>
      <c r="L201" s="1785"/>
      <c r="M201" s="1833"/>
      <c r="N201" s="1833"/>
      <c r="O201" s="1833"/>
      <c r="P201" s="1833"/>
      <c r="Q201" s="482"/>
      <c r="T201" s="1876"/>
      <c r="U201" s="1876"/>
    </row>
    <row r="202" spans="1:97" s="1771" customFormat="1" ht="13.5" customHeight="1">
      <c r="A202" s="2069"/>
      <c r="B202" s="2026"/>
      <c r="C202" s="2026"/>
      <c r="D202" s="240" t="s">
        <v>3850</v>
      </c>
      <c r="E202" s="2073"/>
      <c r="F202" s="2074">
        <v>3500</v>
      </c>
      <c r="G202" s="2166"/>
      <c r="H202" s="1795"/>
      <c r="I202" s="2029"/>
      <c r="J202" s="1890"/>
      <c r="K202" s="1772"/>
      <c r="L202" s="1772"/>
      <c r="M202" s="1772"/>
      <c r="N202" s="1772"/>
      <c r="O202" s="1772"/>
      <c r="P202" s="1772"/>
      <c r="T202" s="1876"/>
    </row>
    <row r="203" spans="1:97" s="1771" customFormat="1" ht="27" customHeight="1">
      <c r="A203" s="2069"/>
      <c r="B203" s="2026"/>
      <c r="C203" s="2026"/>
      <c r="D203" s="145" t="s">
        <v>3851</v>
      </c>
      <c r="E203" s="2066"/>
      <c r="F203" s="2075"/>
      <c r="G203" s="2166"/>
      <c r="H203" s="1795"/>
      <c r="I203" s="2029"/>
      <c r="J203" s="1905"/>
      <c r="K203" s="1772"/>
      <c r="L203" s="1772"/>
      <c r="M203" s="1772"/>
      <c r="N203" s="1772"/>
      <c r="O203" s="1772"/>
      <c r="P203" s="1772"/>
    </row>
    <row r="204" spans="1:97" s="1771" customFormat="1" ht="13.5" customHeight="1">
      <c r="A204" s="2030">
        <v>44</v>
      </c>
      <c r="B204" s="2046">
        <v>741</v>
      </c>
      <c r="C204" s="2046" t="s">
        <v>1810</v>
      </c>
      <c r="D204" s="2046" t="s">
        <v>3852</v>
      </c>
      <c r="E204" s="2046" t="s">
        <v>141</v>
      </c>
      <c r="F204" s="2051">
        <f>ROUND(SUM(F205),3)</f>
        <v>5500</v>
      </c>
      <c r="G204" s="2166"/>
      <c r="H204" s="1775">
        <f t="shared" ref="H204" si="41">ROUND(F204*G204,2)</f>
        <v>0</v>
      </c>
      <c r="I204" s="2033" t="s">
        <v>111</v>
      </c>
      <c r="J204" s="1874"/>
      <c r="K204" s="1785"/>
      <c r="L204" s="1785"/>
      <c r="M204" s="1833"/>
      <c r="N204" s="1833"/>
      <c r="O204" s="1833"/>
      <c r="P204" s="1833"/>
      <c r="Q204" s="482"/>
      <c r="T204" s="1876"/>
      <c r="U204" s="1876"/>
    </row>
    <row r="205" spans="1:97" s="1771" customFormat="1" ht="13.5" customHeight="1">
      <c r="A205" s="2069"/>
      <c r="B205" s="2026"/>
      <c r="C205" s="2026"/>
      <c r="D205" s="240" t="s">
        <v>3850</v>
      </c>
      <c r="E205" s="2073"/>
      <c r="F205" s="2074">
        <v>5500</v>
      </c>
      <c r="G205" s="2166"/>
      <c r="H205" s="1795"/>
      <c r="I205" s="2029"/>
      <c r="J205" s="1890"/>
      <c r="K205" s="1772"/>
      <c r="L205" s="1772"/>
      <c r="M205" s="1772"/>
      <c r="N205" s="1772"/>
      <c r="O205" s="1772"/>
      <c r="P205" s="1772"/>
      <c r="T205" s="1876"/>
    </row>
    <row r="206" spans="1:97" s="1771" customFormat="1" ht="27" customHeight="1">
      <c r="A206" s="2069"/>
      <c r="B206" s="2026"/>
      <c r="C206" s="2026"/>
      <c r="D206" s="145" t="s">
        <v>3851</v>
      </c>
      <c r="E206" s="2073"/>
      <c r="F206" s="2076"/>
      <c r="G206" s="2166"/>
      <c r="H206" s="1795"/>
      <c r="I206" s="2029"/>
      <c r="J206" s="1905"/>
      <c r="K206" s="1772"/>
      <c r="L206" s="1772"/>
      <c r="M206" s="1772"/>
      <c r="N206" s="1772"/>
      <c r="O206" s="1772"/>
      <c r="P206" s="1772"/>
    </row>
    <row r="207" spans="1:97" s="1771" customFormat="1" ht="13.5" customHeight="1">
      <c r="A207" s="2030">
        <v>45</v>
      </c>
      <c r="B207" s="2046">
        <v>741</v>
      </c>
      <c r="C207" s="2046" t="s">
        <v>1811</v>
      </c>
      <c r="D207" s="2046" t="s">
        <v>3853</v>
      </c>
      <c r="E207" s="2046" t="s">
        <v>141</v>
      </c>
      <c r="F207" s="2051">
        <f>ROUND(SUM(F208),3)</f>
        <v>120</v>
      </c>
      <c r="G207" s="2166"/>
      <c r="H207" s="1775">
        <f t="shared" ref="H207" si="42">ROUND(F207*G207,2)</f>
        <v>0</v>
      </c>
      <c r="I207" s="2033" t="s">
        <v>111</v>
      </c>
      <c r="J207" s="1874"/>
      <c r="K207" s="1785"/>
      <c r="L207" s="1785"/>
      <c r="M207" s="1833"/>
      <c r="N207" s="1833"/>
      <c r="O207" s="1833"/>
      <c r="P207" s="1833"/>
      <c r="Q207" s="482"/>
      <c r="T207" s="1876"/>
      <c r="U207" s="1876"/>
    </row>
    <row r="208" spans="1:97" s="1771" customFormat="1" ht="13.5" customHeight="1">
      <c r="A208" s="2069"/>
      <c r="B208" s="2026"/>
      <c r="C208" s="2026"/>
      <c r="D208" s="240" t="s">
        <v>3850</v>
      </c>
      <c r="E208" s="2073"/>
      <c r="F208" s="2074">
        <v>120</v>
      </c>
      <c r="G208" s="2166"/>
      <c r="H208" s="1795"/>
      <c r="I208" s="2029"/>
      <c r="J208" s="1890"/>
      <c r="K208" s="1772"/>
      <c r="L208" s="1772"/>
      <c r="M208" s="1772"/>
      <c r="N208" s="1772"/>
      <c r="O208" s="1772"/>
      <c r="P208" s="1772"/>
      <c r="T208" s="1876"/>
    </row>
    <row r="209" spans="1:97" s="1771" customFormat="1" ht="27" customHeight="1">
      <c r="A209" s="2069"/>
      <c r="B209" s="2026"/>
      <c r="C209" s="2026"/>
      <c r="D209" s="145" t="s">
        <v>3851</v>
      </c>
      <c r="E209" s="2073"/>
      <c r="F209" s="2076"/>
      <c r="G209" s="2166"/>
      <c r="H209" s="1795"/>
      <c r="I209" s="2029"/>
      <c r="J209" s="1905"/>
      <c r="K209" s="1772"/>
      <c r="L209" s="1772"/>
      <c r="M209" s="1772"/>
      <c r="N209" s="1772"/>
      <c r="O209" s="1772"/>
      <c r="P209" s="1772"/>
    </row>
    <row r="210" spans="1:97" s="1771" customFormat="1" ht="13.5" customHeight="1">
      <c r="A210" s="2030">
        <v>46</v>
      </c>
      <c r="B210" s="2046">
        <v>741</v>
      </c>
      <c r="C210" s="2046" t="s">
        <v>1812</v>
      </c>
      <c r="D210" s="2046" t="s">
        <v>3854</v>
      </c>
      <c r="E210" s="2046" t="s">
        <v>141</v>
      </c>
      <c r="F210" s="2051">
        <f>ROUND(SUM(F211),3)</f>
        <v>300</v>
      </c>
      <c r="G210" s="2166"/>
      <c r="H210" s="1775">
        <f t="shared" ref="H210" si="43">ROUND(F210*G210,2)</f>
        <v>0</v>
      </c>
      <c r="I210" s="2033" t="s">
        <v>111</v>
      </c>
      <c r="J210" s="1874"/>
      <c r="K210" s="1785"/>
      <c r="L210" s="1785"/>
      <c r="M210" s="1833"/>
      <c r="N210" s="1833"/>
      <c r="O210" s="1833"/>
      <c r="P210" s="1833"/>
      <c r="Q210" s="482"/>
      <c r="T210" s="1876"/>
      <c r="U210" s="1876"/>
    </row>
    <row r="211" spans="1:97" s="1771" customFormat="1" ht="13.5" customHeight="1">
      <c r="A211" s="2069"/>
      <c r="B211" s="2026"/>
      <c r="C211" s="2026"/>
      <c r="D211" s="240" t="s">
        <v>3850</v>
      </c>
      <c r="E211" s="2073"/>
      <c r="F211" s="2074">
        <v>300</v>
      </c>
      <c r="G211" s="2166"/>
      <c r="H211" s="1795"/>
      <c r="I211" s="2029"/>
      <c r="J211" s="1890"/>
      <c r="K211" s="1772"/>
      <c r="L211" s="1772"/>
      <c r="M211" s="1772"/>
      <c r="N211" s="1772"/>
      <c r="O211" s="1772"/>
      <c r="P211" s="1772"/>
      <c r="T211" s="1876"/>
    </row>
    <row r="212" spans="1:97" s="1771" customFormat="1" ht="27" customHeight="1">
      <c r="A212" s="2069"/>
      <c r="B212" s="2026"/>
      <c r="C212" s="2026"/>
      <c r="D212" s="145" t="s">
        <v>3851</v>
      </c>
      <c r="E212" s="2073"/>
      <c r="F212" s="2076"/>
      <c r="G212" s="2166"/>
      <c r="H212" s="1795"/>
      <c r="I212" s="2029"/>
      <c r="J212" s="1905"/>
      <c r="K212" s="1772"/>
      <c r="L212" s="1772"/>
      <c r="M212" s="1772"/>
      <c r="N212" s="1772"/>
      <c r="O212" s="1772"/>
      <c r="P212" s="1772"/>
    </row>
    <row r="213" spans="1:97" s="1771" customFormat="1" ht="13.5" customHeight="1">
      <c r="A213" s="2030">
        <v>47</v>
      </c>
      <c r="B213" s="2046">
        <v>741</v>
      </c>
      <c r="C213" s="2046" t="s">
        <v>3855</v>
      </c>
      <c r="D213" s="2046" t="s">
        <v>3856</v>
      </c>
      <c r="E213" s="2046" t="s">
        <v>141</v>
      </c>
      <c r="F213" s="2051">
        <f>ROUND(SUM(F214),3)</f>
        <v>350</v>
      </c>
      <c r="G213" s="2166"/>
      <c r="H213" s="1775">
        <f t="shared" ref="H213" si="44">ROUND(F213*G213,2)</f>
        <v>0</v>
      </c>
      <c r="I213" s="2033" t="s">
        <v>111</v>
      </c>
      <c r="J213" s="1874"/>
      <c r="K213" s="1785"/>
      <c r="L213" s="1785"/>
      <c r="M213" s="1833"/>
      <c r="N213" s="1833"/>
      <c r="O213" s="1833"/>
      <c r="P213" s="1833"/>
      <c r="Q213" s="482"/>
      <c r="T213" s="1876"/>
      <c r="U213" s="1876"/>
    </row>
    <row r="214" spans="1:97" s="1771" customFormat="1" ht="13.5" customHeight="1">
      <c r="A214" s="2069"/>
      <c r="B214" s="2026"/>
      <c r="C214" s="2026"/>
      <c r="D214" s="240" t="s">
        <v>3850</v>
      </c>
      <c r="E214" s="2073"/>
      <c r="F214" s="2074">
        <v>350</v>
      </c>
      <c r="G214" s="2166"/>
      <c r="H214" s="1795"/>
      <c r="I214" s="2029"/>
      <c r="J214" s="1890"/>
      <c r="K214" s="1772"/>
      <c r="L214" s="1772"/>
      <c r="M214" s="1772"/>
      <c r="N214" s="1772"/>
      <c r="O214" s="1772"/>
      <c r="P214" s="1772"/>
      <c r="T214" s="1876"/>
    </row>
    <row r="215" spans="1:97" s="1771" customFormat="1" ht="27" customHeight="1">
      <c r="A215" s="2069"/>
      <c r="B215" s="2026"/>
      <c r="C215" s="2026"/>
      <c r="D215" s="145" t="s">
        <v>3851</v>
      </c>
      <c r="E215" s="2073"/>
      <c r="F215" s="2076"/>
      <c r="G215" s="2166"/>
      <c r="H215" s="1795"/>
      <c r="I215" s="2029"/>
      <c r="J215" s="1905"/>
      <c r="K215" s="1772"/>
      <c r="L215" s="1772"/>
      <c r="M215" s="1772"/>
      <c r="N215" s="1772"/>
      <c r="O215" s="1772"/>
      <c r="P215" s="1772"/>
    </row>
    <row r="216" spans="1:97" s="1771" customFormat="1" ht="13.5" customHeight="1">
      <c r="A216" s="2030">
        <v>48</v>
      </c>
      <c r="B216" s="2046">
        <v>741</v>
      </c>
      <c r="C216" s="2046" t="s">
        <v>3857</v>
      </c>
      <c r="D216" s="2046" t="s">
        <v>3858</v>
      </c>
      <c r="E216" s="2046" t="s">
        <v>141</v>
      </c>
      <c r="F216" s="2051">
        <f>ROUND(SUM(F217),3)</f>
        <v>200</v>
      </c>
      <c r="G216" s="2166"/>
      <c r="H216" s="1775">
        <f t="shared" ref="H216" si="45">ROUND(F216*G216,2)</f>
        <v>0</v>
      </c>
      <c r="I216" s="2033" t="s">
        <v>111</v>
      </c>
      <c r="J216" s="1874"/>
      <c r="K216" s="1785"/>
      <c r="L216" s="1785"/>
      <c r="M216" s="1833"/>
      <c r="N216" s="1833"/>
      <c r="O216" s="1833"/>
      <c r="P216" s="1833"/>
      <c r="Q216" s="482"/>
      <c r="T216" s="1876"/>
      <c r="U216" s="1876"/>
    </row>
    <row r="217" spans="1:97" s="1771" customFormat="1" ht="13.5" customHeight="1">
      <c r="A217" s="2069"/>
      <c r="B217" s="2026"/>
      <c r="C217" s="2026"/>
      <c r="D217" s="240" t="s">
        <v>3850</v>
      </c>
      <c r="E217" s="2073"/>
      <c r="F217" s="2074">
        <v>200</v>
      </c>
      <c r="G217" s="2166"/>
      <c r="H217" s="1795"/>
      <c r="I217" s="2029"/>
      <c r="J217" s="1890"/>
      <c r="K217" s="1772"/>
      <c r="L217" s="1772"/>
      <c r="M217" s="1772"/>
      <c r="N217" s="1772"/>
      <c r="O217" s="1772"/>
      <c r="P217" s="1772"/>
      <c r="T217" s="1876"/>
    </row>
    <row r="218" spans="1:97" s="1771" customFormat="1" ht="27" customHeight="1">
      <c r="A218" s="2069"/>
      <c r="B218" s="2026"/>
      <c r="C218" s="2026"/>
      <c r="D218" s="145" t="s">
        <v>3851</v>
      </c>
      <c r="E218" s="2073"/>
      <c r="F218" s="2076"/>
      <c r="G218" s="2166"/>
      <c r="H218" s="1795"/>
      <c r="I218" s="2029"/>
      <c r="J218" s="1905"/>
      <c r="K218" s="1772"/>
      <c r="L218" s="1772"/>
      <c r="M218" s="1772"/>
      <c r="N218" s="1772"/>
      <c r="O218" s="1772"/>
      <c r="P218" s="1772"/>
    </row>
    <row r="219" spans="1:97" s="1771" customFormat="1" ht="13.5" customHeight="1">
      <c r="A219" s="2030">
        <v>49</v>
      </c>
      <c r="B219" s="2046">
        <v>741</v>
      </c>
      <c r="C219" s="2046" t="s">
        <v>3859</v>
      </c>
      <c r="D219" s="242" t="s">
        <v>3860</v>
      </c>
      <c r="E219" s="242" t="s">
        <v>49</v>
      </c>
      <c r="F219" s="2077">
        <f>SUM(F220)</f>
        <v>1</v>
      </c>
      <c r="G219" s="2167"/>
      <c r="H219" s="1775">
        <f t="shared" ref="H219" si="46">ROUND(F219*G219,2)</f>
        <v>0</v>
      </c>
      <c r="I219" s="2033" t="s">
        <v>111</v>
      </c>
      <c r="J219" s="1905"/>
      <c r="K219" s="1772"/>
      <c r="L219" s="1772"/>
      <c r="M219" s="1772"/>
      <c r="N219" s="2078"/>
      <c r="O219" s="1772"/>
      <c r="P219" s="1772"/>
    </row>
    <row r="220" spans="1:97" s="1771" customFormat="1" ht="28.5" customHeight="1">
      <c r="A220" s="2069"/>
      <c r="B220" s="2026"/>
      <c r="C220" s="2026"/>
      <c r="D220" s="2079" t="s">
        <v>3861</v>
      </c>
      <c r="E220" s="242"/>
      <c r="F220" s="2080">
        <v>1</v>
      </c>
      <c r="G220" s="2167"/>
      <c r="H220" s="2081"/>
      <c r="I220" s="2029"/>
      <c r="J220" s="1905"/>
      <c r="K220" s="1772"/>
      <c r="L220" s="2082"/>
      <c r="M220" s="2082"/>
      <c r="N220" s="2082"/>
      <c r="O220" s="2082"/>
      <c r="P220" s="2082"/>
      <c r="R220" s="1857"/>
    </row>
    <row r="221" spans="1:97" s="1771" customFormat="1" ht="94.5" customHeight="1">
      <c r="A221" s="2069"/>
      <c r="B221" s="2026"/>
      <c r="C221" s="2026"/>
      <c r="D221" s="243" t="s">
        <v>3862</v>
      </c>
      <c r="E221" s="2073"/>
      <c r="F221" s="2076"/>
      <c r="G221" s="2168"/>
      <c r="H221" s="1873"/>
      <c r="I221" s="1784"/>
      <c r="J221" s="1905"/>
      <c r="K221" s="2078"/>
      <c r="L221" s="1772"/>
      <c r="M221" s="1772"/>
      <c r="N221" s="1772"/>
      <c r="O221" s="1772"/>
      <c r="P221" s="1772"/>
    </row>
    <row r="222" spans="1:97" s="1968" customFormat="1" ht="13.5" customHeight="1">
      <c r="A222" s="2083" t="s">
        <v>1310</v>
      </c>
      <c r="B222" s="1786">
        <v>741</v>
      </c>
      <c r="C222" s="1786">
        <v>998741312</v>
      </c>
      <c r="D222" s="1786" t="s">
        <v>3801</v>
      </c>
      <c r="E222" s="1786" t="s">
        <v>10</v>
      </c>
      <c r="F222" s="1787">
        <v>0.78</v>
      </c>
      <c r="G222" s="1992"/>
      <c r="H222" s="1775">
        <f t="shared" ref="H222:H223" si="47">ROUND(F222*G222,2)</f>
        <v>0</v>
      </c>
      <c r="I222" s="1789" t="s">
        <v>1801</v>
      </c>
      <c r="J222" s="2048"/>
      <c r="K222" s="2049"/>
      <c r="L222" s="2050"/>
      <c r="M222" s="2050"/>
      <c r="N222" s="2050"/>
      <c r="O222" s="2050"/>
      <c r="P222" s="2050"/>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51"/>
      <c r="CH222" s="251"/>
      <c r="CI222" s="251"/>
      <c r="CJ222" s="251"/>
      <c r="CK222" s="251"/>
      <c r="CL222" s="251"/>
      <c r="CM222" s="251"/>
      <c r="CN222" s="251"/>
      <c r="CO222" s="251"/>
      <c r="CP222" s="251"/>
      <c r="CQ222" s="251"/>
      <c r="CR222" s="251"/>
      <c r="CS222" s="251"/>
    </row>
    <row r="223" spans="1:97" s="1952" customFormat="1" ht="13.5" customHeight="1">
      <c r="A223" s="2083" t="s">
        <v>3863</v>
      </c>
      <c r="B223" s="1786" t="s">
        <v>362</v>
      </c>
      <c r="C223" s="1786" t="s">
        <v>1802</v>
      </c>
      <c r="D223" s="1786" t="s">
        <v>1803</v>
      </c>
      <c r="E223" s="1786" t="s">
        <v>69</v>
      </c>
      <c r="F223" s="1805">
        <f>ROUND(SUM(F224),3)</f>
        <v>20</v>
      </c>
      <c r="G223" s="1992"/>
      <c r="H223" s="1775">
        <f t="shared" si="47"/>
        <v>0</v>
      </c>
      <c r="I223" s="1789" t="s">
        <v>1801</v>
      </c>
      <c r="J223" s="2020"/>
      <c r="K223" s="2050"/>
      <c r="L223" s="2050"/>
      <c r="M223" s="2050"/>
      <c r="N223" s="2050"/>
      <c r="O223" s="2050"/>
      <c r="P223" s="2050"/>
      <c r="Q223" s="1951"/>
      <c r="R223" s="1951"/>
      <c r="S223" s="1951"/>
      <c r="T223" s="1951"/>
      <c r="U223" s="1951"/>
      <c r="V223" s="1951"/>
      <c r="W223" s="1951"/>
      <c r="X223" s="1951"/>
      <c r="Y223" s="1951"/>
      <c r="Z223" s="1951"/>
      <c r="AA223" s="1951"/>
      <c r="AB223" s="1951"/>
      <c r="AC223" s="1951"/>
      <c r="AD223" s="1951"/>
      <c r="AE223" s="1951"/>
      <c r="AF223" s="1951"/>
      <c r="AG223" s="1951"/>
      <c r="AH223" s="1951"/>
      <c r="AI223" s="1951"/>
      <c r="AJ223" s="1951"/>
      <c r="AK223" s="1951"/>
      <c r="AL223" s="1951"/>
      <c r="AM223" s="1951"/>
      <c r="AN223" s="1951"/>
      <c r="AO223" s="1951"/>
      <c r="AP223" s="1951"/>
      <c r="AQ223" s="1951"/>
      <c r="AR223" s="1951"/>
      <c r="AS223" s="1951"/>
      <c r="AT223" s="1951"/>
      <c r="AU223" s="1951"/>
      <c r="AV223" s="1951"/>
      <c r="AW223" s="1951"/>
      <c r="AX223" s="1951"/>
      <c r="AY223" s="1951"/>
      <c r="AZ223" s="1951"/>
      <c r="BA223" s="1951"/>
      <c r="BB223" s="1951"/>
      <c r="BC223" s="1951"/>
      <c r="BD223" s="1951"/>
      <c r="BE223" s="1951"/>
      <c r="BF223" s="1951"/>
      <c r="BG223" s="1951"/>
      <c r="BH223" s="1951"/>
      <c r="BI223" s="1951"/>
      <c r="BJ223" s="1951"/>
      <c r="BK223" s="1951"/>
      <c r="BL223" s="1951"/>
      <c r="BM223" s="1951"/>
      <c r="BN223" s="1951"/>
      <c r="BO223" s="1951"/>
      <c r="BP223" s="1951"/>
      <c r="BQ223" s="1951"/>
      <c r="BR223" s="1951"/>
      <c r="BS223" s="1951"/>
      <c r="BT223" s="1951"/>
      <c r="BU223" s="1951"/>
      <c r="BV223" s="1951"/>
      <c r="BW223" s="1951"/>
      <c r="BX223" s="1951"/>
      <c r="BY223" s="1951"/>
      <c r="BZ223" s="1951"/>
      <c r="CA223" s="1951"/>
      <c r="CB223" s="1951"/>
      <c r="CC223" s="1951"/>
      <c r="CD223" s="1951"/>
      <c r="CE223" s="1951"/>
      <c r="CF223" s="1951"/>
      <c r="CG223" s="1951"/>
      <c r="CH223" s="1951"/>
      <c r="CI223" s="1951"/>
      <c r="CJ223" s="1951"/>
      <c r="CK223" s="1951"/>
      <c r="CL223" s="1951"/>
      <c r="CM223" s="1951"/>
      <c r="CN223" s="1951"/>
      <c r="CO223" s="1951"/>
      <c r="CP223" s="1951"/>
      <c r="CQ223" s="1951"/>
      <c r="CR223" s="1951"/>
      <c r="CS223" s="1951"/>
    </row>
    <row r="224" spans="1:97" s="1952" customFormat="1" ht="13.5" customHeight="1">
      <c r="A224" s="2083"/>
      <c r="B224" s="1786"/>
      <c r="C224" s="1786"/>
      <c r="D224" s="1780" t="s">
        <v>1804</v>
      </c>
      <c r="E224" s="1786"/>
      <c r="F224" s="1781">
        <v>20</v>
      </c>
      <c r="G224" s="1992"/>
      <c r="H224" s="1783"/>
      <c r="I224" s="1789"/>
      <c r="J224" s="1951"/>
      <c r="K224" s="2050"/>
      <c r="L224" s="2050"/>
      <c r="M224" s="2050"/>
      <c r="N224" s="2050"/>
      <c r="O224" s="2050"/>
      <c r="P224" s="2050"/>
      <c r="Q224" s="1951"/>
      <c r="R224" s="1951"/>
      <c r="S224" s="1951"/>
      <c r="T224" s="1951"/>
      <c r="U224" s="1951"/>
      <c r="V224" s="1951"/>
      <c r="W224" s="1951"/>
      <c r="X224" s="1951"/>
      <c r="Y224" s="1951"/>
      <c r="Z224" s="1951"/>
      <c r="AA224" s="1951"/>
      <c r="AB224" s="1951"/>
      <c r="AC224" s="1951"/>
      <c r="AD224" s="1951"/>
      <c r="AE224" s="1951"/>
      <c r="AF224" s="1951"/>
      <c r="AG224" s="1951"/>
      <c r="AH224" s="1951"/>
      <c r="AI224" s="1951"/>
      <c r="AJ224" s="1951"/>
      <c r="AK224" s="1951"/>
      <c r="AL224" s="1951"/>
      <c r="AM224" s="1951"/>
      <c r="AN224" s="1951"/>
      <c r="AO224" s="1951"/>
      <c r="AP224" s="1951"/>
      <c r="AQ224" s="1951"/>
      <c r="AR224" s="1951"/>
      <c r="AS224" s="1951"/>
      <c r="AT224" s="1951"/>
      <c r="AU224" s="1951"/>
      <c r="AV224" s="1951"/>
      <c r="AW224" s="1951"/>
      <c r="AX224" s="1951"/>
      <c r="AY224" s="1951"/>
      <c r="AZ224" s="1951"/>
      <c r="BA224" s="1951"/>
      <c r="BB224" s="1951"/>
      <c r="BC224" s="1951"/>
      <c r="BD224" s="1951"/>
      <c r="BE224" s="1951"/>
      <c r="BF224" s="1951"/>
      <c r="BG224" s="1951"/>
      <c r="BH224" s="1951"/>
      <c r="BI224" s="1951"/>
      <c r="BJ224" s="1951"/>
      <c r="BK224" s="1951"/>
      <c r="BL224" s="1951"/>
      <c r="BM224" s="1951"/>
      <c r="BN224" s="1951"/>
      <c r="BO224" s="1951"/>
      <c r="BP224" s="1951"/>
      <c r="BQ224" s="1951"/>
      <c r="BR224" s="1951"/>
      <c r="BS224" s="1951"/>
      <c r="BT224" s="1951"/>
      <c r="BU224" s="1951"/>
      <c r="BV224" s="1951"/>
      <c r="BW224" s="1951"/>
      <c r="BX224" s="1951"/>
      <c r="BY224" s="1951"/>
      <c r="BZ224" s="1951"/>
      <c r="CA224" s="1951"/>
      <c r="CB224" s="1951"/>
      <c r="CC224" s="1951"/>
      <c r="CD224" s="1951"/>
      <c r="CE224" s="1951"/>
      <c r="CF224" s="1951"/>
      <c r="CG224" s="1951"/>
      <c r="CH224" s="1951"/>
      <c r="CI224" s="1951"/>
      <c r="CJ224" s="1951"/>
      <c r="CK224" s="1951"/>
      <c r="CL224" s="1951"/>
      <c r="CM224" s="1951"/>
      <c r="CN224" s="1951"/>
      <c r="CO224" s="1951"/>
      <c r="CP224" s="1951"/>
      <c r="CQ224" s="1951"/>
      <c r="CR224" s="1951"/>
      <c r="CS224" s="1951"/>
    </row>
    <row r="225" spans="1:108" s="1952" customFormat="1" ht="27" customHeight="1">
      <c r="A225" s="2083"/>
      <c r="B225" s="1786"/>
      <c r="C225" s="1786"/>
      <c r="D225" s="1780" t="s">
        <v>1805</v>
      </c>
      <c r="E225" s="1786"/>
      <c r="F225" s="1787"/>
      <c r="G225" s="1992"/>
      <c r="H225" s="1783"/>
      <c r="I225" s="1789"/>
      <c r="J225" s="1951"/>
      <c r="K225" s="2050"/>
      <c r="L225" s="2050"/>
      <c r="M225" s="2050"/>
      <c r="N225" s="2053"/>
      <c r="O225" s="2050"/>
      <c r="P225" s="2050"/>
      <c r="Q225" s="1951"/>
      <c r="R225" s="1951"/>
      <c r="S225" s="1951"/>
      <c r="T225" s="1951"/>
      <c r="U225" s="1951"/>
      <c r="V225" s="1951"/>
      <c r="W225" s="1951"/>
      <c r="X225" s="1951"/>
      <c r="Y225" s="1951"/>
      <c r="Z225" s="1951"/>
      <c r="AA225" s="1951"/>
      <c r="AB225" s="1951"/>
      <c r="AC225" s="1951"/>
      <c r="AD225" s="1951"/>
      <c r="AE225" s="1951"/>
      <c r="AF225" s="1951"/>
      <c r="AG225" s="1951"/>
      <c r="AH225" s="1951"/>
      <c r="AI225" s="1951"/>
      <c r="AJ225" s="1951"/>
      <c r="AK225" s="1951"/>
      <c r="AL225" s="1951"/>
      <c r="AM225" s="1951"/>
      <c r="AN225" s="1951"/>
      <c r="AO225" s="1951"/>
      <c r="AP225" s="1951"/>
      <c r="AQ225" s="1951"/>
      <c r="AR225" s="1951"/>
      <c r="AS225" s="1951"/>
      <c r="AT225" s="1951"/>
      <c r="AU225" s="1951"/>
      <c r="AV225" s="1951"/>
      <c r="AW225" s="1951"/>
      <c r="AX225" s="1951"/>
      <c r="AY225" s="1951"/>
      <c r="AZ225" s="1951"/>
      <c r="BA225" s="1951"/>
      <c r="BB225" s="1951"/>
      <c r="BC225" s="1951"/>
      <c r="BD225" s="1951"/>
      <c r="BE225" s="1951"/>
      <c r="BF225" s="1951"/>
      <c r="BG225" s="1951"/>
      <c r="BH225" s="1951"/>
      <c r="BI225" s="1951"/>
      <c r="BJ225" s="1951"/>
      <c r="BK225" s="1951"/>
      <c r="BL225" s="1951"/>
      <c r="BM225" s="1951"/>
      <c r="BN225" s="1951"/>
      <c r="BO225" s="1951"/>
      <c r="BP225" s="1951"/>
      <c r="BQ225" s="1951"/>
      <c r="BR225" s="1951"/>
      <c r="BS225" s="1951"/>
      <c r="BT225" s="1951"/>
      <c r="BU225" s="1951"/>
      <c r="BV225" s="1951"/>
      <c r="BW225" s="1951"/>
      <c r="BX225" s="1951"/>
      <c r="BY225" s="1951"/>
      <c r="BZ225" s="1951"/>
      <c r="CA225" s="1951"/>
      <c r="CB225" s="1951"/>
      <c r="CC225" s="1951"/>
      <c r="CD225" s="1951"/>
      <c r="CE225" s="1951"/>
      <c r="CF225" s="1951"/>
      <c r="CG225" s="1951"/>
      <c r="CH225" s="1951"/>
      <c r="CI225" s="1951"/>
      <c r="CJ225" s="1951"/>
      <c r="CK225" s="1951"/>
      <c r="CL225" s="1951"/>
      <c r="CM225" s="1951"/>
      <c r="CN225" s="1951"/>
      <c r="CO225" s="1951"/>
      <c r="CP225" s="1951"/>
      <c r="CQ225" s="1951"/>
      <c r="CR225" s="1951"/>
      <c r="CS225" s="1951"/>
    </row>
    <row r="226" spans="1:108" s="1771" customFormat="1" ht="13.5" customHeight="1">
      <c r="A226" s="2084"/>
      <c r="B226" s="1779"/>
      <c r="C226" s="1779">
        <v>741</v>
      </c>
      <c r="D226" s="1779" t="s">
        <v>1813</v>
      </c>
      <c r="E226" s="1779"/>
      <c r="F226" s="1851"/>
      <c r="G226" s="1992"/>
      <c r="H226" s="1769">
        <f>SUM(H227:H262)</f>
        <v>0</v>
      </c>
      <c r="I226" s="1784"/>
      <c r="J226" s="2072"/>
      <c r="K226" s="1772"/>
      <c r="L226" s="1772"/>
      <c r="M226" s="1772"/>
      <c r="N226" s="1772"/>
      <c r="O226" s="1772"/>
      <c r="P226" s="1772"/>
    </row>
    <row r="227" spans="1:108" s="1968" customFormat="1" ht="13.5" customHeight="1">
      <c r="A227" s="1804">
        <v>52</v>
      </c>
      <c r="B227" s="1786">
        <v>741</v>
      </c>
      <c r="C227" s="1786" t="s">
        <v>1814</v>
      </c>
      <c r="D227" s="1786" t="s">
        <v>3864</v>
      </c>
      <c r="E227" s="1786" t="s">
        <v>49</v>
      </c>
      <c r="F227" s="1787">
        <f>F229</f>
        <v>1</v>
      </c>
      <c r="G227" s="1993"/>
      <c r="H227" s="1775">
        <f t="shared" ref="H227" si="48">ROUND(F227*G227,2)</f>
        <v>0</v>
      </c>
      <c r="I227" s="1841" t="s">
        <v>111</v>
      </c>
      <c r="J227" s="1794"/>
      <c r="K227" s="2085"/>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c r="BO227" s="251"/>
      <c r="BP227" s="251"/>
      <c r="BQ227" s="251"/>
      <c r="BR227" s="251"/>
      <c r="BS227" s="251"/>
      <c r="BT227" s="251"/>
      <c r="BU227" s="251"/>
      <c r="BV227" s="251"/>
      <c r="BW227" s="251"/>
      <c r="BX227" s="251"/>
      <c r="BY227" s="251"/>
      <c r="BZ227" s="251"/>
      <c r="CA227" s="251"/>
      <c r="CB227" s="251"/>
      <c r="CC227" s="251"/>
      <c r="CD227" s="251"/>
      <c r="CE227" s="251"/>
      <c r="CF227" s="251"/>
      <c r="CG227" s="251"/>
      <c r="CH227" s="251"/>
      <c r="CI227" s="251"/>
      <c r="CJ227" s="251"/>
      <c r="CK227" s="251"/>
      <c r="CL227" s="251"/>
      <c r="CM227" s="251"/>
      <c r="CN227" s="251"/>
      <c r="CO227" s="251"/>
      <c r="CP227" s="251"/>
      <c r="CQ227" s="251"/>
      <c r="CR227" s="251"/>
      <c r="CS227" s="251"/>
      <c r="CT227" s="251"/>
      <c r="CU227" s="251"/>
      <c r="CV227" s="251"/>
      <c r="CW227" s="251"/>
      <c r="CX227" s="251"/>
      <c r="CY227" s="251"/>
      <c r="CZ227" s="251"/>
      <c r="DA227" s="251"/>
      <c r="DB227" s="251"/>
      <c r="DC227" s="251"/>
      <c r="DD227" s="251"/>
    </row>
    <row r="228" spans="1:108" s="1952" customFormat="1" ht="13.5" customHeight="1">
      <c r="A228" s="1804"/>
      <c r="B228" s="1786"/>
      <c r="C228" s="1786"/>
      <c r="D228" s="1780" t="s">
        <v>3865</v>
      </c>
      <c r="E228" s="1786"/>
      <c r="F228" s="1781"/>
      <c r="G228" s="1993"/>
      <c r="H228" s="1873"/>
      <c r="I228" s="1789"/>
      <c r="J228" s="1951"/>
      <c r="K228" s="2050"/>
      <c r="L228" s="2050"/>
      <c r="M228" s="2050"/>
      <c r="N228" s="2050"/>
      <c r="O228" s="2050"/>
      <c r="P228" s="2050"/>
      <c r="Q228" s="1951"/>
      <c r="R228" s="1951"/>
      <c r="S228" s="1951"/>
      <c r="T228" s="1951"/>
      <c r="U228" s="1951"/>
      <c r="V228" s="1951"/>
      <c r="W228" s="1951"/>
      <c r="X228" s="1951"/>
      <c r="Y228" s="1951"/>
      <c r="Z228" s="1951"/>
      <c r="AA228" s="1951"/>
      <c r="AB228" s="1951"/>
      <c r="AC228" s="1951"/>
      <c r="AD228" s="1951"/>
      <c r="AE228" s="1951"/>
      <c r="AF228" s="1951"/>
      <c r="AG228" s="1951"/>
      <c r="AH228" s="1951"/>
      <c r="AI228" s="1951"/>
      <c r="AJ228" s="1951"/>
      <c r="AK228" s="1951"/>
      <c r="AL228" s="1951"/>
      <c r="AM228" s="1951"/>
      <c r="AN228" s="1951"/>
      <c r="AO228" s="1951"/>
      <c r="AP228" s="1951"/>
      <c r="AQ228" s="1951"/>
      <c r="AR228" s="1951"/>
      <c r="AS228" s="1951"/>
      <c r="AT228" s="1951"/>
      <c r="AU228" s="1951"/>
      <c r="AV228" s="1951"/>
      <c r="AW228" s="1951"/>
      <c r="AX228" s="1951"/>
      <c r="AY228" s="1951"/>
      <c r="AZ228" s="1951"/>
      <c r="BA228" s="1951"/>
      <c r="BB228" s="1951"/>
      <c r="BC228" s="1951"/>
      <c r="BD228" s="1951"/>
      <c r="BE228" s="1951"/>
      <c r="BF228" s="1951"/>
      <c r="BG228" s="1951"/>
      <c r="BH228" s="1951"/>
      <c r="BI228" s="1951"/>
      <c r="BJ228" s="1951"/>
      <c r="BK228" s="1951"/>
      <c r="BL228" s="1951"/>
      <c r="BM228" s="1951"/>
      <c r="BN228" s="1951"/>
      <c r="BO228" s="1951"/>
      <c r="BP228" s="1951"/>
      <c r="BQ228" s="1951"/>
      <c r="BR228" s="1951"/>
      <c r="BS228" s="1951"/>
      <c r="BT228" s="1951"/>
      <c r="BU228" s="1951"/>
      <c r="BV228" s="1951"/>
      <c r="BW228" s="1951"/>
      <c r="BX228" s="1951"/>
      <c r="BY228" s="1951"/>
      <c r="BZ228" s="1951"/>
      <c r="CA228" s="1951"/>
      <c r="CB228" s="1951"/>
      <c r="CC228" s="1951"/>
      <c r="CD228" s="1951"/>
      <c r="CE228" s="1951"/>
      <c r="CF228" s="1951"/>
      <c r="CG228" s="1951"/>
      <c r="CH228" s="1951"/>
      <c r="CI228" s="1951"/>
      <c r="CJ228" s="1951"/>
      <c r="CK228" s="1951"/>
      <c r="CL228" s="1951"/>
      <c r="CM228" s="1951"/>
      <c r="CN228" s="1951"/>
      <c r="CO228" s="1951"/>
      <c r="CP228" s="1951"/>
      <c r="CQ228" s="1951"/>
      <c r="CR228" s="1951"/>
      <c r="CS228" s="1951"/>
    </row>
    <row r="229" spans="1:108" s="1952" customFormat="1" ht="13.5" customHeight="1">
      <c r="A229" s="1804"/>
      <c r="B229" s="1786"/>
      <c r="C229" s="1786"/>
      <c r="D229" s="1780" t="s">
        <v>1221</v>
      </c>
      <c r="E229" s="1786"/>
      <c r="F229" s="1781">
        <v>1</v>
      </c>
      <c r="G229" s="1993"/>
      <c r="H229" s="1873"/>
      <c r="I229" s="1789"/>
      <c r="J229" s="2086"/>
      <c r="K229" s="2050"/>
      <c r="L229" s="2050"/>
      <c r="M229" s="2050"/>
      <c r="N229" s="2050"/>
      <c r="O229" s="2050"/>
      <c r="P229" s="2050"/>
      <c r="Q229" s="1951"/>
      <c r="R229" s="1951"/>
      <c r="S229" s="1951"/>
      <c r="T229" s="1951"/>
      <c r="U229" s="1951"/>
      <c r="V229" s="1951"/>
      <c r="W229" s="1951"/>
      <c r="X229" s="1951"/>
      <c r="Y229" s="1951"/>
      <c r="Z229" s="1951"/>
      <c r="AA229" s="1951"/>
      <c r="AB229" s="1951"/>
      <c r="AC229" s="1951"/>
      <c r="AD229" s="1951"/>
      <c r="AE229" s="1951"/>
      <c r="AF229" s="1951"/>
      <c r="AG229" s="1951"/>
      <c r="AH229" s="1951"/>
      <c r="AI229" s="1951"/>
      <c r="AJ229" s="1951"/>
      <c r="AK229" s="1951"/>
      <c r="AL229" s="1951"/>
      <c r="AM229" s="1951"/>
      <c r="AN229" s="1951"/>
      <c r="AO229" s="1951"/>
      <c r="AP229" s="1951"/>
      <c r="AQ229" s="1951"/>
      <c r="AR229" s="1951"/>
      <c r="AS229" s="1951"/>
      <c r="AT229" s="1951"/>
      <c r="AU229" s="1951"/>
      <c r="AV229" s="1951"/>
      <c r="AW229" s="1951"/>
      <c r="AX229" s="1951"/>
      <c r="AY229" s="1951"/>
      <c r="AZ229" s="1951"/>
      <c r="BA229" s="1951"/>
      <c r="BB229" s="1951"/>
      <c r="BC229" s="1951"/>
      <c r="BD229" s="1951"/>
      <c r="BE229" s="1951"/>
      <c r="BF229" s="1951"/>
      <c r="BG229" s="1951"/>
      <c r="BH229" s="1951"/>
      <c r="BI229" s="1951"/>
      <c r="BJ229" s="1951"/>
      <c r="BK229" s="1951"/>
      <c r="BL229" s="1951"/>
      <c r="BM229" s="1951"/>
      <c r="BN229" s="1951"/>
      <c r="BO229" s="1951"/>
      <c r="BP229" s="1951"/>
      <c r="BQ229" s="1951"/>
      <c r="BR229" s="1951"/>
      <c r="BS229" s="1951"/>
      <c r="BT229" s="1951"/>
      <c r="BU229" s="1951"/>
      <c r="BV229" s="1951"/>
      <c r="BW229" s="1951"/>
      <c r="BX229" s="1951"/>
      <c r="BY229" s="1951"/>
      <c r="BZ229" s="1951"/>
      <c r="CA229" s="1951"/>
      <c r="CB229" s="1951"/>
      <c r="CC229" s="1951"/>
      <c r="CD229" s="1951"/>
      <c r="CE229" s="1951"/>
      <c r="CF229" s="1951"/>
      <c r="CG229" s="1951"/>
      <c r="CH229" s="1951"/>
      <c r="CI229" s="1951"/>
      <c r="CJ229" s="1951"/>
      <c r="CK229" s="1951"/>
      <c r="CL229" s="1951"/>
      <c r="CM229" s="1951"/>
      <c r="CN229" s="1951"/>
      <c r="CO229" s="1951"/>
      <c r="CP229" s="1951"/>
      <c r="CQ229" s="1951"/>
      <c r="CR229" s="1951"/>
      <c r="CS229" s="1951"/>
    </row>
    <row r="230" spans="1:108" s="1952" customFormat="1" ht="27" customHeight="1">
      <c r="A230" s="1804"/>
      <c r="B230" s="1786"/>
      <c r="C230" s="1786"/>
      <c r="D230" s="1780" t="s">
        <v>1815</v>
      </c>
      <c r="E230" s="1786"/>
      <c r="F230" s="1781"/>
      <c r="G230" s="1993"/>
      <c r="H230" s="1873"/>
      <c r="I230" s="1789"/>
      <c r="J230" s="1951"/>
      <c r="K230" s="2050"/>
      <c r="L230" s="2050"/>
      <c r="M230" s="2050"/>
      <c r="N230" s="2050"/>
      <c r="O230" s="2050"/>
      <c r="P230" s="2050"/>
      <c r="Q230" s="1951"/>
      <c r="R230" s="1951"/>
      <c r="S230" s="1951"/>
      <c r="T230" s="1951"/>
      <c r="U230" s="1951"/>
      <c r="V230" s="1951"/>
      <c r="W230" s="1951"/>
      <c r="X230" s="1951"/>
      <c r="Y230" s="1951"/>
      <c r="Z230" s="1951"/>
      <c r="AA230" s="1951"/>
      <c r="AB230" s="1951"/>
      <c r="AC230" s="1951"/>
      <c r="AD230" s="1951"/>
      <c r="AE230" s="1951"/>
      <c r="AF230" s="1951"/>
      <c r="AG230" s="1951"/>
      <c r="AH230" s="1951"/>
      <c r="AI230" s="1951"/>
      <c r="AJ230" s="1951"/>
      <c r="AK230" s="1951"/>
      <c r="AL230" s="1951"/>
      <c r="AM230" s="1951"/>
      <c r="AN230" s="1951"/>
      <c r="AO230" s="1951"/>
      <c r="AP230" s="1951"/>
      <c r="AQ230" s="1951"/>
      <c r="AR230" s="1951"/>
      <c r="AS230" s="1951"/>
      <c r="AT230" s="1951"/>
      <c r="AU230" s="1951"/>
      <c r="AV230" s="1951"/>
      <c r="AW230" s="1951"/>
      <c r="AX230" s="1951"/>
      <c r="AY230" s="1951"/>
      <c r="AZ230" s="1951"/>
      <c r="BA230" s="1951"/>
      <c r="BB230" s="1951"/>
      <c r="BC230" s="1951"/>
      <c r="BD230" s="1951"/>
      <c r="BE230" s="1951"/>
      <c r="BF230" s="1951"/>
      <c r="BG230" s="1951"/>
      <c r="BH230" s="1951"/>
      <c r="BI230" s="1951"/>
      <c r="BJ230" s="1951"/>
      <c r="BK230" s="1951"/>
      <c r="BL230" s="1951"/>
      <c r="BM230" s="1951"/>
      <c r="BN230" s="1951"/>
      <c r="BO230" s="1951"/>
      <c r="BP230" s="1951"/>
      <c r="BQ230" s="1951"/>
      <c r="BR230" s="1951"/>
      <c r="BS230" s="1951"/>
      <c r="BT230" s="1951"/>
      <c r="BU230" s="1951"/>
      <c r="BV230" s="1951"/>
      <c r="BW230" s="1951"/>
      <c r="BX230" s="1951"/>
      <c r="BY230" s="1951"/>
      <c r="BZ230" s="1951"/>
      <c r="CA230" s="1951"/>
      <c r="CB230" s="1951"/>
      <c r="CC230" s="1951"/>
      <c r="CD230" s="1951"/>
      <c r="CE230" s="1951"/>
      <c r="CF230" s="1951"/>
      <c r="CG230" s="1951"/>
      <c r="CH230" s="1951"/>
      <c r="CI230" s="1951"/>
      <c r="CJ230" s="1951"/>
      <c r="CK230" s="1951"/>
      <c r="CL230" s="1951"/>
      <c r="CM230" s="1951"/>
      <c r="CN230" s="1951"/>
      <c r="CO230" s="1951"/>
      <c r="CP230" s="1951"/>
      <c r="CQ230" s="1951"/>
      <c r="CR230" s="1951"/>
      <c r="CS230" s="1951"/>
    </row>
    <row r="231" spans="1:108" s="1968" customFormat="1" ht="13.5" customHeight="1">
      <c r="A231" s="1804">
        <v>53</v>
      </c>
      <c r="B231" s="1786">
        <v>741</v>
      </c>
      <c r="C231" s="1786" t="s">
        <v>3866</v>
      </c>
      <c r="D231" s="1786" t="s">
        <v>3867</v>
      </c>
      <c r="E231" s="1786" t="s">
        <v>49</v>
      </c>
      <c r="F231" s="1787">
        <f>F233</f>
        <v>1</v>
      </c>
      <c r="G231" s="1993"/>
      <c r="H231" s="1775">
        <f t="shared" ref="H231" si="49">ROUND(F231*G231,2)</f>
        <v>0</v>
      </c>
      <c r="I231" s="1841" t="s">
        <v>111</v>
      </c>
      <c r="J231" s="1794"/>
      <c r="K231" s="2085"/>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c r="BO231" s="251"/>
      <c r="BP231" s="251"/>
      <c r="BQ231" s="251"/>
      <c r="BR231" s="251"/>
      <c r="BS231" s="251"/>
      <c r="BT231" s="251"/>
      <c r="BU231" s="251"/>
      <c r="BV231" s="251"/>
      <c r="BW231" s="251"/>
      <c r="BX231" s="251"/>
      <c r="BY231" s="251"/>
      <c r="BZ231" s="251"/>
      <c r="CA231" s="251"/>
      <c r="CB231" s="251"/>
      <c r="CC231" s="251"/>
      <c r="CD231" s="251"/>
      <c r="CE231" s="251"/>
      <c r="CF231" s="251"/>
      <c r="CG231" s="251"/>
      <c r="CH231" s="251"/>
      <c r="CI231" s="251"/>
      <c r="CJ231" s="251"/>
      <c r="CK231" s="251"/>
      <c r="CL231" s="251"/>
      <c r="CM231" s="251"/>
      <c r="CN231" s="251"/>
      <c r="CO231" s="251"/>
      <c r="CP231" s="251"/>
      <c r="CQ231" s="251"/>
      <c r="CR231" s="251"/>
      <c r="CS231" s="251"/>
      <c r="CT231" s="251"/>
      <c r="CU231" s="251"/>
      <c r="CV231" s="251"/>
      <c r="CW231" s="251"/>
      <c r="CX231" s="251"/>
      <c r="CY231" s="251"/>
      <c r="CZ231" s="251"/>
      <c r="DA231" s="251"/>
      <c r="DB231" s="251"/>
      <c r="DC231" s="251"/>
      <c r="DD231" s="251"/>
    </row>
    <row r="232" spans="1:108" s="1952" customFormat="1" ht="13.5" customHeight="1">
      <c r="A232" s="1804"/>
      <c r="B232" s="1786"/>
      <c r="C232" s="1786"/>
      <c r="D232" s="1780" t="s">
        <v>3868</v>
      </c>
      <c r="E232" s="1786"/>
      <c r="F232" s="1781"/>
      <c r="G232" s="1993"/>
      <c r="H232" s="1873"/>
      <c r="I232" s="1789"/>
      <c r="J232" s="1951"/>
      <c r="K232" s="2050"/>
      <c r="L232" s="2050"/>
      <c r="M232" s="2050"/>
      <c r="N232" s="2050"/>
      <c r="O232" s="2050"/>
      <c r="P232" s="2050"/>
      <c r="Q232" s="1951"/>
      <c r="R232" s="1951"/>
      <c r="S232" s="1951"/>
      <c r="T232" s="1951"/>
      <c r="U232" s="1951"/>
      <c r="V232" s="1951"/>
      <c r="W232" s="1951"/>
      <c r="X232" s="1951"/>
      <c r="Y232" s="1951"/>
      <c r="Z232" s="1951"/>
      <c r="AA232" s="1951"/>
      <c r="AB232" s="1951"/>
      <c r="AC232" s="1951"/>
      <c r="AD232" s="1951"/>
      <c r="AE232" s="1951"/>
      <c r="AF232" s="1951"/>
      <c r="AG232" s="1951"/>
      <c r="AH232" s="1951"/>
      <c r="AI232" s="1951"/>
      <c r="AJ232" s="1951"/>
      <c r="AK232" s="1951"/>
      <c r="AL232" s="1951"/>
      <c r="AM232" s="1951"/>
      <c r="AN232" s="1951"/>
      <c r="AO232" s="1951"/>
      <c r="AP232" s="1951"/>
      <c r="AQ232" s="1951"/>
      <c r="AR232" s="1951"/>
      <c r="AS232" s="1951"/>
      <c r="AT232" s="1951"/>
      <c r="AU232" s="1951"/>
      <c r="AV232" s="1951"/>
      <c r="AW232" s="1951"/>
      <c r="AX232" s="1951"/>
      <c r="AY232" s="1951"/>
      <c r="AZ232" s="1951"/>
      <c r="BA232" s="1951"/>
      <c r="BB232" s="1951"/>
      <c r="BC232" s="1951"/>
      <c r="BD232" s="1951"/>
      <c r="BE232" s="1951"/>
      <c r="BF232" s="1951"/>
      <c r="BG232" s="1951"/>
      <c r="BH232" s="1951"/>
      <c r="BI232" s="1951"/>
      <c r="BJ232" s="1951"/>
      <c r="BK232" s="1951"/>
      <c r="BL232" s="1951"/>
      <c r="BM232" s="1951"/>
      <c r="BN232" s="1951"/>
      <c r="BO232" s="1951"/>
      <c r="BP232" s="1951"/>
      <c r="BQ232" s="1951"/>
      <c r="BR232" s="1951"/>
      <c r="BS232" s="1951"/>
      <c r="BT232" s="1951"/>
      <c r="BU232" s="1951"/>
      <c r="BV232" s="1951"/>
      <c r="BW232" s="1951"/>
      <c r="BX232" s="1951"/>
      <c r="BY232" s="1951"/>
      <c r="BZ232" s="1951"/>
      <c r="CA232" s="1951"/>
      <c r="CB232" s="1951"/>
      <c r="CC232" s="1951"/>
      <c r="CD232" s="1951"/>
      <c r="CE232" s="1951"/>
      <c r="CF232" s="1951"/>
      <c r="CG232" s="1951"/>
      <c r="CH232" s="1951"/>
      <c r="CI232" s="1951"/>
      <c r="CJ232" s="1951"/>
      <c r="CK232" s="1951"/>
      <c r="CL232" s="1951"/>
      <c r="CM232" s="1951"/>
      <c r="CN232" s="1951"/>
      <c r="CO232" s="1951"/>
      <c r="CP232" s="1951"/>
      <c r="CQ232" s="1951"/>
      <c r="CR232" s="1951"/>
      <c r="CS232" s="1951"/>
    </row>
    <row r="233" spans="1:108" s="1952" customFormat="1" ht="13.5" customHeight="1">
      <c r="A233" s="1804"/>
      <c r="B233" s="1786"/>
      <c r="C233" s="1786"/>
      <c r="D233" s="1780" t="s">
        <v>1169</v>
      </c>
      <c r="E233" s="1786"/>
      <c r="F233" s="1781">
        <v>1</v>
      </c>
      <c r="G233" s="1993"/>
      <c r="H233" s="1873"/>
      <c r="I233" s="1789"/>
      <c r="J233" s="2086"/>
      <c r="K233" s="2050"/>
      <c r="L233" s="2050"/>
      <c r="M233" s="2050"/>
      <c r="N233" s="2050"/>
      <c r="O233" s="2050"/>
      <c r="P233" s="2050"/>
      <c r="Q233" s="1951"/>
      <c r="R233" s="1951"/>
      <c r="S233" s="1951"/>
      <c r="T233" s="1951"/>
      <c r="U233" s="1951"/>
      <c r="V233" s="1951"/>
      <c r="W233" s="1951"/>
      <c r="X233" s="1951"/>
      <c r="Y233" s="1951"/>
      <c r="Z233" s="1951"/>
      <c r="AA233" s="1951"/>
      <c r="AB233" s="1951"/>
      <c r="AC233" s="1951"/>
      <c r="AD233" s="1951"/>
      <c r="AE233" s="1951"/>
      <c r="AF233" s="1951"/>
      <c r="AG233" s="1951"/>
      <c r="AH233" s="1951"/>
      <c r="AI233" s="1951"/>
      <c r="AJ233" s="1951"/>
      <c r="AK233" s="1951"/>
      <c r="AL233" s="1951"/>
      <c r="AM233" s="1951"/>
      <c r="AN233" s="1951"/>
      <c r="AO233" s="1951"/>
      <c r="AP233" s="1951"/>
      <c r="AQ233" s="1951"/>
      <c r="AR233" s="1951"/>
      <c r="AS233" s="1951"/>
      <c r="AT233" s="1951"/>
      <c r="AU233" s="1951"/>
      <c r="AV233" s="1951"/>
      <c r="AW233" s="1951"/>
      <c r="AX233" s="1951"/>
      <c r="AY233" s="1951"/>
      <c r="AZ233" s="1951"/>
      <c r="BA233" s="1951"/>
      <c r="BB233" s="1951"/>
      <c r="BC233" s="1951"/>
      <c r="BD233" s="1951"/>
      <c r="BE233" s="1951"/>
      <c r="BF233" s="1951"/>
      <c r="BG233" s="1951"/>
      <c r="BH233" s="1951"/>
      <c r="BI233" s="1951"/>
      <c r="BJ233" s="1951"/>
      <c r="BK233" s="1951"/>
      <c r="BL233" s="1951"/>
      <c r="BM233" s="1951"/>
      <c r="BN233" s="1951"/>
      <c r="BO233" s="1951"/>
      <c r="BP233" s="1951"/>
      <c r="BQ233" s="1951"/>
      <c r="BR233" s="1951"/>
      <c r="BS233" s="1951"/>
      <c r="BT233" s="1951"/>
      <c r="BU233" s="1951"/>
      <c r="BV233" s="1951"/>
      <c r="BW233" s="1951"/>
      <c r="BX233" s="1951"/>
      <c r="BY233" s="1951"/>
      <c r="BZ233" s="1951"/>
      <c r="CA233" s="1951"/>
      <c r="CB233" s="1951"/>
      <c r="CC233" s="1951"/>
      <c r="CD233" s="1951"/>
      <c r="CE233" s="1951"/>
      <c r="CF233" s="1951"/>
      <c r="CG233" s="1951"/>
      <c r="CH233" s="1951"/>
      <c r="CI233" s="1951"/>
      <c r="CJ233" s="1951"/>
      <c r="CK233" s="1951"/>
      <c r="CL233" s="1951"/>
      <c r="CM233" s="1951"/>
      <c r="CN233" s="1951"/>
      <c r="CO233" s="1951"/>
      <c r="CP233" s="1951"/>
      <c r="CQ233" s="1951"/>
      <c r="CR233" s="1951"/>
      <c r="CS233" s="1951"/>
    </row>
    <row r="234" spans="1:108" s="1952" customFormat="1" ht="27" customHeight="1">
      <c r="A234" s="1804"/>
      <c r="B234" s="1786"/>
      <c r="C234" s="1786"/>
      <c r="D234" s="1780" t="s">
        <v>1815</v>
      </c>
      <c r="E234" s="1786"/>
      <c r="F234" s="1781"/>
      <c r="G234" s="1993"/>
      <c r="H234" s="1873"/>
      <c r="I234" s="1789"/>
      <c r="J234" s="1951"/>
      <c r="K234" s="2050"/>
      <c r="L234" s="2050"/>
      <c r="M234" s="2050"/>
      <c r="N234" s="2050"/>
      <c r="O234" s="2050"/>
      <c r="P234" s="2050"/>
      <c r="Q234" s="1951"/>
      <c r="R234" s="1951"/>
      <c r="S234" s="1951"/>
      <c r="T234" s="1951"/>
      <c r="U234" s="1951"/>
      <c r="V234" s="1951"/>
      <c r="W234" s="1951"/>
      <c r="X234" s="1951"/>
      <c r="Y234" s="1951"/>
      <c r="Z234" s="1951"/>
      <c r="AA234" s="1951"/>
      <c r="AB234" s="1951"/>
      <c r="AC234" s="1951"/>
      <c r="AD234" s="1951"/>
      <c r="AE234" s="1951"/>
      <c r="AF234" s="1951"/>
      <c r="AG234" s="1951"/>
      <c r="AH234" s="1951"/>
      <c r="AI234" s="1951"/>
      <c r="AJ234" s="1951"/>
      <c r="AK234" s="1951"/>
      <c r="AL234" s="1951"/>
      <c r="AM234" s="1951"/>
      <c r="AN234" s="1951"/>
      <c r="AO234" s="1951"/>
      <c r="AP234" s="1951"/>
      <c r="AQ234" s="1951"/>
      <c r="AR234" s="1951"/>
      <c r="AS234" s="1951"/>
      <c r="AT234" s="1951"/>
      <c r="AU234" s="1951"/>
      <c r="AV234" s="1951"/>
      <c r="AW234" s="1951"/>
      <c r="AX234" s="1951"/>
      <c r="AY234" s="1951"/>
      <c r="AZ234" s="1951"/>
      <c r="BA234" s="1951"/>
      <c r="BB234" s="1951"/>
      <c r="BC234" s="1951"/>
      <c r="BD234" s="1951"/>
      <c r="BE234" s="1951"/>
      <c r="BF234" s="1951"/>
      <c r="BG234" s="1951"/>
      <c r="BH234" s="1951"/>
      <c r="BI234" s="1951"/>
      <c r="BJ234" s="1951"/>
      <c r="BK234" s="1951"/>
      <c r="BL234" s="1951"/>
      <c r="BM234" s="1951"/>
      <c r="BN234" s="1951"/>
      <c r="BO234" s="1951"/>
      <c r="BP234" s="1951"/>
      <c r="BQ234" s="1951"/>
      <c r="BR234" s="1951"/>
      <c r="BS234" s="1951"/>
      <c r="BT234" s="1951"/>
      <c r="BU234" s="1951"/>
      <c r="BV234" s="1951"/>
      <c r="BW234" s="1951"/>
      <c r="BX234" s="1951"/>
      <c r="BY234" s="1951"/>
      <c r="BZ234" s="1951"/>
      <c r="CA234" s="1951"/>
      <c r="CB234" s="1951"/>
      <c r="CC234" s="1951"/>
      <c r="CD234" s="1951"/>
      <c r="CE234" s="1951"/>
      <c r="CF234" s="1951"/>
      <c r="CG234" s="1951"/>
      <c r="CH234" s="1951"/>
      <c r="CI234" s="1951"/>
      <c r="CJ234" s="1951"/>
      <c r="CK234" s="1951"/>
      <c r="CL234" s="1951"/>
      <c r="CM234" s="1951"/>
      <c r="CN234" s="1951"/>
      <c r="CO234" s="1951"/>
      <c r="CP234" s="1951"/>
      <c r="CQ234" s="1951"/>
      <c r="CR234" s="1951"/>
      <c r="CS234" s="1951"/>
    </row>
    <row r="235" spans="1:108" s="1968" customFormat="1" ht="13.5" customHeight="1">
      <c r="A235" s="1804">
        <v>54</v>
      </c>
      <c r="B235" s="1786">
        <v>741</v>
      </c>
      <c r="C235" s="1786" t="s">
        <v>3869</v>
      </c>
      <c r="D235" s="1786" t="s">
        <v>3870</v>
      </c>
      <c r="E235" s="1786" t="s">
        <v>49</v>
      </c>
      <c r="F235" s="1787">
        <f>F237</f>
        <v>1</v>
      </c>
      <c r="G235" s="1993"/>
      <c r="H235" s="1775">
        <f t="shared" ref="H235" si="50">ROUND(F235*G235,2)</f>
        <v>0</v>
      </c>
      <c r="I235" s="1841" t="s">
        <v>111</v>
      </c>
      <c r="J235" s="1794"/>
      <c r="K235" s="2085"/>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251"/>
      <c r="BY235" s="251"/>
      <c r="BZ235" s="251"/>
      <c r="CA235" s="251"/>
      <c r="CB235" s="251"/>
      <c r="CC235" s="251"/>
      <c r="CD235" s="251"/>
      <c r="CE235" s="251"/>
      <c r="CF235" s="251"/>
      <c r="CG235" s="251"/>
      <c r="CH235" s="251"/>
      <c r="CI235" s="251"/>
      <c r="CJ235" s="251"/>
      <c r="CK235" s="251"/>
      <c r="CL235" s="251"/>
      <c r="CM235" s="251"/>
      <c r="CN235" s="251"/>
      <c r="CO235" s="251"/>
      <c r="CP235" s="251"/>
      <c r="CQ235" s="251"/>
      <c r="CR235" s="251"/>
      <c r="CS235" s="251"/>
      <c r="CT235" s="251"/>
      <c r="CU235" s="251"/>
      <c r="CV235" s="251"/>
      <c r="CW235" s="251"/>
      <c r="CX235" s="251"/>
      <c r="CY235" s="251"/>
      <c r="CZ235" s="251"/>
      <c r="DA235" s="251"/>
      <c r="DB235" s="251"/>
      <c r="DC235" s="251"/>
      <c r="DD235" s="251"/>
    </row>
    <row r="236" spans="1:108" s="1952" customFormat="1" ht="13.5" customHeight="1">
      <c r="A236" s="1804"/>
      <c r="B236" s="1786"/>
      <c r="C236" s="1786"/>
      <c r="D236" s="1780" t="s">
        <v>3871</v>
      </c>
      <c r="E236" s="1786"/>
      <c r="F236" s="1781"/>
      <c r="G236" s="1993"/>
      <c r="H236" s="1873"/>
      <c r="I236" s="1789"/>
      <c r="J236" s="1951"/>
      <c r="K236" s="2050"/>
      <c r="L236" s="2050"/>
      <c r="M236" s="2050"/>
      <c r="N236" s="2050"/>
      <c r="O236" s="2050"/>
      <c r="P236" s="2050"/>
      <c r="Q236" s="1951"/>
      <c r="R236" s="1951"/>
      <c r="S236" s="1951"/>
      <c r="T236" s="1951"/>
      <c r="U236" s="1951"/>
      <c r="V236" s="1951"/>
      <c r="W236" s="1951"/>
      <c r="X236" s="1951"/>
      <c r="Y236" s="1951"/>
      <c r="Z236" s="1951"/>
      <c r="AA236" s="1951"/>
      <c r="AB236" s="1951"/>
      <c r="AC236" s="1951"/>
      <c r="AD236" s="1951"/>
      <c r="AE236" s="1951"/>
      <c r="AF236" s="1951"/>
      <c r="AG236" s="1951"/>
      <c r="AH236" s="1951"/>
      <c r="AI236" s="1951"/>
      <c r="AJ236" s="1951"/>
      <c r="AK236" s="1951"/>
      <c r="AL236" s="1951"/>
      <c r="AM236" s="1951"/>
      <c r="AN236" s="1951"/>
      <c r="AO236" s="1951"/>
      <c r="AP236" s="1951"/>
      <c r="AQ236" s="1951"/>
      <c r="AR236" s="1951"/>
      <c r="AS236" s="1951"/>
      <c r="AT236" s="1951"/>
      <c r="AU236" s="1951"/>
      <c r="AV236" s="1951"/>
      <c r="AW236" s="1951"/>
      <c r="AX236" s="1951"/>
      <c r="AY236" s="1951"/>
      <c r="AZ236" s="1951"/>
      <c r="BA236" s="1951"/>
      <c r="BB236" s="1951"/>
      <c r="BC236" s="1951"/>
      <c r="BD236" s="1951"/>
      <c r="BE236" s="1951"/>
      <c r="BF236" s="1951"/>
      <c r="BG236" s="1951"/>
      <c r="BH236" s="1951"/>
      <c r="BI236" s="1951"/>
      <c r="BJ236" s="1951"/>
      <c r="BK236" s="1951"/>
      <c r="BL236" s="1951"/>
      <c r="BM236" s="1951"/>
      <c r="BN236" s="1951"/>
      <c r="BO236" s="1951"/>
      <c r="BP236" s="1951"/>
      <c r="BQ236" s="1951"/>
      <c r="BR236" s="1951"/>
      <c r="BS236" s="1951"/>
      <c r="BT236" s="1951"/>
      <c r="BU236" s="1951"/>
      <c r="BV236" s="1951"/>
      <c r="BW236" s="1951"/>
      <c r="BX236" s="1951"/>
      <c r="BY236" s="1951"/>
      <c r="BZ236" s="1951"/>
      <c r="CA236" s="1951"/>
      <c r="CB236" s="1951"/>
      <c r="CC236" s="1951"/>
      <c r="CD236" s="1951"/>
      <c r="CE236" s="1951"/>
      <c r="CF236" s="1951"/>
      <c r="CG236" s="1951"/>
      <c r="CH236" s="1951"/>
      <c r="CI236" s="1951"/>
      <c r="CJ236" s="1951"/>
      <c r="CK236" s="1951"/>
      <c r="CL236" s="1951"/>
      <c r="CM236" s="1951"/>
      <c r="CN236" s="1951"/>
      <c r="CO236" s="1951"/>
      <c r="CP236" s="1951"/>
      <c r="CQ236" s="1951"/>
      <c r="CR236" s="1951"/>
      <c r="CS236" s="1951"/>
    </row>
    <row r="237" spans="1:108" s="1952" customFormat="1" ht="13.5" customHeight="1">
      <c r="A237" s="1804"/>
      <c r="B237" s="1786"/>
      <c r="C237" s="1786"/>
      <c r="D237" s="1780" t="s">
        <v>1169</v>
      </c>
      <c r="E237" s="1786"/>
      <c r="F237" s="1781">
        <v>1</v>
      </c>
      <c r="G237" s="1993"/>
      <c r="H237" s="1873"/>
      <c r="I237" s="1789"/>
      <c r="J237" s="2086"/>
      <c r="K237" s="2050"/>
      <c r="L237" s="2050"/>
      <c r="M237" s="2050"/>
      <c r="N237" s="2050"/>
      <c r="O237" s="2050"/>
      <c r="P237" s="2050"/>
      <c r="Q237" s="1951"/>
      <c r="R237" s="1951"/>
      <c r="S237" s="1951"/>
      <c r="T237" s="1951"/>
      <c r="U237" s="1951"/>
      <c r="V237" s="1951"/>
      <c r="W237" s="1951"/>
      <c r="X237" s="1951"/>
      <c r="Y237" s="1951"/>
      <c r="Z237" s="1951"/>
      <c r="AA237" s="1951"/>
      <c r="AB237" s="1951"/>
      <c r="AC237" s="1951"/>
      <c r="AD237" s="1951"/>
      <c r="AE237" s="1951"/>
      <c r="AF237" s="1951"/>
      <c r="AG237" s="1951"/>
      <c r="AH237" s="1951"/>
      <c r="AI237" s="1951"/>
      <c r="AJ237" s="1951"/>
      <c r="AK237" s="1951"/>
      <c r="AL237" s="1951"/>
      <c r="AM237" s="1951"/>
      <c r="AN237" s="1951"/>
      <c r="AO237" s="1951"/>
      <c r="AP237" s="1951"/>
      <c r="AQ237" s="1951"/>
      <c r="AR237" s="1951"/>
      <c r="AS237" s="1951"/>
      <c r="AT237" s="1951"/>
      <c r="AU237" s="1951"/>
      <c r="AV237" s="1951"/>
      <c r="AW237" s="1951"/>
      <c r="AX237" s="1951"/>
      <c r="AY237" s="1951"/>
      <c r="AZ237" s="1951"/>
      <c r="BA237" s="1951"/>
      <c r="BB237" s="1951"/>
      <c r="BC237" s="1951"/>
      <c r="BD237" s="1951"/>
      <c r="BE237" s="1951"/>
      <c r="BF237" s="1951"/>
      <c r="BG237" s="1951"/>
      <c r="BH237" s="1951"/>
      <c r="BI237" s="1951"/>
      <c r="BJ237" s="1951"/>
      <c r="BK237" s="1951"/>
      <c r="BL237" s="1951"/>
      <c r="BM237" s="1951"/>
      <c r="BN237" s="1951"/>
      <c r="BO237" s="1951"/>
      <c r="BP237" s="1951"/>
      <c r="BQ237" s="1951"/>
      <c r="BR237" s="1951"/>
      <c r="BS237" s="1951"/>
      <c r="BT237" s="1951"/>
      <c r="BU237" s="1951"/>
      <c r="BV237" s="1951"/>
      <c r="BW237" s="1951"/>
      <c r="BX237" s="1951"/>
      <c r="BY237" s="1951"/>
      <c r="BZ237" s="1951"/>
      <c r="CA237" s="1951"/>
      <c r="CB237" s="1951"/>
      <c r="CC237" s="1951"/>
      <c r="CD237" s="1951"/>
      <c r="CE237" s="1951"/>
      <c r="CF237" s="1951"/>
      <c r="CG237" s="1951"/>
      <c r="CH237" s="1951"/>
      <c r="CI237" s="1951"/>
      <c r="CJ237" s="1951"/>
      <c r="CK237" s="1951"/>
      <c r="CL237" s="1951"/>
      <c r="CM237" s="1951"/>
      <c r="CN237" s="1951"/>
      <c r="CO237" s="1951"/>
      <c r="CP237" s="1951"/>
      <c r="CQ237" s="1951"/>
      <c r="CR237" s="1951"/>
      <c r="CS237" s="1951"/>
    </row>
    <row r="238" spans="1:108" s="1952" customFormat="1" ht="27" customHeight="1">
      <c r="A238" s="1804"/>
      <c r="B238" s="1786"/>
      <c r="C238" s="1786"/>
      <c r="D238" s="1780" t="s">
        <v>1815</v>
      </c>
      <c r="E238" s="1786"/>
      <c r="F238" s="1781"/>
      <c r="G238" s="1993"/>
      <c r="H238" s="1873"/>
      <c r="I238" s="1789"/>
      <c r="J238" s="1951"/>
      <c r="K238" s="2050"/>
      <c r="L238" s="2050"/>
      <c r="M238" s="2050"/>
      <c r="N238" s="2050"/>
      <c r="O238" s="2050"/>
      <c r="P238" s="2050"/>
      <c r="Q238" s="1951"/>
      <c r="R238" s="1951"/>
      <c r="S238" s="1951"/>
      <c r="T238" s="1951"/>
      <c r="U238" s="1951"/>
      <c r="V238" s="1951"/>
      <c r="W238" s="1951"/>
      <c r="X238" s="1951"/>
      <c r="Y238" s="1951"/>
      <c r="Z238" s="1951"/>
      <c r="AA238" s="1951"/>
      <c r="AB238" s="1951"/>
      <c r="AC238" s="1951"/>
      <c r="AD238" s="1951"/>
      <c r="AE238" s="1951"/>
      <c r="AF238" s="1951"/>
      <c r="AG238" s="1951"/>
      <c r="AH238" s="1951"/>
      <c r="AI238" s="1951"/>
      <c r="AJ238" s="1951"/>
      <c r="AK238" s="1951"/>
      <c r="AL238" s="1951"/>
      <c r="AM238" s="1951"/>
      <c r="AN238" s="1951"/>
      <c r="AO238" s="1951"/>
      <c r="AP238" s="1951"/>
      <c r="AQ238" s="1951"/>
      <c r="AR238" s="1951"/>
      <c r="AS238" s="1951"/>
      <c r="AT238" s="1951"/>
      <c r="AU238" s="1951"/>
      <c r="AV238" s="1951"/>
      <c r="AW238" s="1951"/>
      <c r="AX238" s="1951"/>
      <c r="AY238" s="1951"/>
      <c r="AZ238" s="1951"/>
      <c r="BA238" s="1951"/>
      <c r="BB238" s="1951"/>
      <c r="BC238" s="1951"/>
      <c r="BD238" s="1951"/>
      <c r="BE238" s="1951"/>
      <c r="BF238" s="1951"/>
      <c r="BG238" s="1951"/>
      <c r="BH238" s="1951"/>
      <c r="BI238" s="1951"/>
      <c r="BJ238" s="1951"/>
      <c r="BK238" s="1951"/>
      <c r="BL238" s="1951"/>
      <c r="BM238" s="1951"/>
      <c r="BN238" s="1951"/>
      <c r="BO238" s="1951"/>
      <c r="BP238" s="1951"/>
      <c r="BQ238" s="1951"/>
      <c r="BR238" s="1951"/>
      <c r="BS238" s="1951"/>
      <c r="BT238" s="1951"/>
      <c r="BU238" s="1951"/>
      <c r="BV238" s="1951"/>
      <c r="BW238" s="1951"/>
      <c r="BX238" s="1951"/>
      <c r="BY238" s="1951"/>
      <c r="BZ238" s="1951"/>
      <c r="CA238" s="1951"/>
      <c r="CB238" s="1951"/>
      <c r="CC238" s="1951"/>
      <c r="CD238" s="1951"/>
      <c r="CE238" s="1951"/>
      <c r="CF238" s="1951"/>
      <c r="CG238" s="1951"/>
      <c r="CH238" s="1951"/>
      <c r="CI238" s="1951"/>
      <c r="CJ238" s="1951"/>
      <c r="CK238" s="1951"/>
      <c r="CL238" s="1951"/>
      <c r="CM238" s="1951"/>
      <c r="CN238" s="1951"/>
      <c r="CO238" s="1951"/>
      <c r="CP238" s="1951"/>
      <c r="CQ238" s="1951"/>
      <c r="CR238" s="1951"/>
      <c r="CS238" s="1951"/>
    </row>
    <row r="239" spans="1:108" s="1968" customFormat="1" ht="13.5" customHeight="1">
      <c r="A239" s="1804">
        <v>55</v>
      </c>
      <c r="B239" s="1786">
        <v>741</v>
      </c>
      <c r="C239" s="1786" t="s">
        <v>3872</v>
      </c>
      <c r="D239" s="1786" t="s">
        <v>3873</v>
      </c>
      <c r="E239" s="1786" t="s">
        <v>49</v>
      </c>
      <c r="F239" s="1787">
        <f>F241</f>
        <v>1</v>
      </c>
      <c r="G239" s="1993"/>
      <c r="H239" s="1775">
        <f t="shared" ref="H239" si="51">ROUND(F239*G239,2)</f>
        <v>0</v>
      </c>
      <c r="I239" s="1841" t="s">
        <v>111</v>
      </c>
      <c r="J239" s="1794"/>
      <c r="K239" s="2085"/>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251"/>
      <c r="AL239" s="251"/>
      <c r="AM239" s="251"/>
      <c r="AN239" s="251"/>
      <c r="AO239" s="251"/>
      <c r="AP239" s="251"/>
      <c r="AQ239" s="251"/>
      <c r="AR239" s="251"/>
      <c r="AS239" s="251"/>
      <c r="AT239" s="251"/>
      <c r="AU239" s="251"/>
      <c r="AV239" s="251"/>
      <c r="AW239" s="251"/>
      <c r="AX239" s="251"/>
      <c r="AY239" s="251"/>
      <c r="AZ239" s="251"/>
      <c r="BA239" s="251"/>
      <c r="BB239" s="251"/>
      <c r="BC239" s="251"/>
      <c r="BD239" s="251"/>
      <c r="BE239" s="251"/>
      <c r="BF239" s="251"/>
      <c r="BG239" s="251"/>
      <c r="BH239" s="251"/>
      <c r="BI239" s="251"/>
      <c r="BJ239" s="251"/>
      <c r="BK239" s="251"/>
      <c r="BL239" s="251"/>
      <c r="BM239" s="251"/>
      <c r="BN239" s="251"/>
      <c r="BO239" s="251"/>
      <c r="BP239" s="251"/>
      <c r="BQ239" s="251"/>
      <c r="BR239" s="251"/>
      <c r="BS239" s="251"/>
      <c r="BT239" s="251"/>
      <c r="BU239" s="251"/>
      <c r="BV239" s="251"/>
      <c r="BW239" s="251"/>
      <c r="BX239" s="251"/>
      <c r="BY239" s="251"/>
      <c r="BZ239" s="251"/>
      <c r="CA239" s="251"/>
      <c r="CB239" s="251"/>
      <c r="CC239" s="251"/>
      <c r="CD239" s="251"/>
      <c r="CE239" s="251"/>
      <c r="CF239" s="251"/>
      <c r="CG239" s="251"/>
      <c r="CH239" s="251"/>
      <c r="CI239" s="251"/>
      <c r="CJ239" s="251"/>
      <c r="CK239" s="251"/>
      <c r="CL239" s="251"/>
      <c r="CM239" s="251"/>
      <c r="CN239" s="251"/>
      <c r="CO239" s="251"/>
      <c r="CP239" s="251"/>
      <c r="CQ239" s="251"/>
      <c r="CR239" s="251"/>
      <c r="CS239" s="251"/>
      <c r="CT239" s="251"/>
      <c r="CU239" s="251"/>
      <c r="CV239" s="251"/>
      <c r="CW239" s="251"/>
      <c r="CX239" s="251"/>
      <c r="CY239" s="251"/>
      <c r="CZ239" s="251"/>
      <c r="DA239" s="251"/>
      <c r="DB239" s="251"/>
      <c r="DC239" s="251"/>
      <c r="DD239" s="251"/>
    </row>
    <row r="240" spans="1:108" s="1952" customFormat="1" ht="13.5" customHeight="1">
      <c r="A240" s="1804"/>
      <c r="B240" s="1786"/>
      <c r="C240" s="1786"/>
      <c r="D240" s="1780" t="s">
        <v>3874</v>
      </c>
      <c r="E240" s="1786"/>
      <c r="F240" s="1781"/>
      <c r="G240" s="1993"/>
      <c r="H240" s="1873"/>
      <c r="I240" s="1789"/>
      <c r="J240" s="1794"/>
      <c r="K240" s="2050"/>
      <c r="L240" s="2050"/>
      <c r="M240" s="2050"/>
      <c r="N240" s="2050"/>
      <c r="O240" s="2050"/>
      <c r="P240" s="2050"/>
      <c r="Q240" s="1951"/>
      <c r="R240" s="1951"/>
      <c r="S240" s="1951"/>
      <c r="T240" s="1951"/>
      <c r="U240" s="1951"/>
      <c r="V240" s="1951"/>
      <c r="W240" s="1951"/>
      <c r="X240" s="1951"/>
      <c r="Y240" s="1951"/>
      <c r="Z240" s="1951"/>
      <c r="AA240" s="1951"/>
      <c r="AB240" s="1951"/>
      <c r="AC240" s="1951"/>
      <c r="AD240" s="1951"/>
      <c r="AE240" s="1951"/>
      <c r="AF240" s="1951"/>
      <c r="AG240" s="1951"/>
      <c r="AH240" s="1951"/>
      <c r="AI240" s="1951"/>
      <c r="AJ240" s="1951"/>
      <c r="AK240" s="1951"/>
      <c r="AL240" s="1951"/>
      <c r="AM240" s="1951"/>
      <c r="AN240" s="1951"/>
      <c r="AO240" s="1951"/>
      <c r="AP240" s="1951"/>
      <c r="AQ240" s="1951"/>
      <c r="AR240" s="1951"/>
      <c r="AS240" s="1951"/>
      <c r="AT240" s="1951"/>
      <c r="AU240" s="1951"/>
      <c r="AV240" s="1951"/>
      <c r="AW240" s="1951"/>
      <c r="AX240" s="1951"/>
      <c r="AY240" s="1951"/>
      <c r="AZ240" s="1951"/>
      <c r="BA240" s="1951"/>
      <c r="BB240" s="1951"/>
      <c r="BC240" s="1951"/>
      <c r="BD240" s="1951"/>
      <c r="BE240" s="1951"/>
      <c r="BF240" s="1951"/>
      <c r="BG240" s="1951"/>
      <c r="BH240" s="1951"/>
      <c r="BI240" s="1951"/>
      <c r="BJ240" s="1951"/>
      <c r="BK240" s="1951"/>
      <c r="BL240" s="1951"/>
      <c r="BM240" s="1951"/>
      <c r="BN240" s="1951"/>
      <c r="BO240" s="1951"/>
      <c r="BP240" s="1951"/>
      <c r="BQ240" s="1951"/>
      <c r="BR240" s="1951"/>
      <c r="BS240" s="1951"/>
      <c r="BT240" s="1951"/>
      <c r="BU240" s="1951"/>
      <c r="BV240" s="1951"/>
      <c r="BW240" s="1951"/>
      <c r="BX240" s="1951"/>
      <c r="BY240" s="1951"/>
      <c r="BZ240" s="1951"/>
      <c r="CA240" s="1951"/>
      <c r="CB240" s="1951"/>
      <c r="CC240" s="1951"/>
      <c r="CD240" s="1951"/>
      <c r="CE240" s="1951"/>
      <c r="CF240" s="1951"/>
      <c r="CG240" s="1951"/>
      <c r="CH240" s="1951"/>
      <c r="CI240" s="1951"/>
      <c r="CJ240" s="1951"/>
      <c r="CK240" s="1951"/>
      <c r="CL240" s="1951"/>
      <c r="CM240" s="1951"/>
      <c r="CN240" s="1951"/>
      <c r="CO240" s="1951"/>
      <c r="CP240" s="1951"/>
      <c r="CQ240" s="1951"/>
      <c r="CR240" s="1951"/>
      <c r="CS240" s="1951"/>
    </row>
    <row r="241" spans="1:108" s="1952" customFormat="1" ht="13.5" customHeight="1">
      <c r="A241" s="1804"/>
      <c r="B241" s="1786"/>
      <c r="C241" s="1786"/>
      <c r="D241" s="1780" t="s">
        <v>1169</v>
      </c>
      <c r="E241" s="1786"/>
      <c r="F241" s="1781">
        <v>1</v>
      </c>
      <c r="G241" s="1993"/>
      <c r="H241" s="1873"/>
      <c r="I241" s="1789"/>
      <c r="J241" s="2086"/>
      <c r="K241" s="2050"/>
      <c r="L241" s="2050"/>
      <c r="M241" s="2050"/>
      <c r="N241" s="2050"/>
      <c r="O241" s="2050"/>
      <c r="P241" s="2050"/>
      <c r="Q241" s="1951"/>
      <c r="R241" s="1951"/>
      <c r="S241" s="1951"/>
      <c r="T241" s="1951"/>
      <c r="U241" s="1951"/>
      <c r="V241" s="1951"/>
      <c r="W241" s="1951"/>
      <c r="X241" s="1951"/>
      <c r="Y241" s="1951"/>
      <c r="Z241" s="1951"/>
      <c r="AA241" s="1951"/>
      <c r="AB241" s="1951"/>
      <c r="AC241" s="1951"/>
      <c r="AD241" s="1951"/>
      <c r="AE241" s="1951"/>
      <c r="AF241" s="1951"/>
      <c r="AG241" s="1951"/>
      <c r="AH241" s="1951"/>
      <c r="AI241" s="1951"/>
      <c r="AJ241" s="1951"/>
      <c r="AK241" s="1951"/>
      <c r="AL241" s="1951"/>
      <c r="AM241" s="1951"/>
      <c r="AN241" s="1951"/>
      <c r="AO241" s="1951"/>
      <c r="AP241" s="1951"/>
      <c r="AQ241" s="1951"/>
      <c r="AR241" s="1951"/>
      <c r="AS241" s="1951"/>
      <c r="AT241" s="1951"/>
      <c r="AU241" s="1951"/>
      <c r="AV241" s="1951"/>
      <c r="AW241" s="1951"/>
      <c r="AX241" s="1951"/>
      <c r="AY241" s="1951"/>
      <c r="AZ241" s="1951"/>
      <c r="BA241" s="1951"/>
      <c r="BB241" s="1951"/>
      <c r="BC241" s="1951"/>
      <c r="BD241" s="1951"/>
      <c r="BE241" s="1951"/>
      <c r="BF241" s="1951"/>
      <c r="BG241" s="1951"/>
      <c r="BH241" s="1951"/>
      <c r="BI241" s="1951"/>
      <c r="BJ241" s="1951"/>
      <c r="BK241" s="1951"/>
      <c r="BL241" s="1951"/>
      <c r="BM241" s="1951"/>
      <c r="BN241" s="1951"/>
      <c r="BO241" s="1951"/>
      <c r="BP241" s="1951"/>
      <c r="BQ241" s="1951"/>
      <c r="BR241" s="1951"/>
      <c r="BS241" s="1951"/>
      <c r="BT241" s="1951"/>
      <c r="BU241" s="1951"/>
      <c r="BV241" s="1951"/>
      <c r="BW241" s="1951"/>
      <c r="BX241" s="1951"/>
      <c r="BY241" s="1951"/>
      <c r="BZ241" s="1951"/>
      <c r="CA241" s="1951"/>
      <c r="CB241" s="1951"/>
      <c r="CC241" s="1951"/>
      <c r="CD241" s="1951"/>
      <c r="CE241" s="1951"/>
      <c r="CF241" s="1951"/>
      <c r="CG241" s="1951"/>
      <c r="CH241" s="1951"/>
      <c r="CI241" s="1951"/>
      <c r="CJ241" s="1951"/>
      <c r="CK241" s="1951"/>
      <c r="CL241" s="1951"/>
      <c r="CM241" s="1951"/>
      <c r="CN241" s="1951"/>
      <c r="CO241" s="1951"/>
      <c r="CP241" s="1951"/>
      <c r="CQ241" s="1951"/>
      <c r="CR241" s="1951"/>
      <c r="CS241" s="1951"/>
    </row>
    <row r="242" spans="1:108" s="1952" customFormat="1" ht="27" customHeight="1">
      <c r="A242" s="1804"/>
      <c r="B242" s="1786"/>
      <c r="C242" s="1786"/>
      <c r="D242" s="1780" t="s">
        <v>3875</v>
      </c>
      <c r="E242" s="1786"/>
      <c r="F242" s="1781"/>
      <c r="G242" s="1993"/>
      <c r="H242" s="1873"/>
      <c r="I242" s="1789"/>
      <c r="J242" s="1951"/>
      <c r="K242" s="2050"/>
      <c r="L242" s="2050"/>
      <c r="M242" s="2050"/>
      <c r="N242" s="2050"/>
      <c r="O242" s="2050"/>
      <c r="P242" s="2050"/>
      <c r="Q242" s="1951"/>
      <c r="R242" s="1951"/>
      <c r="S242" s="1951"/>
      <c r="T242" s="1951"/>
      <c r="U242" s="1951"/>
      <c r="V242" s="1951"/>
      <c r="W242" s="1951"/>
      <c r="X242" s="1951"/>
      <c r="Y242" s="1951"/>
      <c r="Z242" s="1951"/>
      <c r="AA242" s="1951"/>
      <c r="AB242" s="1951"/>
      <c r="AC242" s="1951"/>
      <c r="AD242" s="1951"/>
      <c r="AE242" s="1951"/>
      <c r="AF242" s="1951"/>
      <c r="AG242" s="1951"/>
      <c r="AH242" s="1951"/>
      <c r="AI242" s="1951"/>
      <c r="AJ242" s="1951"/>
      <c r="AK242" s="1951"/>
      <c r="AL242" s="1951"/>
      <c r="AM242" s="1951"/>
      <c r="AN242" s="1951"/>
      <c r="AO242" s="1951"/>
      <c r="AP242" s="1951"/>
      <c r="AQ242" s="1951"/>
      <c r="AR242" s="1951"/>
      <c r="AS242" s="1951"/>
      <c r="AT242" s="1951"/>
      <c r="AU242" s="1951"/>
      <c r="AV242" s="1951"/>
      <c r="AW242" s="1951"/>
      <c r="AX242" s="1951"/>
      <c r="AY242" s="1951"/>
      <c r="AZ242" s="1951"/>
      <c r="BA242" s="1951"/>
      <c r="BB242" s="1951"/>
      <c r="BC242" s="1951"/>
      <c r="BD242" s="1951"/>
      <c r="BE242" s="1951"/>
      <c r="BF242" s="1951"/>
      <c r="BG242" s="1951"/>
      <c r="BH242" s="1951"/>
      <c r="BI242" s="1951"/>
      <c r="BJ242" s="1951"/>
      <c r="BK242" s="1951"/>
      <c r="BL242" s="1951"/>
      <c r="BM242" s="1951"/>
      <c r="BN242" s="1951"/>
      <c r="BO242" s="1951"/>
      <c r="BP242" s="1951"/>
      <c r="BQ242" s="1951"/>
      <c r="BR242" s="1951"/>
      <c r="BS242" s="1951"/>
      <c r="BT242" s="1951"/>
      <c r="BU242" s="1951"/>
      <c r="BV242" s="1951"/>
      <c r="BW242" s="1951"/>
      <c r="BX242" s="1951"/>
      <c r="BY242" s="1951"/>
      <c r="BZ242" s="1951"/>
      <c r="CA242" s="1951"/>
      <c r="CB242" s="1951"/>
      <c r="CC242" s="1951"/>
      <c r="CD242" s="1951"/>
      <c r="CE242" s="1951"/>
      <c r="CF242" s="1951"/>
      <c r="CG242" s="1951"/>
      <c r="CH242" s="1951"/>
      <c r="CI242" s="1951"/>
      <c r="CJ242" s="1951"/>
      <c r="CK242" s="1951"/>
      <c r="CL242" s="1951"/>
      <c r="CM242" s="1951"/>
      <c r="CN242" s="1951"/>
      <c r="CO242" s="1951"/>
      <c r="CP242" s="1951"/>
      <c r="CQ242" s="1951"/>
      <c r="CR242" s="1951"/>
      <c r="CS242" s="1951"/>
    </row>
    <row r="243" spans="1:108" s="1968" customFormat="1" ht="13.5" customHeight="1">
      <c r="A243" s="1804">
        <v>56</v>
      </c>
      <c r="B243" s="1786">
        <v>741</v>
      </c>
      <c r="C243" s="1786" t="s">
        <v>3876</v>
      </c>
      <c r="D243" s="1786" t="s">
        <v>3877</v>
      </c>
      <c r="E243" s="1786" t="s">
        <v>49</v>
      </c>
      <c r="F243" s="1787">
        <f>F245</f>
        <v>1</v>
      </c>
      <c r="G243" s="1993"/>
      <c r="H243" s="1775">
        <f t="shared" ref="H243" si="52">ROUND(F243*G243,2)</f>
        <v>0</v>
      </c>
      <c r="I243" s="1841" t="s">
        <v>111</v>
      </c>
      <c r="J243" s="1794"/>
      <c r="K243" s="2085"/>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251"/>
      <c r="AJ243" s="251"/>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c r="BK243" s="251"/>
      <c r="BL243" s="251"/>
      <c r="BM243" s="251"/>
      <c r="BN243" s="251"/>
      <c r="BO243" s="251"/>
      <c r="BP243" s="251"/>
      <c r="BQ243" s="251"/>
      <c r="BR243" s="251"/>
      <c r="BS243" s="251"/>
      <c r="BT243" s="251"/>
      <c r="BU243" s="251"/>
      <c r="BV243" s="251"/>
      <c r="BW243" s="251"/>
      <c r="BX243" s="251"/>
      <c r="BY243" s="251"/>
      <c r="BZ243" s="251"/>
      <c r="CA243" s="251"/>
      <c r="CB243" s="251"/>
      <c r="CC243" s="251"/>
      <c r="CD243" s="251"/>
      <c r="CE243" s="251"/>
      <c r="CF243" s="251"/>
      <c r="CG243" s="251"/>
      <c r="CH243" s="251"/>
      <c r="CI243" s="251"/>
      <c r="CJ243" s="251"/>
      <c r="CK243" s="251"/>
      <c r="CL243" s="251"/>
      <c r="CM243" s="251"/>
      <c r="CN243" s="251"/>
      <c r="CO243" s="251"/>
      <c r="CP243" s="251"/>
      <c r="CQ243" s="251"/>
      <c r="CR243" s="251"/>
      <c r="CS243" s="251"/>
      <c r="CT243" s="251"/>
      <c r="CU243" s="251"/>
      <c r="CV243" s="251"/>
      <c r="CW243" s="251"/>
      <c r="CX243" s="251"/>
      <c r="CY243" s="251"/>
      <c r="CZ243" s="251"/>
      <c r="DA243" s="251"/>
      <c r="DB243" s="251"/>
      <c r="DC243" s="251"/>
      <c r="DD243" s="251"/>
    </row>
    <row r="244" spans="1:108" s="1952" customFormat="1" ht="13.5" customHeight="1">
      <c r="A244" s="1804"/>
      <c r="B244" s="1786"/>
      <c r="C244" s="1786"/>
      <c r="D244" s="1780" t="s">
        <v>3878</v>
      </c>
      <c r="E244" s="1786"/>
      <c r="F244" s="1781"/>
      <c r="G244" s="1993"/>
      <c r="H244" s="1873"/>
      <c r="I244" s="1789"/>
      <c r="J244" s="1951"/>
      <c r="K244" s="2050"/>
      <c r="L244" s="2050"/>
      <c r="M244" s="2050"/>
      <c r="N244" s="2050"/>
      <c r="O244" s="2050"/>
      <c r="P244" s="2050"/>
      <c r="Q244" s="1951"/>
      <c r="R244" s="1951"/>
      <c r="S244" s="1951"/>
      <c r="T244" s="1951"/>
      <c r="U244" s="1951"/>
      <c r="V244" s="1951"/>
      <c r="W244" s="1951"/>
      <c r="X244" s="1951"/>
      <c r="Y244" s="1951"/>
      <c r="Z244" s="1951"/>
      <c r="AA244" s="1951"/>
      <c r="AB244" s="1951"/>
      <c r="AC244" s="1951"/>
      <c r="AD244" s="1951"/>
      <c r="AE244" s="1951"/>
      <c r="AF244" s="1951"/>
      <c r="AG244" s="1951"/>
      <c r="AH244" s="1951"/>
      <c r="AI244" s="1951"/>
      <c r="AJ244" s="1951"/>
      <c r="AK244" s="1951"/>
      <c r="AL244" s="1951"/>
      <c r="AM244" s="1951"/>
      <c r="AN244" s="1951"/>
      <c r="AO244" s="1951"/>
      <c r="AP244" s="1951"/>
      <c r="AQ244" s="1951"/>
      <c r="AR244" s="1951"/>
      <c r="AS244" s="1951"/>
      <c r="AT244" s="1951"/>
      <c r="AU244" s="1951"/>
      <c r="AV244" s="1951"/>
      <c r="AW244" s="1951"/>
      <c r="AX244" s="1951"/>
      <c r="AY244" s="1951"/>
      <c r="AZ244" s="1951"/>
      <c r="BA244" s="1951"/>
      <c r="BB244" s="1951"/>
      <c r="BC244" s="1951"/>
      <c r="BD244" s="1951"/>
      <c r="BE244" s="1951"/>
      <c r="BF244" s="1951"/>
      <c r="BG244" s="1951"/>
      <c r="BH244" s="1951"/>
      <c r="BI244" s="1951"/>
      <c r="BJ244" s="1951"/>
      <c r="BK244" s="1951"/>
      <c r="BL244" s="1951"/>
      <c r="BM244" s="1951"/>
      <c r="BN244" s="1951"/>
      <c r="BO244" s="1951"/>
      <c r="BP244" s="1951"/>
      <c r="BQ244" s="1951"/>
      <c r="BR244" s="1951"/>
      <c r="BS244" s="1951"/>
      <c r="BT244" s="1951"/>
      <c r="BU244" s="1951"/>
      <c r="BV244" s="1951"/>
      <c r="BW244" s="1951"/>
      <c r="BX244" s="1951"/>
      <c r="BY244" s="1951"/>
      <c r="BZ244" s="1951"/>
      <c r="CA244" s="1951"/>
      <c r="CB244" s="1951"/>
      <c r="CC244" s="1951"/>
      <c r="CD244" s="1951"/>
      <c r="CE244" s="1951"/>
      <c r="CF244" s="1951"/>
      <c r="CG244" s="1951"/>
      <c r="CH244" s="1951"/>
      <c r="CI244" s="1951"/>
      <c r="CJ244" s="1951"/>
      <c r="CK244" s="1951"/>
      <c r="CL244" s="1951"/>
      <c r="CM244" s="1951"/>
      <c r="CN244" s="1951"/>
      <c r="CO244" s="1951"/>
      <c r="CP244" s="1951"/>
      <c r="CQ244" s="1951"/>
      <c r="CR244" s="1951"/>
      <c r="CS244" s="1951"/>
    </row>
    <row r="245" spans="1:108" s="1952" customFormat="1" ht="13.5" customHeight="1">
      <c r="A245" s="1804"/>
      <c r="B245" s="1786"/>
      <c r="C245" s="1786"/>
      <c r="D245" s="1780" t="s">
        <v>1222</v>
      </c>
      <c r="E245" s="1786"/>
      <c r="F245" s="1781">
        <v>1</v>
      </c>
      <c r="G245" s="1993"/>
      <c r="H245" s="1873"/>
      <c r="I245" s="1789"/>
      <c r="J245" s="2086"/>
      <c r="K245" s="2050"/>
      <c r="L245" s="2050"/>
      <c r="M245" s="2050"/>
      <c r="N245" s="2050"/>
      <c r="O245" s="2050"/>
      <c r="P245" s="2050"/>
      <c r="Q245" s="1951"/>
      <c r="R245" s="1951"/>
      <c r="S245" s="1951"/>
      <c r="T245" s="1951"/>
      <c r="U245" s="1951"/>
      <c r="V245" s="1951"/>
      <c r="W245" s="1951"/>
      <c r="X245" s="1951"/>
      <c r="Y245" s="1951"/>
      <c r="Z245" s="1951"/>
      <c r="AA245" s="1951"/>
      <c r="AB245" s="1951"/>
      <c r="AC245" s="1951"/>
      <c r="AD245" s="1951"/>
      <c r="AE245" s="1951"/>
      <c r="AF245" s="1951"/>
      <c r="AG245" s="1951"/>
      <c r="AH245" s="1951"/>
      <c r="AI245" s="1951"/>
      <c r="AJ245" s="1951"/>
      <c r="AK245" s="1951"/>
      <c r="AL245" s="1951"/>
      <c r="AM245" s="1951"/>
      <c r="AN245" s="1951"/>
      <c r="AO245" s="1951"/>
      <c r="AP245" s="1951"/>
      <c r="AQ245" s="1951"/>
      <c r="AR245" s="1951"/>
      <c r="AS245" s="1951"/>
      <c r="AT245" s="1951"/>
      <c r="AU245" s="1951"/>
      <c r="AV245" s="1951"/>
      <c r="AW245" s="1951"/>
      <c r="AX245" s="1951"/>
      <c r="AY245" s="1951"/>
      <c r="AZ245" s="1951"/>
      <c r="BA245" s="1951"/>
      <c r="BB245" s="1951"/>
      <c r="BC245" s="1951"/>
      <c r="BD245" s="1951"/>
      <c r="BE245" s="1951"/>
      <c r="BF245" s="1951"/>
      <c r="BG245" s="1951"/>
      <c r="BH245" s="1951"/>
      <c r="BI245" s="1951"/>
      <c r="BJ245" s="1951"/>
      <c r="BK245" s="1951"/>
      <c r="BL245" s="1951"/>
      <c r="BM245" s="1951"/>
      <c r="BN245" s="1951"/>
      <c r="BO245" s="1951"/>
      <c r="BP245" s="1951"/>
      <c r="BQ245" s="1951"/>
      <c r="BR245" s="1951"/>
      <c r="BS245" s="1951"/>
      <c r="BT245" s="1951"/>
      <c r="BU245" s="1951"/>
      <c r="BV245" s="1951"/>
      <c r="BW245" s="1951"/>
      <c r="BX245" s="1951"/>
      <c r="BY245" s="1951"/>
      <c r="BZ245" s="1951"/>
      <c r="CA245" s="1951"/>
      <c r="CB245" s="1951"/>
      <c r="CC245" s="1951"/>
      <c r="CD245" s="1951"/>
      <c r="CE245" s="1951"/>
      <c r="CF245" s="1951"/>
      <c r="CG245" s="1951"/>
      <c r="CH245" s="1951"/>
      <c r="CI245" s="1951"/>
      <c r="CJ245" s="1951"/>
      <c r="CK245" s="1951"/>
      <c r="CL245" s="1951"/>
      <c r="CM245" s="1951"/>
      <c r="CN245" s="1951"/>
      <c r="CO245" s="1951"/>
      <c r="CP245" s="1951"/>
      <c r="CQ245" s="1951"/>
      <c r="CR245" s="1951"/>
      <c r="CS245" s="1951"/>
    </row>
    <row r="246" spans="1:108" s="1952" customFormat="1" ht="27" customHeight="1">
      <c r="A246" s="1804"/>
      <c r="B246" s="1786"/>
      <c r="C246" s="1786"/>
      <c r="D246" s="1780" t="s">
        <v>1815</v>
      </c>
      <c r="E246" s="1786"/>
      <c r="F246" s="1781"/>
      <c r="G246" s="1993"/>
      <c r="H246" s="1873"/>
      <c r="I246" s="1789"/>
      <c r="J246" s="1951"/>
      <c r="K246" s="2050"/>
      <c r="L246" s="2050"/>
      <c r="M246" s="2050"/>
      <c r="N246" s="2050"/>
      <c r="O246" s="2050"/>
      <c r="P246" s="2050"/>
      <c r="Q246" s="1951"/>
      <c r="R246" s="1951"/>
      <c r="S246" s="1951"/>
      <c r="T246" s="1951"/>
      <c r="U246" s="1951"/>
      <c r="V246" s="1951"/>
      <c r="W246" s="1951"/>
      <c r="X246" s="1951"/>
      <c r="Y246" s="1951"/>
      <c r="Z246" s="1951"/>
      <c r="AA246" s="1951"/>
      <c r="AB246" s="1951"/>
      <c r="AC246" s="1951"/>
      <c r="AD246" s="1951"/>
      <c r="AE246" s="1951"/>
      <c r="AF246" s="1951"/>
      <c r="AG246" s="1951"/>
      <c r="AH246" s="1951"/>
      <c r="AI246" s="1951"/>
      <c r="AJ246" s="1951"/>
      <c r="AK246" s="1951"/>
      <c r="AL246" s="1951"/>
      <c r="AM246" s="1951"/>
      <c r="AN246" s="1951"/>
      <c r="AO246" s="1951"/>
      <c r="AP246" s="1951"/>
      <c r="AQ246" s="1951"/>
      <c r="AR246" s="1951"/>
      <c r="AS246" s="1951"/>
      <c r="AT246" s="1951"/>
      <c r="AU246" s="1951"/>
      <c r="AV246" s="1951"/>
      <c r="AW246" s="1951"/>
      <c r="AX246" s="1951"/>
      <c r="AY246" s="1951"/>
      <c r="AZ246" s="1951"/>
      <c r="BA246" s="1951"/>
      <c r="BB246" s="1951"/>
      <c r="BC246" s="1951"/>
      <c r="BD246" s="1951"/>
      <c r="BE246" s="1951"/>
      <c r="BF246" s="1951"/>
      <c r="BG246" s="1951"/>
      <c r="BH246" s="1951"/>
      <c r="BI246" s="1951"/>
      <c r="BJ246" s="1951"/>
      <c r="BK246" s="1951"/>
      <c r="BL246" s="1951"/>
      <c r="BM246" s="1951"/>
      <c r="BN246" s="1951"/>
      <c r="BO246" s="1951"/>
      <c r="BP246" s="1951"/>
      <c r="BQ246" s="1951"/>
      <c r="BR246" s="1951"/>
      <c r="BS246" s="1951"/>
      <c r="BT246" s="1951"/>
      <c r="BU246" s="1951"/>
      <c r="BV246" s="1951"/>
      <c r="BW246" s="1951"/>
      <c r="BX246" s="1951"/>
      <c r="BY246" s="1951"/>
      <c r="BZ246" s="1951"/>
      <c r="CA246" s="1951"/>
      <c r="CB246" s="1951"/>
      <c r="CC246" s="1951"/>
      <c r="CD246" s="1951"/>
      <c r="CE246" s="1951"/>
      <c r="CF246" s="1951"/>
      <c r="CG246" s="1951"/>
      <c r="CH246" s="1951"/>
      <c r="CI246" s="1951"/>
      <c r="CJ246" s="1951"/>
      <c r="CK246" s="1951"/>
      <c r="CL246" s="1951"/>
      <c r="CM246" s="1951"/>
      <c r="CN246" s="1951"/>
      <c r="CO246" s="1951"/>
      <c r="CP246" s="1951"/>
      <c r="CQ246" s="1951"/>
      <c r="CR246" s="1951"/>
      <c r="CS246" s="1951"/>
    </row>
    <row r="247" spans="1:108" s="1968" customFormat="1" ht="13.5" customHeight="1">
      <c r="A247" s="1804">
        <v>57</v>
      </c>
      <c r="B247" s="1786">
        <v>741</v>
      </c>
      <c r="C247" s="1786" t="s">
        <v>3879</v>
      </c>
      <c r="D247" s="1786" t="s">
        <v>3880</v>
      </c>
      <c r="E247" s="1786" t="s">
        <v>49</v>
      </c>
      <c r="F247" s="1787">
        <f>F249</f>
        <v>1</v>
      </c>
      <c r="G247" s="1993"/>
      <c r="H247" s="1775">
        <f t="shared" ref="H247" si="53">ROUND(F247*G247,2)</f>
        <v>0</v>
      </c>
      <c r="I247" s="1841" t="s">
        <v>111</v>
      </c>
      <c r="J247" s="1794"/>
      <c r="K247" s="2085"/>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c r="AY247" s="251"/>
      <c r="AZ247" s="251"/>
      <c r="BA247" s="251"/>
      <c r="BB247" s="251"/>
      <c r="BC247" s="251"/>
      <c r="BD247" s="251"/>
      <c r="BE247" s="251"/>
      <c r="BF247" s="251"/>
      <c r="BG247" s="251"/>
      <c r="BH247" s="251"/>
      <c r="BI247" s="251"/>
      <c r="BJ247" s="251"/>
      <c r="BK247" s="251"/>
      <c r="BL247" s="251"/>
      <c r="BM247" s="251"/>
      <c r="BN247" s="251"/>
      <c r="BO247" s="251"/>
      <c r="BP247" s="251"/>
      <c r="BQ247" s="251"/>
      <c r="BR247" s="251"/>
      <c r="BS247" s="251"/>
      <c r="BT247" s="251"/>
      <c r="BU247" s="251"/>
      <c r="BV247" s="251"/>
      <c r="BW247" s="251"/>
      <c r="BX247" s="251"/>
      <c r="BY247" s="251"/>
      <c r="BZ247" s="251"/>
      <c r="CA247" s="251"/>
      <c r="CB247" s="251"/>
      <c r="CC247" s="251"/>
      <c r="CD247" s="251"/>
      <c r="CE247" s="251"/>
      <c r="CF247" s="251"/>
      <c r="CG247" s="251"/>
      <c r="CH247" s="251"/>
      <c r="CI247" s="251"/>
      <c r="CJ247" s="251"/>
      <c r="CK247" s="251"/>
      <c r="CL247" s="251"/>
      <c r="CM247" s="251"/>
      <c r="CN247" s="251"/>
      <c r="CO247" s="251"/>
      <c r="CP247" s="251"/>
      <c r="CQ247" s="251"/>
      <c r="CR247" s="251"/>
      <c r="CS247" s="251"/>
      <c r="CT247" s="251"/>
      <c r="CU247" s="251"/>
      <c r="CV247" s="251"/>
      <c r="CW247" s="251"/>
      <c r="CX247" s="251"/>
      <c r="CY247" s="251"/>
      <c r="CZ247" s="251"/>
      <c r="DA247" s="251"/>
      <c r="DB247" s="251"/>
      <c r="DC247" s="251"/>
      <c r="DD247" s="251"/>
    </row>
    <row r="248" spans="1:108" s="1952" customFormat="1" ht="13.5" customHeight="1">
      <c r="A248" s="1804"/>
      <c r="B248" s="1786"/>
      <c r="C248" s="1786"/>
      <c r="D248" s="1780" t="s">
        <v>3881</v>
      </c>
      <c r="E248" s="1786"/>
      <c r="F248" s="1781"/>
      <c r="G248" s="1993"/>
      <c r="H248" s="1873"/>
      <c r="I248" s="1789"/>
      <c r="J248" s="1951"/>
      <c r="K248" s="2050"/>
      <c r="L248" s="2050"/>
      <c r="M248" s="2050"/>
      <c r="N248" s="2050"/>
      <c r="O248" s="2050"/>
      <c r="P248" s="2050"/>
      <c r="Q248" s="1951"/>
      <c r="R248" s="1951"/>
      <c r="S248" s="1951"/>
      <c r="T248" s="1951"/>
      <c r="U248" s="1951"/>
      <c r="V248" s="1951"/>
      <c r="W248" s="1951"/>
      <c r="X248" s="1951"/>
      <c r="Y248" s="1951"/>
      <c r="Z248" s="1951"/>
      <c r="AA248" s="1951"/>
      <c r="AB248" s="1951"/>
      <c r="AC248" s="1951"/>
      <c r="AD248" s="1951"/>
      <c r="AE248" s="1951"/>
      <c r="AF248" s="1951"/>
      <c r="AG248" s="1951"/>
      <c r="AH248" s="1951"/>
      <c r="AI248" s="1951"/>
      <c r="AJ248" s="1951"/>
      <c r="AK248" s="1951"/>
      <c r="AL248" s="1951"/>
      <c r="AM248" s="1951"/>
      <c r="AN248" s="1951"/>
      <c r="AO248" s="1951"/>
      <c r="AP248" s="1951"/>
      <c r="AQ248" s="1951"/>
      <c r="AR248" s="1951"/>
      <c r="AS248" s="1951"/>
      <c r="AT248" s="1951"/>
      <c r="AU248" s="1951"/>
      <c r="AV248" s="1951"/>
      <c r="AW248" s="1951"/>
      <c r="AX248" s="1951"/>
      <c r="AY248" s="1951"/>
      <c r="AZ248" s="1951"/>
      <c r="BA248" s="1951"/>
      <c r="BB248" s="1951"/>
      <c r="BC248" s="1951"/>
      <c r="BD248" s="1951"/>
      <c r="BE248" s="1951"/>
      <c r="BF248" s="1951"/>
      <c r="BG248" s="1951"/>
      <c r="BH248" s="1951"/>
      <c r="BI248" s="1951"/>
      <c r="BJ248" s="1951"/>
      <c r="BK248" s="1951"/>
      <c r="BL248" s="1951"/>
      <c r="BM248" s="1951"/>
      <c r="BN248" s="1951"/>
      <c r="BO248" s="1951"/>
      <c r="BP248" s="1951"/>
      <c r="BQ248" s="1951"/>
      <c r="BR248" s="1951"/>
      <c r="BS248" s="1951"/>
      <c r="BT248" s="1951"/>
      <c r="BU248" s="1951"/>
      <c r="BV248" s="1951"/>
      <c r="BW248" s="1951"/>
      <c r="BX248" s="1951"/>
      <c r="BY248" s="1951"/>
      <c r="BZ248" s="1951"/>
      <c r="CA248" s="1951"/>
      <c r="CB248" s="1951"/>
      <c r="CC248" s="1951"/>
      <c r="CD248" s="1951"/>
      <c r="CE248" s="1951"/>
      <c r="CF248" s="1951"/>
      <c r="CG248" s="1951"/>
      <c r="CH248" s="1951"/>
      <c r="CI248" s="1951"/>
      <c r="CJ248" s="1951"/>
      <c r="CK248" s="1951"/>
      <c r="CL248" s="1951"/>
      <c r="CM248" s="1951"/>
      <c r="CN248" s="1951"/>
      <c r="CO248" s="1951"/>
      <c r="CP248" s="1951"/>
      <c r="CQ248" s="1951"/>
      <c r="CR248" s="1951"/>
      <c r="CS248" s="1951"/>
    </row>
    <row r="249" spans="1:108" s="1952" customFormat="1" ht="13.5" customHeight="1">
      <c r="A249" s="1804"/>
      <c r="B249" s="1786"/>
      <c r="C249" s="1786"/>
      <c r="D249" s="1780" t="s">
        <v>1222</v>
      </c>
      <c r="E249" s="1786"/>
      <c r="F249" s="1781">
        <v>1</v>
      </c>
      <c r="G249" s="1993"/>
      <c r="H249" s="1873"/>
      <c r="I249" s="1789"/>
      <c r="J249" s="2086"/>
      <c r="K249" s="2050"/>
      <c r="L249" s="2050"/>
      <c r="M249" s="2050"/>
      <c r="N249" s="2050"/>
      <c r="O249" s="2050"/>
      <c r="P249" s="2050"/>
      <c r="Q249" s="1951"/>
      <c r="R249" s="1951"/>
      <c r="S249" s="1951"/>
      <c r="T249" s="1951"/>
      <c r="U249" s="1951"/>
      <c r="V249" s="1951"/>
      <c r="W249" s="1951"/>
      <c r="X249" s="1951"/>
      <c r="Y249" s="1951"/>
      <c r="Z249" s="1951"/>
      <c r="AA249" s="1951"/>
      <c r="AB249" s="1951"/>
      <c r="AC249" s="1951"/>
      <c r="AD249" s="1951"/>
      <c r="AE249" s="1951"/>
      <c r="AF249" s="1951"/>
      <c r="AG249" s="1951"/>
      <c r="AH249" s="1951"/>
      <c r="AI249" s="1951"/>
      <c r="AJ249" s="1951"/>
      <c r="AK249" s="1951"/>
      <c r="AL249" s="1951"/>
      <c r="AM249" s="1951"/>
      <c r="AN249" s="1951"/>
      <c r="AO249" s="1951"/>
      <c r="AP249" s="1951"/>
      <c r="AQ249" s="1951"/>
      <c r="AR249" s="1951"/>
      <c r="AS249" s="1951"/>
      <c r="AT249" s="1951"/>
      <c r="AU249" s="1951"/>
      <c r="AV249" s="1951"/>
      <c r="AW249" s="1951"/>
      <c r="AX249" s="1951"/>
      <c r="AY249" s="1951"/>
      <c r="AZ249" s="1951"/>
      <c r="BA249" s="1951"/>
      <c r="BB249" s="1951"/>
      <c r="BC249" s="1951"/>
      <c r="BD249" s="1951"/>
      <c r="BE249" s="1951"/>
      <c r="BF249" s="1951"/>
      <c r="BG249" s="1951"/>
      <c r="BH249" s="1951"/>
      <c r="BI249" s="1951"/>
      <c r="BJ249" s="1951"/>
      <c r="BK249" s="1951"/>
      <c r="BL249" s="1951"/>
      <c r="BM249" s="1951"/>
      <c r="BN249" s="1951"/>
      <c r="BO249" s="1951"/>
      <c r="BP249" s="1951"/>
      <c r="BQ249" s="1951"/>
      <c r="BR249" s="1951"/>
      <c r="BS249" s="1951"/>
      <c r="BT249" s="1951"/>
      <c r="BU249" s="1951"/>
      <c r="BV249" s="1951"/>
      <c r="BW249" s="1951"/>
      <c r="BX249" s="1951"/>
      <c r="BY249" s="1951"/>
      <c r="BZ249" s="1951"/>
      <c r="CA249" s="1951"/>
      <c r="CB249" s="1951"/>
      <c r="CC249" s="1951"/>
      <c r="CD249" s="1951"/>
      <c r="CE249" s="1951"/>
      <c r="CF249" s="1951"/>
      <c r="CG249" s="1951"/>
      <c r="CH249" s="1951"/>
      <c r="CI249" s="1951"/>
      <c r="CJ249" s="1951"/>
      <c r="CK249" s="1951"/>
      <c r="CL249" s="1951"/>
      <c r="CM249" s="1951"/>
      <c r="CN249" s="1951"/>
      <c r="CO249" s="1951"/>
      <c r="CP249" s="1951"/>
      <c r="CQ249" s="1951"/>
      <c r="CR249" s="1951"/>
      <c r="CS249" s="1951"/>
    </row>
    <row r="250" spans="1:108" s="1952" customFormat="1" ht="27" customHeight="1">
      <c r="A250" s="1804"/>
      <c r="B250" s="1786"/>
      <c r="C250" s="1786"/>
      <c r="D250" s="1780" t="s">
        <v>1815</v>
      </c>
      <c r="E250" s="1786"/>
      <c r="F250" s="1781"/>
      <c r="G250" s="1993"/>
      <c r="H250" s="1873"/>
      <c r="I250" s="1789"/>
      <c r="J250" s="1951"/>
      <c r="K250" s="2050"/>
      <c r="L250" s="2050"/>
      <c r="M250" s="2050"/>
      <c r="N250" s="2050"/>
      <c r="O250" s="2050"/>
      <c r="P250" s="2050"/>
      <c r="Q250" s="1951"/>
      <c r="R250" s="1951"/>
      <c r="S250" s="1951"/>
      <c r="T250" s="1951"/>
      <c r="U250" s="1951"/>
      <c r="V250" s="1951"/>
      <c r="W250" s="1951"/>
      <c r="X250" s="1951"/>
      <c r="Y250" s="1951"/>
      <c r="Z250" s="1951"/>
      <c r="AA250" s="1951"/>
      <c r="AB250" s="1951"/>
      <c r="AC250" s="1951"/>
      <c r="AD250" s="1951"/>
      <c r="AE250" s="1951"/>
      <c r="AF250" s="1951"/>
      <c r="AG250" s="1951"/>
      <c r="AH250" s="1951"/>
      <c r="AI250" s="1951"/>
      <c r="AJ250" s="1951"/>
      <c r="AK250" s="1951"/>
      <c r="AL250" s="1951"/>
      <c r="AM250" s="1951"/>
      <c r="AN250" s="1951"/>
      <c r="AO250" s="1951"/>
      <c r="AP250" s="1951"/>
      <c r="AQ250" s="1951"/>
      <c r="AR250" s="1951"/>
      <c r="AS250" s="1951"/>
      <c r="AT250" s="1951"/>
      <c r="AU250" s="1951"/>
      <c r="AV250" s="1951"/>
      <c r="AW250" s="1951"/>
      <c r="AX250" s="1951"/>
      <c r="AY250" s="1951"/>
      <c r="AZ250" s="1951"/>
      <c r="BA250" s="1951"/>
      <c r="BB250" s="1951"/>
      <c r="BC250" s="1951"/>
      <c r="BD250" s="1951"/>
      <c r="BE250" s="1951"/>
      <c r="BF250" s="1951"/>
      <c r="BG250" s="1951"/>
      <c r="BH250" s="1951"/>
      <c r="BI250" s="1951"/>
      <c r="BJ250" s="1951"/>
      <c r="BK250" s="1951"/>
      <c r="BL250" s="1951"/>
      <c r="BM250" s="1951"/>
      <c r="BN250" s="1951"/>
      <c r="BO250" s="1951"/>
      <c r="BP250" s="1951"/>
      <c r="BQ250" s="1951"/>
      <c r="BR250" s="1951"/>
      <c r="BS250" s="1951"/>
      <c r="BT250" s="1951"/>
      <c r="BU250" s="1951"/>
      <c r="BV250" s="1951"/>
      <c r="BW250" s="1951"/>
      <c r="BX250" s="1951"/>
      <c r="BY250" s="1951"/>
      <c r="BZ250" s="1951"/>
      <c r="CA250" s="1951"/>
      <c r="CB250" s="1951"/>
      <c r="CC250" s="1951"/>
      <c r="CD250" s="1951"/>
      <c r="CE250" s="1951"/>
      <c r="CF250" s="1951"/>
      <c r="CG250" s="1951"/>
      <c r="CH250" s="1951"/>
      <c r="CI250" s="1951"/>
      <c r="CJ250" s="1951"/>
      <c r="CK250" s="1951"/>
      <c r="CL250" s="1951"/>
      <c r="CM250" s="1951"/>
      <c r="CN250" s="1951"/>
      <c r="CO250" s="1951"/>
      <c r="CP250" s="1951"/>
      <c r="CQ250" s="1951"/>
      <c r="CR250" s="1951"/>
      <c r="CS250" s="1951"/>
    </row>
    <row r="251" spans="1:108" s="1968" customFormat="1" ht="13.5" customHeight="1">
      <c r="A251" s="1804">
        <v>58</v>
      </c>
      <c r="B251" s="1786">
        <v>741</v>
      </c>
      <c r="C251" s="1786" t="s">
        <v>3882</v>
      </c>
      <c r="D251" s="1786" t="s">
        <v>3883</v>
      </c>
      <c r="E251" s="1786" t="s">
        <v>49</v>
      </c>
      <c r="F251" s="1787">
        <f>F253</f>
        <v>1</v>
      </c>
      <c r="G251" s="1993"/>
      <c r="H251" s="1775">
        <f t="shared" ref="H251" si="54">ROUND(F251*G251,2)</f>
        <v>0</v>
      </c>
      <c r="I251" s="1841" t="s">
        <v>111</v>
      </c>
      <c r="J251" s="1794"/>
      <c r="K251" s="2085"/>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1"/>
      <c r="AZ251" s="251"/>
      <c r="BA251" s="251"/>
      <c r="BB251" s="251"/>
      <c r="BC251" s="251"/>
      <c r="BD251" s="251"/>
      <c r="BE251" s="251"/>
      <c r="BF251" s="251"/>
      <c r="BG251" s="251"/>
      <c r="BH251" s="251"/>
      <c r="BI251" s="251"/>
      <c r="BJ251" s="251"/>
      <c r="BK251" s="251"/>
      <c r="BL251" s="251"/>
      <c r="BM251" s="251"/>
      <c r="BN251" s="251"/>
      <c r="BO251" s="251"/>
      <c r="BP251" s="251"/>
      <c r="BQ251" s="251"/>
      <c r="BR251" s="251"/>
      <c r="BS251" s="251"/>
      <c r="BT251" s="251"/>
      <c r="BU251" s="251"/>
      <c r="BV251" s="251"/>
      <c r="BW251" s="251"/>
      <c r="BX251" s="251"/>
      <c r="BY251" s="251"/>
      <c r="BZ251" s="251"/>
      <c r="CA251" s="251"/>
      <c r="CB251" s="251"/>
      <c r="CC251" s="251"/>
      <c r="CD251" s="251"/>
      <c r="CE251" s="251"/>
      <c r="CF251" s="251"/>
      <c r="CG251" s="251"/>
      <c r="CH251" s="251"/>
      <c r="CI251" s="251"/>
      <c r="CJ251" s="251"/>
      <c r="CK251" s="251"/>
      <c r="CL251" s="251"/>
      <c r="CM251" s="251"/>
      <c r="CN251" s="251"/>
      <c r="CO251" s="251"/>
      <c r="CP251" s="251"/>
      <c r="CQ251" s="251"/>
      <c r="CR251" s="251"/>
      <c r="CS251" s="251"/>
      <c r="CT251" s="251"/>
      <c r="CU251" s="251"/>
      <c r="CV251" s="251"/>
      <c r="CW251" s="251"/>
      <c r="CX251" s="251"/>
      <c r="CY251" s="251"/>
      <c r="CZ251" s="251"/>
      <c r="DA251" s="251"/>
      <c r="DB251" s="251"/>
      <c r="DC251" s="251"/>
      <c r="DD251" s="251"/>
    </row>
    <row r="252" spans="1:108" s="1952" customFormat="1" ht="13.5" customHeight="1">
      <c r="A252" s="1804"/>
      <c r="B252" s="1786"/>
      <c r="C252" s="1786"/>
      <c r="D252" s="1780" t="s">
        <v>3884</v>
      </c>
      <c r="E252" s="1786"/>
      <c r="F252" s="1781"/>
      <c r="G252" s="1993"/>
      <c r="H252" s="1873"/>
      <c r="I252" s="1789"/>
      <c r="J252" s="1951"/>
      <c r="K252" s="2050"/>
      <c r="L252" s="2050"/>
      <c r="M252" s="2050"/>
      <c r="N252" s="2050"/>
      <c r="O252" s="2050"/>
      <c r="P252" s="2050"/>
      <c r="Q252" s="1951"/>
      <c r="R252" s="1951"/>
      <c r="S252" s="1951"/>
      <c r="T252" s="1951"/>
      <c r="U252" s="1951"/>
      <c r="V252" s="1951"/>
      <c r="W252" s="1951"/>
      <c r="X252" s="1951"/>
      <c r="Y252" s="1951"/>
      <c r="Z252" s="1951"/>
      <c r="AA252" s="1951"/>
      <c r="AB252" s="1951"/>
      <c r="AC252" s="1951"/>
      <c r="AD252" s="1951"/>
      <c r="AE252" s="1951"/>
      <c r="AF252" s="1951"/>
      <c r="AG252" s="1951"/>
      <c r="AH252" s="1951"/>
      <c r="AI252" s="1951"/>
      <c r="AJ252" s="1951"/>
      <c r="AK252" s="1951"/>
      <c r="AL252" s="1951"/>
      <c r="AM252" s="1951"/>
      <c r="AN252" s="1951"/>
      <c r="AO252" s="1951"/>
      <c r="AP252" s="1951"/>
      <c r="AQ252" s="1951"/>
      <c r="AR252" s="1951"/>
      <c r="AS252" s="1951"/>
      <c r="AT252" s="1951"/>
      <c r="AU252" s="1951"/>
      <c r="AV252" s="1951"/>
      <c r="AW252" s="1951"/>
      <c r="AX252" s="1951"/>
      <c r="AY252" s="1951"/>
      <c r="AZ252" s="1951"/>
      <c r="BA252" s="1951"/>
      <c r="BB252" s="1951"/>
      <c r="BC252" s="1951"/>
      <c r="BD252" s="1951"/>
      <c r="BE252" s="1951"/>
      <c r="BF252" s="1951"/>
      <c r="BG252" s="1951"/>
      <c r="BH252" s="1951"/>
      <c r="BI252" s="1951"/>
      <c r="BJ252" s="1951"/>
      <c r="BK252" s="1951"/>
      <c r="BL252" s="1951"/>
      <c r="BM252" s="1951"/>
      <c r="BN252" s="1951"/>
      <c r="BO252" s="1951"/>
      <c r="BP252" s="1951"/>
      <c r="BQ252" s="1951"/>
      <c r="BR252" s="1951"/>
      <c r="BS252" s="1951"/>
      <c r="BT252" s="1951"/>
      <c r="BU252" s="1951"/>
      <c r="BV252" s="1951"/>
      <c r="BW252" s="1951"/>
      <c r="BX252" s="1951"/>
      <c r="BY252" s="1951"/>
      <c r="BZ252" s="1951"/>
      <c r="CA252" s="1951"/>
      <c r="CB252" s="1951"/>
      <c r="CC252" s="1951"/>
      <c r="CD252" s="1951"/>
      <c r="CE252" s="1951"/>
      <c r="CF252" s="1951"/>
      <c r="CG252" s="1951"/>
      <c r="CH252" s="1951"/>
      <c r="CI252" s="1951"/>
      <c r="CJ252" s="1951"/>
      <c r="CK252" s="1951"/>
      <c r="CL252" s="1951"/>
      <c r="CM252" s="1951"/>
      <c r="CN252" s="1951"/>
      <c r="CO252" s="1951"/>
      <c r="CP252" s="1951"/>
      <c r="CQ252" s="1951"/>
      <c r="CR252" s="1951"/>
      <c r="CS252" s="1951"/>
    </row>
    <row r="253" spans="1:108" s="1952" customFormat="1" ht="13.5" customHeight="1">
      <c r="A253" s="1804"/>
      <c r="B253" s="1786"/>
      <c r="C253" s="1786"/>
      <c r="D253" s="1780" t="s">
        <v>1222</v>
      </c>
      <c r="E253" s="1786"/>
      <c r="F253" s="1781">
        <v>1</v>
      </c>
      <c r="G253" s="1993"/>
      <c r="H253" s="1873"/>
      <c r="I253" s="1789"/>
      <c r="J253" s="2086"/>
      <c r="K253" s="2050"/>
      <c r="L253" s="2050"/>
      <c r="M253" s="2050"/>
      <c r="N253" s="2050"/>
      <c r="O253" s="2050"/>
      <c r="P253" s="2050"/>
      <c r="Q253" s="1951"/>
      <c r="R253" s="1951"/>
      <c r="S253" s="1951"/>
      <c r="T253" s="1951"/>
      <c r="U253" s="1951"/>
      <c r="V253" s="1951"/>
      <c r="W253" s="1951"/>
      <c r="X253" s="1951"/>
      <c r="Y253" s="1951"/>
      <c r="Z253" s="1951"/>
      <c r="AA253" s="1951"/>
      <c r="AB253" s="1951"/>
      <c r="AC253" s="1951"/>
      <c r="AD253" s="1951"/>
      <c r="AE253" s="1951"/>
      <c r="AF253" s="1951"/>
      <c r="AG253" s="1951"/>
      <c r="AH253" s="1951"/>
      <c r="AI253" s="1951"/>
      <c r="AJ253" s="1951"/>
      <c r="AK253" s="1951"/>
      <c r="AL253" s="1951"/>
      <c r="AM253" s="1951"/>
      <c r="AN253" s="1951"/>
      <c r="AO253" s="1951"/>
      <c r="AP253" s="1951"/>
      <c r="AQ253" s="1951"/>
      <c r="AR253" s="1951"/>
      <c r="AS253" s="1951"/>
      <c r="AT253" s="1951"/>
      <c r="AU253" s="1951"/>
      <c r="AV253" s="1951"/>
      <c r="AW253" s="1951"/>
      <c r="AX253" s="1951"/>
      <c r="AY253" s="1951"/>
      <c r="AZ253" s="1951"/>
      <c r="BA253" s="1951"/>
      <c r="BB253" s="1951"/>
      <c r="BC253" s="1951"/>
      <c r="BD253" s="1951"/>
      <c r="BE253" s="1951"/>
      <c r="BF253" s="1951"/>
      <c r="BG253" s="1951"/>
      <c r="BH253" s="1951"/>
      <c r="BI253" s="1951"/>
      <c r="BJ253" s="1951"/>
      <c r="BK253" s="1951"/>
      <c r="BL253" s="1951"/>
      <c r="BM253" s="1951"/>
      <c r="BN253" s="1951"/>
      <c r="BO253" s="1951"/>
      <c r="BP253" s="1951"/>
      <c r="BQ253" s="1951"/>
      <c r="BR253" s="1951"/>
      <c r="BS253" s="1951"/>
      <c r="BT253" s="1951"/>
      <c r="BU253" s="1951"/>
      <c r="BV253" s="1951"/>
      <c r="BW253" s="1951"/>
      <c r="BX253" s="1951"/>
      <c r="BY253" s="1951"/>
      <c r="BZ253" s="1951"/>
      <c r="CA253" s="1951"/>
      <c r="CB253" s="1951"/>
      <c r="CC253" s="1951"/>
      <c r="CD253" s="1951"/>
      <c r="CE253" s="1951"/>
      <c r="CF253" s="1951"/>
      <c r="CG253" s="1951"/>
      <c r="CH253" s="1951"/>
      <c r="CI253" s="1951"/>
      <c r="CJ253" s="1951"/>
      <c r="CK253" s="1951"/>
      <c r="CL253" s="1951"/>
      <c r="CM253" s="1951"/>
      <c r="CN253" s="1951"/>
      <c r="CO253" s="1951"/>
      <c r="CP253" s="1951"/>
      <c r="CQ253" s="1951"/>
      <c r="CR253" s="1951"/>
      <c r="CS253" s="1951"/>
    </row>
    <row r="254" spans="1:108" s="1952" customFormat="1" ht="27" customHeight="1">
      <c r="A254" s="1804"/>
      <c r="B254" s="1786"/>
      <c r="C254" s="1786"/>
      <c r="D254" s="1780" t="s">
        <v>1815</v>
      </c>
      <c r="E254" s="1786"/>
      <c r="F254" s="1781"/>
      <c r="G254" s="1993"/>
      <c r="H254" s="1873"/>
      <c r="I254" s="1789"/>
      <c r="J254" s="1951"/>
      <c r="K254" s="2050"/>
      <c r="L254" s="2050"/>
      <c r="M254" s="2050"/>
      <c r="N254" s="2050"/>
      <c r="O254" s="2050"/>
      <c r="P254" s="2050"/>
      <c r="Q254" s="1951"/>
      <c r="R254" s="1951"/>
      <c r="S254" s="1951"/>
      <c r="T254" s="1951"/>
      <c r="U254" s="1951"/>
      <c r="V254" s="1951"/>
      <c r="W254" s="1951"/>
      <c r="X254" s="1951"/>
      <c r="Y254" s="1951"/>
      <c r="Z254" s="1951"/>
      <c r="AA254" s="1951"/>
      <c r="AB254" s="1951"/>
      <c r="AC254" s="1951"/>
      <c r="AD254" s="1951"/>
      <c r="AE254" s="1951"/>
      <c r="AF254" s="1951"/>
      <c r="AG254" s="1951"/>
      <c r="AH254" s="1951"/>
      <c r="AI254" s="1951"/>
      <c r="AJ254" s="1951"/>
      <c r="AK254" s="1951"/>
      <c r="AL254" s="1951"/>
      <c r="AM254" s="1951"/>
      <c r="AN254" s="1951"/>
      <c r="AO254" s="1951"/>
      <c r="AP254" s="1951"/>
      <c r="AQ254" s="1951"/>
      <c r="AR254" s="1951"/>
      <c r="AS254" s="1951"/>
      <c r="AT254" s="1951"/>
      <c r="AU254" s="1951"/>
      <c r="AV254" s="1951"/>
      <c r="AW254" s="1951"/>
      <c r="AX254" s="1951"/>
      <c r="AY254" s="1951"/>
      <c r="AZ254" s="1951"/>
      <c r="BA254" s="1951"/>
      <c r="BB254" s="1951"/>
      <c r="BC254" s="1951"/>
      <c r="BD254" s="1951"/>
      <c r="BE254" s="1951"/>
      <c r="BF254" s="1951"/>
      <c r="BG254" s="1951"/>
      <c r="BH254" s="1951"/>
      <c r="BI254" s="1951"/>
      <c r="BJ254" s="1951"/>
      <c r="BK254" s="1951"/>
      <c r="BL254" s="1951"/>
      <c r="BM254" s="1951"/>
      <c r="BN254" s="1951"/>
      <c r="BO254" s="1951"/>
      <c r="BP254" s="1951"/>
      <c r="BQ254" s="1951"/>
      <c r="BR254" s="1951"/>
      <c r="BS254" s="1951"/>
      <c r="BT254" s="1951"/>
      <c r="BU254" s="1951"/>
      <c r="BV254" s="1951"/>
      <c r="BW254" s="1951"/>
      <c r="BX254" s="1951"/>
      <c r="BY254" s="1951"/>
      <c r="BZ254" s="1951"/>
      <c r="CA254" s="1951"/>
      <c r="CB254" s="1951"/>
      <c r="CC254" s="1951"/>
      <c r="CD254" s="1951"/>
      <c r="CE254" s="1951"/>
      <c r="CF254" s="1951"/>
      <c r="CG254" s="1951"/>
      <c r="CH254" s="1951"/>
      <c r="CI254" s="1951"/>
      <c r="CJ254" s="1951"/>
      <c r="CK254" s="1951"/>
      <c r="CL254" s="1951"/>
      <c r="CM254" s="1951"/>
      <c r="CN254" s="1951"/>
      <c r="CO254" s="1951"/>
      <c r="CP254" s="1951"/>
      <c r="CQ254" s="1951"/>
      <c r="CR254" s="1951"/>
      <c r="CS254" s="1951"/>
    </row>
    <row r="255" spans="1:108" s="1968" customFormat="1" ht="13.5" customHeight="1">
      <c r="A255" s="1804">
        <v>59</v>
      </c>
      <c r="B255" s="1786">
        <v>741</v>
      </c>
      <c r="C255" s="1786" t="s">
        <v>3885</v>
      </c>
      <c r="D255" s="1786" t="s">
        <v>3886</v>
      </c>
      <c r="E255" s="1786" t="s">
        <v>49</v>
      </c>
      <c r="F255" s="1787">
        <f>F257</f>
        <v>1</v>
      </c>
      <c r="G255" s="1993"/>
      <c r="H255" s="1775">
        <f t="shared" ref="H255" si="55">ROUND(F255*G255,2)</f>
        <v>0</v>
      </c>
      <c r="I255" s="1841" t="s">
        <v>111</v>
      </c>
      <c r="J255" s="1794"/>
      <c r="K255" s="2085"/>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c r="AZ255" s="251"/>
      <c r="BA255" s="251"/>
      <c r="BB255" s="251"/>
      <c r="BC255" s="251"/>
      <c r="BD255" s="251"/>
      <c r="BE255" s="251"/>
      <c r="BF255" s="251"/>
      <c r="BG255" s="251"/>
      <c r="BH255" s="251"/>
      <c r="BI255" s="251"/>
      <c r="BJ255" s="251"/>
      <c r="BK255" s="251"/>
      <c r="BL255" s="251"/>
      <c r="BM255" s="251"/>
      <c r="BN255" s="251"/>
      <c r="BO255" s="251"/>
      <c r="BP255" s="251"/>
      <c r="BQ255" s="251"/>
      <c r="BR255" s="251"/>
      <c r="BS255" s="251"/>
      <c r="BT255" s="251"/>
      <c r="BU255" s="251"/>
      <c r="BV255" s="251"/>
      <c r="BW255" s="251"/>
      <c r="BX255" s="251"/>
      <c r="BY255" s="251"/>
      <c r="BZ255" s="251"/>
      <c r="CA255" s="251"/>
      <c r="CB255" s="251"/>
      <c r="CC255" s="251"/>
      <c r="CD255" s="251"/>
      <c r="CE255" s="251"/>
      <c r="CF255" s="251"/>
      <c r="CG255" s="251"/>
      <c r="CH255" s="251"/>
      <c r="CI255" s="251"/>
      <c r="CJ255" s="251"/>
      <c r="CK255" s="251"/>
      <c r="CL255" s="251"/>
      <c r="CM255" s="251"/>
      <c r="CN255" s="251"/>
      <c r="CO255" s="251"/>
      <c r="CP255" s="251"/>
      <c r="CQ255" s="251"/>
      <c r="CR255" s="251"/>
      <c r="CS255" s="251"/>
      <c r="CT255" s="251"/>
      <c r="CU255" s="251"/>
      <c r="CV255" s="251"/>
      <c r="CW255" s="251"/>
      <c r="CX255" s="251"/>
      <c r="CY255" s="251"/>
      <c r="CZ255" s="251"/>
      <c r="DA255" s="251"/>
      <c r="DB255" s="251"/>
      <c r="DC255" s="251"/>
      <c r="DD255" s="251"/>
    </row>
    <row r="256" spans="1:108" s="1952" customFormat="1" ht="13.5" customHeight="1">
      <c r="A256" s="1804"/>
      <c r="B256" s="1786"/>
      <c r="C256" s="1786"/>
      <c r="D256" s="1780" t="s">
        <v>3887</v>
      </c>
      <c r="E256" s="1786"/>
      <c r="F256" s="1781"/>
      <c r="G256" s="1993"/>
      <c r="H256" s="1873"/>
      <c r="I256" s="1789"/>
      <c r="J256" s="1951"/>
      <c r="K256" s="2050"/>
      <c r="L256" s="2050"/>
      <c r="M256" s="2050"/>
      <c r="N256" s="2050"/>
      <c r="O256" s="2050"/>
      <c r="P256" s="2050"/>
      <c r="Q256" s="1951"/>
      <c r="R256" s="1951"/>
      <c r="S256" s="1951"/>
      <c r="T256" s="1951"/>
      <c r="U256" s="1951"/>
      <c r="V256" s="1951"/>
      <c r="W256" s="1951"/>
      <c r="X256" s="1951"/>
      <c r="Y256" s="1951"/>
      <c r="Z256" s="1951"/>
      <c r="AA256" s="1951"/>
      <c r="AB256" s="1951"/>
      <c r="AC256" s="1951"/>
      <c r="AD256" s="1951"/>
      <c r="AE256" s="1951"/>
      <c r="AF256" s="1951"/>
      <c r="AG256" s="1951"/>
      <c r="AH256" s="1951"/>
      <c r="AI256" s="1951"/>
      <c r="AJ256" s="1951"/>
      <c r="AK256" s="1951"/>
      <c r="AL256" s="1951"/>
      <c r="AM256" s="1951"/>
      <c r="AN256" s="1951"/>
      <c r="AO256" s="1951"/>
      <c r="AP256" s="1951"/>
      <c r="AQ256" s="1951"/>
      <c r="AR256" s="1951"/>
      <c r="AS256" s="1951"/>
      <c r="AT256" s="1951"/>
      <c r="AU256" s="1951"/>
      <c r="AV256" s="1951"/>
      <c r="AW256" s="1951"/>
      <c r="AX256" s="1951"/>
      <c r="AY256" s="1951"/>
      <c r="AZ256" s="1951"/>
      <c r="BA256" s="1951"/>
      <c r="BB256" s="1951"/>
      <c r="BC256" s="1951"/>
      <c r="BD256" s="1951"/>
      <c r="BE256" s="1951"/>
      <c r="BF256" s="1951"/>
      <c r="BG256" s="1951"/>
      <c r="BH256" s="1951"/>
      <c r="BI256" s="1951"/>
      <c r="BJ256" s="1951"/>
      <c r="BK256" s="1951"/>
      <c r="BL256" s="1951"/>
      <c r="BM256" s="1951"/>
      <c r="BN256" s="1951"/>
      <c r="BO256" s="1951"/>
      <c r="BP256" s="1951"/>
      <c r="BQ256" s="1951"/>
      <c r="BR256" s="1951"/>
      <c r="BS256" s="1951"/>
      <c r="BT256" s="1951"/>
      <c r="BU256" s="1951"/>
      <c r="BV256" s="1951"/>
      <c r="BW256" s="1951"/>
      <c r="BX256" s="1951"/>
      <c r="BY256" s="1951"/>
      <c r="BZ256" s="1951"/>
      <c r="CA256" s="1951"/>
      <c r="CB256" s="1951"/>
      <c r="CC256" s="1951"/>
      <c r="CD256" s="1951"/>
      <c r="CE256" s="1951"/>
      <c r="CF256" s="1951"/>
      <c r="CG256" s="1951"/>
      <c r="CH256" s="1951"/>
      <c r="CI256" s="1951"/>
      <c r="CJ256" s="1951"/>
      <c r="CK256" s="1951"/>
      <c r="CL256" s="1951"/>
      <c r="CM256" s="1951"/>
      <c r="CN256" s="1951"/>
      <c r="CO256" s="1951"/>
      <c r="CP256" s="1951"/>
      <c r="CQ256" s="1951"/>
      <c r="CR256" s="1951"/>
      <c r="CS256" s="1951"/>
    </row>
    <row r="257" spans="1:97" s="1952" customFormat="1" ht="13.5" customHeight="1">
      <c r="A257" s="1804"/>
      <c r="B257" s="1786"/>
      <c r="C257" s="1786"/>
      <c r="D257" s="1780" t="s">
        <v>1222</v>
      </c>
      <c r="E257" s="1786"/>
      <c r="F257" s="1781">
        <v>1</v>
      </c>
      <c r="G257" s="1993"/>
      <c r="H257" s="1873"/>
      <c r="I257" s="1789"/>
      <c r="J257" s="2086"/>
      <c r="K257" s="2050"/>
      <c r="L257" s="2050"/>
      <c r="M257" s="2050"/>
      <c r="N257" s="2050"/>
      <c r="O257" s="2050"/>
      <c r="P257" s="2050"/>
      <c r="Q257" s="1951"/>
      <c r="R257" s="1951"/>
      <c r="S257" s="1951"/>
      <c r="T257" s="1951"/>
      <c r="U257" s="1951"/>
      <c r="V257" s="1951"/>
      <c r="W257" s="1951"/>
      <c r="X257" s="1951"/>
      <c r="Y257" s="1951"/>
      <c r="Z257" s="1951"/>
      <c r="AA257" s="1951"/>
      <c r="AB257" s="1951"/>
      <c r="AC257" s="1951"/>
      <c r="AD257" s="1951"/>
      <c r="AE257" s="1951"/>
      <c r="AF257" s="1951"/>
      <c r="AG257" s="1951"/>
      <c r="AH257" s="1951"/>
      <c r="AI257" s="1951"/>
      <c r="AJ257" s="1951"/>
      <c r="AK257" s="1951"/>
      <c r="AL257" s="1951"/>
      <c r="AM257" s="1951"/>
      <c r="AN257" s="1951"/>
      <c r="AO257" s="1951"/>
      <c r="AP257" s="1951"/>
      <c r="AQ257" s="1951"/>
      <c r="AR257" s="1951"/>
      <c r="AS257" s="1951"/>
      <c r="AT257" s="1951"/>
      <c r="AU257" s="1951"/>
      <c r="AV257" s="1951"/>
      <c r="AW257" s="1951"/>
      <c r="AX257" s="1951"/>
      <c r="AY257" s="1951"/>
      <c r="AZ257" s="1951"/>
      <c r="BA257" s="1951"/>
      <c r="BB257" s="1951"/>
      <c r="BC257" s="1951"/>
      <c r="BD257" s="1951"/>
      <c r="BE257" s="1951"/>
      <c r="BF257" s="1951"/>
      <c r="BG257" s="1951"/>
      <c r="BH257" s="1951"/>
      <c r="BI257" s="1951"/>
      <c r="BJ257" s="1951"/>
      <c r="BK257" s="1951"/>
      <c r="BL257" s="1951"/>
      <c r="BM257" s="1951"/>
      <c r="BN257" s="1951"/>
      <c r="BO257" s="1951"/>
      <c r="BP257" s="1951"/>
      <c r="BQ257" s="1951"/>
      <c r="BR257" s="1951"/>
      <c r="BS257" s="1951"/>
      <c r="BT257" s="1951"/>
      <c r="BU257" s="1951"/>
      <c r="BV257" s="1951"/>
      <c r="BW257" s="1951"/>
      <c r="BX257" s="1951"/>
      <c r="BY257" s="1951"/>
      <c r="BZ257" s="1951"/>
      <c r="CA257" s="1951"/>
      <c r="CB257" s="1951"/>
      <c r="CC257" s="1951"/>
      <c r="CD257" s="1951"/>
      <c r="CE257" s="1951"/>
      <c r="CF257" s="1951"/>
      <c r="CG257" s="1951"/>
      <c r="CH257" s="1951"/>
      <c r="CI257" s="1951"/>
      <c r="CJ257" s="1951"/>
      <c r="CK257" s="1951"/>
      <c r="CL257" s="1951"/>
      <c r="CM257" s="1951"/>
      <c r="CN257" s="1951"/>
      <c r="CO257" s="1951"/>
      <c r="CP257" s="1951"/>
      <c r="CQ257" s="1951"/>
      <c r="CR257" s="1951"/>
      <c r="CS257" s="1951"/>
    </row>
    <row r="258" spans="1:97" s="1952" customFormat="1" ht="27" customHeight="1">
      <c r="A258" s="1804"/>
      <c r="B258" s="1786"/>
      <c r="C258" s="1786"/>
      <c r="D258" s="1780" t="s">
        <v>1815</v>
      </c>
      <c r="E258" s="1786"/>
      <c r="F258" s="1781"/>
      <c r="G258" s="1993"/>
      <c r="H258" s="1873"/>
      <c r="I258" s="1789"/>
      <c r="J258" s="1951"/>
      <c r="K258" s="2050"/>
      <c r="L258" s="2050"/>
      <c r="M258" s="2050"/>
      <c r="N258" s="2050"/>
      <c r="O258" s="2050"/>
      <c r="P258" s="2050"/>
      <c r="Q258" s="1951"/>
      <c r="R258" s="1951"/>
      <c r="S258" s="1951"/>
      <c r="T258" s="1951"/>
      <c r="U258" s="1951"/>
      <c r="V258" s="1951"/>
      <c r="W258" s="1951"/>
      <c r="X258" s="1951"/>
      <c r="Y258" s="1951"/>
      <c r="Z258" s="1951"/>
      <c r="AA258" s="1951"/>
      <c r="AB258" s="1951"/>
      <c r="AC258" s="1951"/>
      <c r="AD258" s="1951"/>
      <c r="AE258" s="1951"/>
      <c r="AF258" s="1951"/>
      <c r="AG258" s="1951"/>
      <c r="AH258" s="1951"/>
      <c r="AI258" s="1951"/>
      <c r="AJ258" s="1951"/>
      <c r="AK258" s="1951"/>
      <c r="AL258" s="1951"/>
      <c r="AM258" s="1951"/>
      <c r="AN258" s="1951"/>
      <c r="AO258" s="1951"/>
      <c r="AP258" s="1951"/>
      <c r="AQ258" s="1951"/>
      <c r="AR258" s="1951"/>
      <c r="AS258" s="1951"/>
      <c r="AT258" s="1951"/>
      <c r="AU258" s="1951"/>
      <c r="AV258" s="1951"/>
      <c r="AW258" s="1951"/>
      <c r="AX258" s="1951"/>
      <c r="AY258" s="1951"/>
      <c r="AZ258" s="1951"/>
      <c r="BA258" s="1951"/>
      <c r="BB258" s="1951"/>
      <c r="BC258" s="1951"/>
      <c r="BD258" s="1951"/>
      <c r="BE258" s="1951"/>
      <c r="BF258" s="1951"/>
      <c r="BG258" s="1951"/>
      <c r="BH258" s="1951"/>
      <c r="BI258" s="1951"/>
      <c r="BJ258" s="1951"/>
      <c r="BK258" s="1951"/>
      <c r="BL258" s="1951"/>
      <c r="BM258" s="1951"/>
      <c r="BN258" s="1951"/>
      <c r="BO258" s="1951"/>
      <c r="BP258" s="1951"/>
      <c r="BQ258" s="1951"/>
      <c r="BR258" s="1951"/>
      <c r="BS258" s="1951"/>
      <c r="BT258" s="1951"/>
      <c r="BU258" s="1951"/>
      <c r="BV258" s="1951"/>
      <c r="BW258" s="1951"/>
      <c r="BX258" s="1951"/>
      <c r="BY258" s="1951"/>
      <c r="BZ258" s="1951"/>
      <c r="CA258" s="1951"/>
      <c r="CB258" s="1951"/>
      <c r="CC258" s="1951"/>
      <c r="CD258" s="1951"/>
      <c r="CE258" s="1951"/>
      <c r="CF258" s="1951"/>
      <c r="CG258" s="1951"/>
      <c r="CH258" s="1951"/>
      <c r="CI258" s="1951"/>
      <c r="CJ258" s="1951"/>
      <c r="CK258" s="1951"/>
      <c r="CL258" s="1951"/>
      <c r="CM258" s="1951"/>
      <c r="CN258" s="1951"/>
      <c r="CO258" s="1951"/>
      <c r="CP258" s="1951"/>
      <c r="CQ258" s="1951"/>
      <c r="CR258" s="1951"/>
      <c r="CS258" s="1951"/>
    </row>
    <row r="259" spans="1:97" s="1968" customFormat="1" ht="13.5" customHeight="1">
      <c r="A259" s="2083" t="s">
        <v>3888</v>
      </c>
      <c r="B259" s="1786">
        <v>741</v>
      </c>
      <c r="C259" s="1786">
        <v>998741312</v>
      </c>
      <c r="D259" s="1786" t="s">
        <v>3801</v>
      </c>
      <c r="E259" s="1786" t="s">
        <v>10</v>
      </c>
      <c r="F259" s="1787">
        <v>0.78</v>
      </c>
      <c r="G259" s="1992"/>
      <c r="H259" s="1775">
        <f t="shared" ref="H259:H260" si="56">ROUND(F259*G259,2)</f>
        <v>0</v>
      </c>
      <c r="I259" s="1789" t="s">
        <v>1801</v>
      </c>
      <c r="J259" s="2048"/>
      <c r="K259" s="2049"/>
      <c r="L259" s="2050"/>
      <c r="M259" s="2050"/>
      <c r="N259" s="2050"/>
      <c r="O259" s="2050"/>
      <c r="P259" s="2050"/>
      <c r="Q259" s="251"/>
      <c r="R259" s="251"/>
      <c r="S259" s="251"/>
      <c r="T259" s="251"/>
      <c r="U259" s="251"/>
      <c r="V259" s="251"/>
      <c r="W259" s="251"/>
      <c r="X259" s="251"/>
      <c r="Y259" s="251"/>
      <c r="Z259" s="251"/>
      <c r="AA259" s="251"/>
      <c r="AB259" s="251"/>
      <c r="AC259" s="251"/>
      <c r="AD259" s="251"/>
      <c r="AE259" s="251"/>
      <c r="AF259" s="251"/>
      <c r="AG259" s="251"/>
      <c r="AH259" s="251"/>
      <c r="AI259" s="251"/>
      <c r="AJ259" s="251"/>
      <c r="AK259" s="251"/>
      <c r="AL259" s="251"/>
      <c r="AM259" s="251"/>
      <c r="AN259" s="251"/>
      <c r="AO259" s="251"/>
      <c r="AP259" s="251"/>
      <c r="AQ259" s="251"/>
      <c r="AR259" s="251"/>
      <c r="AS259" s="251"/>
      <c r="AT259" s="251"/>
      <c r="AU259" s="251"/>
      <c r="AV259" s="251"/>
      <c r="AW259" s="251"/>
      <c r="AX259" s="251"/>
      <c r="AY259" s="251"/>
      <c r="AZ259" s="251"/>
      <c r="BA259" s="251"/>
      <c r="BB259" s="251"/>
      <c r="BC259" s="251"/>
      <c r="BD259" s="251"/>
      <c r="BE259" s="251"/>
      <c r="BF259" s="251"/>
      <c r="BG259" s="251"/>
      <c r="BH259" s="251"/>
      <c r="BI259" s="251"/>
      <c r="BJ259" s="251"/>
      <c r="BK259" s="251"/>
      <c r="BL259" s="251"/>
      <c r="BM259" s="251"/>
      <c r="BN259" s="251"/>
      <c r="BO259" s="251"/>
      <c r="BP259" s="251"/>
      <c r="BQ259" s="251"/>
      <c r="BR259" s="251"/>
      <c r="BS259" s="251"/>
      <c r="BT259" s="251"/>
      <c r="BU259" s="251"/>
      <c r="BV259" s="251"/>
      <c r="BW259" s="251"/>
      <c r="BX259" s="251"/>
      <c r="BY259" s="251"/>
      <c r="BZ259" s="251"/>
      <c r="CA259" s="251"/>
      <c r="CB259" s="251"/>
      <c r="CC259" s="251"/>
      <c r="CD259" s="251"/>
      <c r="CE259" s="251"/>
      <c r="CF259" s="251"/>
      <c r="CG259" s="251"/>
      <c r="CH259" s="251"/>
      <c r="CI259" s="251"/>
      <c r="CJ259" s="251"/>
      <c r="CK259" s="251"/>
      <c r="CL259" s="251"/>
      <c r="CM259" s="251"/>
      <c r="CN259" s="251"/>
      <c r="CO259" s="251"/>
      <c r="CP259" s="251"/>
      <c r="CQ259" s="251"/>
      <c r="CR259" s="251"/>
      <c r="CS259" s="251"/>
    </row>
    <row r="260" spans="1:97" s="1952" customFormat="1" ht="13.5" customHeight="1">
      <c r="A260" s="2083" t="s">
        <v>3889</v>
      </c>
      <c r="B260" s="1786" t="s">
        <v>362</v>
      </c>
      <c r="C260" s="1786" t="s">
        <v>1802</v>
      </c>
      <c r="D260" s="1786" t="s">
        <v>1803</v>
      </c>
      <c r="E260" s="1786" t="s">
        <v>69</v>
      </c>
      <c r="F260" s="1805">
        <f>ROUND(SUM(F261),3)</f>
        <v>20</v>
      </c>
      <c r="G260" s="1992"/>
      <c r="H260" s="1775">
        <f t="shared" si="56"/>
        <v>0</v>
      </c>
      <c r="I260" s="1789" t="s">
        <v>1801</v>
      </c>
      <c r="J260" s="2020"/>
      <c r="K260" s="2050"/>
      <c r="L260" s="2050"/>
      <c r="M260" s="2050"/>
      <c r="N260" s="2050"/>
      <c r="O260" s="2050"/>
      <c r="P260" s="2050"/>
      <c r="Q260" s="1951"/>
      <c r="R260" s="1951"/>
      <c r="S260" s="1951"/>
      <c r="T260" s="1951"/>
      <c r="U260" s="1951"/>
      <c r="V260" s="1951"/>
      <c r="W260" s="1951"/>
      <c r="X260" s="1951"/>
      <c r="Y260" s="1951"/>
      <c r="Z260" s="1951"/>
      <c r="AA260" s="1951"/>
      <c r="AB260" s="1951"/>
      <c r="AC260" s="1951"/>
      <c r="AD260" s="1951"/>
      <c r="AE260" s="1951"/>
      <c r="AF260" s="1951"/>
      <c r="AG260" s="1951"/>
      <c r="AH260" s="1951"/>
      <c r="AI260" s="1951"/>
      <c r="AJ260" s="1951"/>
      <c r="AK260" s="1951"/>
      <c r="AL260" s="1951"/>
      <c r="AM260" s="1951"/>
      <c r="AN260" s="1951"/>
      <c r="AO260" s="1951"/>
      <c r="AP260" s="1951"/>
      <c r="AQ260" s="1951"/>
      <c r="AR260" s="1951"/>
      <c r="AS260" s="1951"/>
      <c r="AT260" s="1951"/>
      <c r="AU260" s="1951"/>
      <c r="AV260" s="1951"/>
      <c r="AW260" s="1951"/>
      <c r="AX260" s="1951"/>
      <c r="AY260" s="1951"/>
      <c r="AZ260" s="1951"/>
      <c r="BA260" s="1951"/>
      <c r="BB260" s="1951"/>
      <c r="BC260" s="1951"/>
      <c r="BD260" s="1951"/>
      <c r="BE260" s="1951"/>
      <c r="BF260" s="1951"/>
      <c r="BG260" s="1951"/>
      <c r="BH260" s="1951"/>
      <c r="BI260" s="1951"/>
      <c r="BJ260" s="1951"/>
      <c r="BK260" s="1951"/>
      <c r="BL260" s="1951"/>
      <c r="BM260" s="1951"/>
      <c r="BN260" s="1951"/>
      <c r="BO260" s="1951"/>
      <c r="BP260" s="1951"/>
      <c r="BQ260" s="1951"/>
      <c r="BR260" s="1951"/>
      <c r="BS260" s="1951"/>
      <c r="BT260" s="1951"/>
      <c r="BU260" s="1951"/>
      <c r="BV260" s="1951"/>
      <c r="BW260" s="1951"/>
      <c r="BX260" s="1951"/>
      <c r="BY260" s="1951"/>
      <c r="BZ260" s="1951"/>
      <c r="CA260" s="1951"/>
      <c r="CB260" s="1951"/>
      <c r="CC260" s="1951"/>
      <c r="CD260" s="1951"/>
      <c r="CE260" s="1951"/>
      <c r="CF260" s="1951"/>
      <c r="CG260" s="1951"/>
      <c r="CH260" s="1951"/>
      <c r="CI260" s="1951"/>
      <c r="CJ260" s="1951"/>
      <c r="CK260" s="1951"/>
      <c r="CL260" s="1951"/>
      <c r="CM260" s="1951"/>
      <c r="CN260" s="1951"/>
      <c r="CO260" s="1951"/>
      <c r="CP260" s="1951"/>
      <c r="CQ260" s="1951"/>
      <c r="CR260" s="1951"/>
      <c r="CS260" s="1951"/>
    </row>
    <row r="261" spans="1:97" s="1952" customFormat="1" ht="13.5" customHeight="1">
      <c r="A261" s="2083"/>
      <c r="B261" s="1786"/>
      <c r="C261" s="1786"/>
      <c r="D261" s="1780" t="s">
        <v>1804</v>
      </c>
      <c r="E261" s="1786"/>
      <c r="F261" s="1781">
        <v>20</v>
      </c>
      <c r="G261" s="1992"/>
      <c r="H261" s="1783"/>
      <c r="I261" s="1789"/>
      <c r="J261" s="1951"/>
      <c r="K261" s="2050"/>
      <c r="L261" s="2050"/>
      <c r="M261" s="2050"/>
      <c r="N261" s="2050"/>
      <c r="O261" s="2050"/>
      <c r="P261" s="2050"/>
      <c r="Q261" s="1951"/>
      <c r="R261" s="1951"/>
      <c r="S261" s="1951"/>
      <c r="T261" s="1951"/>
      <c r="U261" s="1951"/>
      <c r="V261" s="1951"/>
      <c r="W261" s="1951"/>
      <c r="X261" s="1951"/>
      <c r="Y261" s="1951"/>
      <c r="Z261" s="1951"/>
      <c r="AA261" s="1951"/>
      <c r="AB261" s="1951"/>
      <c r="AC261" s="1951"/>
      <c r="AD261" s="1951"/>
      <c r="AE261" s="1951"/>
      <c r="AF261" s="1951"/>
      <c r="AG261" s="1951"/>
      <c r="AH261" s="1951"/>
      <c r="AI261" s="1951"/>
      <c r="AJ261" s="1951"/>
      <c r="AK261" s="1951"/>
      <c r="AL261" s="1951"/>
      <c r="AM261" s="1951"/>
      <c r="AN261" s="1951"/>
      <c r="AO261" s="1951"/>
      <c r="AP261" s="1951"/>
      <c r="AQ261" s="1951"/>
      <c r="AR261" s="1951"/>
      <c r="AS261" s="1951"/>
      <c r="AT261" s="1951"/>
      <c r="AU261" s="1951"/>
      <c r="AV261" s="1951"/>
      <c r="AW261" s="1951"/>
      <c r="AX261" s="1951"/>
      <c r="AY261" s="1951"/>
      <c r="AZ261" s="1951"/>
      <c r="BA261" s="1951"/>
      <c r="BB261" s="1951"/>
      <c r="BC261" s="1951"/>
      <c r="BD261" s="1951"/>
      <c r="BE261" s="1951"/>
      <c r="BF261" s="1951"/>
      <c r="BG261" s="1951"/>
      <c r="BH261" s="1951"/>
      <c r="BI261" s="1951"/>
      <c r="BJ261" s="1951"/>
      <c r="BK261" s="1951"/>
      <c r="BL261" s="1951"/>
      <c r="BM261" s="1951"/>
      <c r="BN261" s="1951"/>
      <c r="BO261" s="1951"/>
      <c r="BP261" s="1951"/>
      <c r="BQ261" s="1951"/>
      <c r="BR261" s="1951"/>
      <c r="BS261" s="1951"/>
      <c r="BT261" s="1951"/>
      <c r="BU261" s="1951"/>
      <c r="BV261" s="1951"/>
      <c r="BW261" s="1951"/>
      <c r="BX261" s="1951"/>
      <c r="BY261" s="1951"/>
      <c r="BZ261" s="1951"/>
      <c r="CA261" s="1951"/>
      <c r="CB261" s="1951"/>
      <c r="CC261" s="1951"/>
      <c r="CD261" s="1951"/>
      <c r="CE261" s="1951"/>
      <c r="CF261" s="1951"/>
      <c r="CG261" s="1951"/>
      <c r="CH261" s="1951"/>
      <c r="CI261" s="1951"/>
      <c r="CJ261" s="1951"/>
      <c r="CK261" s="1951"/>
      <c r="CL261" s="1951"/>
      <c r="CM261" s="1951"/>
      <c r="CN261" s="1951"/>
      <c r="CO261" s="1951"/>
      <c r="CP261" s="1951"/>
      <c r="CQ261" s="1951"/>
      <c r="CR261" s="1951"/>
      <c r="CS261" s="1951"/>
    </row>
    <row r="262" spans="1:97" s="1952" customFormat="1" ht="27" customHeight="1">
      <c r="A262" s="2083"/>
      <c r="B262" s="1786"/>
      <c r="C262" s="1786"/>
      <c r="D262" s="1780" t="s">
        <v>1805</v>
      </c>
      <c r="E262" s="1786"/>
      <c r="F262" s="1787"/>
      <c r="G262" s="1992"/>
      <c r="H262" s="1783"/>
      <c r="I262" s="1789"/>
      <c r="J262" s="1951"/>
      <c r="K262" s="2050"/>
      <c r="L262" s="2050"/>
      <c r="M262" s="2050"/>
      <c r="N262" s="2053"/>
      <c r="O262" s="2050"/>
      <c r="P262" s="2050"/>
      <c r="Q262" s="1951"/>
      <c r="R262" s="1951"/>
      <c r="S262" s="1951"/>
      <c r="T262" s="1951"/>
      <c r="U262" s="1951"/>
      <c r="V262" s="1951"/>
      <c r="W262" s="1951"/>
      <c r="X262" s="1951"/>
      <c r="Y262" s="1951"/>
      <c r="Z262" s="1951"/>
      <c r="AA262" s="1951"/>
      <c r="AB262" s="1951"/>
      <c r="AC262" s="1951"/>
      <c r="AD262" s="1951"/>
      <c r="AE262" s="1951"/>
      <c r="AF262" s="1951"/>
      <c r="AG262" s="1951"/>
      <c r="AH262" s="1951"/>
      <c r="AI262" s="1951"/>
      <c r="AJ262" s="1951"/>
      <c r="AK262" s="1951"/>
      <c r="AL262" s="1951"/>
      <c r="AM262" s="1951"/>
      <c r="AN262" s="1951"/>
      <c r="AO262" s="1951"/>
      <c r="AP262" s="1951"/>
      <c r="AQ262" s="1951"/>
      <c r="AR262" s="1951"/>
      <c r="AS262" s="1951"/>
      <c r="AT262" s="1951"/>
      <c r="AU262" s="1951"/>
      <c r="AV262" s="1951"/>
      <c r="AW262" s="1951"/>
      <c r="AX262" s="1951"/>
      <c r="AY262" s="1951"/>
      <c r="AZ262" s="1951"/>
      <c r="BA262" s="1951"/>
      <c r="BB262" s="1951"/>
      <c r="BC262" s="1951"/>
      <c r="BD262" s="1951"/>
      <c r="BE262" s="1951"/>
      <c r="BF262" s="1951"/>
      <c r="BG262" s="1951"/>
      <c r="BH262" s="1951"/>
      <c r="BI262" s="1951"/>
      <c r="BJ262" s="1951"/>
      <c r="BK262" s="1951"/>
      <c r="BL262" s="1951"/>
      <c r="BM262" s="1951"/>
      <c r="BN262" s="1951"/>
      <c r="BO262" s="1951"/>
      <c r="BP262" s="1951"/>
      <c r="BQ262" s="1951"/>
      <c r="BR262" s="1951"/>
      <c r="BS262" s="1951"/>
      <c r="BT262" s="1951"/>
      <c r="BU262" s="1951"/>
      <c r="BV262" s="1951"/>
      <c r="BW262" s="1951"/>
      <c r="BX262" s="1951"/>
      <c r="BY262" s="1951"/>
      <c r="BZ262" s="1951"/>
      <c r="CA262" s="1951"/>
      <c r="CB262" s="1951"/>
      <c r="CC262" s="1951"/>
      <c r="CD262" s="1951"/>
      <c r="CE262" s="1951"/>
      <c r="CF262" s="1951"/>
      <c r="CG262" s="1951"/>
      <c r="CH262" s="1951"/>
      <c r="CI262" s="1951"/>
      <c r="CJ262" s="1951"/>
      <c r="CK262" s="1951"/>
      <c r="CL262" s="1951"/>
      <c r="CM262" s="1951"/>
      <c r="CN262" s="1951"/>
      <c r="CO262" s="1951"/>
      <c r="CP262" s="1951"/>
      <c r="CQ262" s="1951"/>
      <c r="CR262" s="1951"/>
      <c r="CS262" s="1951"/>
    </row>
    <row r="263" spans="1:97" s="1771" customFormat="1" ht="13.5" customHeight="1">
      <c r="A263" s="2084"/>
      <c r="B263" s="1779"/>
      <c r="C263" s="1779">
        <v>741</v>
      </c>
      <c r="D263" s="1779" t="s">
        <v>1816</v>
      </c>
      <c r="E263" s="1779"/>
      <c r="F263" s="1851"/>
      <c r="G263" s="1992"/>
      <c r="H263" s="1769">
        <f>SUM(H264:H284)</f>
        <v>0</v>
      </c>
      <c r="I263" s="1784"/>
      <c r="K263" s="1772"/>
      <c r="L263" s="1772"/>
      <c r="M263" s="1772"/>
      <c r="N263" s="1772"/>
      <c r="O263" s="1772"/>
      <c r="P263" s="1772"/>
    </row>
    <row r="264" spans="1:97" s="1771" customFormat="1" ht="13.5" customHeight="1">
      <c r="A264" s="1804">
        <v>62</v>
      </c>
      <c r="B264" s="1786">
        <v>741</v>
      </c>
      <c r="C264" s="1834" t="s">
        <v>3890</v>
      </c>
      <c r="D264" s="1786" t="s">
        <v>3891</v>
      </c>
      <c r="E264" s="1786" t="s">
        <v>141</v>
      </c>
      <c r="F264" s="244">
        <f>SUM(F266)</f>
        <v>176</v>
      </c>
      <c r="G264" s="1993"/>
      <c r="H264" s="1775">
        <f t="shared" ref="H264" si="57">ROUND(F264*G264,2)</f>
        <v>0</v>
      </c>
      <c r="I264" s="1841" t="s">
        <v>111</v>
      </c>
      <c r="J264" s="2056"/>
      <c r="K264" s="2057"/>
      <c r="L264" s="2058"/>
      <c r="M264" s="2058"/>
      <c r="N264" s="2058"/>
      <c r="O264" s="2058"/>
      <c r="P264" s="2058"/>
      <c r="Q264" s="2058"/>
      <c r="R264" s="2058"/>
      <c r="S264" s="2058"/>
      <c r="T264" s="2058"/>
      <c r="U264" s="2058"/>
      <c r="V264" s="2058"/>
      <c r="W264" s="2059"/>
    </row>
    <row r="265" spans="1:97" s="1771" customFormat="1" ht="13.5" customHeight="1">
      <c r="A265" s="1804"/>
      <c r="B265" s="1786"/>
      <c r="C265" s="1786"/>
      <c r="D265" s="1780" t="s">
        <v>3892</v>
      </c>
      <c r="E265" s="1786"/>
      <c r="F265" s="244"/>
      <c r="G265" s="1993"/>
      <c r="H265" s="1873"/>
      <c r="I265" s="1841"/>
      <c r="J265" s="2087"/>
      <c r="K265" s="2088"/>
      <c r="L265" s="2061"/>
      <c r="M265" s="2061"/>
      <c r="N265" s="2061"/>
      <c r="O265" s="2089"/>
      <c r="P265" s="2061"/>
      <c r="Q265" s="2061"/>
      <c r="R265" s="2061"/>
      <c r="S265" s="2061"/>
      <c r="T265" s="2061"/>
      <c r="U265" s="2061"/>
      <c r="V265" s="2061"/>
      <c r="W265" s="2090"/>
    </row>
    <row r="266" spans="1:97" s="1771" customFormat="1" ht="13.5" customHeight="1">
      <c r="A266" s="1804"/>
      <c r="B266" s="1786"/>
      <c r="C266" s="1786"/>
      <c r="D266" s="1780" t="s">
        <v>3893</v>
      </c>
      <c r="E266" s="1786"/>
      <c r="F266" s="1781">
        <f>(160)*1.1</f>
        <v>176</v>
      </c>
      <c r="G266" s="1993"/>
      <c r="H266" s="1873"/>
      <c r="I266" s="1841"/>
      <c r="J266" s="2091"/>
      <c r="K266" s="1772"/>
      <c r="L266" s="1772"/>
      <c r="M266" s="1772"/>
      <c r="N266" s="1772"/>
      <c r="O266" s="1772"/>
      <c r="P266" s="1772"/>
    </row>
    <row r="267" spans="1:97" s="1952" customFormat="1" ht="13.5" customHeight="1">
      <c r="A267" s="1804"/>
      <c r="B267" s="1786"/>
      <c r="C267" s="1786"/>
      <c r="D267" s="1780" t="s">
        <v>3894</v>
      </c>
      <c r="E267" s="1786"/>
      <c r="F267" s="2092"/>
      <c r="G267" s="1993"/>
      <c r="H267" s="1873"/>
      <c r="I267" s="1789"/>
      <c r="J267" s="1951"/>
      <c r="K267" s="2050"/>
      <c r="L267" s="2050"/>
      <c r="M267" s="2050"/>
      <c r="N267" s="2050"/>
      <c r="O267" s="2050"/>
      <c r="P267" s="2050"/>
      <c r="Q267" s="1951"/>
      <c r="R267" s="1771"/>
      <c r="S267" s="1951"/>
      <c r="T267" s="1951"/>
      <c r="U267" s="1951"/>
      <c r="V267" s="1951"/>
      <c r="W267" s="1951"/>
      <c r="X267" s="1951"/>
      <c r="Y267" s="1951"/>
      <c r="Z267" s="1951"/>
      <c r="AA267" s="1951"/>
      <c r="AB267" s="1951"/>
      <c r="AC267" s="1951"/>
      <c r="AD267" s="1951"/>
      <c r="AE267" s="1951"/>
      <c r="AF267" s="1951"/>
      <c r="AG267" s="1951"/>
      <c r="AH267" s="1951"/>
      <c r="AI267" s="1951"/>
      <c r="AJ267" s="1951"/>
      <c r="AK267" s="1951"/>
      <c r="AL267" s="1951"/>
      <c r="AM267" s="1951"/>
      <c r="AN267" s="1951"/>
      <c r="AO267" s="1951"/>
      <c r="AP267" s="1951"/>
      <c r="AQ267" s="1951"/>
      <c r="AR267" s="1951"/>
      <c r="AS267" s="1951"/>
      <c r="AT267" s="1951"/>
      <c r="AU267" s="1951"/>
      <c r="AV267" s="1951"/>
      <c r="AW267" s="1951"/>
      <c r="AX267" s="1951"/>
      <c r="AY267" s="1951"/>
      <c r="AZ267" s="1951"/>
      <c r="BA267" s="1951"/>
      <c r="BB267" s="1951"/>
      <c r="BC267" s="1951"/>
      <c r="BD267" s="1951"/>
      <c r="BE267" s="1951"/>
      <c r="BF267" s="1951"/>
      <c r="BG267" s="1951"/>
      <c r="BH267" s="1951"/>
      <c r="BI267" s="1951"/>
      <c r="BJ267" s="1951"/>
      <c r="BK267" s="1951"/>
      <c r="BL267" s="1951"/>
      <c r="BM267" s="1951"/>
      <c r="BN267" s="1951"/>
      <c r="BO267" s="1951"/>
      <c r="BP267" s="1951"/>
      <c r="BQ267" s="1951"/>
      <c r="BR267" s="1951"/>
      <c r="BS267" s="1951"/>
      <c r="BT267" s="1951"/>
      <c r="BU267" s="1951"/>
      <c r="BV267" s="1951"/>
      <c r="BW267" s="1951"/>
      <c r="BX267" s="1951"/>
      <c r="BY267" s="1951"/>
      <c r="BZ267" s="1951"/>
      <c r="CA267" s="1951"/>
      <c r="CB267" s="1951"/>
      <c r="CC267" s="1951"/>
      <c r="CD267" s="1951"/>
      <c r="CE267" s="1951"/>
      <c r="CF267" s="1951"/>
      <c r="CG267" s="1951"/>
      <c r="CH267" s="1951"/>
      <c r="CI267" s="1951"/>
      <c r="CJ267" s="1951"/>
      <c r="CK267" s="1951"/>
      <c r="CL267" s="1951"/>
      <c r="CM267" s="1951"/>
      <c r="CN267" s="1951"/>
      <c r="CO267" s="1951"/>
      <c r="CP267" s="1951"/>
      <c r="CQ267" s="1951"/>
      <c r="CR267" s="1951"/>
      <c r="CS267" s="1951"/>
    </row>
    <row r="268" spans="1:97" s="1771" customFormat="1" ht="13.5" customHeight="1">
      <c r="A268" s="1804">
        <v>63</v>
      </c>
      <c r="B268" s="1786">
        <v>741</v>
      </c>
      <c r="C268" s="1834" t="s">
        <v>3895</v>
      </c>
      <c r="D268" s="1786" t="s">
        <v>3896</v>
      </c>
      <c r="E268" s="1786" t="s">
        <v>141</v>
      </c>
      <c r="F268" s="1805">
        <f>ROUND(SUM(F270),3)</f>
        <v>34.65</v>
      </c>
      <c r="G268" s="1993"/>
      <c r="H268" s="1775">
        <f t="shared" ref="H268" si="58">ROUND(F268*G268,2)</f>
        <v>0</v>
      </c>
      <c r="I268" s="1841" t="s">
        <v>111</v>
      </c>
      <c r="J268" s="2056"/>
      <c r="K268" s="2057"/>
      <c r="L268" s="2058"/>
      <c r="M268" s="2058"/>
      <c r="N268" s="2058"/>
      <c r="O268" s="2058"/>
      <c r="P268" s="2058"/>
      <c r="Q268" s="2058"/>
      <c r="R268" s="2058"/>
      <c r="S268" s="2058"/>
      <c r="T268" s="2058"/>
      <c r="U268" s="2058"/>
      <c r="V268" s="2058"/>
      <c r="W268" s="2059"/>
    </row>
    <row r="269" spans="1:97" s="1771" customFormat="1" ht="13.5" customHeight="1">
      <c r="A269" s="1804"/>
      <c r="B269" s="1786"/>
      <c r="C269" s="1834"/>
      <c r="D269" s="1780" t="s">
        <v>3897</v>
      </c>
      <c r="E269" s="1786"/>
      <c r="F269" s="1805"/>
      <c r="G269" s="1993"/>
      <c r="H269" s="1873"/>
      <c r="I269" s="1841"/>
      <c r="J269" s="2087"/>
      <c r="K269" s="2088"/>
      <c r="L269" s="2061"/>
      <c r="M269" s="2061"/>
      <c r="O269" s="2089"/>
      <c r="P269" s="2061"/>
      <c r="Q269" s="2061"/>
      <c r="R269" s="2061"/>
      <c r="S269" s="2061"/>
      <c r="T269" s="2061"/>
      <c r="U269" s="2061"/>
      <c r="V269" s="2061"/>
      <c r="W269" s="2090"/>
    </row>
    <row r="270" spans="1:97" s="1771" customFormat="1" ht="13.5" customHeight="1">
      <c r="A270" s="1804"/>
      <c r="B270" s="1786"/>
      <c r="C270" s="2093"/>
      <c r="D270" s="1780" t="s">
        <v>3898</v>
      </c>
      <c r="E270" s="1786"/>
      <c r="F270" s="1781">
        <f>(31.5)*1.1</f>
        <v>34.650000000000006</v>
      </c>
      <c r="G270" s="1993"/>
      <c r="H270" s="1873"/>
      <c r="I270" s="1841"/>
      <c r="J270" s="2087"/>
      <c r="K270" s="2088"/>
      <c r="L270" s="2061"/>
      <c r="M270" s="2061"/>
      <c r="O270" s="2089"/>
      <c r="P270" s="2061"/>
      <c r="Q270" s="2061"/>
      <c r="R270" s="2061"/>
      <c r="S270" s="2061"/>
      <c r="T270" s="2061"/>
      <c r="U270" s="2061"/>
      <c r="V270" s="2061"/>
      <c r="W270" s="2090"/>
    </row>
    <row r="271" spans="1:97" s="1771" customFormat="1" ht="13.5" customHeight="1">
      <c r="A271" s="1804"/>
      <c r="B271" s="1786"/>
      <c r="C271" s="1786"/>
      <c r="D271" s="1780" t="s">
        <v>3894</v>
      </c>
      <c r="E271" s="1786"/>
      <c r="F271" s="244"/>
      <c r="G271" s="1993"/>
      <c r="H271" s="1873"/>
      <c r="I271" s="1841"/>
      <c r="J271" s="2091"/>
      <c r="K271" s="1772"/>
      <c r="L271" s="1772"/>
      <c r="M271" s="1772"/>
      <c r="N271" s="1772"/>
      <c r="O271" s="1772"/>
      <c r="P271" s="1772"/>
    </row>
    <row r="272" spans="1:97" s="1771" customFormat="1" ht="13.5" customHeight="1">
      <c r="A272" s="1804">
        <v>64</v>
      </c>
      <c r="B272" s="1786">
        <v>741</v>
      </c>
      <c r="C272" s="1834" t="s">
        <v>3899</v>
      </c>
      <c r="D272" s="245" t="s">
        <v>3900</v>
      </c>
      <c r="E272" s="1786" t="s">
        <v>205</v>
      </c>
      <c r="F272" s="1805">
        <f>ROUND(SUM(F273),3)</f>
        <v>85</v>
      </c>
      <c r="G272" s="1993"/>
      <c r="H272" s="1775">
        <f t="shared" ref="H272" si="59">ROUND(F272*G272,2)</f>
        <v>0</v>
      </c>
      <c r="I272" s="1841" t="s">
        <v>111</v>
      </c>
      <c r="W272" s="2090"/>
    </row>
    <row r="273" spans="1:97" s="1771" customFormat="1" ht="13.5" customHeight="1">
      <c r="A273" s="1804"/>
      <c r="B273" s="1786"/>
      <c r="C273" s="1834"/>
      <c r="D273" s="1780" t="s">
        <v>3901</v>
      </c>
      <c r="E273" s="1786"/>
      <c r="F273" s="1781">
        <v>85</v>
      </c>
      <c r="G273" s="1993"/>
      <c r="H273" s="1873"/>
      <c r="I273" s="1841"/>
      <c r="J273" s="2056"/>
      <c r="K273" s="2057"/>
      <c r="L273" s="2058"/>
      <c r="M273" s="2058"/>
      <c r="N273" s="2058"/>
      <c r="O273" s="2058"/>
      <c r="P273" s="2058"/>
      <c r="Q273" s="2058"/>
      <c r="R273" s="2058"/>
      <c r="S273" s="2058"/>
      <c r="T273" s="2058"/>
      <c r="U273" s="2058"/>
      <c r="V273" s="2058"/>
      <c r="W273" s="2059"/>
    </row>
    <row r="274" spans="1:97" s="1952" customFormat="1" ht="13.5" customHeight="1">
      <c r="A274" s="1804"/>
      <c r="B274" s="1786"/>
      <c r="C274" s="1786"/>
      <c r="D274" s="1780" t="s">
        <v>3894</v>
      </c>
      <c r="E274" s="1786"/>
      <c r="F274" s="2092"/>
      <c r="G274" s="1993"/>
      <c r="H274" s="1873"/>
      <c r="I274" s="1841"/>
      <c r="J274" s="2087"/>
      <c r="K274" s="2088"/>
      <c r="L274" s="2061"/>
      <c r="M274" s="2061"/>
      <c r="N274" s="2061"/>
      <c r="O274" s="2089"/>
      <c r="P274" s="2061"/>
      <c r="Q274" s="2061"/>
      <c r="R274" s="2089"/>
      <c r="S274" s="2061"/>
      <c r="T274" s="2061"/>
      <c r="U274" s="2061"/>
      <c r="V274" s="2061"/>
      <c r="W274" s="2090"/>
      <c r="X274" s="1771"/>
      <c r="Y274" s="1771"/>
      <c r="Z274" s="1771"/>
      <c r="AA274" s="1771"/>
      <c r="AB274" s="1771"/>
      <c r="AC274" s="1951"/>
      <c r="AD274" s="1951"/>
      <c r="AE274" s="1951"/>
      <c r="AF274" s="1951"/>
      <c r="AG274" s="1951"/>
      <c r="AH274" s="1951"/>
      <c r="AI274" s="1951"/>
      <c r="AJ274" s="1951"/>
      <c r="AK274" s="1951"/>
      <c r="AL274" s="1951"/>
      <c r="AM274" s="1951"/>
      <c r="AN274" s="1951"/>
      <c r="AO274" s="1951"/>
      <c r="AP274" s="1951"/>
      <c r="AQ274" s="1951"/>
      <c r="AR274" s="1951"/>
      <c r="AS274" s="1951"/>
      <c r="AT274" s="1951"/>
      <c r="AU274" s="1951"/>
      <c r="AV274" s="1951"/>
      <c r="AW274" s="1951"/>
      <c r="AX274" s="1951"/>
      <c r="AY274" s="1951"/>
      <c r="AZ274" s="1951"/>
      <c r="BA274" s="1951"/>
      <c r="BB274" s="1951"/>
      <c r="BC274" s="1951"/>
      <c r="BD274" s="1951"/>
      <c r="BE274" s="1951"/>
      <c r="BF274" s="1951"/>
      <c r="BG274" s="1951"/>
      <c r="BH274" s="1951"/>
      <c r="BI274" s="1951"/>
      <c r="BJ274" s="1951"/>
      <c r="BK274" s="1951"/>
      <c r="BL274" s="1951"/>
      <c r="BM274" s="1951"/>
      <c r="BN274" s="1951"/>
      <c r="BO274" s="1951"/>
      <c r="BP274" s="1951"/>
      <c r="BQ274" s="1951"/>
      <c r="BR274" s="1951"/>
      <c r="BS274" s="1951"/>
      <c r="BT274" s="1951"/>
      <c r="BU274" s="1951"/>
      <c r="BV274" s="1951"/>
      <c r="BW274" s="1951"/>
      <c r="BX274" s="1951"/>
      <c r="BY274" s="1951"/>
      <c r="BZ274" s="1951"/>
      <c r="CA274" s="1951"/>
      <c r="CB274" s="1951"/>
      <c r="CC274" s="1951"/>
      <c r="CD274" s="1951"/>
      <c r="CE274" s="1951"/>
      <c r="CF274" s="1951"/>
      <c r="CG274" s="1951"/>
      <c r="CH274" s="1951"/>
      <c r="CI274" s="1951"/>
      <c r="CJ274" s="1951"/>
      <c r="CK274" s="1951"/>
      <c r="CL274" s="1951"/>
      <c r="CM274" s="1951"/>
      <c r="CN274" s="1951"/>
      <c r="CO274" s="1951"/>
      <c r="CP274" s="1951"/>
      <c r="CQ274" s="1951"/>
      <c r="CR274" s="1951"/>
      <c r="CS274" s="1951"/>
    </row>
    <row r="275" spans="1:97" s="247" customFormat="1" ht="13.5" customHeight="1">
      <c r="A275" s="1837">
        <v>65</v>
      </c>
      <c r="B275" s="1834">
        <v>741</v>
      </c>
      <c r="C275" s="1834" t="s">
        <v>3902</v>
      </c>
      <c r="D275" s="246" t="s">
        <v>3903</v>
      </c>
      <c r="E275" s="1834" t="s">
        <v>49</v>
      </c>
      <c r="F275" s="1805">
        <f>ROUND(SUM(F276),3)</f>
        <v>1</v>
      </c>
      <c r="G275" s="1992"/>
      <c r="H275" s="1775">
        <f t="shared" ref="H275" si="60">ROUND(F275*G275,2)</f>
        <v>0</v>
      </c>
      <c r="I275" s="1841" t="s">
        <v>111</v>
      </c>
      <c r="J275" s="1575"/>
      <c r="L275" s="248"/>
      <c r="S275" s="1576"/>
    </row>
    <row r="276" spans="1:97" s="247" customFormat="1" ht="13.5" customHeight="1">
      <c r="A276" s="2094"/>
      <c r="B276" s="2095"/>
      <c r="C276" s="2095"/>
      <c r="D276" s="2096" t="s">
        <v>3904</v>
      </c>
      <c r="E276" s="2095"/>
      <c r="F276" s="2097">
        <v>1</v>
      </c>
      <c r="G276" s="249"/>
      <c r="H276" s="2098"/>
      <c r="I276" s="2099"/>
      <c r="J276" s="1890"/>
      <c r="R276" s="1569"/>
      <c r="S276" s="1576"/>
    </row>
    <row r="277" spans="1:97" s="247" customFormat="1" ht="27" customHeight="1">
      <c r="A277" s="2094"/>
      <c r="B277" s="2095"/>
      <c r="C277" s="2095"/>
      <c r="D277" s="2096" t="s">
        <v>3905</v>
      </c>
      <c r="E277" s="2095"/>
      <c r="F277" s="2097"/>
      <c r="G277" s="249"/>
      <c r="H277" s="2098"/>
      <c r="I277" s="2099"/>
      <c r="J277" s="1890"/>
      <c r="R277" s="1569"/>
      <c r="S277" s="1576"/>
    </row>
    <row r="278" spans="1:97" s="247" customFormat="1" ht="13.5" customHeight="1">
      <c r="A278" s="2044">
        <v>66</v>
      </c>
      <c r="B278" s="2031">
        <v>741</v>
      </c>
      <c r="C278" s="2031" t="s">
        <v>3906</v>
      </c>
      <c r="D278" s="135" t="s">
        <v>3907</v>
      </c>
      <c r="E278" s="2031" t="s">
        <v>49</v>
      </c>
      <c r="F278" s="2051">
        <f>ROUND(SUM(F279),3)</f>
        <v>1</v>
      </c>
      <c r="G278" s="1992"/>
      <c r="H278" s="2100">
        <f t="shared" ref="H278" si="61">ROUND(F278*G278,2)</f>
        <v>0</v>
      </c>
      <c r="I278" s="2033" t="s">
        <v>111</v>
      </c>
      <c r="J278" s="1575"/>
      <c r="S278" s="1576"/>
    </row>
    <row r="279" spans="1:97" s="2061" customFormat="1" ht="13.5" customHeight="1">
      <c r="A279" s="2101"/>
      <c r="B279" s="242"/>
      <c r="C279" s="242"/>
      <c r="D279" s="2079" t="s">
        <v>3908</v>
      </c>
      <c r="E279" s="242"/>
      <c r="F279" s="2080">
        <v>1</v>
      </c>
      <c r="G279" s="2169"/>
      <c r="H279" s="2081"/>
      <c r="I279" s="2081"/>
      <c r="J279" s="1575"/>
      <c r="K279" s="2060"/>
      <c r="L279" s="2060"/>
    </row>
    <row r="280" spans="1:97" s="247" customFormat="1" ht="13.5" customHeight="1">
      <c r="A280" s="2044">
        <v>67</v>
      </c>
      <c r="B280" s="2031">
        <v>741</v>
      </c>
      <c r="C280" s="2031" t="s">
        <v>1817</v>
      </c>
      <c r="D280" s="135" t="s">
        <v>1818</v>
      </c>
      <c r="E280" s="2031" t="s">
        <v>49</v>
      </c>
      <c r="F280" s="2102">
        <v>1</v>
      </c>
      <c r="G280" s="1992"/>
      <c r="H280" s="2100">
        <f t="shared" ref="H280:H282" si="62">ROUND(F280*G280,2)</f>
        <v>0</v>
      </c>
      <c r="I280" s="2033" t="s">
        <v>111</v>
      </c>
      <c r="J280" s="1575"/>
      <c r="S280" s="1576"/>
    </row>
    <row r="281" spans="1:97" s="1968" customFormat="1" ht="13.5" customHeight="1">
      <c r="A281" s="2045" t="s">
        <v>3909</v>
      </c>
      <c r="B281" s="2046">
        <v>741</v>
      </c>
      <c r="C281" s="2046">
        <v>998741312</v>
      </c>
      <c r="D281" s="2046" t="s">
        <v>3801</v>
      </c>
      <c r="E281" s="2046" t="s">
        <v>10</v>
      </c>
      <c r="F281" s="2032">
        <v>0.78</v>
      </c>
      <c r="G281" s="1992"/>
      <c r="H281" s="2100">
        <f t="shared" si="62"/>
        <v>0</v>
      </c>
      <c r="I281" s="2047" t="s">
        <v>1801</v>
      </c>
      <c r="J281" s="2048"/>
      <c r="K281" s="2049"/>
      <c r="L281" s="2050"/>
      <c r="M281" s="2050"/>
      <c r="N281" s="2050"/>
      <c r="O281" s="2050"/>
      <c r="P281" s="2050"/>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1"/>
      <c r="BQ281" s="251"/>
      <c r="BR281" s="251"/>
      <c r="BS281" s="251"/>
      <c r="BT281" s="251"/>
      <c r="BU281" s="251"/>
      <c r="BV281" s="251"/>
      <c r="BW281" s="251"/>
      <c r="BX281" s="251"/>
      <c r="BY281" s="251"/>
      <c r="BZ281" s="251"/>
      <c r="CA281" s="251"/>
      <c r="CB281" s="251"/>
      <c r="CC281" s="251"/>
      <c r="CD281" s="251"/>
      <c r="CE281" s="251"/>
      <c r="CF281" s="251"/>
      <c r="CG281" s="251"/>
      <c r="CH281" s="251"/>
      <c r="CI281" s="251"/>
      <c r="CJ281" s="251"/>
      <c r="CK281" s="251"/>
      <c r="CL281" s="251"/>
      <c r="CM281" s="251"/>
      <c r="CN281" s="251"/>
      <c r="CO281" s="251"/>
      <c r="CP281" s="251"/>
      <c r="CQ281" s="251"/>
      <c r="CR281" s="251"/>
      <c r="CS281" s="251"/>
    </row>
    <row r="282" spans="1:97" s="1952" customFormat="1" ht="13.5" customHeight="1">
      <c r="A282" s="2045" t="s">
        <v>3910</v>
      </c>
      <c r="B282" s="2046" t="s">
        <v>362</v>
      </c>
      <c r="C282" s="2046" t="s">
        <v>1802</v>
      </c>
      <c r="D282" s="2046" t="s">
        <v>1803</v>
      </c>
      <c r="E282" s="2046" t="s">
        <v>69</v>
      </c>
      <c r="F282" s="2051">
        <f>ROUND(SUM(F283),3)</f>
        <v>10</v>
      </c>
      <c r="G282" s="1992"/>
      <c r="H282" s="2100">
        <f t="shared" si="62"/>
        <v>0</v>
      </c>
      <c r="I282" s="2047" t="s">
        <v>1801</v>
      </c>
      <c r="J282" s="2020"/>
      <c r="K282" s="2050"/>
      <c r="L282" s="2050"/>
      <c r="M282" s="2050"/>
      <c r="N282" s="2050"/>
      <c r="O282" s="2050"/>
      <c r="P282" s="2050"/>
      <c r="Q282" s="1951"/>
      <c r="R282" s="1951"/>
      <c r="S282" s="1951"/>
      <c r="T282" s="1951"/>
      <c r="U282" s="1951"/>
      <c r="V282" s="1951"/>
      <c r="W282" s="1951"/>
      <c r="X282" s="1951"/>
      <c r="Y282" s="1951"/>
      <c r="Z282" s="1951"/>
      <c r="AA282" s="1951"/>
      <c r="AB282" s="1951"/>
      <c r="AC282" s="1951"/>
      <c r="AD282" s="1951"/>
      <c r="AE282" s="1951"/>
      <c r="AF282" s="1951"/>
      <c r="AG282" s="1951"/>
      <c r="AH282" s="1951"/>
      <c r="AI282" s="1951"/>
      <c r="AJ282" s="1951"/>
      <c r="AK282" s="1951"/>
      <c r="AL282" s="1951"/>
      <c r="AM282" s="1951"/>
      <c r="AN282" s="1951"/>
      <c r="AO282" s="1951"/>
      <c r="AP282" s="1951"/>
      <c r="AQ282" s="1951"/>
      <c r="AR282" s="1951"/>
      <c r="AS282" s="1951"/>
      <c r="AT282" s="1951"/>
      <c r="AU282" s="1951"/>
      <c r="AV282" s="1951"/>
      <c r="AW282" s="1951"/>
      <c r="AX282" s="1951"/>
      <c r="AY282" s="1951"/>
      <c r="AZ282" s="1951"/>
      <c r="BA282" s="1951"/>
      <c r="BB282" s="1951"/>
      <c r="BC282" s="1951"/>
      <c r="BD282" s="1951"/>
      <c r="BE282" s="1951"/>
      <c r="BF282" s="1951"/>
      <c r="BG282" s="1951"/>
      <c r="BH282" s="1951"/>
      <c r="BI282" s="1951"/>
      <c r="BJ282" s="1951"/>
      <c r="BK282" s="1951"/>
      <c r="BL282" s="1951"/>
      <c r="BM282" s="1951"/>
      <c r="BN282" s="1951"/>
      <c r="BO282" s="1951"/>
      <c r="BP282" s="1951"/>
      <c r="BQ282" s="1951"/>
      <c r="BR282" s="1951"/>
      <c r="BS282" s="1951"/>
      <c r="BT282" s="1951"/>
      <c r="BU282" s="1951"/>
      <c r="BV282" s="1951"/>
      <c r="BW282" s="1951"/>
      <c r="BX282" s="1951"/>
      <c r="BY282" s="1951"/>
      <c r="BZ282" s="1951"/>
      <c r="CA282" s="1951"/>
      <c r="CB282" s="1951"/>
      <c r="CC282" s="1951"/>
      <c r="CD282" s="1951"/>
      <c r="CE282" s="1951"/>
      <c r="CF282" s="1951"/>
      <c r="CG282" s="1951"/>
      <c r="CH282" s="1951"/>
      <c r="CI282" s="1951"/>
      <c r="CJ282" s="1951"/>
      <c r="CK282" s="1951"/>
      <c r="CL282" s="1951"/>
      <c r="CM282" s="1951"/>
      <c r="CN282" s="1951"/>
      <c r="CO282" s="1951"/>
      <c r="CP282" s="1951"/>
      <c r="CQ282" s="1951"/>
      <c r="CR282" s="1951"/>
      <c r="CS282" s="1951"/>
    </row>
    <row r="283" spans="1:97" s="1952" customFormat="1" ht="13.5" customHeight="1">
      <c r="A283" s="2045"/>
      <c r="B283" s="2046"/>
      <c r="C283" s="2046"/>
      <c r="D283" s="145" t="s">
        <v>1804</v>
      </c>
      <c r="E283" s="2046"/>
      <c r="F283" s="2052">
        <v>10</v>
      </c>
      <c r="G283" s="1992"/>
      <c r="H283" s="1782"/>
      <c r="I283" s="2047"/>
      <c r="J283" s="1951"/>
      <c r="K283" s="2050"/>
      <c r="L283" s="2050"/>
      <c r="M283" s="2050"/>
      <c r="N283" s="2050"/>
      <c r="O283" s="2050"/>
      <c r="P283" s="2050"/>
      <c r="Q283" s="1951"/>
      <c r="R283" s="1951"/>
      <c r="S283" s="1951"/>
      <c r="T283" s="1951"/>
      <c r="U283" s="1951"/>
      <c r="V283" s="1951"/>
      <c r="W283" s="1951"/>
      <c r="X283" s="1951"/>
      <c r="Y283" s="1951"/>
      <c r="Z283" s="1951"/>
      <c r="AA283" s="1951"/>
      <c r="AB283" s="1951"/>
      <c r="AC283" s="1951"/>
      <c r="AD283" s="1951"/>
      <c r="AE283" s="1951"/>
      <c r="AF283" s="1951"/>
      <c r="AG283" s="1951"/>
      <c r="AH283" s="1951"/>
      <c r="AI283" s="1951"/>
      <c r="AJ283" s="1951"/>
      <c r="AK283" s="1951"/>
      <c r="AL283" s="1951"/>
      <c r="AM283" s="1951"/>
      <c r="AN283" s="1951"/>
      <c r="AO283" s="1951"/>
      <c r="AP283" s="1951"/>
      <c r="AQ283" s="1951"/>
      <c r="AR283" s="1951"/>
      <c r="AS283" s="1951"/>
      <c r="AT283" s="1951"/>
      <c r="AU283" s="1951"/>
      <c r="AV283" s="1951"/>
      <c r="AW283" s="1951"/>
      <c r="AX283" s="1951"/>
      <c r="AY283" s="1951"/>
      <c r="AZ283" s="1951"/>
      <c r="BA283" s="1951"/>
      <c r="BB283" s="1951"/>
      <c r="BC283" s="1951"/>
      <c r="BD283" s="1951"/>
      <c r="BE283" s="1951"/>
      <c r="BF283" s="1951"/>
      <c r="BG283" s="1951"/>
      <c r="BH283" s="1951"/>
      <c r="BI283" s="1951"/>
      <c r="BJ283" s="1951"/>
      <c r="BK283" s="1951"/>
      <c r="BL283" s="1951"/>
      <c r="BM283" s="1951"/>
      <c r="BN283" s="1951"/>
      <c r="BO283" s="1951"/>
      <c r="BP283" s="1951"/>
      <c r="BQ283" s="1951"/>
      <c r="BR283" s="1951"/>
      <c r="BS283" s="1951"/>
      <c r="BT283" s="1951"/>
      <c r="BU283" s="1951"/>
      <c r="BV283" s="1951"/>
      <c r="BW283" s="1951"/>
      <c r="BX283" s="1951"/>
      <c r="BY283" s="1951"/>
      <c r="BZ283" s="1951"/>
      <c r="CA283" s="1951"/>
      <c r="CB283" s="1951"/>
      <c r="CC283" s="1951"/>
      <c r="CD283" s="1951"/>
      <c r="CE283" s="1951"/>
      <c r="CF283" s="1951"/>
      <c r="CG283" s="1951"/>
      <c r="CH283" s="1951"/>
      <c r="CI283" s="1951"/>
      <c r="CJ283" s="1951"/>
      <c r="CK283" s="1951"/>
      <c r="CL283" s="1951"/>
      <c r="CM283" s="1951"/>
      <c r="CN283" s="1951"/>
      <c r="CO283" s="1951"/>
      <c r="CP283" s="1951"/>
      <c r="CQ283" s="1951"/>
      <c r="CR283" s="1951"/>
      <c r="CS283" s="1951"/>
    </row>
    <row r="284" spans="1:97" s="1952" customFormat="1" ht="27" customHeight="1">
      <c r="A284" s="2045"/>
      <c r="B284" s="2046"/>
      <c r="C284" s="2046"/>
      <c r="D284" s="145" t="s">
        <v>1805</v>
      </c>
      <c r="E284" s="2046"/>
      <c r="F284" s="2032"/>
      <c r="G284" s="1992"/>
      <c r="H284" s="1782"/>
      <c r="I284" s="2047"/>
      <c r="J284" s="1951"/>
      <c r="K284" s="2050"/>
      <c r="L284" s="2050"/>
      <c r="M284" s="2050"/>
      <c r="N284" s="2053"/>
      <c r="O284" s="2050"/>
      <c r="P284" s="2050"/>
      <c r="Q284" s="1951"/>
      <c r="R284" s="1951"/>
      <c r="S284" s="1951"/>
      <c r="T284" s="1951"/>
      <c r="U284" s="1951"/>
      <c r="V284" s="1951"/>
      <c r="W284" s="1951"/>
      <c r="X284" s="1951"/>
      <c r="Y284" s="1951"/>
      <c r="Z284" s="1951"/>
      <c r="AA284" s="1951"/>
      <c r="AB284" s="1951"/>
      <c r="AC284" s="1951"/>
      <c r="AD284" s="1951"/>
      <c r="AE284" s="1951"/>
      <c r="AF284" s="1951"/>
      <c r="AG284" s="1951"/>
      <c r="AH284" s="1951"/>
      <c r="AI284" s="1951"/>
      <c r="AJ284" s="1951"/>
      <c r="AK284" s="1951"/>
      <c r="AL284" s="1951"/>
      <c r="AM284" s="1951"/>
      <c r="AN284" s="1951"/>
      <c r="AO284" s="1951"/>
      <c r="AP284" s="1951"/>
      <c r="AQ284" s="1951"/>
      <c r="AR284" s="1951"/>
      <c r="AS284" s="1951"/>
      <c r="AT284" s="1951"/>
      <c r="AU284" s="1951"/>
      <c r="AV284" s="1951"/>
      <c r="AW284" s="1951"/>
      <c r="AX284" s="1951"/>
      <c r="AY284" s="1951"/>
      <c r="AZ284" s="1951"/>
      <c r="BA284" s="1951"/>
      <c r="BB284" s="1951"/>
      <c r="BC284" s="1951"/>
      <c r="BD284" s="1951"/>
      <c r="BE284" s="1951"/>
      <c r="BF284" s="1951"/>
      <c r="BG284" s="1951"/>
      <c r="BH284" s="1951"/>
      <c r="BI284" s="1951"/>
      <c r="BJ284" s="1951"/>
      <c r="BK284" s="1951"/>
      <c r="BL284" s="1951"/>
      <c r="BM284" s="1951"/>
      <c r="BN284" s="1951"/>
      <c r="BO284" s="1951"/>
      <c r="BP284" s="1951"/>
      <c r="BQ284" s="1951"/>
      <c r="BR284" s="1951"/>
      <c r="BS284" s="1951"/>
      <c r="BT284" s="1951"/>
      <c r="BU284" s="1951"/>
      <c r="BV284" s="1951"/>
      <c r="BW284" s="1951"/>
      <c r="BX284" s="1951"/>
      <c r="BY284" s="1951"/>
      <c r="BZ284" s="1951"/>
      <c r="CA284" s="1951"/>
      <c r="CB284" s="1951"/>
      <c r="CC284" s="1951"/>
      <c r="CD284" s="1951"/>
      <c r="CE284" s="1951"/>
      <c r="CF284" s="1951"/>
      <c r="CG284" s="1951"/>
      <c r="CH284" s="1951"/>
      <c r="CI284" s="1951"/>
      <c r="CJ284" s="1951"/>
      <c r="CK284" s="1951"/>
      <c r="CL284" s="1951"/>
      <c r="CM284" s="1951"/>
      <c r="CN284" s="1951"/>
      <c r="CO284" s="1951"/>
      <c r="CP284" s="1951"/>
      <c r="CQ284" s="1951"/>
      <c r="CR284" s="1951"/>
      <c r="CS284" s="1951"/>
    </row>
    <row r="285" spans="1:97" s="1771" customFormat="1" ht="13.5" customHeight="1">
      <c r="A285" s="2071"/>
      <c r="B285" s="2026"/>
      <c r="C285" s="2026">
        <v>741</v>
      </c>
      <c r="D285" s="2026" t="s">
        <v>1819</v>
      </c>
      <c r="E285" s="2026"/>
      <c r="F285" s="2055"/>
      <c r="G285" s="1992"/>
      <c r="H285" s="2024">
        <f>SUM(H286:H319)</f>
        <v>0</v>
      </c>
      <c r="I285" s="2029"/>
      <c r="K285" s="1772"/>
      <c r="L285" s="1772"/>
      <c r="M285" s="1772"/>
      <c r="N285" s="1772"/>
      <c r="O285" s="1772"/>
      <c r="P285" s="1772"/>
    </row>
    <row r="286" spans="1:97" s="247" customFormat="1" ht="13.5" customHeight="1">
      <c r="A286" s="2044">
        <v>70</v>
      </c>
      <c r="B286" s="2031">
        <v>741</v>
      </c>
      <c r="C286" s="2031" t="s">
        <v>1820</v>
      </c>
      <c r="D286" s="135" t="s">
        <v>3911</v>
      </c>
      <c r="E286" s="2031" t="s">
        <v>141</v>
      </c>
      <c r="F286" s="241">
        <f>SUM(F288)</f>
        <v>352</v>
      </c>
      <c r="G286" s="1992"/>
      <c r="H286" s="2100">
        <f t="shared" ref="H286" si="63">ROUND(F286*G286,2)</f>
        <v>0</v>
      </c>
      <c r="I286" s="2033" t="s">
        <v>111</v>
      </c>
      <c r="J286" s="2056"/>
      <c r="K286" s="2057"/>
      <c r="L286" s="2058"/>
      <c r="M286" s="2058"/>
      <c r="N286" s="2058"/>
      <c r="O286" s="2058"/>
      <c r="P286" s="2058"/>
      <c r="Q286" s="2058"/>
      <c r="R286" s="2058"/>
      <c r="S286" s="2058"/>
      <c r="T286" s="2058"/>
      <c r="U286" s="2058"/>
      <c r="V286" s="2058"/>
      <c r="W286" s="2059"/>
    </row>
    <row r="287" spans="1:97" s="1771" customFormat="1" ht="13.5" customHeight="1">
      <c r="A287" s="2030"/>
      <c r="B287" s="2046"/>
      <c r="C287" s="2031"/>
      <c r="D287" s="145" t="s">
        <v>3912</v>
      </c>
      <c r="E287" s="2046"/>
      <c r="F287" s="241"/>
      <c r="G287" s="1993"/>
      <c r="H287" s="1795"/>
      <c r="I287" s="2033"/>
      <c r="J287" s="2087"/>
      <c r="K287" s="2088"/>
      <c r="L287" s="2061"/>
      <c r="M287" s="2061"/>
      <c r="N287" s="2061"/>
      <c r="O287" s="2089"/>
      <c r="P287" s="2089"/>
      <c r="Q287" s="2061"/>
      <c r="R287" s="2103"/>
      <c r="S287" s="2061"/>
      <c r="T287" s="2061"/>
      <c r="U287" s="2061"/>
      <c r="V287" s="2061"/>
      <c r="W287" s="2090"/>
      <c r="X287" s="2104"/>
      <c r="Y287" s="2104"/>
    </row>
    <row r="288" spans="1:97" s="1771" customFormat="1" ht="13.5" customHeight="1">
      <c r="A288" s="2030"/>
      <c r="B288" s="2046"/>
      <c r="C288" s="2031"/>
      <c r="D288" s="145" t="s">
        <v>3913</v>
      </c>
      <c r="E288" s="2046"/>
      <c r="F288" s="2052">
        <f>(320)*1.1</f>
        <v>352</v>
      </c>
      <c r="G288" s="1993"/>
      <c r="H288" s="1795"/>
      <c r="I288" s="2033"/>
      <c r="J288" s="2087"/>
      <c r="K288" s="2088"/>
      <c r="L288" s="2061"/>
      <c r="M288" s="2061"/>
      <c r="N288" s="2061"/>
      <c r="O288" s="2089"/>
      <c r="P288" s="2089"/>
      <c r="Q288" s="2061"/>
      <c r="R288" s="2103"/>
      <c r="S288" s="2061"/>
      <c r="T288" s="2061"/>
      <c r="U288" s="2061"/>
      <c r="V288" s="2061"/>
      <c r="W288" s="2090"/>
    </row>
    <row r="289" spans="1:23" s="2061" customFormat="1" ht="13.5" customHeight="1">
      <c r="A289" s="2101"/>
      <c r="B289" s="242"/>
      <c r="C289" s="242"/>
      <c r="D289" s="2079" t="s">
        <v>3914</v>
      </c>
      <c r="E289" s="242"/>
      <c r="F289" s="2080"/>
      <c r="G289" s="2169"/>
      <c r="H289" s="2081"/>
      <c r="I289" s="2081"/>
      <c r="J289" s="1575"/>
      <c r="K289" s="2060"/>
      <c r="L289" s="2060"/>
    </row>
    <row r="290" spans="1:23" s="1771" customFormat="1" ht="13.5" customHeight="1">
      <c r="A290" s="2105">
        <v>71</v>
      </c>
      <c r="B290" s="2046">
        <v>741</v>
      </c>
      <c r="C290" s="2031" t="s">
        <v>3915</v>
      </c>
      <c r="D290" s="2046" t="s">
        <v>3916</v>
      </c>
      <c r="E290" s="2046" t="s">
        <v>141</v>
      </c>
      <c r="F290" s="241">
        <f>SUM(F292)</f>
        <v>275</v>
      </c>
      <c r="G290" s="1993"/>
      <c r="H290" s="2100">
        <f t="shared" ref="H290" si="64">ROUND(F290*G290,2)</f>
        <v>0</v>
      </c>
      <c r="I290" s="2033" t="s">
        <v>111</v>
      </c>
      <c r="J290" s="2086"/>
      <c r="K290" s="2106"/>
      <c r="M290" s="1857"/>
      <c r="R290" s="2091"/>
    </row>
    <row r="291" spans="1:23" s="1771" customFormat="1" ht="27" customHeight="1">
      <c r="A291" s="2105"/>
      <c r="B291" s="2046"/>
      <c r="C291" s="2046"/>
      <c r="D291" s="2107" t="s">
        <v>3917</v>
      </c>
      <c r="E291" s="119"/>
      <c r="F291" s="2108"/>
      <c r="G291" s="1993"/>
      <c r="H291" s="1795"/>
      <c r="I291" s="2047"/>
      <c r="J291" s="1890"/>
      <c r="M291" s="1857"/>
    </row>
    <row r="292" spans="1:23" s="1771" customFormat="1" ht="13.5" customHeight="1">
      <c r="A292" s="2105"/>
      <c r="B292" s="2046"/>
      <c r="C292" s="2046"/>
      <c r="D292" s="2107" t="s">
        <v>3918</v>
      </c>
      <c r="E292" s="119"/>
      <c r="F292" s="2052">
        <f>(250)*1.1</f>
        <v>275</v>
      </c>
      <c r="G292" s="1993"/>
      <c r="H292" s="1795"/>
      <c r="I292" s="2047"/>
      <c r="J292" s="2109"/>
      <c r="M292" s="1857"/>
    </row>
    <row r="293" spans="1:23" s="1771" customFormat="1" ht="13.5" customHeight="1">
      <c r="A293" s="2105"/>
      <c r="B293" s="2046"/>
      <c r="C293" s="2046"/>
      <c r="D293" s="2107" t="s">
        <v>3919</v>
      </c>
      <c r="E293" s="119"/>
      <c r="F293" s="2108"/>
      <c r="G293" s="1993"/>
      <c r="H293" s="1795"/>
      <c r="I293" s="2047"/>
      <c r="M293" s="1857"/>
    </row>
    <row r="294" spans="1:23" s="247" customFormat="1" ht="13.5" customHeight="1">
      <c r="A294" s="2044">
        <v>72</v>
      </c>
      <c r="B294" s="2031">
        <v>741</v>
      </c>
      <c r="C294" s="2031" t="s">
        <v>3915</v>
      </c>
      <c r="D294" s="135" t="s">
        <v>3920</v>
      </c>
      <c r="E294" s="2031" t="s">
        <v>205</v>
      </c>
      <c r="F294" s="241">
        <f>SUM(F295)</f>
        <v>120</v>
      </c>
      <c r="G294" s="1992"/>
      <c r="H294" s="2100">
        <f t="shared" ref="H294" si="65">ROUND(F294*G294,2)</f>
        <v>0</v>
      </c>
      <c r="I294" s="2033" t="s">
        <v>111</v>
      </c>
      <c r="J294" s="2056"/>
      <c r="K294" s="2057"/>
      <c r="L294" s="2058"/>
      <c r="M294" s="2058"/>
      <c r="N294" s="2058"/>
      <c r="O294" s="2058"/>
      <c r="P294" s="2058"/>
      <c r="Q294" s="2058"/>
      <c r="R294" s="2058"/>
      <c r="S294" s="2058"/>
      <c r="T294" s="2058"/>
      <c r="U294" s="2058"/>
      <c r="V294" s="2058"/>
      <c r="W294" s="2059"/>
    </row>
    <row r="295" spans="1:23" s="1771" customFormat="1" ht="13.5" customHeight="1">
      <c r="A295" s="2030"/>
      <c r="B295" s="2046"/>
      <c r="C295" s="2031"/>
      <c r="D295" s="145" t="s">
        <v>3921</v>
      </c>
      <c r="E295" s="2046"/>
      <c r="F295" s="2052">
        <v>120</v>
      </c>
      <c r="G295" s="1993"/>
      <c r="H295" s="1795"/>
      <c r="I295" s="2033"/>
      <c r="J295" s="2087"/>
      <c r="K295" s="2088"/>
      <c r="L295" s="2061"/>
      <c r="M295" s="2061"/>
      <c r="N295" s="2061"/>
      <c r="O295" s="2089"/>
      <c r="P295" s="2089"/>
      <c r="Q295" s="2061"/>
      <c r="R295" s="2061"/>
      <c r="S295" s="2061"/>
      <c r="T295" s="2061"/>
      <c r="U295" s="2061"/>
      <c r="V295" s="2061"/>
      <c r="W295" s="2090"/>
    </row>
    <row r="296" spans="1:23" s="2061" customFormat="1" ht="13.5" customHeight="1">
      <c r="A296" s="2101"/>
      <c r="B296" s="242"/>
      <c r="C296" s="242"/>
      <c r="D296" s="2079" t="s">
        <v>3894</v>
      </c>
      <c r="E296" s="242"/>
      <c r="F296" s="2080"/>
      <c r="G296" s="2169"/>
      <c r="H296" s="2081"/>
      <c r="I296" s="2033"/>
      <c r="J296" s="1575"/>
      <c r="K296" s="2060"/>
      <c r="L296" s="2060"/>
    </row>
    <row r="297" spans="1:23" s="247" customFormat="1" ht="13.5" customHeight="1">
      <c r="A297" s="2044">
        <v>73</v>
      </c>
      <c r="B297" s="2031">
        <v>741</v>
      </c>
      <c r="C297" s="2031" t="s">
        <v>3922</v>
      </c>
      <c r="D297" s="135" t="s">
        <v>3923</v>
      </c>
      <c r="E297" s="2031" t="s">
        <v>205</v>
      </c>
      <c r="F297" s="241">
        <f>SUM(F298)</f>
        <v>9</v>
      </c>
      <c r="G297" s="1992"/>
      <c r="H297" s="2100">
        <f t="shared" ref="H297" si="66">ROUND(F297*G297,2)</f>
        <v>0</v>
      </c>
      <c r="I297" s="2033" t="s">
        <v>111</v>
      </c>
      <c r="J297" s="2056"/>
      <c r="K297" s="2057"/>
      <c r="S297" s="2090"/>
      <c r="W297" s="2059"/>
    </row>
    <row r="298" spans="1:23" s="1771" customFormat="1" ht="13.5" customHeight="1">
      <c r="A298" s="2030"/>
      <c r="B298" s="2046"/>
      <c r="C298" s="2031"/>
      <c r="D298" s="145" t="s">
        <v>3924</v>
      </c>
      <c r="E298" s="2046"/>
      <c r="F298" s="2052">
        <v>9</v>
      </c>
      <c r="G298" s="1993"/>
      <c r="H298" s="1795"/>
      <c r="I298" s="2033"/>
      <c r="J298" s="2087"/>
      <c r="K298" s="2088"/>
      <c r="L298" s="2060"/>
      <c r="M298" s="2061"/>
      <c r="N298" s="2061"/>
      <c r="O298" s="2061"/>
      <c r="P298" s="2061"/>
      <c r="Q298" s="2061"/>
      <c r="R298" s="2061"/>
      <c r="S298" s="2090"/>
      <c r="W298" s="2090"/>
    </row>
    <row r="299" spans="1:23" s="2061" customFormat="1" ht="13.5" customHeight="1">
      <c r="A299" s="2101"/>
      <c r="B299" s="242"/>
      <c r="C299" s="242"/>
      <c r="D299" s="2079" t="s">
        <v>3925</v>
      </c>
      <c r="E299" s="242"/>
      <c r="F299" s="2080"/>
      <c r="G299" s="2169"/>
      <c r="H299" s="2081"/>
      <c r="I299" s="2033"/>
      <c r="S299" s="2090"/>
      <c r="W299" s="2090"/>
    </row>
    <row r="300" spans="1:23" s="247" customFormat="1" ht="13.5" customHeight="1">
      <c r="A300" s="2044">
        <v>74</v>
      </c>
      <c r="B300" s="2031">
        <v>741</v>
      </c>
      <c r="C300" s="2031" t="s">
        <v>3926</v>
      </c>
      <c r="D300" s="135" t="s">
        <v>3927</v>
      </c>
      <c r="E300" s="2031" t="s">
        <v>205</v>
      </c>
      <c r="F300" s="241">
        <f>SUM(F301)</f>
        <v>9</v>
      </c>
      <c r="G300" s="1992"/>
      <c r="H300" s="2100">
        <f t="shared" ref="H300" si="67">ROUND(F300*G300,2)</f>
        <v>0</v>
      </c>
      <c r="I300" s="2033" t="s">
        <v>111</v>
      </c>
      <c r="J300" s="2056"/>
      <c r="K300" s="2057"/>
      <c r="S300" s="2090"/>
      <c r="W300" s="2059"/>
    </row>
    <row r="301" spans="1:23" s="1771" customFormat="1" ht="13.5" customHeight="1">
      <c r="A301" s="2030"/>
      <c r="B301" s="2046"/>
      <c r="C301" s="2031"/>
      <c r="D301" s="145" t="s">
        <v>3928</v>
      </c>
      <c r="E301" s="2046"/>
      <c r="F301" s="2052">
        <v>9</v>
      </c>
      <c r="G301" s="1993"/>
      <c r="H301" s="1795"/>
      <c r="I301" s="2033"/>
      <c r="J301" s="2087"/>
      <c r="K301" s="2088"/>
      <c r="L301" s="2060"/>
      <c r="M301" s="2061"/>
      <c r="N301" s="2061"/>
      <c r="O301" s="2061"/>
      <c r="P301" s="2061"/>
      <c r="Q301" s="2061"/>
      <c r="R301" s="2061"/>
      <c r="S301" s="2090"/>
      <c r="W301" s="2090"/>
    </row>
    <row r="302" spans="1:23" s="2061" customFormat="1" ht="13.5" customHeight="1">
      <c r="A302" s="2101"/>
      <c r="B302" s="242"/>
      <c r="C302" s="242"/>
      <c r="D302" s="2079" t="s">
        <v>3925</v>
      </c>
      <c r="E302" s="242"/>
      <c r="F302" s="2080"/>
      <c r="G302" s="2169"/>
      <c r="H302" s="2081"/>
      <c r="I302" s="2033"/>
    </row>
    <row r="303" spans="1:23" s="247" customFormat="1" ht="13.5" customHeight="1">
      <c r="A303" s="2044">
        <v>75</v>
      </c>
      <c r="B303" s="2031">
        <v>741</v>
      </c>
      <c r="C303" s="2031" t="s">
        <v>3929</v>
      </c>
      <c r="D303" s="135" t="s">
        <v>3930</v>
      </c>
      <c r="E303" s="2031" t="s">
        <v>205</v>
      </c>
      <c r="F303" s="241">
        <f>SUM(F304)</f>
        <v>5</v>
      </c>
      <c r="G303" s="1992"/>
      <c r="H303" s="2100">
        <f t="shared" ref="H303" si="68">ROUND(F303*G303,2)</f>
        <v>0</v>
      </c>
      <c r="I303" s="2033" t="s">
        <v>111</v>
      </c>
      <c r="J303" s="2056"/>
      <c r="K303" s="2057"/>
      <c r="L303" s="2058"/>
      <c r="M303" s="2058"/>
      <c r="N303" s="2058"/>
      <c r="O303" s="2058"/>
      <c r="P303" s="2058"/>
      <c r="Q303" s="2058"/>
      <c r="R303" s="2058"/>
      <c r="S303" s="2058"/>
      <c r="T303" s="2058"/>
      <c r="U303" s="2058"/>
      <c r="V303" s="2058"/>
      <c r="W303" s="2059"/>
    </row>
    <row r="304" spans="1:23" s="1771" customFormat="1" ht="13.5" customHeight="1">
      <c r="A304" s="2030"/>
      <c r="B304" s="2046"/>
      <c r="C304" s="2031"/>
      <c r="D304" s="145" t="s">
        <v>3931</v>
      </c>
      <c r="E304" s="2046"/>
      <c r="F304" s="2052">
        <v>5</v>
      </c>
      <c r="G304" s="1993"/>
      <c r="H304" s="1795"/>
      <c r="I304" s="2033"/>
      <c r="J304" s="2087"/>
      <c r="K304" s="2088"/>
      <c r="L304" s="2061"/>
      <c r="M304" s="2061"/>
      <c r="N304" s="2061"/>
      <c r="O304" s="2089"/>
      <c r="P304" s="2089"/>
      <c r="Q304" s="2061"/>
      <c r="R304" s="2103"/>
      <c r="S304" s="2061"/>
      <c r="T304" s="2061"/>
      <c r="U304" s="2061"/>
      <c r="V304" s="2061"/>
      <c r="W304" s="2090"/>
    </row>
    <row r="305" spans="1:97" s="2061" customFormat="1" ht="27" customHeight="1">
      <c r="A305" s="2101"/>
      <c r="B305" s="242"/>
      <c r="C305" s="242"/>
      <c r="D305" s="2079" t="s">
        <v>3932</v>
      </c>
      <c r="E305" s="242"/>
      <c r="F305" s="2080"/>
      <c r="G305" s="2169"/>
      <c r="H305" s="2081"/>
      <c r="I305" s="2033"/>
      <c r="J305" s="2087"/>
      <c r="K305" s="2088"/>
      <c r="O305" s="2089"/>
      <c r="P305" s="2089"/>
      <c r="R305" s="2103"/>
      <c r="W305" s="2090"/>
    </row>
    <row r="306" spans="1:97" s="247" customFormat="1" ht="13.5" customHeight="1">
      <c r="A306" s="2044">
        <v>76</v>
      </c>
      <c r="B306" s="2031">
        <v>741</v>
      </c>
      <c r="C306" s="2031" t="s">
        <v>3933</v>
      </c>
      <c r="D306" s="135" t="s">
        <v>3934</v>
      </c>
      <c r="E306" s="2031" t="s">
        <v>205</v>
      </c>
      <c r="F306" s="241">
        <f>SUM(F307)</f>
        <v>12</v>
      </c>
      <c r="G306" s="1992"/>
      <c r="H306" s="2100">
        <f t="shared" ref="H306" si="69">ROUND(F306*G306,2)</f>
        <v>0</v>
      </c>
      <c r="I306" s="2033" t="s">
        <v>111</v>
      </c>
      <c r="J306" s="2056"/>
      <c r="K306" s="2057"/>
      <c r="L306" s="2058"/>
      <c r="M306" s="2058"/>
      <c r="N306" s="2058"/>
      <c r="O306" s="2058"/>
      <c r="P306" s="2058"/>
      <c r="Q306" s="2058"/>
      <c r="R306" s="2058"/>
      <c r="S306" s="2058"/>
      <c r="T306" s="2058"/>
      <c r="U306" s="2058"/>
      <c r="V306" s="2058"/>
      <c r="W306" s="2059"/>
    </row>
    <row r="307" spans="1:97" s="1771" customFormat="1" ht="13.5" customHeight="1">
      <c r="A307" s="2030"/>
      <c r="B307" s="2046"/>
      <c r="C307" s="2031"/>
      <c r="D307" s="145" t="s">
        <v>3935</v>
      </c>
      <c r="E307" s="2046"/>
      <c r="F307" s="2052">
        <v>12</v>
      </c>
      <c r="G307" s="1993"/>
      <c r="H307" s="1795"/>
      <c r="I307" s="2033"/>
      <c r="J307" s="2087"/>
      <c r="K307" s="2088"/>
      <c r="L307" s="2061"/>
      <c r="M307" s="2061"/>
      <c r="N307" s="2061"/>
      <c r="O307" s="2089"/>
      <c r="P307" s="2089"/>
      <c r="Q307" s="2061"/>
      <c r="R307" s="2103"/>
      <c r="S307" s="2061"/>
      <c r="T307" s="2061"/>
      <c r="U307" s="2061"/>
      <c r="V307" s="2061"/>
      <c r="W307" s="2090"/>
    </row>
    <row r="308" spans="1:97" s="2061" customFormat="1" ht="27" customHeight="1">
      <c r="A308" s="2101"/>
      <c r="B308" s="242"/>
      <c r="C308" s="242"/>
      <c r="D308" s="2079" t="s">
        <v>3932</v>
      </c>
      <c r="E308" s="242"/>
      <c r="F308" s="2080"/>
      <c r="G308" s="2169"/>
      <c r="H308" s="2081"/>
      <c r="I308" s="2033"/>
      <c r="J308" s="2087"/>
      <c r="K308" s="2088"/>
      <c r="O308" s="2089"/>
      <c r="P308" s="2089"/>
      <c r="R308" s="2103"/>
      <c r="W308" s="2090"/>
    </row>
    <row r="309" spans="1:97" s="247" customFormat="1" ht="13.5" customHeight="1">
      <c r="A309" s="2044">
        <v>77</v>
      </c>
      <c r="B309" s="2031">
        <v>741</v>
      </c>
      <c r="C309" s="2031" t="s">
        <v>1821</v>
      </c>
      <c r="D309" s="135" t="s">
        <v>3936</v>
      </c>
      <c r="E309" s="2031" t="s">
        <v>205</v>
      </c>
      <c r="F309" s="241">
        <f>SUM(F310)</f>
        <v>9</v>
      </c>
      <c r="G309" s="1992"/>
      <c r="H309" s="2100">
        <f t="shared" ref="H309" si="70">ROUND(F309*G309,2)</f>
        <v>0</v>
      </c>
      <c r="I309" s="2033" t="s">
        <v>111</v>
      </c>
      <c r="W309" s="2059"/>
    </row>
    <row r="310" spans="1:97" s="247" customFormat="1" ht="13.5" customHeight="1">
      <c r="A310" s="2044"/>
      <c r="B310" s="2031"/>
      <c r="C310" s="2031"/>
      <c r="D310" s="145" t="s">
        <v>3937</v>
      </c>
      <c r="E310" s="2046"/>
      <c r="F310" s="2052">
        <v>9</v>
      </c>
      <c r="G310" s="1992"/>
      <c r="H310" s="1839"/>
      <c r="I310" s="2033"/>
      <c r="J310" s="1890"/>
      <c r="S310" s="1576"/>
      <c r="W310" s="2090"/>
    </row>
    <row r="311" spans="1:97" s="1771" customFormat="1" ht="13.5" customHeight="1">
      <c r="A311" s="2030"/>
      <c r="B311" s="2046"/>
      <c r="C311" s="2031"/>
      <c r="D311" s="145" t="s">
        <v>3938</v>
      </c>
      <c r="E311" s="2046"/>
      <c r="F311" s="2052"/>
      <c r="G311" s="1993"/>
      <c r="H311" s="1795"/>
      <c r="I311" s="2033"/>
      <c r="J311" s="1575"/>
      <c r="K311" s="247"/>
      <c r="L311" s="247"/>
      <c r="M311" s="247"/>
      <c r="N311" s="247"/>
      <c r="O311" s="247"/>
      <c r="P311" s="247"/>
      <c r="Q311" s="247"/>
      <c r="R311" s="247"/>
      <c r="S311" s="1576"/>
      <c r="U311" s="247"/>
      <c r="V311" s="247"/>
      <c r="W311" s="2090"/>
      <c r="X311" s="247"/>
      <c r="Y311" s="247"/>
      <c r="Z311" s="247"/>
    </row>
    <row r="312" spans="1:97" s="247" customFormat="1" ht="13.5" customHeight="1">
      <c r="A312" s="2044">
        <v>78</v>
      </c>
      <c r="B312" s="2031">
        <v>741</v>
      </c>
      <c r="C312" s="2031" t="s">
        <v>3939</v>
      </c>
      <c r="D312" s="135" t="s">
        <v>1818</v>
      </c>
      <c r="E312" s="2031" t="s">
        <v>49</v>
      </c>
      <c r="F312" s="2102">
        <v>1</v>
      </c>
      <c r="G312" s="1992"/>
      <c r="H312" s="2100">
        <f t="shared" ref="H312:H313" si="71">ROUND(F312*G312,2)</f>
        <v>0</v>
      </c>
      <c r="I312" s="2033" t="s">
        <v>111</v>
      </c>
      <c r="J312" s="2110"/>
      <c r="K312" s="2111"/>
      <c r="L312" s="2111"/>
      <c r="M312" s="2112"/>
      <c r="N312" s="2112"/>
      <c r="O312" s="2112"/>
      <c r="P312" s="2112"/>
      <c r="Q312" s="1852"/>
      <c r="R312" s="2112"/>
      <c r="S312" s="2113"/>
      <c r="T312" s="2104"/>
      <c r="U312" s="2104"/>
      <c r="V312" s="2104"/>
      <c r="W312" s="2104"/>
      <c r="X312" s="2104"/>
      <c r="Y312" s="2104"/>
      <c r="Z312" s="1771"/>
    </row>
    <row r="313" spans="1:97" s="1836" customFormat="1" ht="13.5" customHeight="1">
      <c r="A313" s="2044">
        <v>79</v>
      </c>
      <c r="B313" s="2031">
        <v>741</v>
      </c>
      <c r="C313" s="2031" t="s">
        <v>3940</v>
      </c>
      <c r="D313" s="135" t="s">
        <v>3941</v>
      </c>
      <c r="E313" s="2031" t="s">
        <v>49</v>
      </c>
      <c r="F313" s="2114">
        <f>SUM(F314)</f>
        <v>1</v>
      </c>
      <c r="G313" s="1992"/>
      <c r="H313" s="2100">
        <f t="shared" si="71"/>
        <v>0</v>
      </c>
      <c r="I313" s="2033" t="s">
        <v>111</v>
      </c>
      <c r="J313" s="1835"/>
      <c r="P313" s="1576"/>
      <c r="Q313" s="1576"/>
      <c r="R313" s="1576"/>
      <c r="S313" s="1576"/>
      <c r="T313" s="1576"/>
    </row>
    <row r="314" spans="1:97" s="1836" customFormat="1" ht="13.5" customHeight="1">
      <c r="A314" s="2044"/>
      <c r="B314" s="2031"/>
      <c r="C314" s="2031"/>
      <c r="D314" s="136" t="s">
        <v>3942</v>
      </c>
      <c r="E314" s="2031"/>
      <c r="F314" s="2115">
        <v>1</v>
      </c>
      <c r="G314" s="1996"/>
      <c r="H314" s="1839"/>
      <c r="I314" s="2033"/>
      <c r="J314" s="1835"/>
      <c r="P314" s="1576"/>
      <c r="Q314" s="1576"/>
      <c r="R314" s="1576"/>
      <c r="S314" s="1576"/>
      <c r="T314" s="1576"/>
    </row>
    <row r="315" spans="1:97" s="1836" customFormat="1" ht="40.5" customHeight="1">
      <c r="A315" s="2044"/>
      <c r="B315" s="2031"/>
      <c r="C315" s="2031"/>
      <c r="D315" s="136" t="s">
        <v>3943</v>
      </c>
      <c r="E315" s="2031"/>
      <c r="F315" s="2116"/>
      <c r="G315" s="1996"/>
      <c r="H315" s="1839"/>
      <c r="I315" s="2033"/>
      <c r="J315" s="1575"/>
    </row>
    <row r="316" spans="1:97" s="1968" customFormat="1" ht="13.5" customHeight="1">
      <c r="A316" s="2045" t="s">
        <v>3944</v>
      </c>
      <c r="B316" s="2046">
        <v>741</v>
      </c>
      <c r="C316" s="2046">
        <v>998741312</v>
      </c>
      <c r="D316" s="2046" t="s">
        <v>3801</v>
      </c>
      <c r="E316" s="2046" t="s">
        <v>10</v>
      </c>
      <c r="F316" s="2032">
        <v>0.78</v>
      </c>
      <c r="G316" s="1992"/>
      <c r="H316" s="2100">
        <f t="shared" ref="H316:H317" si="72">ROUND(F316*G316,2)</f>
        <v>0</v>
      </c>
      <c r="I316" s="2047" t="s">
        <v>1801</v>
      </c>
      <c r="J316" s="2048"/>
      <c r="K316" s="2049"/>
      <c r="L316" s="2050"/>
      <c r="M316" s="2050"/>
      <c r="N316" s="2050"/>
      <c r="O316" s="2050"/>
      <c r="P316" s="2050"/>
      <c r="Q316" s="251"/>
      <c r="R316" s="251"/>
      <c r="S316" s="251"/>
      <c r="T316" s="251"/>
      <c r="U316" s="251"/>
      <c r="V316" s="251"/>
      <c r="W316" s="251"/>
      <c r="X316" s="251"/>
      <c r="Y316" s="251"/>
      <c r="Z316" s="251"/>
      <c r="AA316" s="251"/>
      <c r="AB316" s="251"/>
      <c r="AC316" s="251"/>
      <c r="AD316" s="251"/>
      <c r="AE316" s="251"/>
      <c r="AF316" s="251"/>
      <c r="AG316" s="251"/>
      <c r="AH316" s="251"/>
      <c r="AI316" s="251"/>
      <c r="AJ316" s="251"/>
      <c r="AK316" s="251"/>
      <c r="AL316" s="251"/>
      <c r="AM316" s="251"/>
      <c r="AN316" s="251"/>
      <c r="AO316" s="251"/>
      <c r="AP316" s="251"/>
      <c r="AQ316" s="251"/>
      <c r="AR316" s="251"/>
      <c r="AS316" s="251"/>
      <c r="AT316" s="251"/>
      <c r="AU316" s="251"/>
      <c r="AV316" s="251"/>
      <c r="AW316" s="251"/>
      <c r="AX316" s="251"/>
      <c r="AY316" s="251"/>
      <c r="AZ316" s="251"/>
      <c r="BA316" s="251"/>
      <c r="BB316" s="251"/>
      <c r="BC316" s="251"/>
      <c r="BD316" s="251"/>
      <c r="BE316" s="251"/>
      <c r="BF316" s="251"/>
      <c r="BG316" s="251"/>
      <c r="BH316" s="251"/>
      <c r="BI316" s="251"/>
      <c r="BJ316" s="251"/>
      <c r="BK316" s="251"/>
      <c r="BL316" s="251"/>
      <c r="BM316" s="251"/>
      <c r="BN316" s="251"/>
      <c r="BO316" s="251"/>
      <c r="BP316" s="251"/>
      <c r="BQ316" s="251"/>
      <c r="BR316" s="251"/>
      <c r="BS316" s="251"/>
      <c r="BT316" s="251"/>
      <c r="BU316" s="251"/>
      <c r="BV316" s="251"/>
      <c r="BW316" s="251"/>
      <c r="BX316" s="251"/>
      <c r="BY316" s="251"/>
      <c r="BZ316" s="251"/>
      <c r="CA316" s="251"/>
      <c r="CB316" s="251"/>
      <c r="CC316" s="251"/>
      <c r="CD316" s="251"/>
      <c r="CE316" s="251"/>
      <c r="CF316" s="251"/>
      <c r="CG316" s="251"/>
      <c r="CH316" s="251"/>
      <c r="CI316" s="251"/>
      <c r="CJ316" s="251"/>
      <c r="CK316" s="251"/>
      <c r="CL316" s="251"/>
      <c r="CM316" s="251"/>
      <c r="CN316" s="251"/>
      <c r="CO316" s="251"/>
      <c r="CP316" s="251"/>
      <c r="CQ316" s="251"/>
      <c r="CR316" s="251"/>
      <c r="CS316" s="251"/>
    </row>
    <row r="317" spans="1:97" s="1952" customFormat="1" ht="13.5" customHeight="1">
      <c r="A317" s="2045" t="s">
        <v>3945</v>
      </c>
      <c r="B317" s="2046" t="s">
        <v>362</v>
      </c>
      <c r="C317" s="2046" t="s">
        <v>1802</v>
      </c>
      <c r="D317" s="2046" t="s">
        <v>1803</v>
      </c>
      <c r="E317" s="2046" t="s">
        <v>69</v>
      </c>
      <c r="F317" s="2051">
        <f>ROUND(SUM(F318),3)</f>
        <v>20</v>
      </c>
      <c r="G317" s="1992"/>
      <c r="H317" s="2100">
        <f t="shared" si="72"/>
        <v>0</v>
      </c>
      <c r="I317" s="2047" t="s">
        <v>1801</v>
      </c>
      <c r="J317" s="2020"/>
      <c r="K317" s="2050"/>
      <c r="L317" s="2050"/>
      <c r="M317" s="2050"/>
      <c r="N317" s="2050"/>
      <c r="O317" s="2050"/>
      <c r="P317" s="2050"/>
      <c r="Q317" s="1951"/>
      <c r="R317" s="1951"/>
      <c r="S317" s="1951"/>
      <c r="T317" s="1951"/>
      <c r="U317" s="1951"/>
      <c r="V317" s="1951"/>
      <c r="W317" s="1951"/>
      <c r="X317" s="1951"/>
      <c r="Y317" s="1951"/>
      <c r="Z317" s="1951"/>
      <c r="AA317" s="1951"/>
      <c r="AB317" s="1951"/>
      <c r="AC317" s="1951"/>
      <c r="AD317" s="1951"/>
      <c r="AE317" s="1951"/>
      <c r="AF317" s="1951"/>
      <c r="AG317" s="1951"/>
      <c r="AH317" s="1951"/>
      <c r="AI317" s="1951"/>
      <c r="AJ317" s="1951"/>
      <c r="AK317" s="1951"/>
      <c r="AL317" s="1951"/>
      <c r="AM317" s="1951"/>
      <c r="AN317" s="1951"/>
      <c r="AO317" s="1951"/>
      <c r="AP317" s="1951"/>
      <c r="AQ317" s="1951"/>
      <c r="AR317" s="1951"/>
      <c r="AS317" s="1951"/>
      <c r="AT317" s="1951"/>
      <c r="AU317" s="1951"/>
      <c r="AV317" s="1951"/>
      <c r="AW317" s="1951"/>
      <c r="AX317" s="1951"/>
      <c r="AY317" s="1951"/>
      <c r="AZ317" s="1951"/>
      <c r="BA317" s="1951"/>
      <c r="BB317" s="1951"/>
      <c r="BC317" s="1951"/>
      <c r="BD317" s="1951"/>
      <c r="BE317" s="1951"/>
      <c r="BF317" s="1951"/>
      <c r="BG317" s="1951"/>
      <c r="BH317" s="1951"/>
      <c r="BI317" s="1951"/>
      <c r="BJ317" s="1951"/>
      <c r="BK317" s="1951"/>
      <c r="BL317" s="1951"/>
      <c r="BM317" s="1951"/>
      <c r="BN317" s="1951"/>
      <c r="BO317" s="1951"/>
      <c r="BP317" s="1951"/>
      <c r="BQ317" s="1951"/>
      <c r="BR317" s="1951"/>
      <c r="BS317" s="1951"/>
      <c r="BT317" s="1951"/>
      <c r="BU317" s="1951"/>
      <c r="BV317" s="1951"/>
      <c r="BW317" s="1951"/>
      <c r="BX317" s="1951"/>
      <c r="BY317" s="1951"/>
      <c r="BZ317" s="1951"/>
      <c r="CA317" s="1951"/>
      <c r="CB317" s="1951"/>
      <c r="CC317" s="1951"/>
      <c r="CD317" s="1951"/>
      <c r="CE317" s="1951"/>
      <c r="CF317" s="1951"/>
      <c r="CG317" s="1951"/>
      <c r="CH317" s="1951"/>
      <c r="CI317" s="1951"/>
      <c r="CJ317" s="1951"/>
      <c r="CK317" s="1951"/>
      <c r="CL317" s="1951"/>
      <c r="CM317" s="1951"/>
      <c r="CN317" s="1951"/>
      <c r="CO317" s="1951"/>
      <c r="CP317" s="1951"/>
      <c r="CQ317" s="1951"/>
      <c r="CR317" s="1951"/>
      <c r="CS317" s="1951"/>
    </row>
    <row r="318" spans="1:97" s="1952" customFormat="1" ht="13.5" customHeight="1">
      <c r="A318" s="2045"/>
      <c r="B318" s="2046"/>
      <c r="C318" s="2046"/>
      <c r="D318" s="145" t="s">
        <v>1804</v>
      </c>
      <c r="E318" s="2046"/>
      <c r="F318" s="2052">
        <v>20</v>
      </c>
      <c r="G318" s="1992"/>
      <c r="H318" s="1782"/>
      <c r="I318" s="2047"/>
      <c r="J318" s="1951"/>
      <c r="K318" s="2050"/>
      <c r="L318" s="2050"/>
      <c r="M318" s="2050"/>
      <c r="N318" s="2050"/>
      <c r="O318" s="2050"/>
      <c r="P318" s="2050"/>
      <c r="Q318" s="1951"/>
      <c r="R318" s="1951"/>
      <c r="S318" s="1951"/>
      <c r="T318" s="1951"/>
      <c r="U318" s="1951"/>
      <c r="V318" s="1951"/>
      <c r="W318" s="1951"/>
      <c r="X318" s="1951"/>
      <c r="Y318" s="1951"/>
      <c r="Z318" s="1951"/>
      <c r="AA318" s="1951"/>
      <c r="AB318" s="1951"/>
      <c r="AC318" s="1951"/>
      <c r="AD318" s="1951"/>
      <c r="AE318" s="1951"/>
      <c r="AF318" s="1951"/>
      <c r="AG318" s="1951"/>
      <c r="AH318" s="1951"/>
      <c r="AI318" s="1951"/>
      <c r="AJ318" s="1951"/>
      <c r="AK318" s="1951"/>
      <c r="AL318" s="1951"/>
      <c r="AM318" s="1951"/>
      <c r="AN318" s="1951"/>
      <c r="AO318" s="1951"/>
      <c r="AP318" s="1951"/>
      <c r="AQ318" s="1951"/>
      <c r="AR318" s="1951"/>
      <c r="AS318" s="1951"/>
      <c r="AT318" s="1951"/>
      <c r="AU318" s="1951"/>
      <c r="AV318" s="1951"/>
      <c r="AW318" s="1951"/>
      <c r="AX318" s="1951"/>
      <c r="AY318" s="1951"/>
      <c r="AZ318" s="1951"/>
      <c r="BA318" s="1951"/>
      <c r="BB318" s="1951"/>
      <c r="BC318" s="1951"/>
      <c r="BD318" s="1951"/>
      <c r="BE318" s="1951"/>
      <c r="BF318" s="1951"/>
      <c r="BG318" s="1951"/>
      <c r="BH318" s="1951"/>
      <c r="BI318" s="1951"/>
      <c r="BJ318" s="1951"/>
      <c r="BK318" s="1951"/>
      <c r="BL318" s="1951"/>
      <c r="BM318" s="1951"/>
      <c r="BN318" s="1951"/>
      <c r="BO318" s="1951"/>
      <c r="BP318" s="1951"/>
      <c r="BQ318" s="1951"/>
      <c r="BR318" s="1951"/>
      <c r="BS318" s="1951"/>
      <c r="BT318" s="1951"/>
      <c r="BU318" s="1951"/>
      <c r="BV318" s="1951"/>
      <c r="BW318" s="1951"/>
      <c r="BX318" s="1951"/>
      <c r="BY318" s="1951"/>
      <c r="BZ318" s="1951"/>
      <c r="CA318" s="1951"/>
      <c r="CB318" s="1951"/>
      <c r="CC318" s="1951"/>
      <c r="CD318" s="1951"/>
      <c r="CE318" s="1951"/>
      <c r="CF318" s="1951"/>
      <c r="CG318" s="1951"/>
      <c r="CH318" s="1951"/>
      <c r="CI318" s="1951"/>
      <c r="CJ318" s="1951"/>
      <c r="CK318" s="1951"/>
      <c r="CL318" s="1951"/>
      <c r="CM318" s="1951"/>
      <c r="CN318" s="1951"/>
      <c r="CO318" s="1951"/>
      <c r="CP318" s="1951"/>
      <c r="CQ318" s="1951"/>
      <c r="CR318" s="1951"/>
      <c r="CS318" s="1951"/>
    </row>
    <row r="319" spans="1:97" s="1952" customFormat="1" ht="27" customHeight="1">
      <c r="A319" s="2045"/>
      <c r="B319" s="2046"/>
      <c r="C319" s="2046"/>
      <c r="D319" s="145" t="s">
        <v>1805</v>
      </c>
      <c r="E319" s="2046"/>
      <c r="F319" s="2032"/>
      <c r="G319" s="1992"/>
      <c r="H319" s="1782"/>
      <c r="I319" s="2047"/>
      <c r="J319" s="1951"/>
      <c r="K319" s="2050"/>
      <c r="L319" s="2050"/>
      <c r="M319" s="2050"/>
      <c r="N319" s="2053"/>
      <c r="O319" s="2050"/>
      <c r="P319" s="2050"/>
      <c r="Q319" s="1951"/>
      <c r="R319" s="1951"/>
      <c r="S319" s="1951"/>
      <c r="T319" s="1951"/>
      <c r="U319" s="1951"/>
      <c r="V319" s="1951"/>
      <c r="W319" s="1951"/>
      <c r="X319" s="1951"/>
      <c r="Y319" s="1951"/>
      <c r="Z319" s="1951"/>
      <c r="AA319" s="1951"/>
      <c r="AB319" s="1951"/>
      <c r="AC319" s="1951"/>
      <c r="AD319" s="1951"/>
      <c r="AE319" s="1951"/>
      <c r="AF319" s="1951"/>
      <c r="AG319" s="1951"/>
      <c r="AH319" s="1951"/>
      <c r="AI319" s="1951"/>
      <c r="AJ319" s="1951"/>
      <c r="AK319" s="1951"/>
      <c r="AL319" s="1951"/>
      <c r="AM319" s="1951"/>
      <c r="AN319" s="1951"/>
      <c r="AO319" s="1951"/>
      <c r="AP319" s="1951"/>
      <c r="AQ319" s="1951"/>
      <c r="AR319" s="1951"/>
      <c r="AS319" s="1951"/>
      <c r="AT319" s="1951"/>
      <c r="AU319" s="1951"/>
      <c r="AV319" s="1951"/>
      <c r="AW319" s="1951"/>
      <c r="AX319" s="1951"/>
      <c r="AY319" s="1951"/>
      <c r="AZ319" s="1951"/>
      <c r="BA319" s="1951"/>
      <c r="BB319" s="1951"/>
      <c r="BC319" s="1951"/>
      <c r="BD319" s="1951"/>
      <c r="BE319" s="1951"/>
      <c r="BF319" s="1951"/>
      <c r="BG319" s="1951"/>
      <c r="BH319" s="1951"/>
      <c r="BI319" s="1951"/>
      <c r="BJ319" s="1951"/>
      <c r="BK319" s="1951"/>
      <c r="BL319" s="1951"/>
      <c r="BM319" s="1951"/>
      <c r="BN319" s="1951"/>
      <c r="BO319" s="1951"/>
      <c r="BP319" s="1951"/>
      <c r="BQ319" s="1951"/>
      <c r="BR319" s="1951"/>
      <c r="BS319" s="1951"/>
      <c r="BT319" s="1951"/>
      <c r="BU319" s="1951"/>
      <c r="BV319" s="1951"/>
      <c r="BW319" s="1951"/>
      <c r="BX319" s="1951"/>
      <c r="BY319" s="1951"/>
      <c r="BZ319" s="1951"/>
      <c r="CA319" s="1951"/>
      <c r="CB319" s="1951"/>
      <c r="CC319" s="1951"/>
      <c r="CD319" s="1951"/>
      <c r="CE319" s="1951"/>
      <c r="CF319" s="1951"/>
      <c r="CG319" s="1951"/>
      <c r="CH319" s="1951"/>
      <c r="CI319" s="1951"/>
      <c r="CJ319" s="1951"/>
      <c r="CK319" s="1951"/>
      <c r="CL319" s="1951"/>
      <c r="CM319" s="1951"/>
      <c r="CN319" s="1951"/>
      <c r="CO319" s="1951"/>
      <c r="CP319" s="1951"/>
      <c r="CQ319" s="1951"/>
      <c r="CR319" s="1951"/>
      <c r="CS319" s="1951"/>
    </row>
    <row r="320" spans="1:97" s="1771" customFormat="1" ht="13.5" customHeight="1">
      <c r="A320" s="2071"/>
      <c r="B320" s="2026"/>
      <c r="C320" s="2026">
        <v>741</v>
      </c>
      <c r="D320" s="2026" t="s">
        <v>1822</v>
      </c>
      <c r="E320" s="2026"/>
      <c r="F320" s="2055"/>
      <c r="G320" s="1992"/>
      <c r="H320" s="2024">
        <f>SUM(H321:H340)</f>
        <v>0</v>
      </c>
      <c r="I320" s="2029"/>
      <c r="K320" s="1772"/>
      <c r="L320" s="1772"/>
      <c r="M320" s="1772"/>
      <c r="N320" s="1772"/>
      <c r="O320" s="1772"/>
      <c r="P320" s="1772"/>
    </row>
    <row r="321" spans="1:121" s="2123" customFormat="1" ht="13.5" customHeight="1">
      <c r="A321" s="2071" t="s">
        <v>3946</v>
      </c>
      <c r="B321" s="2046">
        <v>741</v>
      </c>
      <c r="C321" s="2117" t="s">
        <v>1823</v>
      </c>
      <c r="D321" s="120" t="s">
        <v>1824</v>
      </c>
      <c r="E321" s="2118" t="s">
        <v>49</v>
      </c>
      <c r="F321" s="2051">
        <f>ROUND(SUM(F322),3)</f>
        <v>1</v>
      </c>
      <c r="G321" s="1992"/>
      <c r="H321" s="2100">
        <f t="shared" ref="H321" si="73">ROUND(F321*G321,2)</f>
        <v>0</v>
      </c>
      <c r="I321" s="2119" t="s">
        <v>111</v>
      </c>
      <c r="J321" s="2120"/>
      <c r="K321" s="2121"/>
      <c r="L321" s="2122"/>
      <c r="M321" s="2122"/>
      <c r="N321" s="2121"/>
      <c r="P321" s="2124"/>
      <c r="Q321" s="2124"/>
      <c r="R321" s="2124"/>
      <c r="S321" s="2124"/>
      <c r="T321" s="2124"/>
    </row>
    <row r="322" spans="1:121" s="2123" customFormat="1" ht="13.5" customHeight="1">
      <c r="A322" s="2125"/>
      <c r="B322" s="2118"/>
      <c r="C322" s="2118"/>
      <c r="D322" s="118" t="s">
        <v>1825</v>
      </c>
      <c r="E322" s="2118"/>
      <c r="F322" s="2126">
        <v>1</v>
      </c>
      <c r="G322" s="2170"/>
      <c r="H322" s="2127"/>
      <c r="I322" s="2119"/>
      <c r="J322" s="2120"/>
      <c r="K322" s="2121"/>
      <c r="L322" s="2122"/>
      <c r="M322" s="2122"/>
      <c r="P322" s="2124"/>
      <c r="Q322" s="2124"/>
      <c r="R322" s="2124"/>
      <c r="S322" s="2124"/>
      <c r="T322" s="2124"/>
    </row>
    <row r="323" spans="1:121" s="2123" customFormat="1" ht="40.5" customHeight="1">
      <c r="A323" s="2125"/>
      <c r="B323" s="2118"/>
      <c r="C323" s="2118"/>
      <c r="D323" s="118" t="s">
        <v>1826</v>
      </c>
      <c r="E323" s="2118"/>
      <c r="F323" s="2128"/>
      <c r="G323" s="2170"/>
      <c r="H323" s="2127"/>
      <c r="I323" s="2119"/>
    </row>
    <row r="324" spans="1:121" s="2123" customFormat="1" ht="13.5" customHeight="1">
      <c r="A324" s="2071" t="s">
        <v>3947</v>
      </c>
      <c r="B324" s="2046">
        <v>741</v>
      </c>
      <c r="C324" s="2117" t="s">
        <v>1827</v>
      </c>
      <c r="D324" s="120" t="s">
        <v>1828</v>
      </c>
      <c r="E324" s="2118" t="s">
        <v>49</v>
      </c>
      <c r="F324" s="2051">
        <f>ROUND(SUM(F325),3)</f>
        <v>1</v>
      </c>
      <c r="G324" s="1992"/>
      <c r="H324" s="2100">
        <f t="shared" ref="H324" si="74">ROUND(F324*G324,2)</f>
        <v>0</v>
      </c>
      <c r="I324" s="2119" t="s">
        <v>111</v>
      </c>
      <c r="J324" s="2120"/>
      <c r="K324" s="2121"/>
      <c r="L324" s="2122"/>
      <c r="M324" s="2122"/>
      <c r="N324" s="2121"/>
      <c r="P324" s="2124"/>
      <c r="Q324" s="2124"/>
      <c r="R324" s="2124"/>
      <c r="S324" s="2124"/>
      <c r="T324" s="2124"/>
    </row>
    <row r="325" spans="1:121" s="2123" customFormat="1" ht="27" customHeight="1">
      <c r="A325" s="2125"/>
      <c r="B325" s="2118"/>
      <c r="C325" s="2118"/>
      <c r="D325" s="118" t="s">
        <v>1829</v>
      </c>
      <c r="E325" s="2118"/>
      <c r="F325" s="2126">
        <v>1</v>
      </c>
      <c r="G325" s="2170"/>
      <c r="H325" s="2127"/>
      <c r="I325" s="2119"/>
      <c r="J325" s="2120"/>
      <c r="K325" s="2121"/>
      <c r="L325" s="2122"/>
      <c r="M325" s="2122"/>
      <c r="P325" s="2124"/>
      <c r="Q325" s="2124"/>
      <c r="R325" s="2124"/>
      <c r="S325" s="2124"/>
      <c r="T325" s="2124"/>
    </row>
    <row r="326" spans="1:121" s="2123" customFormat="1" ht="40.5" customHeight="1">
      <c r="A326" s="2125"/>
      <c r="B326" s="2118"/>
      <c r="C326" s="2118"/>
      <c r="D326" s="118" t="s">
        <v>1830</v>
      </c>
      <c r="E326" s="2118"/>
      <c r="F326" s="2128"/>
      <c r="G326" s="2170"/>
      <c r="H326" s="2127"/>
      <c r="I326" s="2119"/>
      <c r="J326" s="2129"/>
    </row>
    <row r="327" spans="1:121" s="2123" customFormat="1" ht="40.5" customHeight="1">
      <c r="A327" s="2130" t="s">
        <v>3948</v>
      </c>
      <c r="B327" s="2046">
        <v>741</v>
      </c>
      <c r="C327" s="2117" t="s">
        <v>1831</v>
      </c>
      <c r="D327" s="121" t="s">
        <v>1832</v>
      </c>
      <c r="E327" s="2118" t="s">
        <v>49</v>
      </c>
      <c r="F327" s="2051">
        <f>ROUND(SUM(F328),3)</f>
        <v>1</v>
      </c>
      <c r="G327" s="5240" t="s">
        <v>6477</v>
      </c>
      <c r="H327" s="5241"/>
      <c r="I327" s="2119" t="s">
        <v>111</v>
      </c>
      <c r="J327" s="2131"/>
      <c r="P327" s="2124"/>
      <c r="Q327" s="2124"/>
      <c r="R327" s="2124"/>
      <c r="S327" s="2124"/>
      <c r="T327" s="2124"/>
    </row>
    <row r="328" spans="1:121" s="2123" customFormat="1" ht="13.5" customHeight="1">
      <c r="A328" s="2125"/>
      <c r="B328" s="2118"/>
      <c r="C328" s="2118"/>
      <c r="D328" s="118" t="s">
        <v>1833</v>
      </c>
      <c r="E328" s="2118"/>
      <c r="F328" s="2126">
        <v>1</v>
      </c>
      <c r="G328" s="2170"/>
      <c r="H328" s="2127"/>
      <c r="I328" s="2119"/>
      <c r="J328" s="2132"/>
      <c r="P328" s="2124"/>
      <c r="Q328" s="2124"/>
      <c r="R328" s="2124"/>
      <c r="S328" s="2124"/>
      <c r="T328" s="2124"/>
    </row>
    <row r="329" spans="1:121" s="2123" customFormat="1" ht="27" customHeight="1">
      <c r="A329" s="2125"/>
      <c r="B329" s="2118"/>
      <c r="C329" s="2118"/>
      <c r="D329" s="118" t="s">
        <v>1834</v>
      </c>
      <c r="E329" s="2118"/>
      <c r="F329" s="2128"/>
      <c r="G329" s="2170"/>
      <c r="H329" s="2127"/>
      <c r="I329" s="2119"/>
      <c r="J329" s="2129"/>
    </row>
    <row r="330" spans="1:121" s="593" customFormat="1" ht="67.5" customHeight="1">
      <c r="A330" s="2133"/>
      <c r="B330" s="2134"/>
      <c r="C330" s="2135"/>
      <c r="D330" s="1958" t="s">
        <v>310</v>
      </c>
      <c r="E330" s="2118"/>
      <c r="F330" s="2136"/>
      <c r="G330" s="2005"/>
      <c r="H330" s="2137"/>
      <c r="I330" s="2138"/>
      <c r="J330" s="2139"/>
      <c r="K330" s="590"/>
      <c r="L330" s="591"/>
      <c r="M330" s="2140"/>
    </row>
    <row r="331" spans="1:121" s="251" customFormat="1" ht="13.5" customHeight="1">
      <c r="A331" s="2045" t="s">
        <v>3023</v>
      </c>
      <c r="B331" s="2046">
        <v>741</v>
      </c>
      <c r="C331" s="2117" t="s">
        <v>1835</v>
      </c>
      <c r="D331" s="2046" t="s">
        <v>1836</v>
      </c>
      <c r="E331" s="2046" t="s">
        <v>49</v>
      </c>
      <c r="F331" s="2051">
        <f>ROUND(SUM(F333),3)</f>
        <v>1</v>
      </c>
      <c r="G331" s="1992"/>
      <c r="H331" s="2100">
        <f t="shared" ref="H331" si="75">ROUND(F331*G331,2)</f>
        <v>0</v>
      </c>
      <c r="I331" s="2047" t="s">
        <v>111</v>
      </c>
      <c r="J331" s="2120"/>
      <c r="K331" s="2121"/>
      <c r="L331" s="2122"/>
      <c r="M331" s="2122"/>
    </row>
    <row r="332" spans="1:121" s="1952" customFormat="1" ht="27" customHeight="1">
      <c r="A332" s="2141"/>
      <c r="B332" s="2142"/>
      <c r="C332" s="2142"/>
      <c r="D332" s="145" t="s">
        <v>1837</v>
      </c>
      <c r="E332" s="2142"/>
      <c r="F332" s="2052"/>
      <c r="G332" s="2171"/>
      <c r="H332" s="1782"/>
      <c r="I332" s="2029"/>
      <c r="J332" s="2120"/>
      <c r="K332" s="2121"/>
      <c r="L332" s="2122"/>
      <c r="M332" s="2122"/>
      <c r="N332" s="1951"/>
      <c r="O332" s="1951"/>
      <c r="P332" s="1951"/>
      <c r="Q332" s="1951"/>
      <c r="R332" s="1951"/>
      <c r="S332" s="1951"/>
      <c r="T332" s="1951"/>
      <c r="U332" s="1951"/>
      <c r="V332" s="1951"/>
      <c r="W332" s="1951"/>
      <c r="X332" s="1951"/>
      <c r="Y332" s="1951"/>
      <c r="Z332" s="1951"/>
      <c r="AA332" s="1951"/>
      <c r="AB332" s="1951"/>
      <c r="AC332" s="1951"/>
      <c r="AD332" s="1951"/>
      <c r="AE332" s="1951"/>
      <c r="AF332" s="1951"/>
      <c r="AG332" s="1951"/>
      <c r="AH332" s="1951"/>
      <c r="AI332" s="1951"/>
      <c r="AJ332" s="1951"/>
      <c r="AK332" s="1951"/>
      <c r="AL332" s="1951"/>
      <c r="AM332" s="1951"/>
      <c r="AN332" s="1951"/>
      <c r="AO332" s="1951"/>
      <c r="AP332" s="1951"/>
      <c r="AQ332" s="1951"/>
      <c r="AR332" s="1951"/>
      <c r="AS332" s="1951"/>
      <c r="AT332" s="1951"/>
      <c r="AU332" s="1951"/>
      <c r="AV332" s="1951"/>
      <c r="AW332" s="1951"/>
      <c r="AX332" s="1951"/>
      <c r="AY332" s="1951"/>
      <c r="AZ332" s="1951"/>
      <c r="BA332" s="1951"/>
      <c r="BB332" s="1951"/>
      <c r="BC332" s="1951"/>
      <c r="BD332" s="1951"/>
      <c r="BE332" s="1951"/>
      <c r="BF332" s="1951"/>
      <c r="BG332" s="1951"/>
      <c r="BH332" s="1951"/>
      <c r="BI332" s="1951"/>
      <c r="BJ332" s="1951"/>
      <c r="BK332" s="1951"/>
      <c r="BL332" s="1951"/>
      <c r="BM332" s="1951"/>
      <c r="BN332" s="1951"/>
      <c r="BO332" s="1951"/>
      <c r="BP332" s="1951"/>
      <c r="BQ332" s="1951"/>
      <c r="BR332" s="1951"/>
      <c r="BS332" s="1951"/>
      <c r="BT332" s="1951"/>
      <c r="BU332" s="1951"/>
      <c r="BV332" s="1951"/>
      <c r="BW332" s="1951"/>
      <c r="BX332" s="1951"/>
      <c r="BY332" s="1951"/>
      <c r="BZ332" s="1951"/>
      <c r="CA332" s="1951"/>
      <c r="CB332" s="1951"/>
      <c r="CC332" s="1951"/>
      <c r="CD332" s="1951"/>
      <c r="CE332" s="1951"/>
      <c r="CF332" s="1951"/>
      <c r="CG332" s="1951"/>
      <c r="CH332" s="1951"/>
      <c r="CI332" s="1951"/>
      <c r="CJ332" s="1951"/>
      <c r="CK332" s="1951"/>
      <c r="CL332" s="1951"/>
      <c r="CM332" s="1951"/>
      <c r="CN332" s="1951"/>
      <c r="CO332" s="1951"/>
      <c r="CP332" s="1951"/>
      <c r="CQ332" s="1951"/>
      <c r="CR332" s="1951"/>
      <c r="CS332" s="1951"/>
      <c r="CT332" s="1951"/>
      <c r="CU332" s="1951"/>
      <c r="CV332" s="1951"/>
      <c r="CW332" s="1951"/>
      <c r="CX332" s="1951"/>
      <c r="CY332" s="1951"/>
      <c r="CZ332" s="1951"/>
      <c r="DA332" s="1951"/>
      <c r="DB332" s="1951"/>
      <c r="DC332" s="1951"/>
      <c r="DD332" s="1951"/>
      <c r="DE332" s="1951"/>
      <c r="DF332" s="1951"/>
      <c r="DG332" s="1951"/>
      <c r="DH332" s="1951"/>
      <c r="DI332" s="1951"/>
      <c r="DJ332" s="1951"/>
      <c r="DK332" s="1951"/>
      <c r="DL332" s="1951"/>
      <c r="DM332" s="1951"/>
      <c r="DN332" s="1951"/>
      <c r="DO332" s="1951"/>
      <c r="DP332" s="1951"/>
      <c r="DQ332" s="1951"/>
    </row>
    <row r="333" spans="1:121" s="1952" customFormat="1" ht="13.5" customHeight="1">
      <c r="A333" s="2141"/>
      <c r="B333" s="2142"/>
      <c r="C333" s="2142"/>
      <c r="D333" s="145" t="s">
        <v>1838</v>
      </c>
      <c r="E333" s="2142"/>
      <c r="F333" s="2052">
        <v>1</v>
      </c>
      <c r="G333" s="2171"/>
      <c r="H333" s="1782"/>
      <c r="I333" s="2029"/>
      <c r="J333" s="1951"/>
      <c r="K333" s="1951"/>
      <c r="L333" s="1951"/>
      <c r="M333" s="1951"/>
      <c r="N333" s="1951"/>
      <c r="O333" s="1951"/>
      <c r="P333" s="1951"/>
      <c r="Q333" s="1951"/>
      <c r="R333" s="1951"/>
      <c r="S333" s="1951"/>
      <c r="T333" s="1951"/>
      <c r="U333" s="1951"/>
      <c r="V333" s="1951"/>
      <c r="W333" s="1951"/>
      <c r="X333" s="1951"/>
      <c r="Y333" s="1951"/>
      <c r="Z333" s="1951"/>
      <c r="AA333" s="1951"/>
      <c r="AB333" s="1951"/>
      <c r="AC333" s="1951"/>
      <c r="AD333" s="1951"/>
      <c r="AE333" s="1951"/>
      <c r="AF333" s="1951"/>
      <c r="AG333" s="1951"/>
      <c r="AH333" s="1951"/>
      <c r="AI333" s="1951"/>
      <c r="AJ333" s="1951"/>
      <c r="AK333" s="1951"/>
      <c r="AL333" s="1951"/>
      <c r="AM333" s="1951"/>
      <c r="AN333" s="1951"/>
      <c r="AO333" s="1951"/>
      <c r="AP333" s="1951"/>
      <c r="AQ333" s="1951"/>
      <c r="AR333" s="1951"/>
      <c r="AS333" s="1951"/>
      <c r="AT333" s="1951"/>
      <c r="AU333" s="1951"/>
      <c r="AV333" s="1951"/>
      <c r="AW333" s="1951"/>
      <c r="AX333" s="1951"/>
      <c r="AY333" s="1951"/>
      <c r="AZ333" s="1951"/>
      <c r="BA333" s="1951"/>
      <c r="BB333" s="1951"/>
      <c r="BC333" s="1951"/>
      <c r="BD333" s="1951"/>
      <c r="BE333" s="1951"/>
      <c r="BF333" s="1951"/>
      <c r="BG333" s="1951"/>
      <c r="BH333" s="1951"/>
      <c r="BI333" s="1951"/>
      <c r="BJ333" s="1951"/>
      <c r="BK333" s="1951"/>
      <c r="BL333" s="1951"/>
      <c r="BM333" s="1951"/>
      <c r="BN333" s="1951"/>
      <c r="BO333" s="1951"/>
      <c r="BP333" s="1951"/>
      <c r="BQ333" s="1951"/>
      <c r="BR333" s="1951"/>
      <c r="BS333" s="1951"/>
      <c r="BT333" s="1951"/>
      <c r="BU333" s="1951"/>
      <c r="BV333" s="1951"/>
      <c r="BW333" s="1951"/>
      <c r="BX333" s="1951"/>
      <c r="BY333" s="1951"/>
      <c r="BZ333" s="1951"/>
      <c r="CA333" s="1951"/>
      <c r="CB333" s="1951"/>
      <c r="CC333" s="1951"/>
      <c r="CD333" s="1951"/>
      <c r="CE333" s="1951"/>
      <c r="CF333" s="1951"/>
      <c r="CG333" s="1951"/>
      <c r="CH333" s="1951"/>
      <c r="CI333" s="1951"/>
      <c r="CJ333" s="1951"/>
      <c r="CK333" s="1951"/>
      <c r="CL333" s="1951"/>
      <c r="CM333" s="1951"/>
      <c r="CN333" s="1951"/>
      <c r="CO333" s="1951"/>
      <c r="CP333" s="1951"/>
      <c r="CQ333" s="1951"/>
      <c r="CR333" s="1951"/>
      <c r="CS333" s="1951"/>
      <c r="CT333" s="1951"/>
      <c r="CU333" s="1951"/>
      <c r="CV333" s="1951"/>
      <c r="CW333" s="1951"/>
      <c r="CX333" s="1951"/>
      <c r="CY333" s="1951"/>
      <c r="CZ333" s="1951"/>
      <c r="DA333" s="1951"/>
      <c r="DB333" s="1951"/>
      <c r="DC333" s="1951"/>
      <c r="DD333" s="1951"/>
      <c r="DE333" s="1951"/>
      <c r="DF333" s="1951"/>
      <c r="DG333" s="1951"/>
      <c r="DH333" s="1951"/>
      <c r="DI333" s="1951"/>
      <c r="DJ333" s="1951"/>
      <c r="DK333" s="1951"/>
      <c r="DL333" s="1951"/>
      <c r="DM333" s="1951"/>
      <c r="DN333" s="1951"/>
      <c r="DO333" s="1951"/>
      <c r="DP333" s="1951"/>
      <c r="DQ333" s="1951"/>
    </row>
    <row r="334" spans="1:121" s="251" customFormat="1" ht="13.5" customHeight="1">
      <c r="A334" s="2071" t="s">
        <v>3027</v>
      </c>
      <c r="B334" s="2046">
        <v>741</v>
      </c>
      <c r="C334" s="2117" t="s">
        <v>1839</v>
      </c>
      <c r="D334" s="2046" t="s">
        <v>1840</v>
      </c>
      <c r="E334" s="2066" t="s">
        <v>49</v>
      </c>
      <c r="F334" s="2032">
        <v>1</v>
      </c>
      <c r="G334" s="1992"/>
      <c r="H334" s="2100">
        <f t="shared" ref="H334:H338" si="76">ROUND(F334*G334,2)</f>
        <v>0</v>
      </c>
      <c r="I334" s="2119" t="s">
        <v>111</v>
      </c>
    </row>
    <row r="335" spans="1:121" s="1771" customFormat="1" ht="13.5" customHeight="1">
      <c r="A335" s="2143">
        <v>87</v>
      </c>
      <c r="B335" s="2046">
        <v>741</v>
      </c>
      <c r="C335" s="2117" t="s">
        <v>1841</v>
      </c>
      <c r="D335" s="119" t="s">
        <v>1842</v>
      </c>
      <c r="E335" s="119" t="s">
        <v>49</v>
      </c>
      <c r="F335" s="2032">
        <v>1</v>
      </c>
      <c r="G335" s="1992"/>
      <c r="H335" s="2100">
        <f t="shared" si="76"/>
        <v>0</v>
      </c>
      <c r="I335" s="2119" t="s">
        <v>111</v>
      </c>
      <c r="J335" s="2144"/>
      <c r="L335" s="251"/>
    </row>
    <row r="336" spans="1:121" s="1850" customFormat="1" ht="27" customHeight="1">
      <c r="A336" s="2145">
        <v>88</v>
      </c>
      <c r="B336" s="2146">
        <v>741</v>
      </c>
      <c r="C336" s="2046" t="s">
        <v>1978</v>
      </c>
      <c r="D336" s="2147" t="s">
        <v>1977</v>
      </c>
      <c r="E336" s="2147" t="s">
        <v>141</v>
      </c>
      <c r="F336" s="2148">
        <v>90</v>
      </c>
      <c r="G336" s="5240" t="s">
        <v>6278</v>
      </c>
      <c r="H336" s="5241"/>
      <c r="I336" s="2149" t="s">
        <v>137</v>
      </c>
      <c r="J336" s="1925"/>
      <c r="K336" s="1806"/>
      <c r="L336" s="1806"/>
      <c r="M336" s="1807"/>
      <c r="N336" s="1808"/>
      <c r="O336" s="1960"/>
      <c r="Q336" s="1807"/>
    </row>
    <row r="337" spans="1:97" s="1968" customFormat="1" ht="13.5" customHeight="1">
      <c r="A337" s="2045" t="s">
        <v>3949</v>
      </c>
      <c r="B337" s="2046">
        <v>741</v>
      </c>
      <c r="C337" s="2046">
        <v>998741312</v>
      </c>
      <c r="D337" s="2046" t="s">
        <v>3801</v>
      </c>
      <c r="E337" s="2046" t="s">
        <v>10</v>
      </c>
      <c r="F337" s="2032">
        <v>0.78</v>
      </c>
      <c r="G337" s="1992"/>
      <c r="H337" s="2100">
        <f t="shared" si="76"/>
        <v>0</v>
      </c>
      <c r="I337" s="2047" t="s">
        <v>1801</v>
      </c>
      <c r="J337" s="1962"/>
      <c r="K337" s="2049"/>
      <c r="L337" s="2050"/>
      <c r="M337" s="2050"/>
      <c r="N337" s="2050"/>
      <c r="O337" s="2050"/>
      <c r="P337" s="2050"/>
      <c r="Q337" s="251"/>
      <c r="R337" s="251"/>
      <c r="S337" s="251"/>
      <c r="T337" s="251"/>
      <c r="U337" s="251"/>
      <c r="V337" s="251"/>
      <c r="W337" s="251"/>
      <c r="X337" s="251"/>
      <c r="Y337" s="251"/>
      <c r="Z337" s="251"/>
      <c r="AA337" s="251"/>
      <c r="AB337" s="251"/>
      <c r="AC337" s="251"/>
      <c r="AD337" s="251"/>
      <c r="AE337" s="251"/>
      <c r="AF337" s="251"/>
      <c r="AG337" s="251"/>
      <c r="AH337" s="251"/>
      <c r="AI337" s="251"/>
      <c r="AJ337" s="251"/>
      <c r="AK337" s="251"/>
      <c r="AL337" s="251"/>
      <c r="AM337" s="251"/>
      <c r="AN337" s="251"/>
      <c r="AO337" s="251"/>
      <c r="AP337" s="251"/>
      <c r="AQ337" s="251"/>
      <c r="AR337" s="251"/>
      <c r="AS337" s="251"/>
      <c r="AT337" s="251"/>
      <c r="AU337" s="251"/>
      <c r="AV337" s="251"/>
      <c r="AW337" s="251"/>
      <c r="AX337" s="251"/>
      <c r="AY337" s="251"/>
      <c r="AZ337" s="251"/>
      <c r="BA337" s="251"/>
      <c r="BB337" s="251"/>
      <c r="BC337" s="251"/>
      <c r="BD337" s="251"/>
      <c r="BE337" s="251"/>
      <c r="BF337" s="251"/>
      <c r="BG337" s="251"/>
      <c r="BH337" s="251"/>
      <c r="BI337" s="251"/>
      <c r="BJ337" s="251"/>
      <c r="BK337" s="251"/>
      <c r="BL337" s="251"/>
      <c r="BM337" s="251"/>
      <c r="BN337" s="251"/>
      <c r="BO337" s="251"/>
      <c r="BP337" s="251"/>
      <c r="BQ337" s="251"/>
      <c r="BR337" s="251"/>
      <c r="BS337" s="251"/>
      <c r="BT337" s="251"/>
      <c r="BU337" s="251"/>
      <c r="BV337" s="251"/>
      <c r="BW337" s="251"/>
      <c r="BX337" s="251"/>
      <c r="BY337" s="251"/>
      <c r="BZ337" s="251"/>
      <c r="CA337" s="251"/>
      <c r="CB337" s="251"/>
      <c r="CC337" s="251"/>
      <c r="CD337" s="251"/>
      <c r="CE337" s="251"/>
      <c r="CF337" s="251"/>
      <c r="CG337" s="251"/>
      <c r="CH337" s="251"/>
      <c r="CI337" s="251"/>
      <c r="CJ337" s="251"/>
      <c r="CK337" s="251"/>
      <c r="CL337" s="251"/>
      <c r="CM337" s="251"/>
      <c r="CN337" s="251"/>
      <c r="CO337" s="251"/>
      <c r="CP337" s="251"/>
      <c r="CQ337" s="251"/>
      <c r="CR337" s="251"/>
      <c r="CS337" s="251"/>
    </row>
    <row r="338" spans="1:97" s="1952" customFormat="1" ht="13.5" customHeight="1">
      <c r="A338" s="2045" t="s">
        <v>3043</v>
      </c>
      <c r="B338" s="2046" t="s">
        <v>362</v>
      </c>
      <c r="C338" s="2046" t="s">
        <v>1802</v>
      </c>
      <c r="D338" s="2046" t="s">
        <v>1803</v>
      </c>
      <c r="E338" s="2046" t="s">
        <v>69</v>
      </c>
      <c r="F338" s="2051">
        <f>ROUND(SUM(F339),3)</f>
        <v>20</v>
      </c>
      <c r="G338" s="1992"/>
      <c r="H338" s="2100">
        <f t="shared" si="76"/>
        <v>0</v>
      </c>
      <c r="I338" s="2047" t="s">
        <v>1801</v>
      </c>
      <c r="J338" s="2020"/>
      <c r="K338" s="2050"/>
      <c r="L338" s="2050"/>
      <c r="M338" s="2050"/>
      <c r="N338" s="2050"/>
      <c r="O338" s="2050"/>
      <c r="P338" s="2050"/>
      <c r="Q338" s="1951"/>
      <c r="R338" s="1951"/>
      <c r="S338" s="1951"/>
      <c r="T338" s="1951"/>
      <c r="U338" s="1951"/>
      <c r="V338" s="1951"/>
      <c r="W338" s="1951"/>
      <c r="X338" s="1951"/>
      <c r="Y338" s="1951"/>
      <c r="Z338" s="1951"/>
      <c r="AA338" s="1951"/>
      <c r="AB338" s="1951"/>
      <c r="AC338" s="1951"/>
      <c r="AD338" s="1951"/>
      <c r="AE338" s="1951"/>
      <c r="AF338" s="1951"/>
      <c r="AG338" s="1951"/>
      <c r="AH338" s="1951"/>
      <c r="AI338" s="1951"/>
      <c r="AJ338" s="1951"/>
      <c r="AK338" s="1951"/>
      <c r="AL338" s="1951"/>
      <c r="AM338" s="1951"/>
      <c r="AN338" s="1951"/>
      <c r="AO338" s="1951"/>
      <c r="AP338" s="1951"/>
      <c r="AQ338" s="1951"/>
      <c r="AR338" s="1951"/>
      <c r="AS338" s="1951"/>
      <c r="AT338" s="1951"/>
      <c r="AU338" s="1951"/>
      <c r="AV338" s="1951"/>
      <c r="AW338" s="1951"/>
      <c r="AX338" s="1951"/>
      <c r="AY338" s="1951"/>
      <c r="AZ338" s="1951"/>
      <c r="BA338" s="1951"/>
      <c r="BB338" s="1951"/>
      <c r="BC338" s="1951"/>
      <c r="BD338" s="1951"/>
      <c r="BE338" s="1951"/>
      <c r="BF338" s="1951"/>
      <c r="BG338" s="1951"/>
      <c r="BH338" s="1951"/>
      <c r="BI338" s="1951"/>
      <c r="BJ338" s="1951"/>
      <c r="BK338" s="1951"/>
      <c r="BL338" s="1951"/>
      <c r="BM338" s="1951"/>
      <c r="BN338" s="1951"/>
      <c r="BO338" s="1951"/>
      <c r="BP338" s="1951"/>
      <c r="BQ338" s="1951"/>
      <c r="BR338" s="1951"/>
      <c r="BS338" s="1951"/>
      <c r="BT338" s="1951"/>
      <c r="BU338" s="1951"/>
      <c r="BV338" s="1951"/>
      <c r="BW338" s="1951"/>
      <c r="BX338" s="1951"/>
      <c r="BY338" s="1951"/>
      <c r="BZ338" s="1951"/>
      <c r="CA338" s="1951"/>
      <c r="CB338" s="1951"/>
      <c r="CC338" s="1951"/>
      <c r="CD338" s="1951"/>
      <c r="CE338" s="1951"/>
      <c r="CF338" s="1951"/>
      <c r="CG338" s="1951"/>
      <c r="CH338" s="1951"/>
      <c r="CI338" s="1951"/>
      <c r="CJ338" s="1951"/>
      <c r="CK338" s="1951"/>
      <c r="CL338" s="1951"/>
      <c r="CM338" s="1951"/>
      <c r="CN338" s="1951"/>
      <c r="CO338" s="1951"/>
      <c r="CP338" s="1951"/>
      <c r="CQ338" s="1951"/>
      <c r="CR338" s="1951"/>
      <c r="CS338" s="1951"/>
    </row>
    <row r="339" spans="1:97" s="1952" customFormat="1" ht="13.5" customHeight="1">
      <c r="A339" s="2045"/>
      <c r="B339" s="2046"/>
      <c r="C339" s="2046"/>
      <c r="D339" s="145" t="s">
        <v>1804</v>
      </c>
      <c r="E339" s="2046"/>
      <c r="F339" s="2052">
        <v>20</v>
      </c>
      <c r="G339" s="1992"/>
      <c r="H339" s="1782"/>
      <c r="I339" s="2047"/>
      <c r="J339" s="1951"/>
      <c r="K339" s="2050"/>
      <c r="L339" s="2050"/>
      <c r="M339" s="2050"/>
      <c r="N339" s="2050"/>
      <c r="O339" s="2050"/>
      <c r="P339" s="2050"/>
      <c r="Q339" s="1951"/>
      <c r="R339" s="1951"/>
      <c r="S339" s="1951"/>
      <c r="T339" s="1951"/>
      <c r="U339" s="1951"/>
      <c r="V339" s="1951"/>
      <c r="W339" s="1951"/>
      <c r="X339" s="1951"/>
      <c r="Y339" s="1951"/>
      <c r="Z339" s="1951"/>
      <c r="AA339" s="1951"/>
      <c r="AB339" s="1951"/>
      <c r="AC339" s="1951"/>
      <c r="AD339" s="1951"/>
      <c r="AE339" s="1951"/>
      <c r="AF339" s="1951"/>
      <c r="AG339" s="1951"/>
      <c r="AH339" s="1951"/>
      <c r="AI339" s="1951"/>
      <c r="AJ339" s="1951"/>
      <c r="AK339" s="1951"/>
      <c r="AL339" s="1951"/>
      <c r="AM339" s="1951"/>
      <c r="AN339" s="1951"/>
      <c r="AO339" s="1951"/>
      <c r="AP339" s="1951"/>
      <c r="AQ339" s="1951"/>
      <c r="AR339" s="1951"/>
      <c r="AS339" s="1951"/>
      <c r="AT339" s="1951"/>
      <c r="AU339" s="1951"/>
      <c r="AV339" s="1951"/>
      <c r="AW339" s="1951"/>
      <c r="AX339" s="1951"/>
      <c r="AY339" s="1951"/>
      <c r="AZ339" s="1951"/>
      <c r="BA339" s="1951"/>
      <c r="BB339" s="1951"/>
      <c r="BC339" s="1951"/>
      <c r="BD339" s="1951"/>
      <c r="BE339" s="1951"/>
      <c r="BF339" s="1951"/>
      <c r="BG339" s="1951"/>
      <c r="BH339" s="1951"/>
      <c r="BI339" s="1951"/>
      <c r="BJ339" s="1951"/>
      <c r="BK339" s="1951"/>
      <c r="BL339" s="1951"/>
      <c r="BM339" s="1951"/>
      <c r="BN339" s="1951"/>
      <c r="BO339" s="1951"/>
      <c r="BP339" s="1951"/>
      <c r="BQ339" s="1951"/>
      <c r="BR339" s="1951"/>
      <c r="BS339" s="1951"/>
      <c r="BT339" s="1951"/>
      <c r="BU339" s="1951"/>
      <c r="BV339" s="1951"/>
      <c r="BW339" s="1951"/>
      <c r="BX339" s="1951"/>
      <c r="BY339" s="1951"/>
      <c r="BZ339" s="1951"/>
      <c r="CA339" s="1951"/>
      <c r="CB339" s="1951"/>
      <c r="CC339" s="1951"/>
      <c r="CD339" s="1951"/>
      <c r="CE339" s="1951"/>
      <c r="CF339" s="1951"/>
      <c r="CG339" s="1951"/>
      <c r="CH339" s="1951"/>
      <c r="CI339" s="1951"/>
      <c r="CJ339" s="1951"/>
      <c r="CK339" s="1951"/>
      <c r="CL339" s="1951"/>
      <c r="CM339" s="1951"/>
      <c r="CN339" s="1951"/>
      <c r="CO339" s="1951"/>
      <c r="CP339" s="1951"/>
      <c r="CQ339" s="1951"/>
      <c r="CR339" s="1951"/>
      <c r="CS339" s="1951"/>
    </row>
    <row r="340" spans="1:97" s="1952" customFormat="1" ht="27" customHeight="1">
      <c r="A340" s="2045"/>
      <c r="B340" s="2046"/>
      <c r="C340" s="2046"/>
      <c r="D340" s="145" t="s">
        <v>1805</v>
      </c>
      <c r="E340" s="2046"/>
      <c r="F340" s="2032"/>
      <c r="G340" s="1992"/>
      <c r="H340" s="1782"/>
      <c r="I340" s="2047"/>
      <c r="J340" s="1951"/>
      <c r="K340" s="2050"/>
      <c r="L340" s="2050"/>
      <c r="M340" s="2050"/>
      <c r="N340" s="2053"/>
      <c r="O340" s="2050"/>
      <c r="P340" s="2050"/>
      <c r="Q340" s="1951"/>
      <c r="R340" s="1951"/>
      <c r="S340" s="1951"/>
      <c r="T340" s="1951"/>
      <c r="U340" s="1951"/>
      <c r="V340" s="1951"/>
      <c r="W340" s="1951"/>
      <c r="X340" s="1951"/>
      <c r="Y340" s="1951"/>
      <c r="Z340" s="1951"/>
      <c r="AA340" s="1951"/>
      <c r="AB340" s="1951"/>
      <c r="AC340" s="1951"/>
      <c r="AD340" s="1951"/>
      <c r="AE340" s="1951"/>
      <c r="AF340" s="1951"/>
      <c r="AG340" s="1951"/>
      <c r="AH340" s="1951"/>
      <c r="AI340" s="1951"/>
      <c r="AJ340" s="1951"/>
      <c r="AK340" s="1951"/>
      <c r="AL340" s="1951"/>
      <c r="AM340" s="1951"/>
      <c r="AN340" s="1951"/>
      <c r="AO340" s="1951"/>
      <c r="AP340" s="1951"/>
      <c r="AQ340" s="1951"/>
      <c r="AR340" s="1951"/>
      <c r="AS340" s="1951"/>
      <c r="AT340" s="1951"/>
      <c r="AU340" s="1951"/>
      <c r="AV340" s="1951"/>
      <c r="AW340" s="1951"/>
      <c r="AX340" s="1951"/>
      <c r="AY340" s="1951"/>
      <c r="AZ340" s="1951"/>
      <c r="BA340" s="1951"/>
      <c r="BB340" s="1951"/>
      <c r="BC340" s="1951"/>
      <c r="BD340" s="1951"/>
      <c r="BE340" s="1951"/>
      <c r="BF340" s="1951"/>
      <c r="BG340" s="1951"/>
      <c r="BH340" s="1951"/>
      <c r="BI340" s="1951"/>
      <c r="BJ340" s="1951"/>
      <c r="BK340" s="1951"/>
      <c r="BL340" s="1951"/>
      <c r="BM340" s="1951"/>
      <c r="BN340" s="1951"/>
      <c r="BO340" s="1951"/>
      <c r="BP340" s="1951"/>
      <c r="BQ340" s="1951"/>
      <c r="BR340" s="1951"/>
      <c r="BS340" s="1951"/>
      <c r="BT340" s="1951"/>
      <c r="BU340" s="1951"/>
      <c r="BV340" s="1951"/>
      <c r="BW340" s="1951"/>
      <c r="BX340" s="1951"/>
      <c r="BY340" s="1951"/>
      <c r="BZ340" s="1951"/>
      <c r="CA340" s="1951"/>
      <c r="CB340" s="1951"/>
      <c r="CC340" s="1951"/>
      <c r="CD340" s="1951"/>
      <c r="CE340" s="1951"/>
      <c r="CF340" s="1951"/>
      <c r="CG340" s="1951"/>
      <c r="CH340" s="1951"/>
      <c r="CI340" s="1951"/>
      <c r="CJ340" s="1951"/>
      <c r="CK340" s="1951"/>
      <c r="CL340" s="1951"/>
      <c r="CM340" s="1951"/>
      <c r="CN340" s="1951"/>
      <c r="CO340" s="1951"/>
      <c r="CP340" s="1951"/>
      <c r="CQ340" s="1951"/>
      <c r="CR340" s="1951"/>
      <c r="CS340" s="1951"/>
    </row>
    <row r="341" spans="1:97" s="122" customFormat="1" ht="21" customHeight="1">
      <c r="A341" s="1964"/>
      <c r="B341" s="1965"/>
      <c r="C341" s="1965"/>
      <c r="D341" s="1965" t="s">
        <v>0</v>
      </c>
      <c r="E341" s="1965"/>
      <c r="F341" s="2150"/>
      <c r="G341" s="2151"/>
      <c r="H341" s="2152">
        <f>H7</f>
        <v>0</v>
      </c>
      <c r="I341" s="1968"/>
    </row>
    <row r="342" spans="1:97" s="122" customFormat="1" ht="13.5" customHeight="1">
      <c r="A342" s="1964"/>
      <c r="B342" s="1965"/>
      <c r="C342" s="1965"/>
      <c r="D342" s="1965"/>
      <c r="E342" s="1965"/>
      <c r="F342" s="2150"/>
      <c r="G342" s="2151"/>
      <c r="H342" s="2153"/>
      <c r="I342" s="1968"/>
    </row>
    <row r="343" spans="1:97" s="1976" customFormat="1" ht="13.5" customHeight="1">
      <c r="A343" s="5234" t="s">
        <v>862</v>
      </c>
      <c r="B343" s="5235"/>
      <c r="C343" s="5236"/>
      <c r="D343" s="1969" t="s">
        <v>1405</v>
      </c>
      <c r="E343" s="1970"/>
      <c r="F343" s="2154"/>
      <c r="G343" s="2155"/>
      <c r="H343" s="2156">
        <f>H341</f>
        <v>0</v>
      </c>
      <c r="I343" s="1974"/>
      <c r="J343" s="1975"/>
      <c r="K343" s="1975"/>
      <c r="L343" s="1975"/>
      <c r="M343" s="1975"/>
      <c r="N343" s="1975"/>
      <c r="O343" s="1975"/>
      <c r="P343" s="1975"/>
      <c r="Q343" s="1975"/>
      <c r="R343" s="1975"/>
      <c r="S343" s="1975"/>
      <c r="T343" s="1975"/>
      <c r="U343" s="1975"/>
      <c r="V343" s="1975"/>
      <c r="W343" s="1975"/>
      <c r="X343" s="1975"/>
      <c r="Y343" s="1975"/>
      <c r="Z343" s="1975"/>
      <c r="AA343" s="1975"/>
      <c r="AB343" s="1975"/>
      <c r="AC343" s="1975"/>
      <c r="AD343" s="1975"/>
      <c r="AE343" s="1975"/>
      <c r="AF343" s="1975"/>
      <c r="AG343" s="1975"/>
      <c r="AH343" s="1975"/>
      <c r="AI343" s="1975"/>
      <c r="AJ343" s="1975"/>
      <c r="AK343" s="1975"/>
      <c r="AL343" s="1975"/>
      <c r="AM343" s="1975"/>
      <c r="AN343" s="1975"/>
      <c r="AO343" s="1975"/>
      <c r="AP343" s="1975"/>
      <c r="AQ343" s="1975"/>
      <c r="AR343" s="1975"/>
      <c r="AS343" s="1975"/>
      <c r="AT343" s="1975"/>
      <c r="AU343" s="1975"/>
      <c r="AV343" s="1975"/>
      <c r="AW343" s="1975"/>
      <c r="AX343" s="1975"/>
      <c r="AY343" s="1975"/>
      <c r="AZ343" s="1975"/>
      <c r="BA343" s="1975"/>
      <c r="BB343" s="1975"/>
      <c r="BC343" s="1975"/>
      <c r="BD343" s="1975"/>
    </row>
    <row r="344" spans="1:97" s="251" customFormat="1" ht="14.25" customHeight="1">
      <c r="A344" s="689"/>
      <c r="B344" s="1977"/>
      <c r="C344" s="689"/>
      <c r="D344" s="689"/>
      <c r="E344" s="689"/>
      <c r="F344" s="2157"/>
      <c r="G344" s="689"/>
      <c r="H344" s="1981"/>
      <c r="I344" s="691"/>
    </row>
    <row r="345" spans="1:97" s="251" customFormat="1" ht="14.25" customHeight="1">
      <c r="A345" s="689" t="s">
        <v>1</v>
      </c>
      <c r="B345" s="1977"/>
      <c r="C345" s="689"/>
      <c r="D345" s="689"/>
      <c r="E345" s="689"/>
      <c r="F345" s="689"/>
      <c r="G345" s="689"/>
      <c r="H345" s="689"/>
      <c r="I345" s="1980"/>
    </row>
    <row r="346" spans="1:97" s="251" customFormat="1" ht="27" customHeight="1">
      <c r="A346" s="5159" t="s">
        <v>1843</v>
      </c>
      <c r="B346" s="5159"/>
      <c r="C346" s="5159"/>
      <c r="D346" s="5159"/>
      <c r="E346" s="5159"/>
      <c r="F346" s="5159"/>
      <c r="G346" s="5159"/>
      <c r="H346" s="689"/>
      <c r="I346" s="1981"/>
    </row>
    <row r="347" spans="1:97" s="251" customFormat="1" ht="107.25" customHeight="1">
      <c r="A347" s="5159" t="s">
        <v>104</v>
      </c>
      <c r="B347" s="5159"/>
      <c r="C347" s="5159"/>
      <c r="D347" s="5159"/>
      <c r="E347" s="5159"/>
      <c r="F347" s="5159"/>
      <c r="G347" s="5159"/>
      <c r="H347" s="689"/>
      <c r="I347" s="689"/>
    </row>
    <row r="348" spans="1:97" s="251" customFormat="1" ht="13.5" customHeight="1">
      <c r="A348" s="5159" t="s">
        <v>105</v>
      </c>
      <c r="B348" s="5159"/>
      <c r="C348" s="5159"/>
      <c r="D348" s="5159"/>
      <c r="E348" s="5159"/>
      <c r="F348" s="5159"/>
      <c r="G348" s="5159"/>
      <c r="H348" s="691"/>
      <c r="I348" s="691"/>
    </row>
    <row r="349" spans="1:97" s="251" customFormat="1" ht="13.5" customHeight="1">
      <c r="A349" s="5159" t="s">
        <v>106</v>
      </c>
      <c r="B349" s="5159"/>
      <c r="C349" s="5159"/>
      <c r="D349" s="5159"/>
      <c r="E349" s="5159"/>
      <c r="F349" s="5159"/>
      <c r="G349" s="5159"/>
      <c r="H349" s="691"/>
      <c r="I349" s="691"/>
    </row>
    <row r="350" spans="1:97" s="122" customFormat="1" ht="40.5" customHeight="1">
      <c r="A350" s="5156" t="s">
        <v>865</v>
      </c>
      <c r="B350" s="5156"/>
      <c r="C350" s="5156"/>
      <c r="D350" s="5156"/>
      <c r="E350" s="5156"/>
      <c r="F350" s="5156"/>
      <c r="G350" s="5156"/>
      <c r="I350" s="251"/>
    </row>
    <row r="351" spans="1:97" s="2160" customFormat="1" ht="94.5" customHeight="1">
      <c r="A351" s="5156" t="s">
        <v>1013</v>
      </c>
      <c r="B351" s="5156"/>
      <c r="C351" s="5156"/>
      <c r="D351" s="5156"/>
      <c r="E351" s="5156"/>
      <c r="F351" s="5156"/>
      <c r="G351" s="5156"/>
      <c r="H351" s="2158"/>
      <c r="I351" s="2159"/>
    </row>
    <row r="352" spans="1:97" s="251" customFormat="1" ht="14.25" customHeight="1">
      <c r="A352" s="1984"/>
      <c r="B352" s="1985"/>
      <c r="C352" s="1985"/>
      <c r="D352" s="123"/>
      <c r="E352" s="1987"/>
      <c r="F352" s="2161"/>
      <c r="G352" s="1981"/>
      <c r="H352" s="1981"/>
    </row>
    <row r="353" spans="1:9" s="251" customFormat="1" ht="14.25" customHeight="1">
      <c r="A353" s="1984"/>
      <c r="B353" s="1985"/>
      <c r="C353" s="1985"/>
      <c r="D353" s="1986"/>
      <c r="E353" s="1987"/>
      <c r="F353" s="2161"/>
    </row>
    <row r="354" spans="1:9" s="251" customFormat="1" ht="14.25" customHeight="1">
      <c r="A354" s="1757"/>
      <c r="B354" s="1989"/>
      <c r="C354" s="1757"/>
      <c r="D354" s="1757"/>
      <c r="E354" s="1757"/>
      <c r="F354" s="2162"/>
      <c r="G354" s="1757"/>
      <c r="H354" s="1757"/>
      <c r="I354" s="1757"/>
    </row>
    <row r="355" spans="1:9" s="251" customFormat="1" ht="14.25" customHeight="1">
      <c r="A355" s="1757"/>
      <c r="B355" s="1989"/>
      <c r="C355" s="1757"/>
      <c r="D355" s="1757"/>
      <c r="E355" s="1757"/>
      <c r="F355" s="2162"/>
      <c r="G355" s="1757"/>
      <c r="H355" s="1757"/>
      <c r="I355" s="1757"/>
    </row>
    <row r="356" spans="1:9" s="251" customFormat="1" ht="14.25" customHeight="1">
      <c r="A356" s="1757"/>
      <c r="B356" s="1989"/>
      <c r="C356" s="1757"/>
      <c r="D356" s="1757"/>
      <c r="E356" s="1757"/>
      <c r="F356" s="2162"/>
      <c r="G356" s="1757"/>
      <c r="H356" s="1757"/>
      <c r="I356" s="1757"/>
    </row>
    <row r="357" spans="1:9" s="251" customFormat="1" ht="15" customHeight="1">
      <c r="A357" s="1757"/>
      <c r="B357" s="1989"/>
      <c r="C357" s="1757"/>
      <c r="D357" s="1757"/>
      <c r="E357" s="1757"/>
      <c r="F357" s="2162"/>
      <c r="G357" s="1757"/>
      <c r="H357" s="1757"/>
      <c r="I357" s="1757"/>
    </row>
    <row r="358" spans="1:9" s="251" customFormat="1" ht="15" customHeight="1">
      <c r="A358" s="1757"/>
      <c r="B358" s="1989"/>
      <c r="C358" s="1757"/>
      <c r="D358" s="1757"/>
      <c r="E358" s="1757"/>
      <c r="F358" s="2162"/>
      <c r="G358" s="1757"/>
      <c r="H358" s="1757"/>
      <c r="I358" s="1757"/>
    </row>
    <row r="359" spans="1:9" ht="13.5" customHeight="1"/>
    <row r="360" spans="1:9" s="251" customFormat="1" ht="13.5" customHeight="1">
      <c r="A360" s="1757"/>
      <c r="B360" s="1989"/>
      <c r="C360" s="1757"/>
      <c r="D360" s="1757"/>
      <c r="E360" s="1757"/>
      <c r="F360" s="2162"/>
      <c r="G360" s="1757"/>
      <c r="H360" s="1757"/>
      <c r="I360" s="1757"/>
    </row>
    <row r="361" spans="1:9" s="689" customFormat="1" ht="11.25">
      <c r="A361" s="1757"/>
      <c r="B361" s="1989"/>
      <c r="C361" s="1757"/>
      <c r="D361" s="1757"/>
      <c r="E361" s="1757"/>
      <c r="F361" s="2162"/>
      <c r="G361" s="1757"/>
      <c r="H361" s="1757"/>
      <c r="I361" s="1757"/>
    </row>
    <row r="362" spans="1:9" s="689" customFormat="1" ht="12" customHeight="1">
      <c r="A362" s="1757"/>
      <c r="B362" s="1989"/>
      <c r="C362" s="1757"/>
      <c r="D362" s="1757"/>
      <c r="E362" s="1757"/>
      <c r="F362" s="2162"/>
      <c r="G362" s="1757"/>
      <c r="H362" s="1757"/>
      <c r="I362" s="1757"/>
    </row>
    <row r="363" spans="1:9" s="689" customFormat="1" ht="15" customHeight="1">
      <c r="A363" s="1757"/>
      <c r="B363" s="1989"/>
      <c r="C363" s="1757"/>
      <c r="D363" s="1757"/>
      <c r="E363" s="1757"/>
      <c r="F363" s="2162"/>
      <c r="G363" s="1757"/>
      <c r="H363" s="1757"/>
      <c r="I363" s="1757"/>
    </row>
    <row r="364" spans="1:9" s="251" customFormat="1" ht="13.5" customHeight="1">
      <c r="A364" s="1757"/>
      <c r="B364" s="1989"/>
      <c r="C364" s="1757"/>
      <c r="D364" s="1757"/>
      <c r="E364" s="1757"/>
      <c r="F364" s="2162"/>
      <c r="G364" s="1757"/>
      <c r="H364" s="1757"/>
      <c r="I364" s="1757"/>
    </row>
    <row r="365" spans="1:9" s="251" customFormat="1" ht="13.5" customHeight="1">
      <c r="A365" s="1757"/>
      <c r="B365" s="1989"/>
      <c r="C365" s="1757"/>
      <c r="D365" s="1757"/>
      <c r="E365" s="1757"/>
      <c r="F365" s="2162"/>
      <c r="G365" s="1757"/>
      <c r="H365" s="1757"/>
      <c r="I365" s="1757"/>
    </row>
    <row r="366" spans="1:9" s="251" customFormat="1" ht="13.5" customHeight="1">
      <c r="A366" s="1757"/>
      <c r="B366" s="1989"/>
      <c r="C366" s="1757"/>
      <c r="D366" s="1757"/>
      <c r="E366" s="1757"/>
      <c r="F366" s="2162"/>
      <c r="G366" s="1757"/>
      <c r="H366" s="1757"/>
      <c r="I366" s="1757"/>
    </row>
    <row r="367" spans="1:9" s="251" customFormat="1" ht="13.5" customHeight="1">
      <c r="A367" s="1757"/>
      <c r="B367" s="1989"/>
      <c r="C367" s="1757"/>
      <c r="D367" s="1757"/>
      <c r="E367" s="1757"/>
      <c r="F367" s="2162"/>
      <c r="G367" s="1757"/>
      <c r="H367" s="1757"/>
      <c r="I367" s="1757"/>
    </row>
    <row r="372" ht="11.25" customHeight="1"/>
    <row r="381" ht="27.75" customHeight="1"/>
  </sheetData>
  <sheetProtection algorithmName="SHA-512" hashValue="cFv0lIWQpdT2/wFyCjEOrPpPiRo2dY2r79YQuGDWQuS6Me2ZYvG8CckDa/jZY+X6bLUtUCB/Fi8zFhLubZxBoQ==" saltValue="M0TWFmZ6R3qmj8blszftbA==" spinCount="100000" sheet="1" objects="1" scenarios="1"/>
  <mergeCells count="10">
    <mergeCell ref="A350:G350"/>
    <mergeCell ref="A351:G351"/>
    <mergeCell ref="A2:I2"/>
    <mergeCell ref="A343:C343"/>
    <mergeCell ref="A346:G346"/>
    <mergeCell ref="A347:G347"/>
    <mergeCell ref="A348:G348"/>
    <mergeCell ref="A349:G349"/>
    <mergeCell ref="G336:H336"/>
    <mergeCell ref="G327:H327"/>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BC-BF2B-4640-9257-AE24933356E7}">
  <sheetPr>
    <tabColor rgb="FFFF00FF"/>
    <pageSetUpPr fitToPage="1"/>
  </sheetPr>
  <dimension ref="A1:IV61"/>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4242</v>
      </c>
      <c r="B1" s="28"/>
      <c r="C1" s="28"/>
    </row>
    <row r="2" spans="1:256" s="884" customFormat="1" ht="13.5" customHeight="1">
      <c r="A2" s="5193" t="s">
        <v>4243</v>
      </c>
      <c r="B2" s="5193"/>
      <c r="C2" s="5193"/>
      <c r="D2" s="1752"/>
      <c r="E2" s="698"/>
      <c r="F2" s="698"/>
      <c r="G2" s="700"/>
      <c r="H2" s="700"/>
      <c r="I2" s="883"/>
      <c r="M2" s="111"/>
    </row>
    <row r="3" spans="1:256" s="884" customFormat="1" ht="13.5" customHeight="1">
      <c r="A3" s="5193" t="s">
        <v>1797</v>
      </c>
      <c r="B3" s="5193"/>
      <c r="C3" s="5193"/>
      <c r="D3" s="1753"/>
      <c r="E3" s="698"/>
      <c r="F3" s="700"/>
      <c r="G3" s="700"/>
      <c r="H3" s="883"/>
      <c r="I3" s="883"/>
      <c r="M3" s="111"/>
    </row>
    <row r="4" spans="1:256" s="1411" customFormat="1" ht="13.5" customHeight="1">
      <c r="A4" s="5193" t="s">
        <v>5986</v>
      </c>
      <c r="B4" s="5193"/>
      <c r="C4" s="5193"/>
      <c r="D4" s="273"/>
      <c r="E4" s="1547"/>
      <c r="F4" s="1548"/>
      <c r="G4" s="1548"/>
      <c r="H4" s="1248"/>
      <c r="I4" s="1248"/>
    </row>
    <row r="5" spans="1:256" ht="13.5" customHeight="1">
      <c r="A5" s="274" t="s">
        <v>4246</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868</v>
      </c>
      <c r="B7" s="31" t="s">
        <v>121</v>
      </c>
      <c r="C7" s="32" t="s">
        <v>4247</v>
      </c>
    </row>
    <row r="8" spans="1:256" ht="13.5" customHeight="1">
      <c r="A8" s="276">
        <v>1</v>
      </c>
      <c r="B8" s="277">
        <v>2</v>
      </c>
      <c r="C8" s="278">
        <v>3</v>
      </c>
    </row>
    <row r="9" spans="1:256" ht="21" customHeight="1">
      <c r="A9" s="36"/>
      <c r="B9" s="37"/>
      <c r="C9" s="37"/>
    </row>
    <row r="10" spans="1:256" ht="13.5" customHeight="1">
      <c r="A10" s="279">
        <v>1</v>
      </c>
      <c r="B10" s="280" t="s">
        <v>5987</v>
      </c>
      <c r="C10" s="281">
        <f>'D.1.4.7.b.08 AREÁL ELE-TRA. A1'!H188</f>
        <v>0</v>
      </c>
    </row>
    <row r="11" spans="1:256" ht="13.5" customHeight="1">
      <c r="A11" s="279">
        <v>2</v>
      </c>
      <c r="B11" s="280" t="s">
        <v>5988</v>
      </c>
      <c r="C11" s="281">
        <f>'D.1.4.7.b.08 AREÁL ELE-TRA. A2'!H189</f>
        <v>0</v>
      </c>
    </row>
    <row r="12" spans="1:256" ht="13.5" customHeight="1">
      <c r="A12" s="279">
        <v>3</v>
      </c>
      <c r="B12" s="280" t="s">
        <v>5989</v>
      </c>
      <c r="C12" s="281">
        <f>'D.1.4.7.b.08 AREÁL ELE-TRA. A3'!H157</f>
        <v>0</v>
      </c>
    </row>
    <row r="13" spans="1:256" ht="21" customHeight="1">
      <c r="A13" s="282"/>
      <c r="B13" s="283" t="s">
        <v>5990</v>
      </c>
      <c r="C13" s="284">
        <f>SUM(C10:C12)</f>
        <v>0</v>
      </c>
    </row>
    <row r="14" spans="1:256" ht="13.5" customHeight="1"/>
    <row r="15" spans="1:256" ht="13.5" customHeight="1"/>
    <row r="16" spans="1:256" ht="13.5" customHeight="1"/>
    <row r="17" spans="2:7" ht="13.5" customHeight="1"/>
    <row r="18" spans="2:7" ht="13.5" customHeight="1">
      <c r="B18" s="1411"/>
      <c r="C18" s="1411"/>
      <c r="D18" s="1411"/>
      <c r="E18" s="1411"/>
      <c r="F18" s="1411"/>
      <c r="G18" s="1411"/>
    </row>
    <row r="19" spans="2:7" ht="13.5" customHeight="1">
      <c r="B19" s="1411"/>
      <c r="C19" s="1411"/>
      <c r="D19" s="1411"/>
      <c r="E19" s="1411"/>
      <c r="F19" s="1411"/>
      <c r="G19" s="1411"/>
    </row>
    <row r="20" spans="2:7" ht="13.5" customHeight="1">
      <c r="B20" s="1411"/>
      <c r="C20" s="1411"/>
      <c r="D20" s="1411"/>
      <c r="E20" s="1411"/>
      <c r="F20" s="1411"/>
      <c r="G20" s="1411"/>
    </row>
    <row r="21" spans="2:7" ht="13.5" customHeight="1">
      <c r="B21" s="1411"/>
      <c r="C21" s="1411"/>
      <c r="D21" s="1411"/>
      <c r="E21" s="1411"/>
      <c r="F21" s="1411"/>
      <c r="G21" s="1411"/>
    </row>
    <row r="22" spans="2:7" ht="13.5" customHeight="1">
      <c r="B22" s="1411"/>
      <c r="C22" s="1411"/>
      <c r="D22" s="1411"/>
      <c r="E22" s="1411"/>
      <c r="F22" s="1411"/>
      <c r="G22" s="1411"/>
    </row>
    <row r="23" spans="2:7" ht="13.5" customHeight="1">
      <c r="B23" s="1411"/>
    </row>
    <row r="24" spans="2:7" ht="13.5" customHeight="1">
      <c r="B24" s="1411"/>
    </row>
    <row r="25" spans="2:7" ht="13.5" customHeight="1">
      <c r="B25" s="1411"/>
    </row>
    <row r="26" spans="2:7" ht="13.5" customHeight="1">
      <c r="B26" s="1411"/>
    </row>
    <row r="27" spans="2:7" ht="13.5" customHeight="1">
      <c r="B27" s="1411"/>
    </row>
    <row r="28" spans="2:7" ht="13.5" customHeight="1">
      <c r="B28" s="1411"/>
    </row>
    <row r="29" spans="2:7" ht="13.5" customHeight="1">
      <c r="B29" s="1411"/>
    </row>
    <row r="30" spans="2:7" ht="13.5" customHeight="1">
      <c r="B30" s="1411"/>
    </row>
    <row r="31" spans="2:7" ht="13.5" customHeight="1">
      <c r="B31" s="1411"/>
    </row>
    <row r="32" spans="2:7" ht="13.5" customHeight="1">
      <c r="B32" s="1411"/>
    </row>
    <row r="33" spans="2:2" ht="13.5" customHeight="1">
      <c r="B33" s="1411"/>
    </row>
    <row r="34" spans="2:2" ht="13.5" customHeight="1">
      <c r="B34" s="1411"/>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row r="61" s="111" customFormat="1" ht="13.5" customHeight="1"/>
  </sheetData>
  <sheetProtection algorithmName="SHA-512" hashValue="orIg9GlRd6gzpXG3Vv9gLB4r+MWm3NRlkhW1/xxZ2FZVrn+V8NeffDuzLdf29EayyASRuz2KfAhOqyxS/eVc4g==" saltValue="hcXy/cPArV66cM5M3bva8A=="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6A9-D12A-4E12-A32D-88E76A6C4135}">
  <sheetPr>
    <tabColor rgb="FFFF00FF"/>
    <pageSetUpPr fitToPage="1"/>
  </sheetPr>
  <dimension ref="A1:IV196"/>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199" t="s">
        <v>4243</v>
      </c>
      <c r="B2" s="5242"/>
      <c r="C2" s="5242"/>
      <c r="D2" s="5242"/>
      <c r="E2" s="5242"/>
      <c r="F2" s="5242"/>
      <c r="G2" s="5242"/>
      <c r="H2" s="5242"/>
      <c r="I2" s="5242"/>
    </row>
    <row r="3" spans="1:19" ht="13.5" customHeight="1">
      <c r="A3" s="5228" t="s">
        <v>1797</v>
      </c>
      <c r="B3" s="5242"/>
      <c r="C3" s="5242"/>
      <c r="D3" s="5242"/>
      <c r="E3" s="1547"/>
      <c r="F3" s="1548"/>
      <c r="G3" s="1548"/>
      <c r="H3" s="1248"/>
      <c r="I3" s="1248"/>
    </row>
    <row r="4" spans="1:19" s="1550" customFormat="1" ht="13.5" customHeight="1">
      <c r="A4" s="5193" t="s">
        <v>5991</v>
      </c>
      <c r="B4" s="5242"/>
      <c r="C4" s="5242"/>
      <c r="D4" s="5242"/>
      <c r="E4" s="5193"/>
      <c r="F4" s="5242"/>
      <c r="G4" s="5242"/>
      <c r="H4" s="5242"/>
      <c r="I4" s="1549"/>
    </row>
    <row r="5" spans="1:19" ht="13.5" customHeight="1">
      <c r="A5" s="1547" t="s">
        <v>4246</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H10+H66</f>
        <v>0</v>
      </c>
      <c r="I9" s="625"/>
    </row>
    <row r="10" spans="1:19" s="612" customFormat="1" ht="13.5" customHeight="1">
      <c r="A10" s="608"/>
      <c r="B10" s="557"/>
      <c r="C10" s="616" t="s">
        <v>5742</v>
      </c>
      <c r="D10" s="616" t="s">
        <v>5743</v>
      </c>
      <c r="E10" s="616"/>
      <c r="F10" s="909"/>
      <c r="G10" s="828"/>
      <c r="H10" s="828">
        <f>SUM(H11:H65)</f>
        <v>0</v>
      </c>
      <c r="I10" s="613"/>
    </row>
    <row r="11" spans="1:19" s="1564" customFormat="1" ht="27" customHeight="1">
      <c r="A11" s="1559">
        <v>1</v>
      </c>
      <c r="B11" s="1560" t="s">
        <v>5744</v>
      </c>
      <c r="C11" s="400">
        <v>210220020</v>
      </c>
      <c r="D11" s="401" t="s">
        <v>5745</v>
      </c>
      <c r="E11" s="1561" t="s">
        <v>141</v>
      </c>
      <c r="F11" s="573">
        <f>ROUND(SUM(F13:F14),3)</f>
        <v>41.1</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5752</v>
      </c>
      <c r="E12" s="557"/>
      <c r="F12" s="1249"/>
      <c r="G12" s="288"/>
      <c r="H12" s="609"/>
      <c r="I12" s="613"/>
      <c r="J12" s="1565"/>
    </row>
    <row r="13" spans="1:19" s="612" customFormat="1" ht="27" customHeight="1">
      <c r="A13" s="608"/>
      <c r="B13" s="557"/>
      <c r="C13" s="557"/>
      <c r="D13" s="1255" t="s">
        <v>5992</v>
      </c>
      <c r="E13" s="557"/>
      <c r="F13" s="1249">
        <f>(14.8)</f>
        <v>14.8</v>
      </c>
      <c r="G13" s="288"/>
      <c r="H13" s="609"/>
      <c r="I13" s="613"/>
      <c r="J13" s="1565"/>
    </row>
    <row r="14" spans="1:19" s="612" customFormat="1" ht="27" customHeight="1">
      <c r="A14" s="608"/>
      <c r="B14" s="557"/>
      <c r="C14" s="557"/>
      <c r="D14" s="1255" t="s">
        <v>5993</v>
      </c>
      <c r="E14" s="557"/>
      <c r="F14" s="1249">
        <f>(26.3)</f>
        <v>26.3</v>
      </c>
      <c r="G14" s="288"/>
      <c r="H14" s="609"/>
      <c r="I14" s="613"/>
      <c r="J14" s="1565"/>
    </row>
    <row r="15" spans="1:19" s="612" customFormat="1" ht="13.5" customHeight="1">
      <c r="A15" s="608"/>
      <c r="B15" s="557"/>
      <c r="C15" s="557"/>
      <c r="D15" s="1255" t="s">
        <v>5749</v>
      </c>
      <c r="E15" s="557"/>
      <c r="F15" s="1249"/>
      <c r="G15" s="288"/>
      <c r="H15" s="609"/>
      <c r="I15" s="613"/>
      <c r="J15" s="1565"/>
    </row>
    <row r="16" spans="1:19" s="1567" customFormat="1" ht="13.5" customHeight="1">
      <c r="A16" s="729">
        <v>2</v>
      </c>
      <c r="B16" s="730" t="s">
        <v>5750</v>
      </c>
      <c r="C16" s="730">
        <v>35442062</v>
      </c>
      <c r="D16" s="730" t="s">
        <v>5751</v>
      </c>
      <c r="E16" s="730" t="s">
        <v>853</v>
      </c>
      <c r="F16" s="731">
        <f>ROUND(SUM(F18:F19),3)</f>
        <v>40.997</v>
      </c>
      <c r="G16" s="292"/>
      <c r="H16" s="733">
        <f>ROUND(F16*G16,2)</f>
        <v>0</v>
      </c>
      <c r="I16" s="734" t="s">
        <v>137</v>
      </c>
      <c r="J16" s="1566"/>
    </row>
    <row r="17" spans="1:27" s="1567" customFormat="1" ht="13.5" customHeight="1">
      <c r="A17" s="729"/>
      <c r="B17" s="730"/>
      <c r="C17" s="730"/>
      <c r="D17" s="1481" t="s">
        <v>5752</v>
      </c>
      <c r="E17" s="730"/>
      <c r="F17" s="1482"/>
      <c r="G17" s="292"/>
      <c r="H17" s="732"/>
      <c r="I17" s="734"/>
      <c r="J17" s="1566"/>
    </row>
    <row r="18" spans="1:27" s="1567" customFormat="1" ht="13.5" customHeight="1">
      <c r="A18" s="729"/>
      <c r="B18" s="730"/>
      <c r="C18" s="730"/>
      <c r="D18" s="1481" t="s">
        <v>5994</v>
      </c>
      <c r="E18" s="730"/>
      <c r="F18" s="1482">
        <f>((14.8)*0.95)*1.05</f>
        <v>14.763000000000002</v>
      </c>
      <c r="G18" s="292"/>
      <c r="H18" s="732"/>
      <c r="I18" s="734"/>
      <c r="J18" s="1566"/>
    </row>
    <row r="19" spans="1:27" s="1567" customFormat="1" ht="13.5" customHeight="1">
      <c r="A19" s="729"/>
      <c r="B19" s="730"/>
      <c r="C19" s="730"/>
      <c r="D19" s="1481" t="s">
        <v>5995</v>
      </c>
      <c r="E19" s="730"/>
      <c r="F19" s="1482">
        <f>((26.3)*0.95)*1.05</f>
        <v>26.234249999999999</v>
      </c>
      <c r="G19" s="292"/>
      <c r="H19" s="732"/>
      <c r="I19" s="734"/>
      <c r="J19" s="1566"/>
    </row>
    <row r="20" spans="1:27" s="1567" customFormat="1" ht="13.5" customHeight="1">
      <c r="A20" s="729"/>
      <c r="B20" s="730"/>
      <c r="C20" s="730"/>
      <c r="D20" s="1481" t="s">
        <v>5755</v>
      </c>
      <c r="E20" s="730"/>
      <c r="F20" s="1482"/>
      <c r="G20" s="292"/>
      <c r="H20" s="732"/>
      <c r="I20" s="734"/>
      <c r="J20" s="1568"/>
    </row>
    <row r="21" spans="1:27" s="1564" customFormat="1" ht="27" customHeight="1">
      <c r="A21" s="1583" t="s">
        <v>127</v>
      </c>
      <c r="B21" s="1560" t="s">
        <v>5744</v>
      </c>
      <c r="C21" s="400">
        <v>210220022</v>
      </c>
      <c r="D21" s="401" t="s">
        <v>5996</v>
      </c>
      <c r="E21" s="1561" t="s">
        <v>141</v>
      </c>
      <c r="F21" s="573">
        <f>ROUND(SUM(F23:F23),3)</f>
        <v>1.5</v>
      </c>
      <c r="G21" s="1413"/>
      <c r="H21" s="568">
        <f>ROUND(F21*G21,2)</f>
        <v>0</v>
      </c>
      <c r="I21" s="613" t="s">
        <v>137</v>
      </c>
      <c r="J21" s="1562"/>
      <c r="K21" s="193"/>
      <c r="L21" s="1563"/>
      <c r="M21" s="1563"/>
      <c r="N21" s="1563"/>
      <c r="O21" s="1563"/>
      <c r="P21" s="1563"/>
      <c r="Q21" s="1563"/>
      <c r="R21" s="1563"/>
      <c r="S21" s="1562"/>
    </row>
    <row r="22" spans="1:27" s="612" customFormat="1" ht="27" customHeight="1">
      <c r="A22" s="1583"/>
      <c r="B22" s="557"/>
      <c r="C22" s="557"/>
      <c r="D22" s="1255" t="s">
        <v>5997</v>
      </c>
      <c r="E22" s="557"/>
      <c r="F22" s="1249"/>
      <c r="G22" s="288"/>
      <c r="H22" s="609"/>
      <c r="I22" s="613"/>
      <c r="J22" s="1565"/>
    </row>
    <row r="23" spans="1:27" s="612" customFormat="1" ht="13.5" customHeight="1">
      <c r="A23" s="1583"/>
      <c r="B23" s="557"/>
      <c r="C23" s="557"/>
      <c r="D23" s="1255" t="s">
        <v>5998</v>
      </c>
      <c r="E23" s="557"/>
      <c r="F23" s="1249">
        <f>1.5</f>
        <v>1.5</v>
      </c>
      <c r="G23" s="288"/>
      <c r="H23" s="609"/>
      <c r="I23" s="613"/>
      <c r="J23" s="2007"/>
    </row>
    <row r="24" spans="1:27" s="612" customFormat="1" ht="13.5" customHeight="1">
      <c r="A24" s="1583"/>
      <c r="B24" s="557"/>
      <c r="C24" s="557"/>
      <c r="D24" s="1255" t="s">
        <v>5749</v>
      </c>
      <c r="E24" s="557"/>
      <c r="F24" s="1249"/>
      <c r="G24" s="288"/>
      <c r="H24" s="609"/>
      <c r="I24" s="613"/>
      <c r="J24" s="1565"/>
    </row>
    <row r="25" spans="1:27" s="1567" customFormat="1" ht="13.5" customHeight="1">
      <c r="A25" s="2008" t="s">
        <v>128</v>
      </c>
      <c r="B25" s="730" t="s">
        <v>5750</v>
      </c>
      <c r="C25" s="730">
        <v>35441073</v>
      </c>
      <c r="D25" s="730" t="s">
        <v>5999</v>
      </c>
      <c r="E25" s="730" t="s">
        <v>853</v>
      </c>
      <c r="F25" s="731">
        <f>ROUND(SUM(F27:F27),3)</f>
        <v>0.97699999999999998</v>
      </c>
      <c r="G25" s="292"/>
      <c r="H25" s="733">
        <f>ROUND(F25*G25,2)</f>
        <v>0</v>
      </c>
      <c r="I25" s="734" t="s">
        <v>137</v>
      </c>
      <c r="J25" s="2009"/>
    </row>
    <row r="26" spans="1:27" s="1567" customFormat="1" ht="27" customHeight="1">
      <c r="A26" s="2008"/>
      <c r="B26" s="730"/>
      <c r="C26" s="730"/>
      <c r="D26" s="1481" t="s">
        <v>5997</v>
      </c>
      <c r="E26" s="730"/>
      <c r="F26" s="1482"/>
      <c r="G26" s="292"/>
      <c r="H26" s="732"/>
      <c r="I26" s="734"/>
      <c r="J26" s="1566"/>
    </row>
    <row r="27" spans="1:27" s="1567" customFormat="1" ht="13.5" customHeight="1">
      <c r="A27" s="2008"/>
      <c r="B27" s="730"/>
      <c r="C27" s="730"/>
      <c r="D27" s="1481" t="s">
        <v>6000</v>
      </c>
      <c r="E27" s="730"/>
      <c r="F27" s="1482">
        <f>((1.5)*0.62)*1.05</f>
        <v>0.97649999999999992</v>
      </c>
      <c r="G27" s="292"/>
      <c r="H27" s="732"/>
      <c r="I27" s="734"/>
      <c r="J27" s="1566"/>
    </row>
    <row r="28" spans="1:27" s="1567" customFormat="1" ht="13.5" customHeight="1">
      <c r="A28" s="2008"/>
      <c r="B28" s="730"/>
      <c r="C28" s="730"/>
      <c r="D28" s="1481" t="s">
        <v>6001</v>
      </c>
      <c r="E28" s="730"/>
      <c r="F28" s="1482"/>
      <c r="G28" s="292"/>
      <c r="H28" s="732"/>
      <c r="I28" s="734"/>
      <c r="J28" s="1568"/>
      <c r="K28" s="2010"/>
      <c r="L28" s="2011"/>
      <c r="M28" s="2011"/>
      <c r="N28" s="2011"/>
      <c r="O28" s="2011"/>
    </row>
    <row r="29" spans="1:27" s="612" customFormat="1" ht="13.5" customHeight="1">
      <c r="A29" s="608">
        <v>5</v>
      </c>
      <c r="B29" s="557" t="s">
        <v>5744</v>
      </c>
      <c r="C29" s="557" t="s">
        <v>5756</v>
      </c>
      <c r="D29" s="557" t="s">
        <v>5757</v>
      </c>
      <c r="E29" s="557" t="s">
        <v>205</v>
      </c>
      <c r="F29" s="573">
        <f>ROUND(SUM(F30),3)</f>
        <v>20</v>
      </c>
      <c r="G29" s="288"/>
      <c r="H29" s="568">
        <f>ROUND(F29*G29,2)</f>
        <v>0</v>
      </c>
      <c r="I29" s="613" t="s">
        <v>111</v>
      </c>
      <c r="J29" s="1565"/>
      <c r="U29" s="1569"/>
    </row>
    <row r="30" spans="1:27" s="1564" customFormat="1" ht="13.5" customHeight="1">
      <c r="A30" s="1570"/>
      <c r="B30" s="1560"/>
      <c r="C30" s="1245"/>
      <c r="D30" s="1255" t="s">
        <v>5758</v>
      </c>
      <c r="E30" s="402"/>
      <c r="F30" s="1249">
        <v>20</v>
      </c>
      <c r="G30" s="1413"/>
      <c r="H30" s="1261"/>
      <c r="I30" s="1280"/>
      <c r="J30" s="1566"/>
      <c r="K30" s="1567"/>
      <c r="L30" s="1571"/>
      <c r="M30" s="1571"/>
      <c r="N30" s="1571"/>
      <c r="O30" s="1571"/>
      <c r="Q30" s="1571"/>
      <c r="R30" s="1571"/>
      <c r="S30" s="1571"/>
      <c r="T30" s="1571"/>
      <c r="U30" s="1572"/>
      <c r="V30" s="193"/>
      <c r="W30" s="193"/>
      <c r="X30" s="193"/>
      <c r="Y30" s="193"/>
      <c r="Z30" s="193"/>
      <c r="AA30" s="193"/>
    </row>
    <row r="31" spans="1:27" s="1564" customFormat="1" ht="13.5" customHeight="1">
      <c r="A31" s="1570"/>
      <c r="B31" s="1560"/>
      <c r="C31" s="1245"/>
      <c r="D31" s="1255" t="s">
        <v>5759</v>
      </c>
      <c r="E31" s="402"/>
      <c r="F31" s="1249"/>
      <c r="G31" s="1413"/>
      <c r="H31" s="1261"/>
      <c r="I31" s="1280"/>
      <c r="J31" s="1566"/>
      <c r="K31" s="1567"/>
      <c r="L31" s="1571"/>
      <c r="M31" s="1571"/>
      <c r="N31" s="1571"/>
      <c r="O31" s="1571"/>
      <c r="P31" s="1571"/>
      <c r="Q31" s="1571"/>
      <c r="R31" s="1571"/>
      <c r="S31" s="1571"/>
      <c r="T31" s="1571"/>
      <c r="U31" s="1572"/>
      <c r="V31" s="193"/>
      <c r="W31" s="193"/>
      <c r="X31" s="193"/>
      <c r="Y31" s="193"/>
      <c r="Z31" s="193"/>
      <c r="AA31" s="193"/>
    </row>
    <row r="32" spans="1:27" s="247" customFormat="1" ht="13.5" customHeight="1">
      <c r="A32" s="1573">
        <v>6</v>
      </c>
      <c r="B32" s="1574">
        <v>921</v>
      </c>
      <c r="C32" s="557" t="s">
        <v>5760</v>
      </c>
      <c r="D32" s="403" t="s">
        <v>3903</v>
      </c>
      <c r="E32" s="1574" t="s">
        <v>49</v>
      </c>
      <c r="F32" s="573">
        <f>ROUND(SUM(F33),3)</f>
        <v>1</v>
      </c>
      <c r="G32" s="404"/>
      <c r="H32" s="568">
        <f>ROUND(F32*G32,2)</f>
        <v>0</v>
      </c>
      <c r="I32" s="613" t="s">
        <v>111</v>
      </c>
      <c r="J32" s="1575"/>
      <c r="L32" s="248"/>
      <c r="S32" s="1576"/>
    </row>
    <row r="33" spans="1:256" s="247" customFormat="1" ht="13.5" customHeight="1">
      <c r="A33" s="1573"/>
      <c r="B33" s="1574"/>
      <c r="C33" s="1574"/>
      <c r="D33" s="1577" t="s">
        <v>3904</v>
      </c>
      <c r="E33" s="1574"/>
      <c r="F33" s="1578">
        <v>1</v>
      </c>
      <c r="G33" s="404"/>
      <c r="H33" s="1253"/>
      <c r="I33" s="1579"/>
      <c r="J33" s="1305"/>
      <c r="R33" s="1569"/>
      <c r="S33" s="1576"/>
    </row>
    <row r="34" spans="1:256" s="247" customFormat="1" ht="40.5" customHeight="1">
      <c r="A34" s="1573"/>
      <c r="B34" s="1574"/>
      <c r="C34" s="1574"/>
      <c r="D34" s="1577" t="s">
        <v>5761</v>
      </c>
      <c r="E34" s="1574"/>
      <c r="F34" s="1578"/>
      <c r="G34" s="404"/>
      <c r="H34" s="1253"/>
      <c r="I34" s="1579"/>
      <c r="J34" s="1580"/>
      <c r="K34" s="1581"/>
      <c r="R34" s="1582"/>
      <c r="S34" s="1576"/>
      <c r="T34" s="406"/>
    </row>
    <row r="35" spans="1:256" s="612" customFormat="1" ht="13.5" customHeight="1">
      <c r="A35" s="608">
        <v>7</v>
      </c>
      <c r="B35" s="557" t="s">
        <v>5744</v>
      </c>
      <c r="C35" s="557" t="s">
        <v>5762</v>
      </c>
      <c r="D35" s="1584" t="s">
        <v>6002</v>
      </c>
      <c r="E35" s="557" t="s">
        <v>141</v>
      </c>
      <c r="F35" s="573">
        <f>ROUND(SUM(F37:F39),3)</f>
        <v>46.86</v>
      </c>
      <c r="G35" s="288"/>
      <c r="H35" s="568">
        <f>ROUND(F35*G35,2)</f>
        <v>0</v>
      </c>
      <c r="I35" s="613" t="s">
        <v>111</v>
      </c>
      <c r="J35" s="1580"/>
      <c r="K35" s="604"/>
      <c r="L35" s="604"/>
      <c r="M35" s="604"/>
      <c r="N35" s="604"/>
      <c r="O35" s="604"/>
      <c r="P35" s="604"/>
      <c r="Q35" s="604"/>
      <c r="R35" s="604"/>
      <c r="S35" s="604"/>
      <c r="T35" s="604"/>
      <c r="U35" s="605"/>
      <c r="V35" s="604"/>
      <c r="W35" s="605"/>
    </row>
    <row r="36" spans="1:256" s="604" customFormat="1" ht="13.5" customHeight="1">
      <c r="A36" s="1586"/>
      <c r="B36" s="596"/>
      <c r="C36" s="597"/>
      <c r="D36" s="1255" t="s">
        <v>6003</v>
      </c>
      <c r="E36" s="599"/>
      <c r="F36" s="600"/>
      <c r="G36" s="289"/>
      <c r="H36" s="601"/>
      <c r="I36" s="602"/>
      <c r="J36" s="1580"/>
      <c r="U36" s="605"/>
      <c r="W36" s="605"/>
    </row>
    <row r="37" spans="1:256" s="604" customFormat="1" ht="13.5" customHeight="1">
      <c r="A37" s="1586"/>
      <c r="B37" s="596"/>
      <c r="C37" s="597"/>
      <c r="D37" s="1255" t="s">
        <v>6004</v>
      </c>
      <c r="E37" s="599"/>
      <c r="F37" s="600">
        <f>(14.8)*1.1</f>
        <v>16.28</v>
      </c>
      <c r="G37" s="289"/>
      <c r="H37" s="601"/>
      <c r="I37" s="602"/>
      <c r="J37" s="1305"/>
      <c r="U37" s="605"/>
      <c r="W37" s="605"/>
    </row>
    <row r="38" spans="1:256" s="604" customFormat="1" ht="13.5" customHeight="1">
      <c r="A38" s="1586"/>
      <c r="B38" s="596"/>
      <c r="C38" s="597"/>
      <c r="D38" s="1255" t="s">
        <v>6005</v>
      </c>
      <c r="E38" s="599"/>
      <c r="F38" s="600">
        <f>(26.3)*1.1</f>
        <v>28.930000000000003</v>
      </c>
      <c r="G38" s="289"/>
      <c r="H38" s="601"/>
      <c r="I38" s="602"/>
    </row>
    <row r="39" spans="1:256" s="604" customFormat="1" ht="13.5" customHeight="1">
      <c r="A39" s="1586"/>
      <c r="B39" s="596"/>
      <c r="C39" s="597"/>
      <c r="D39" s="1255" t="s">
        <v>6006</v>
      </c>
      <c r="E39" s="599"/>
      <c r="F39" s="600">
        <f>(1.5)*1.1</f>
        <v>1.6500000000000001</v>
      </c>
      <c r="G39" s="289"/>
      <c r="H39" s="601"/>
      <c r="I39" s="602"/>
    </row>
    <row r="40" spans="1:256" s="604" customFormat="1" ht="27" customHeight="1">
      <c r="A40" s="1586"/>
      <c r="B40" s="596"/>
      <c r="C40" s="597"/>
      <c r="D40" s="597" t="s">
        <v>5787</v>
      </c>
      <c r="E40" s="597"/>
      <c r="F40" s="607"/>
      <c r="G40" s="289"/>
      <c r="H40" s="601"/>
      <c r="I40" s="1590"/>
      <c r="J40" s="606"/>
      <c r="U40" s="605"/>
      <c r="W40" s="605"/>
    </row>
    <row r="41" spans="1:256" s="612" customFormat="1" ht="13.5" customHeight="1">
      <c r="A41" s="608">
        <v>8</v>
      </c>
      <c r="B41" s="557" t="s">
        <v>5744</v>
      </c>
      <c r="C41" s="557" t="s">
        <v>6007</v>
      </c>
      <c r="D41" s="557" t="s">
        <v>5789</v>
      </c>
      <c r="E41" s="557" t="s">
        <v>205</v>
      </c>
      <c r="F41" s="573">
        <f>ROUND(SUM(F43:F43),3)</f>
        <v>1</v>
      </c>
      <c r="G41" s="288"/>
      <c r="H41" s="568">
        <f>ROUND(F41*G41,2)</f>
        <v>0</v>
      </c>
      <c r="I41" s="613" t="s">
        <v>111</v>
      </c>
      <c r="J41" s="409"/>
    </row>
    <row r="42" spans="1:256" s="604" customFormat="1" ht="13.5" customHeight="1">
      <c r="A42" s="1586"/>
      <c r="B42" s="596"/>
      <c r="C42" s="597"/>
      <c r="D42" s="1255" t="s">
        <v>5790</v>
      </c>
      <c r="E42" s="599"/>
      <c r="F42" s="600"/>
      <c r="G42" s="289"/>
      <c r="H42" s="601"/>
      <c r="I42" s="602"/>
      <c r="J42" s="1580"/>
      <c r="U42" s="605"/>
      <c r="W42" s="605"/>
    </row>
    <row r="43" spans="1:256" s="604" customFormat="1" ht="13.5" customHeight="1">
      <c r="A43" s="1586"/>
      <c r="B43" s="596"/>
      <c r="C43" s="597"/>
      <c r="D43" s="1255" t="s">
        <v>5791</v>
      </c>
      <c r="E43" s="599"/>
      <c r="F43" s="600">
        <v>1</v>
      </c>
      <c r="G43" s="289"/>
      <c r="H43" s="601"/>
      <c r="I43" s="602"/>
      <c r="J43" s="1580"/>
      <c r="U43" s="605"/>
      <c r="W43" s="605"/>
    </row>
    <row r="44" spans="1:256" s="604" customFormat="1" ht="27" customHeight="1">
      <c r="A44" s="1586"/>
      <c r="B44" s="596"/>
      <c r="C44" s="597"/>
      <c r="D44" s="597" t="s">
        <v>5792</v>
      </c>
      <c r="E44" s="597"/>
      <c r="F44" s="607"/>
      <c r="G44" s="289"/>
      <c r="H44" s="601"/>
      <c r="I44" s="602"/>
      <c r="J44" s="606"/>
      <c r="U44" s="605"/>
      <c r="W44" s="605"/>
    </row>
    <row r="45" spans="1:256" s="612" customFormat="1" ht="13.5" customHeight="1">
      <c r="A45" s="1583" t="s">
        <v>311</v>
      </c>
      <c r="B45" s="557" t="s">
        <v>5744</v>
      </c>
      <c r="C45" s="557" t="s">
        <v>5793</v>
      </c>
      <c r="D45" s="557" t="s">
        <v>5794</v>
      </c>
      <c r="E45" s="557" t="s">
        <v>49</v>
      </c>
      <c r="F45" s="573">
        <f>ROUND(SUM(F47),3)</f>
        <v>1</v>
      </c>
      <c r="G45" s="288"/>
      <c r="H45" s="568">
        <f>ROUND(F45*G45,2)</f>
        <v>0</v>
      </c>
      <c r="I45" s="613" t="s">
        <v>111</v>
      </c>
      <c r="J45" s="1591"/>
    </row>
    <row r="46" spans="1:256" s="612" customFormat="1" ht="13.5" customHeight="1">
      <c r="A46" s="1583"/>
      <c r="B46" s="557"/>
      <c r="C46" s="557"/>
      <c r="D46" s="1255" t="s">
        <v>5795</v>
      </c>
      <c r="E46" s="557"/>
      <c r="F46" s="615"/>
      <c r="G46" s="288"/>
      <c r="H46" s="609"/>
      <c r="I46" s="613"/>
      <c r="J46" s="1565"/>
    </row>
    <row r="47" spans="1:256" s="612" customFormat="1" ht="13.5" customHeight="1">
      <c r="A47" s="1583"/>
      <c r="B47" s="557"/>
      <c r="C47" s="557"/>
      <c r="D47" s="1255" t="s">
        <v>6008</v>
      </c>
      <c r="E47" s="557"/>
      <c r="F47" s="1249">
        <v>1</v>
      </c>
      <c r="G47" s="288"/>
      <c r="H47" s="609"/>
      <c r="I47" s="613"/>
      <c r="J47" s="1592"/>
    </row>
    <row r="48" spans="1:256" s="1600" customFormat="1" ht="54" customHeight="1">
      <c r="A48" s="1593"/>
      <c r="B48" s="1594"/>
      <c r="C48" s="1595"/>
      <c r="D48" s="584" t="s">
        <v>5797</v>
      </c>
      <c r="E48" s="1596"/>
      <c r="F48" s="1597"/>
      <c r="G48" s="407"/>
      <c r="H48" s="1598"/>
      <c r="I48" s="1599"/>
      <c r="J48" s="1592"/>
      <c r="L48" s="1601"/>
      <c r="M48" s="1601"/>
      <c r="N48" s="1601"/>
      <c r="O48" s="161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c r="IV48" s="1601"/>
    </row>
    <row r="49" spans="1:256" s="612" customFormat="1" ht="13.5" customHeight="1">
      <c r="A49" s="1583" t="s">
        <v>6009</v>
      </c>
      <c r="B49" s="557" t="s">
        <v>5744</v>
      </c>
      <c r="C49" s="557" t="s">
        <v>5768</v>
      </c>
      <c r="D49" s="557" t="s">
        <v>6010</v>
      </c>
      <c r="E49" s="557" t="s">
        <v>49</v>
      </c>
      <c r="F49" s="573">
        <f>ROUND(SUM(F51),3)</f>
        <v>1</v>
      </c>
      <c r="G49" s="288"/>
      <c r="H49" s="568">
        <f>ROUND(F49*G49,2)</f>
        <v>0</v>
      </c>
      <c r="I49" s="613" t="s">
        <v>111</v>
      </c>
      <c r="J49" s="1591"/>
      <c r="K49" s="1592"/>
    </row>
    <row r="50" spans="1:256" s="612" customFormat="1" ht="13.5" customHeight="1">
      <c r="A50" s="1583"/>
      <c r="B50" s="557"/>
      <c r="C50" s="557"/>
      <c r="D50" s="1255" t="s">
        <v>6011</v>
      </c>
      <c r="E50" s="557"/>
      <c r="F50" s="615"/>
      <c r="G50" s="288"/>
      <c r="H50" s="609"/>
      <c r="I50" s="613"/>
      <c r="J50" s="1565"/>
    </row>
    <row r="51" spans="1:256" s="612" customFormat="1" ht="27" customHeight="1">
      <c r="A51" s="1583"/>
      <c r="B51" s="557"/>
      <c r="C51" s="557"/>
      <c r="D51" s="1255" t="s">
        <v>6012</v>
      </c>
      <c r="E51" s="557"/>
      <c r="F51" s="1249">
        <v>1</v>
      </c>
      <c r="G51" s="288"/>
      <c r="H51" s="609"/>
      <c r="I51" s="613"/>
      <c r="J51" s="1565"/>
    </row>
    <row r="52" spans="1:256" s="1600" customFormat="1" ht="54" customHeight="1">
      <c r="A52" s="1593"/>
      <c r="B52" s="1594"/>
      <c r="C52" s="1595"/>
      <c r="D52" s="584" t="s">
        <v>5772</v>
      </c>
      <c r="E52" s="1596"/>
      <c r="F52" s="1597"/>
      <c r="G52" s="407"/>
      <c r="H52" s="1598"/>
      <c r="I52" s="1599"/>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c r="IV52" s="1601"/>
    </row>
    <row r="53" spans="1:256" s="612" customFormat="1" ht="27" customHeight="1">
      <c r="A53" s="608">
        <v>11</v>
      </c>
      <c r="B53" s="557" t="s">
        <v>5744</v>
      </c>
      <c r="C53" s="557" t="s">
        <v>5773</v>
      </c>
      <c r="D53" s="557" t="s">
        <v>6013</v>
      </c>
      <c r="E53" s="557" t="s">
        <v>49</v>
      </c>
      <c r="F53" s="573">
        <f>ROUND(SUM(F55),3)</f>
        <v>1</v>
      </c>
      <c r="G53" s="288"/>
      <c r="H53" s="568">
        <f>ROUND(F53*G53,2)</f>
        <v>0</v>
      </c>
      <c r="I53" s="613" t="s">
        <v>111</v>
      </c>
      <c r="J53" s="1565"/>
    </row>
    <row r="54" spans="1:256" s="612" customFormat="1" ht="13.5" customHeight="1">
      <c r="A54" s="608"/>
      <c r="B54" s="557"/>
      <c r="C54" s="557"/>
      <c r="D54" s="1255" t="s">
        <v>6014</v>
      </c>
      <c r="E54" s="557"/>
      <c r="F54" s="615"/>
      <c r="G54" s="288"/>
      <c r="H54" s="609"/>
      <c r="I54" s="613"/>
      <c r="J54" s="1565"/>
    </row>
    <row r="55" spans="1:256" s="612" customFormat="1" ht="13.5" customHeight="1">
      <c r="A55" s="608"/>
      <c r="B55" s="557"/>
      <c r="C55" s="557"/>
      <c r="D55" s="1255" t="s">
        <v>5776</v>
      </c>
      <c r="E55" s="557"/>
      <c r="F55" s="1249">
        <v>1</v>
      </c>
      <c r="G55" s="288"/>
      <c r="H55" s="609"/>
      <c r="I55" s="613"/>
      <c r="J55" s="1565"/>
    </row>
    <row r="56" spans="1:256" s="1587" customFormat="1" ht="67.5" customHeight="1">
      <c r="A56" s="1602"/>
      <c r="B56" s="1603"/>
      <c r="C56" s="1604"/>
      <c r="D56" s="584" t="s">
        <v>5777</v>
      </c>
      <c r="E56" s="1605"/>
      <c r="F56" s="1606"/>
      <c r="G56" s="299"/>
      <c r="H56" s="1607"/>
      <c r="I56" s="160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612" customFormat="1" ht="13.5" customHeight="1">
      <c r="A57" s="608">
        <v>12</v>
      </c>
      <c r="B57" s="557" t="s">
        <v>5744</v>
      </c>
      <c r="C57" s="557" t="s">
        <v>5773</v>
      </c>
      <c r="D57" s="557" t="s">
        <v>5799</v>
      </c>
      <c r="E57" s="557" t="s">
        <v>49</v>
      </c>
      <c r="F57" s="573">
        <f>ROUND(SUM(F58),3)</f>
        <v>1</v>
      </c>
      <c r="G57" s="288"/>
      <c r="H57" s="568">
        <f>ROUND(F57*G57,2)</f>
        <v>0</v>
      </c>
      <c r="I57" s="613" t="s">
        <v>111</v>
      </c>
      <c r="J57" s="408"/>
    </row>
    <row r="58" spans="1:256" s="1564" customFormat="1" ht="27" customHeight="1">
      <c r="A58" s="1570"/>
      <c r="B58" s="1560"/>
      <c r="C58" s="1245"/>
      <c r="D58" s="1255" t="s">
        <v>5800</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t="s">
        <v>5744</v>
      </c>
      <c r="C60" s="557" t="s">
        <v>6015</v>
      </c>
      <c r="D60" s="557" t="s">
        <v>1618</v>
      </c>
      <c r="E60" s="557" t="s">
        <v>205</v>
      </c>
      <c r="F60" s="573">
        <f>ROUND(SUM(F61),3)</f>
        <v>1</v>
      </c>
      <c r="G60" s="288"/>
      <c r="H60" s="568">
        <f>ROUND(F60*G60,2)</f>
        <v>0</v>
      </c>
      <c r="I60" s="613" t="s">
        <v>111</v>
      </c>
      <c r="J60" s="408"/>
    </row>
    <row r="61" spans="1:256" s="1564" customFormat="1" ht="13.5" customHeight="1">
      <c r="A61" s="1570"/>
      <c r="B61" s="1560"/>
      <c r="C61" s="1245"/>
      <c r="D61" s="1255" t="s">
        <v>5802</v>
      </c>
      <c r="E61" s="402"/>
      <c r="F61" s="1249">
        <v>1</v>
      </c>
      <c r="G61" s="1413"/>
      <c r="H61" s="1261"/>
      <c r="I61" s="1280"/>
      <c r="K61" s="593"/>
    </row>
    <row r="62" spans="1:256" s="612" customFormat="1" ht="13.5" customHeight="1">
      <c r="A62" s="608">
        <v>14</v>
      </c>
      <c r="B62" s="557" t="s">
        <v>5744</v>
      </c>
      <c r="C62" s="557" t="s">
        <v>6016</v>
      </c>
      <c r="D62" s="557" t="s">
        <v>5804</v>
      </c>
      <c r="E62" s="557" t="s">
        <v>49</v>
      </c>
      <c r="F62" s="573">
        <f>ROUND(SUM(F63),3)</f>
        <v>1</v>
      </c>
      <c r="G62" s="288"/>
      <c r="H62" s="568">
        <f>ROUND(F62*G62,2)</f>
        <v>0</v>
      </c>
      <c r="I62" s="613" t="s">
        <v>111</v>
      </c>
      <c r="J62" s="408"/>
    </row>
    <row r="63" spans="1:256" s="1564" customFormat="1" ht="13.5" customHeight="1">
      <c r="A63" s="1570"/>
      <c r="B63" s="1560"/>
      <c r="C63" s="1245"/>
      <c r="D63" s="1255" t="s">
        <v>5805</v>
      </c>
      <c r="E63" s="402"/>
      <c r="F63" s="1249">
        <v>1</v>
      </c>
      <c r="G63" s="1413"/>
      <c r="H63" s="1261"/>
      <c r="I63" s="1280"/>
      <c r="K63" s="593"/>
    </row>
    <row r="64" spans="1:256" s="612" customFormat="1" ht="13.5" customHeight="1">
      <c r="A64" s="608">
        <v>15</v>
      </c>
      <c r="B64" s="557" t="s">
        <v>362</v>
      </c>
      <c r="C64" s="557" t="s">
        <v>1802</v>
      </c>
      <c r="D64" s="557" t="s">
        <v>1803</v>
      </c>
      <c r="E64" s="557" t="s">
        <v>69</v>
      </c>
      <c r="F64" s="573">
        <f>ROUND(SUM(F65),3)</f>
        <v>3</v>
      </c>
      <c r="G64" s="288"/>
      <c r="H64" s="568">
        <f>ROUND(F64*G64,2)</f>
        <v>0</v>
      </c>
      <c r="I64" s="613" t="s">
        <v>137</v>
      </c>
      <c r="J64" s="408"/>
    </row>
    <row r="65" spans="1:255" s="1564" customFormat="1" ht="27" customHeight="1">
      <c r="A65" s="1570"/>
      <c r="B65" s="1560"/>
      <c r="C65" s="1245"/>
      <c r="D65" s="1255" t="s">
        <v>5778</v>
      </c>
      <c r="E65" s="402"/>
      <c r="F65" s="1249">
        <v>3</v>
      </c>
      <c r="G65" s="1413"/>
      <c r="H65" s="1261"/>
      <c r="I65" s="1280"/>
      <c r="J65" s="612"/>
      <c r="K65" s="612"/>
      <c r="L65" s="612"/>
      <c r="M65" s="612"/>
      <c r="N65" s="612"/>
    </row>
    <row r="66" spans="1:255" s="612" customFormat="1" ht="13.5" customHeight="1">
      <c r="A66" s="608"/>
      <c r="B66" s="557"/>
      <c r="C66" s="616" t="s">
        <v>5806</v>
      </c>
      <c r="D66" s="616" t="s">
        <v>5807</v>
      </c>
      <c r="E66" s="616"/>
      <c r="F66" s="617"/>
      <c r="G66" s="303"/>
      <c r="H66" s="828">
        <f>SUM(H67:H152,H157:H163,H167:H173,H179:H185)</f>
        <v>0</v>
      </c>
      <c r="I66" s="613"/>
      <c r="J66" s="1612"/>
      <c r="K66" s="1248"/>
      <c r="L66" s="1613"/>
      <c r="M66" s="1613"/>
      <c r="N66" s="1613"/>
    </row>
    <row r="67" spans="1:255" s="1248" customFormat="1" ht="13.5" customHeight="1">
      <c r="A67" s="1614">
        <v>16</v>
      </c>
      <c r="B67" s="1615" t="s">
        <v>5808</v>
      </c>
      <c r="C67" s="1615">
        <v>460010024</v>
      </c>
      <c r="D67" s="1615" t="s">
        <v>5809</v>
      </c>
      <c r="E67" s="1615" t="s">
        <v>5810</v>
      </c>
      <c r="F67" s="573">
        <f>ROUND(SUM(F68),3)</f>
        <v>4.1000000000000002E-2</v>
      </c>
      <c r="G67" s="288"/>
      <c r="H67" s="568">
        <f>ROUND(F67*G67,2)</f>
        <v>0</v>
      </c>
      <c r="I67" s="613" t="s">
        <v>137</v>
      </c>
      <c r="J67" s="603"/>
      <c r="K67" s="604"/>
      <c r="L67" s="604"/>
      <c r="M67" s="604"/>
      <c r="N67" s="604"/>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6017</v>
      </c>
      <c r="E68" s="599"/>
      <c r="F68" s="600">
        <f>(14.8+26.3)/1000</f>
        <v>4.1100000000000005E-2</v>
      </c>
      <c r="G68" s="289"/>
      <c r="H68" s="601"/>
      <c r="I68" s="602"/>
      <c r="J68" s="603"/>
      <c r="N68" s="1248"/>
      <c r="U68" s="605"/>
      <c r="W68" s="605"/>
    </row>
    <row r="69" spans="1:255" s="1248" customFormat="1" ht="13.5" customHeight="1">
      <c r="A69" s="1614">
        <v>17</v>
      </c>
      <c r="B69" s="1615" t="s">
        <v>5808</v>
      </c>
      <c r="C69" s="1615">
        <v>460041111</v>
      </c>
      <c r="D69" s="1615" t="s">
        <v>5812</v>
      </c>
      <c r="E69" s="1615" t="s">
        <v>69</v>
      </c>
      <c r="F69" s="573">
        <f>ROUND(SUM(F70),3)</f>
        <v>2</v>
      </c>
      <c r="G69" s="288"/>
      <c r="H69" s="568">
        <f>ROUND(F69*G69,2)</f>
        <v>0</v>
      </c>
      <c r="I69" s="613" t="s">
        <v>137</v>
      </c>
      <c r="J69" s="603"/>
      <c r="K69" s="604"/>
      <c r="L69" s="604"/>
      <c r="M69" s="604"/>
      <c r="N69" s="604"/>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5813</v>
      </c>
      <c r="E70" s="599"/>
      <c r="F70" s="600">
        <v>2</v>
      </c>
      <c r="G70" s="289"/>
      <c r="H70" s="601"/>
      <c r="I70" s="602"/>
      <c r="J70" s="603"/>
      <c r="U70" s="605"/>
      <c r="W70" s="605"/>
    </row>
    <row r="71" spans="1:255" s="1248" customFormat="1" ht="13.5" customHeight="1">
      <c r="A71" s="1614">
        <v>18</v>
      </c>
      <c r="B71" s="1615" t="s">
        <v>5808</v>
      </c>
      <c r="C71" s="1615">
        <v>460161452</v>
      </c>
      <c r="D71" s="1615" t="s">
        <v>5814</v>
      </c>
      <c r="E71" s="1615" t="s">
        <v>141</v>
      </c>
      <c r="F71" s="573">
        <f>ROUND(SUM(F73),3)</f>
        <v>1.3149999999999999</v>
      </c>
      <c r="G71" s="288"/>
      <c r="H71" s="568">
        <f>ROUND(F71*G71,2)</f>
        <v>0</v>
      </c>
      <c r="I71" s="613" t="s">
        <v>137</v>
      </c>
      <c r="J71" s="1612"/>
      <c r="L71" s="1613"/>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6018</v>
      </c>
      <c r="E72" s="599"/>
      <c r="F72" s="600"/>
      <c r="G72" s="289"/>
      <c r="H72" s="601"/>
      <c r="I72" s="602"/>
      <c r="J72" s="603"/>
      <c r="U72" s="605"/>
      <c r="W72" s="605"/>
    </row>
    <row r="73" spans="1:255" s="604" customFormat="1" ht="13.5" customHeight="1">
      <c r="A73" s="595"/>
      <c r="B73" s="596"/>
      <c r="C73" s="597"/>
      <c r="D73" s="1618" t="s">
        <v>6019</v>
      </c>
      <c r="E73" s="599"/>
      <c r="F73" s="600">
        <f>(26.3)*0.05</f>
        <v>1.3150000000000002</v>
      </c>
      <c r="G73" s="289"/>
      <c r="H73" s="601"/>
      <c r="I73" s="602"/>
      <c r="J73" s="603"/>
      <c r="U73" s="605"/>
      <c r="W73" s="605"/>
    </row>
    <row r="74" spans="1:255" s="604" customFormat="1" ht="27" customHeight="1">
      <c r="A74" s="595"/>
      <c r="B74" s="596"/>
      <c r="C74" s="597"/>
      <c r="D74" s="1619" t="s">
        <v>4323</v>
      </c>
      <c r="E74" s="599"/>
      <c r="F74" s="600"/>
      <c r="G74" s="289"/>
      <c r="H74" s="601"/>
      <c r="I74" s="602"/>
      <c r="U74" s="605"/>
      <c r="W74" s="605"/>
    </row>
    <row r="75" spans="1:255" s="1248" customFormat="1" ht="13.5" customHeight="1">
      <c r="A75" s="1614">
        <v>19</v>
      </c>
      <c r="B75" s="1615" t="s">
        <v>5808</v>
      </c>
      <c r="C75" s="1615">
        <v>460161652</v>
      </c>
      <c r="D75" s="1615" t="s">
        <v>5817</v>
      </c>
      <c r="E75" s="1615" t="s">
        <v>141</v>
      </c>
      <c r="F75" s="573">
        <f>ROUND(SUM(F77),3)</f>
        <v>0.74</v>
      </c>
      <c r="G75" s="288"/>
      <c r="H75" s="568">
        <f>ROUND(F75*G75,2)</f>
        <v>0</v>
      </c>
      <c r="I75" s="613" t="s">
        <v>137</v>
      </c>
      <c r="J75" s="1612"/>
      <c r="L75" s="1613"/>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6020</v>
      </c>
      <c r="E76" s="599"/>
      <c r="F76" s="600"/>
      <c r="G76" s="289"/>
      <c r="H76" s="601"/>
      <c r="I76" s="602"/>
      <c r="J76" s="603"/>
      <c r="U76" s="605"/>
      <c r="W76" s="605"/>
    </row>
    <row r="77" spans="1:255" s="604" customFormat="1" ht="13.5" customHeight="1">
      <c r="A77" s="595"/>
      <c r="B77" s="596"/>
      <c r="C77" s="597"/>
      <c r="D77" s="1618" t="s">
        <v>6021</v>
      </c>
      <c r="E77" s="599"/>
      <c r="F77" s="600">
        <f>(14.8)*0.05</f>
        <v>0.7400000000000001</v>
      </c>
      <c r="G77" s="289"/>
      <c r="H77" s="601"/>
      <c r="I77" s="602"/>
      <c r="J77" s="603"/>
      <c r="U77" s="605"/>
      <c r="W77" s="605"/>
    </row>
    <row r="78" spans="1:255" s="604" customFormat="1" ht="27" customHeight="1">
      <c r="A78" s="595"/>
      <c r="B78" s="596"/>
      <c r="C78" s="597"/>
      <c r="D78" s="1619" t="s">
        <v>4323</v>
      </c>
      <c r="E78" s="599"/>
      <c r="F78" s="600"/>
      <c r="G78" s="289"/>
      <c r="H78" s="601"/>
      <c r="I78" s="602"/>
      <c r="U78" s="605"/>
      <c r="W78" s="605"/>
    </row>
    <row r="79" spans="1:255" s="1248" customFormat="1" ht="13.5" customHeight="1">
      <c r="A79" s="1614">
        <v>20</v>
      </c>
      <c r="B79" s="1615" t="s">
        <v>5808</v>
      </c>
      <c r="C79" s="1615">
        <v>460171452</v>
      </c>
      <c r="D79" s="1615" t="s">
        <v>5820</v>
      </c>
      <c r="E79" s="1615" t="s">
        <v>141</v>
      </c>
      <c r="F79" s="573">
        <f>ROUND(SUM(F81),3)</f>
        <v>22.355</v>
      </c>
      <c r="G79" s="288"/>
      <c r="H79" s="568">
        <f>ROUND(F79*G79,2)</f>
        <v>0</v>
      </c>
      <c r="I79" s="613" t="s">
        <v>137</v>
      </c>
      <c r="J79" s="1612"/>
      <c r="L79" s="1613"/>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6022</v>
      </c>
      <c r="E80" s="599"/>
      <c r="F80" s="600"/>
      <c r="G80" s="289"/>
      <c r="H80" s="601"/>
      <c r="I80" s="602"/>
      <c r="J80" s="603"/>
      <c r="U80" s="605"/>
      <c r="W80" s="605"/>
    </row>
    <row r="81" spans="1:255" s="604" customFormat="1" ht="13.5" customHeight="1">
      <c r="A81" s="595"/>
      <c r="B81" s="596"/>
      <c r="C81" s="597"/>
      <c r="D81" s="1618" t="s">
        <v>6023</v>
      </c>
      <c r="E81" s="599"/>
      <c r="F81" s="600">
        <f>(26.3)*0.85</f>
        <v>22.355</v>
      </c>
      <c r="G81" s="289"/>
      <c r="H81" s="601"/>
      <c r="I81" s="602"/>
      <c r="J81" s="603"/>
      <c r="U81" s="605"/>
      <c r="W81" s="605"/>
    </row>
    <row r="82" spans="1:255" s="604" customFormat="1" ht="27" customHeight="1">
      <c r="A82" s="595"/>
      <c r="B82" s="596"/>
      <c r="C82" s="597"/>
      <c r="D82" s="1619" t="s">
        <v>4323</v>
      </c>
      <c r="E82" s="599"/>
      <c r="F82" s="600"/>
      <c r="G82" s="289"/>
      <c r="H82" s="601"/>
      <c r="I82" s="602"/>
      <c r="U82" s="605"/>
      <c r="W82" s="605"/>
    </row>
    <row r="83" spans="1:255" s="1248" customFormat="1" ht="13.5" customHeight="1">
      <c r="A83" s="1614">
        <v>21</v>
      </c>
      <c r="B83" s="1615" t="s">
        <v>5808</v>
      </c>
      <c r="C83" s="1615">
        <v>460171453</v>
      </c>
      <c r="D83" s="1615" t="s">
        <v>5823</v>
      </c>
      <c r="E83" s="1615" t="s">
        <v>141</v>
      </c>
      <c r="F83" s="573">
        <f>ROUND(SUM(F85),3)</f>
        <v>2.63</v>
      </c>
      <c r="G83" s="288"/>
      <c r="H83" s="568">
        <f>ROUND(F83*G83,2)</f>
        <v>0</v>
      </c>
      <c r="I83" s="613" t="s">
        <v>137</v>
      </c>
      <c r="J83" s="1612"/>
      <c r="L83" s="1613"/>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6024</v>
      </c>
      <c r="E84" s="599"/>
      <c r="F84" s="600"/>
      <c r="G84" s="289"/>
      <c r="H84" s="601"/>
      <c r="I84" s="602"/>
      <c r="J84" s="603"/>
      <c r="U84" s="605"/>
      <c r="W84" s="605"/>
    </row>
    <row r="85" spans="1:255" s="604" customFormat="1" ht="13.5" customHeight="1">
      <c r="A85" s="595"/>
      <c r="B85" s="596"/>
      <c r="C85" s="597"/>
      <c r="D85" s="1618" t="s">
        <v>6025</v>
      </c>
      <c r="E85" s="599"/>
      <c r="F85" s="600">
        <f>(26.3)*0.1</f>
        <v>2.6300000000000003</v>
      </c>
      <c r="G85" s="289"/>
      <c r="H85" s="601"/>
      <c r="I85" s="602"/>
      <c r="J85" s="603"/>
      <c r="U85" s="605"/>
      <c r="W85" s="605"/>
    </row>
    <row r="86" spans="1:255" s="604" customFormat="1" ht="27" customHeight="1">
      <c r="A86" s="595"/>
      <c r="B86" s="596"/>
      <c r="C86" s="597"/>
      <c r="D86" s="1619" t="s">
        <v>4323</v>
      </c>
      <c r="E86" s="599"/>
      <c r="F86" s="600"/>
      <c r="G86" s="289"/>
      <c r="H86" s="601"/>
      <c r="I86" s="602"/>
      <c r="U86" s="605"/>
      <c r="W86" s="605"/>
    </row>
    <row r="87" spans="1:255" s="1248" customFormat="1" ht="13.5" customHeight="1">
      <c r="A87" s="1614">
        <v>22</v>
      </c>
      <c r="B87" s="1615" t="s">
        <v>5808</v>
      </c>
      <c r="C87" s="1615">
        <v>460171652</v>
      </c>
      <c r="D87" s="1615" t="s">
        <v>5826</v>
      </c>
      <c r="E87" s="1615" t="s">
        <v>141</v>
      </c>
      <c r="F87" s="573">
        <f>ROUND(SUM(F89),3)</f>
        <v>12.58</v>
      </c>
      <c r="G87" s="288"/>
      <c r="H87" s="568">
        <f>ROUND(F87*G87,2)</f>
        <v>0</v>
      </c>
      <c r="I87" s="613" t="s">
        <v>137</v>
      </c>
      <c r="J87" s="1612"/>
      <c r="L87" s="1613"/>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6026</v>
      </c>
      <c r="E88" s="599"/>
      <c r="F88" s="600"/>
      <c r="G88" s="289"/>
      <c r="H88" s="601"/>
      <c r="I88" s="602"/>
      <c r="J88" s="603"/>
      <c r="U88" s="605"/>
      <c r="W88" s="605"/>
    </row>
    <row r="89" spans="1:255" s="604" customFormat="1" ht="27" customHeight="1">
      <c r="A89" s="595"/>
      <c r="B89" s="596"/>
      <c r="C89" s="597"/>
      <c r="D89" s="1618" t="s">
        <v>6027</v>
      </c>
      <c r="E89" s="599"/>
      <c r="F89" s="600">
        <f>(14.8)*0.85</f>
        <v>12.58</v>
      </c>
      <c r="G89" s="289"/>
      <c r="H89" s="601"/>
      <c r="I89" s="602"/>
      <c r="J89" s="603"/>
      <c r="U89" s="605"/>
      <c r="W89" s="605"/>
    </row>
    <row r="90" spans="1:255" s="604" customFormat="1" ht="27" customHeight="1">
      <c r="A90" s="595"/>
      <c r="B90" s="596"/>
      <c r="C90" s="597"/>
      <c r="D90" s="719" t="s">
        <v>4323</v>
      </c>
      <c r="E90" s="599"/>
      <c r="F90" s="600"/>
      <c r="G90" s="289"/>
      <c r="H90" s="601"/>
      <c r="I90" s="602"/>
      <c r="J90" s="603"/>
      <c r="U90" s="605"/>
      <c r="W90" s="605"/>
    </row>
    <row r="91" spans="1:255" s="1248" customFormat="1" ht="13.5" customHeight="1">
      <c r="A91" s="1614">
        <v>23</v>
      </c>
      <c r="B91" s="1615" t="s">
        <v>5808</v>
      </c>
      <c r="C91" s="1615">
        <v>460171653</v>
      </c>
      <c r="D91" s="1615" t="s">
        <v>5829</v>
      </c>
      <c r="E91" s="1615" t="s">
        <v>141</v>
      </c>
      <c r="F91" s="573">
        <f>ROUND(SUM(F93),3)</f>
        <v>1.48</v>
      </c>
      <c r="G91" s="288"/>
      <c r="H91" s="568">
        <f>ROUND(F91*G91,2)</f>
        <v>0</v>
      </c>
      <c r="I91" s="613" t="s">
        <v>137</v>
      </c>
      <c r="J91" s="1612"/>
      <c r="K91" s="60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6028</v>
      </c>
      <c r="E92" s="599"/>
      <c r="F92" s="600"/>
      <c r="G92" s="289"/>
      <c r="H92" s="601"/>
      <c r="I92" s="602"/>
      <c r="J92" s="603"/>
      <c r="U92" s="605"/>
      <c r="W92" s="605"/>
    </row>
    <row r="93" spans="1:255" s="604" customFormat="1" ht="13.5" customHeight="1">
      <c r="A93" s="595"/>
      <c r="B93" s="596"/>
      <c r="C93" s="597"/>
      <c r="D93" s="1618" t="s">
        <v>6029</v>
      </c>
      <c r="E93" s="599"/>
      <c r="F93" s="600">
        <f>(14.8)*0.1</f>
        <v>1.4800000000000002</v>
      </c>
      <c r="G93" s="289"/>
      <c r="H93" s="601"/>
      <c r="I93" s="602"/>
      <c r="J93" s="606"/>
      <c r="U93" s="605"/>
      <c r="W93" s="605"/>
    </row>
    <row r="94" spans="1:255" s="604" customFormat="1" ht="27" customHeight="1">
      <c r="A94" s="595"/>
      <c r="B94" s="596"/>
      <c r="C94" s="597"/>
      <c r="D94" s="719" t="s">
        <v>4323</v>
      </c>
      <c r="E94" s="599"/>
      <c r="F94" s="600"/>
      <c r="G94" s="289"/>
      <c r="H94" s="601"/>
      <c r="I94" s="602"/>
      <c r="J94" s="606"/>
      <c r="U94" s="605"/>
      <c r="W94" s="605"/>
    </row>
    <row r="95" spans="1:255" s="1248" customFormat="1" ht="13.5" customHeight="1">
      <c r="A95" s="1614">
        <v>24</v>
      </c>
      <c r="B95" s="1615" t="s">
        <v>5808</v>
      </c>
      <c r="C95" s="1615">
        <v>460241111</v>
      </c>
      <c r="D95" s="1615" t="s">
        <v>5832</v>
      </c>
      <c r="E95" s="1615" t="s">
        <v>146</v>
      </c>
      <c r="F95" s="573">
        <f>ROUND(SUM(F96),3)</f>
        <v>1.302</v>
      </c>
      <c r="G95" s="288"/>
      <c r="H95" s="568">
        <f>ROUND(F95*G95,2)</f>
        <v>0</v>
      </c>
      <c r="I95" s="613" t="s">
        <v>137</v>
      </c>
      <c r="J95" s="1612"/>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6030</v>
      </c>
      <c r="E96" s="599"/>
      <c r="F96" s="600">
        <f>((26.3*0.65*0.9)+(14.8*0.8*0.9))*0.05</f>
        <v>1.3020750000000003</v>
      </c>
      <c r="G96" s="289"/>
      <c r="H96" s="601"/>
      <c r="I96" s="602"/>
      <c r="J96" s="606"/>
      <c r="U96" s="605"/>
      <c r="W96" s="605"/>
    </row>
    <row r="97" spans="1:255" s="1248" customFormat="1" ht="13.5" customHeight="1">
      <c r="A97" s="1614">
        <v>25</v>
      </c>
      <c r="B97" s="1615" t="s">
        <v>5808</v>
      </c>
      <c r="C97" s="1615">
        <v>460242111</v>
      </c>
      <c r="D97" s="1615" t="s">
        <v>5834</v>
      </c>
      <c r="E97" s="1615" t="s">
        <v>205</v>
      </c>
      <c r="F97" s="573">
        <f>ROUND(SUM(F98),3)</f>
        <v>4</v>
      </c>
      <c r="G97" s="288"/>
      <c r="H97" s="568">
        <f>ROUND(F97*G97,2)</f>
        <v>0</v>
      </c>
      <c r="I97" s="613" t="s">
        <v>137</v>
      </c>
      <c r="J97" s="1612"/>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row>
    <row r="98" spans="1:255" s="604" customFormat="1" ht="13.5" customHeight="1">
      <c r="A98" s="595"/>
      <c r="B98" s="596"/>
      <c r="C98" s="597"/>
      <c r="D98" s="719" t="s">
        <v>5835</v>
      </c>
      <c r="E98" s="599"/>
      <c r="F98" s="600">
        <v>4</v>
      </c>
      <c r="G98" s="289"/>
      <c r="H98" s="601"/>
      <c r="I98" s="1620"/>
      <c r="J98" s="606"/>
      <c r="U98" s="605"/>
      <c r="W98" s="605"/>
    </row>
    <row r="99" spans="1:255" s="1248" customFormat="1" ht="13.5" customHeight="1">
      <c r="A99" s="1614">
        <v>26</v>
      </c>
      <c r="B99" s="1615" t="s">
        <v>5808</v>
      </c>
      <c r="C99" s="1615">
        <v>460242121</v>
      </c>
      <c r="D99" s="1615" t="s">
        <v>5836</v>
      </c>
      <c r="E99" s="1615" t="s">
        <v>141</v>
      </c>
      <c r="F99" s="573">
        <f>ROUND(SUM(F100),3)</f>
        <v>5</v>
      </c>
      <c r="G99" s="288"/>
      <c r="H99" s="568">
        <f>ROUND(F99*G99,2)</f>
        <v>0</v>
      </c>
      <c r="I99" s="613" t="s">
        <v>137</v>
      </c>
      <c r="J99" s="1612"/>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5835</v>
      </c>
      <c r="E100" s="599"/>
      <c r="F100" s="600">
        <v>5</v>
      </c>
      <c r="G100" s="289"/>
      <c r="H100" s="601"/>
      <c r="I100" s="1620"/>
      <c r="J100" s="606"/>
      <c r="U100" s="605"/>
      <c r="W100" s="605"/>
    </row>
    <row r="101" spans="1:255" s="1248" customFormat="1" ht="13.5" customHeight="1">
      <c r="A101" s="1614">
        <v>27</v>
      </c>
      <c r="B101" s="1615" t="s">
        <v>5808</v>
      </c>
      <c r="C101" s="1615">
        <v>460242211</v>
      </c>
      <c r="D101" s="1615" t="s">
        <v>5837</v>
      </c>
      <c r="E101" s="1615" t="s">
        <v>205</v>
      </c>
      <c r="F101" s="573">
        <f>ROUND(SUM(F102),3)</f>
        <v>5</v>
      </c>
      <c r="G101" s="288"/>
      <c r="H101" s="568">
        <f>ROUND(F101*G101,2)</f>
        <v>0</v>
      </c>
      <c r="I101" s="613" t="s">
        <v>137</v>
      </c>
      <c r="J101" s="1612"/>
      <c r="BS101" s="1616"/>
      <c r="BT101" s="1616"/>
      <c r="BU101" s="1616"/>
      <c r="BV101" s="1616"/>
      <c r="BW101" s="1616"/>
      <c r="BX101" s="1616"/>
      <c r="BY101" s="1616"/>
      <c r="BZ101" s="1616"/>
      <c r="CA101" s="1616"/>
      <c r="CB101" s="1616"/>
      <c r="CC101" s="1616"/>
      <c r="CD101" s="1616"/>
      <c r="CE101" s="1616"/>
      <c r="CF101" s="1616"/>
      <c r="CG101" s="1616"/>
      <c r="CH101" s="1616"/>
      <c r="CI101" s="1616"/>
      <c r="CJ101" s="1616"/>
      <c r="CK101" s="1616"/>
      <c r="CL101" s="1616"/>
      <c r="CM101" s="1616"/>
      <c r="CN101" s="1616"/>
      <c r="CO101" s="1616"/>
      <c r="CP101" s="1616"/>
      <c r="CQ101" s="1616"/>
      <c r="CR101" s="1616"/>
      <c r="CS101" s="1616"/>
      <c r="CT101" s="1616"/>
      <c r="CU101" s="1616"/>
      <c r="CV101" s="1616"/>
      <c r="CW101" s="1616"/>
      <c r="CX101" s="1616"/>
      <c r="CY101" s="1616"/>
      <c r="CZ101" s="1616"/>
      <c r="DA101" s="1616"/>
      <c r="DB101" s="1616"/>
      <c r="DC101" s="1616"/>
      <c r="DD101" s="1616"/>
      <c r="DE101" s="1616"/>
      <c r="DF101" s="1616"/>
      <c r="DG101" s="1616"/>
      <c r="DH101" s="1616"/>
      <c r="DI101" s="1616"/>
      <c r="DJ101" s="1616"/>
      <c r="DK101" s="1616"/>
      <c r="DL101" s="1616"/>
      <c r="DM101" s="1616"/>
      <c r="DN101" s="1616"/>
      <c r="DO101" s="1616"/>
      <c r="DP101" s="1616"/>
      <c r="DQ101" s="1616"/>
      <c r="DR101" s="1616"/>
      <c r="DS101" s="1616"/>
      <c r="DT101" s="1616"/>
      <c r="DU101" s="1616"/>
      <c r="DV101" s="1616"/>
      <c r="DW101" s="1616"/>
      <c r="DX101" s="1616"/>
      <c r="DY101" s="1616"/>
      <c r="DZ101" s="1616"/>
      <c r="EA101" s="1616"/>
      <c r="EB101" s="1616"/>
      <c r="EC101" s="1616"/>
      <c r="ED101" s="1616"/>
      <c r="EE101" s="1616"/>
      <c r="EF101" s="1616"/>
      <c r="EG101" s="1616"/>
      <c r="EH101" s="1616"/>
      <c r="EI101" s="1616"/>
      <c r="EJ101" s="1616"/>
      <c r="EK101" s="1616"/>
      <c r="EL101" s="1616"/>
      <c r="EM101" s="1616"/>
      <c r="EN101" s="1616"/>
      <c r="EO101" s="1616"/>
      <c r="EP101" s="1616"/>
      <c r="EQ101" s="1616"/>
      <c r="ER101" s="1616"/>
      <c r="ES101" s="1616"/>
      <c r="ET101" s="1616"/>
      <c r="EU101" s="1616"/>
      <c r="EV101" s="1616"/>
      <c r="EW101" s="1616"/>
      <c r="EX101" s="1616"/>
      <c r="EY101" s="1616"/>
      <c r="EZ101" s="1616"/>
      <c r="FA101" s="1616"/>
      <c r="FB101" s="1616"/>
      <c r="FC101" s="1616"/>
      <c r="FD101" s="1616"/>
      <c r="FE101" s="1616"/>
      <c r="FF101" s="1616"/>
      <c r="FG101" s="1616"/>
      <c r="FH101" s="1616"/>
      <c r="FI101" s="1616"/>
      <c r="FJ101" s="1616"/>
      <c r="FK101" s="1616"/>
      <c r="FL101" s="1616"/>
      <c r="FM101" s="1616"/>
      <c r="FN101" s="1616"/>
      <c r="FO101" s="1616"/>
      <c r="FP101" s="1616"/>
      <c r="FQ101" s="1616"/>
      <c r="FR101" s="1616"/>
      <c r="FS101" s="1616"/>
      <c r="FT101" s="1616"/>
      <c r="FU101" s="1616"/>
      <c r="FV101" s="1616"/>
      <c r="FW101" s="1616"/>
      <c r="FX101" s="1616"/>
      <c r="FY101" s="1616"/>
      <c r="FZ101" s="1616"/>
      <c r="GA101" s="1616"/>
      <c r="GB101" s="1616"/>
      <c r="GC101" s="1616"/>
      <c r="GD101" s="1616"/>
      <c r="GE101" s="1616"/>
      <c r="GF101" s="1616"/>
      <c r="GG101" s="1616"/>
      <c r="GH101" s="1616"/>
      <c r="GI101" s="1616"/>
      <c r="GJ101" s="1616"/>
      <c r="GK101" s="1616"/>
      <c r="GL101" s="1616"/>
      <c r="GM101" s="1616"/>
      <c r="GN101" s="1616"/>
      <c r="GO101" s="1616"/>
      <c r="GP101" s="1616"/>
      <c r="GQ101" s="1616"/>
      <c r="GR101" s="1616"/>
      <c r="GS101" s="1616"/>
      <c r="GT101" s="1616"/>
      <c r="GU101" s="1616"/>
      <c r="GV101" s="1616"/>
      <c r="GW101" s="1616"/>
      <c r="GX101" s="1616"/>
      <c r="GY101" s="1616"/>
      <c r="GZ101" s="1616"/>
      <c r="HA101" s="1616"/>
      <c r="HB101" s="1616"/>
      <c r="HC101" s="1616"/>
      <c r="HD101" s="1616"/>
      <c r="HE101" s="1616"/>
      <c r="HF101" s="1616"/>
      <c r="HG101" s="1616"/>
      <c r="HH101" s="1616"/>
      <c r="HI101" s="1616"/>
      <c r="HJ101" s="1616"/>
      <c r="HK101" s="1616"/>
      <c r="HL101" s="1616"/>
      <c r="HM101" s="1616"/>
      <c r="HN101" s="1616"/>
      <c r="HO101" s="1616"/>
      <c r="HP101" s="1616"/>
      <c r="HQ101" s="1616"/>
      <c r="HR101" s="1616"/>
      <c r="HS101" s="1616"/>
      <c r="HT101" s="1616"/>
      <c r="HU101" s="1616"/>
      <c r="HV101" s="1616"/>
      <c r="HW101" s="1616"/>
      <c r="HX101" s="1616"/>
      <c r="HY101" s="1616"/>
      <c r="HZ101" s="1616"/>
      <c r="IA101" s="1616"/>
      <c r="IB101" s="1616"/>
      <c r="IC101" s="1616"/>
      <c r="ID101" s="1616"/>
      <c r="IE101" s="1616"/>
      <c r="IF101" s="1616"/>
      <c r="IG101" s="1616"/>
      <c r="IH101" s="1616"/>
      <c r="II101" s="1616"/>
      <c r="IJ101" s="1616"/>
      <c r="IK101" s="1616"/>
      <c r="IL101" s="1616"/>
      <c r="IM101" s="1616"/>
      <c r="IN101" s="1616"/>
      <c r="IO101" s="1616"/>
      <c r="IP101" s="1616"/>
      <c r="IQ101" s="1616"/>
      <c r="IR101" s="1616"/>
      <c r="IS101" s="1616"/>
      <c r="IT101" s="1616"/>
      <c r="IU101" s="1616"/>
    </row>
    <row r="102" spans="1:255" s="604" customFormat="1" ht="13.5" customHeight="1">
      <c r="A102" s="595"/>
      <c r="B102" s="596"/>
      <c r="C102" s="597"/>
      <c r="D102" s="719" t="s">
        <v>5838</v>
      </c>
      <c r="E102" s="599"/>
      <c r="F102" s="600">
        <v>5</v>
      </c>
      <c r="G102" s="289"/>
      <c r="H102" s="601"/>
      <c r="I102" s="1620"/>
      <c r="J102" s="606"/>
      <c r="U102" s="605"/>
      <c r="W102" s="605"/>
    </row>
    <row r="103" spans="1:255" s="1248" customFormat="1" ht="13.5" customHeight="1">
      <c r="A103" s="1614">
        <v>28</v>
      </c>
      <c r="B103" s="1615" t="s">
        <v>5808</v>
      </c>
      <c r="C103" s="1615">
        <v>460242221</v>
      </c>
      <c r="D103" s="1615" t="s">
        <v>5839</v>
      </c>
      <c r="E103" s="1615" t="s">
        <v>141</v>
      </c>
      <c r="F103" s="573">
        <f>ROUND(SUM(F104),3)</f>
        <v>15</v>
      </c>
      <c r="G103" s="288"/>
      <c r="H103" s="568">
        <f>ROUND(F103*G103,2)</f>
        <v>0</v>
      </c>
      <c r="I103" s="613" t="s">
        <v>137</v>
      </c>
      <c r="J103" s="1612"/>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604" customFormat="1" ht="13.5" customHeight="1">
      <c r="A104" s="595"/>
      <c r="B104" s="596"/>
      <c r="C104" s="597"/>
      <c r="D104" s="719" t="s">
        <v>5838</v>
      </c>
      <c r="E104" s="599"/>
      <c r="F104" s="600">
        <v>15</v>
      </c>
      <c r="G104" s="289"/>
      <c r="H104" s="601"/>
      <c r="I104" s="1620"/>
      <c r="J104" s="606"/>
      <c r="U104" s="605"/>
      <c r="W104" s="605"/>
    </row>
    <row r="105" spans="1:255" s="1248" customFormat="1" ht="13.5" customHeight="1">
      <c r="A105" s="1614">
        <v>29</v>
      </c>
      <c r="B105" s="1615" t="s">
        <v>5808</v>
      </c>
      <c r="C105" s="1615">
        <v>460451432</v>
      </c>
      <c r="D105" s="1615" t="s">
        <v>5840</v>
      </c>
      <c r="E105" s="1615" t="s">
        <v>141</v>
      </c>
      <c r="F105" s="573">
        <f>ROUND(SUM(F107),3)</f>
        <v>23.67</v>
      </c>
      <c r="G105" s="288"/>
      <c r="H105" s="568">
        <f>ROUND(F105*G105,2)</f>
        <v>0</v>
      </c>
      <c r="I105" s="613" t="s">
        <v>137</v>
      </c>
      <c r="J105" s="1621"/>
      <c r="BS105" s="1616"/>
      <c r="BT105" s="1616"/>
      <c r="BU105" s="1616"/>
      <c r="BV105" s="1616"/>
      <c r="BW105" s="1616"/>
      <c r="BX105" s="1616"/>
      <c r="BY105" s="1616"/>
      <c r="BZ105" s="1616"/>
      <c r="CA105" s="1616"/>
      <c r="CB105" s="1616"/>
      <c r="CC105" s="1616"/>
      <c r="CD105" s="1616"/>
      <c r="CE105" s="1616"/>
      <c r="CF105" s="1616"/>
      <c r="CG105" s="1616"/>
      <c r="CH105" s="1616"/>
      <c r="CI105" s="1616"/>
      <c r="CJ105" s="1616"/>
      <c r="CK105" s="1616"/>
      <c r="CL105" s="1616"/>
      <c r="CM105" s="1616"/>
      <c r="CN105" s="1616"/>
      <c r="CO105" s="1616"/>
      <c r="CP105" s="1616"/>
      <c r="CQ105" s="1616"/>
      <c r="CR105" s="1616"/>
      <c r="CS105" s="1616"/>
      <c r="CT105" s="1616"/>
      <c r="CU105" s="1616"/>
      <c r="CV105" s="1616"/>
      <c r="CW105" s="1616"/>
      <c r="CX105" s="1616"/>
      <c r="CY105" s="1616"/>
      <c r="CZ105" s="1616"/>
      <c r="DA105" s="1616"/>
      <c r="DB105" s="1616"/>
      <c r="DC105" s="1616"/>
      <c r="DD105" s="1616"/>
      <c r="DE105" s="1616"/>
      <c r="DF105" s="1616"/>
      <c r="DG105" s="1616"/>
      <c r="DH105" s="1616"/>
      <c r="DI105" s="1616"/>
      <c r="DJ105" s="1616"/>
      <c r="DK105" s="1616"/>
      <c r="DL105" s="1616"/>
      <c r="DM105" s="1616"/>
      <c r="DN105" s="1616"/>
      <c r="DO105" s="1616"/>
      <c r="DP105" s="1616"/>
      <c r="DQ105" s="1616"/>
      <c r="DR105" s="1616"/>
      <c r="DS105" s="1616"/>
      <c r="DT105" s="1616"/>
      <c r="DU105" s="1616"/>
      <c r="DV105" s="1616"/>
      <c r="DW105" s="1616"/>
      <c r="DX105" s="1616"/>
      <c r="DY105" s="1616"/>
      <c r="DZ105" s="1616"/>
      <c r="EA105" s="1616"/>
      <c r="EB105" s="1616"/>
      <c r="EC105" s="1616"/>
      <c r="ED105" s="1616"/>
      <c r="EE105" s="1616"/>
      <c r="EF105" s="1616"/>
      <c r="EG105" s="1616"/>
      <c r="EH105" s="1616"/>
      <c r="EI105" s="1616"/>
      <c r="EJ105" s="1616"/>
      <c r="EK105" s="1616"/>
      <c r="EL105" s="1616"/>
      <c r="EM105" s="1616"/>
      <c r="EN105" s="1616"/>
      <c r="EO105" s="1616"/>
      <c r="EP105" s="1616"/>
      <c r="EQ105" s="1616"/>
      <c r="ER105" s="1616"/>
      <c r="ES105" s="1616"/>
      <c r="ET105" s="1616"/>
      <c r="EU105" s="1616"/>
      <c r="EV105" s="1616"/>
      <c r="EW105" s="1616"/>
      <c r="EX105" s="1616"/>
      <c r="EY105" s="1616"/>
      <c r="EZ105" s="1616"/>
      <c r="FA105" s="1616"/>
      <c r="FB105" s="1616"/>
      <c r="FC105" s="1616"/>
      <c r="FD105" s="1616"/>
      <c r="FE105" s="1616"/>
      <c r="FF105" s="1616"/>
      <c r="FG105" s="1616"/>
      <c r="FH105" s="1616"/>
      <c r="FI105" s="1616"/>
      <c r="FJ105" s="1616"/>
      <c r="FK105" s="1616"/>
      <c r="FL105" s="1616"/>
      <c r="FM105" s="1616"/>
      <c r="FN105" s="1616"/>
      <c r="FO105" s="1616"/>
      <c r="FP105" s="1616"/>
      <c r="FQ105" s="1616"/>
      <c r="FR105" s="1616"/>
      <c r="FS105" s="1616"/>
      <c r="FT105" s="1616"/>
      <c r="FU105" s="1616"/>
      <c r="FV105" s="1616"/>
      <c r="FW105" s="1616"/>
      <c r="FX105" s="1616"/>
      <c r="FY105" s="1616"/>
      <c r="FZ105" s="1616"/>
      <c r="GA105" s="1616"/>
      <c r="GB105" s="1616"/>
      <c r="GC105" s="1616"/>
      <c r="GD105" s="1616"/>
      <c r="GE105" s="1616"/>
      <c r="GF105" s="1616"/>
      <c r="GG105" s="1616"/>
      <c r="GH105" s="1616"/>
      <c r="GI105" s="1616"/>
      <c r="GJ105" s="1616"/>
      <c r="GK105" s="1616"/>
      <c r="GL105" s="1616"/>
      <c r="GM105" s="1616"/>
      <c r="GN105" s="1616"/>
      <c r="GO105" s="1616"/>
      <c r="GP105" s="1616"/>
      <c r="GQ105" s="1616"/>
      <c r="GR105" s="1616"/>
      <c r="GS105" s="1616"/>
      <c r="GT105" s="1616"/>
      <c r="GU105" s="1616"/>
      <c r="GV105" s="1616"/>
      <c r="GW105" s="1616"/>
      <c r="GX105" s="1616"/>
      <c r="GY105" s="1616"/>
      <c r="GZ105" s="1616"/>
      <c r="HA105" s="1616"/>
      <c r="HB105" s="1616"/>
      <c r="HC105" s="1616"/>
      <c r="HD105" s="1616"/>
      <c r="HE105" s="1616"/>
      <c r="HF105" s="1616"/>
      <c r="HG105" s="1616"/>
      <c r="HH105" s="1616"/>
      <c r="HI105" s="1616"/>
      <c r="HJ105" s="1616"/>
      <c r="HK105" s="1616"/>
      <c r="HL105" s="1616"/>
      <c r="HM105" s="1616"/>
      <c r="HN105" s="1616"/>
      <c r="HO105" s="1616"/>
      <c r="HP105" s="1616"/>
      <c r="HQ105" s="1616"/>
      <c r="HR105" s="1616"/>
      <c r="HS105" s="1616"/>
      <c r="HT105" s="1616"/>
      <c r="HU105" s="1616"/>
      <c r="HV105" s="1616"/>
      <c r="HW105" s="1616"/>
      <c r="HX105" s="1616"/>
      <c r="HY105" s="1616"/>
      <c r="HZ105" s="1616"/>
      <c r="IA105" s="1616"/>
      <c r="IB105" s="1616"/>
      <c r="IC105" s="1616"/>
      <c r="ID105" s="1616"/>
      <c r="IE105" s="1616"/>
      <c r="IF105" s="1616"/>
      <c r="IG105" s="1616"/>
      <c r="IH105" s="1616"/>
      <c r="II105" s="1616"/>
      <c r="IJ105" s="1616"/>
      <c r="IK105" s="1616"/>
      <c r="IL105" s="1616"/>
      <c r="IM105" s="1616"/>
      <c r="IN105" s="1616"/>
      <c r="IO105" s="1616"/>
      <c r="IP105" s="1616"/>
      <c r="IQ105" s="1616"/>
      <c r="IR105" s="1616"/>
      <c r="IS105" s="1616"/>
      <c r="IT105" s="1616"/>
      <c r="IU105" s="1616"/>
    </row>
    <row r="106" spans="1:255" s="1248" customFormat="1" ht="13.5" customHeight="1">
      <c r="A106" s="1614"/>
      <c r="B106" s="1615"/>
      <c r="C106" s="1615"/>
      <c r="D106" s="719" t="s">
        <v>6031</v>
      </c>
      <c r="E106" s="1615"/>
      <c r="F106" s="1444"/>
      <c r="G106" s="288"/>
      <c r="H106" s="609"/>
      <c r="I106" s="613"/>
      <c r="J106" s="1612"/>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6032</v>
      </c>
      <c r="E107" s="1615"/>
      <c r="F107" s="600">
        <f>(26.3)*(0.05+0.85)</f>
        <v>23.67</v>
      </c>
      <c r="G107" s="308"/>
      <c r="H107" s="609"/>
      <c r="I107" s="613"/>
      <c r="J107" s="1612"/>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604" customFormat="1" ht="27" customHeight="1">
      <c r="A108" s="595"/>
      <c r="B108" s="596"/>
      <c r="C108" s="597"/>
      <c r="D108" s="719" t="s">
        <v>5843</v>
      </c>
      <c r="E108" s="599"/>
      <c r="F108" s="600"/>
      <c r="G108" s="289"/>
      <c r="H108" s="601"/>
      <c r="I108" s="602"/>
      <c r="J108" s="606"/>
      <c r="U108" s="605"/>
      <c r="W108" s="605"/>
    </row>
    <row r="109" spans="1:255" s="1248" customFormat="1" ht="13.5" customHeight="1">
      <c r="A109" s="1614">
        <v>30</v>
      </c>
      <c r="B109" s="1615" t="s">
        <v>5808</v>
      </c>
      <c r="C109" s="1615">
        <v>460451433</v>
      </c>
      <c r="D109" s="1615" t="s">
        <v>5844</v>
      </c>
      <c r="E109" s="1615" t="s">
        <v>141</v>
      </c>
      <c r="F109" s="573">
        <f>ROUND(SUM(F111),3)</f>
        <v>2.63</v>
      </c>
      <c r="G109" s="288"/>
      <c r="H109" s="568">
        <f>ROUND(F109*G109,2)</f>
        <v>0</v>
      </c>
      <c r="I109" s="613" t="s">
        <v>137</v>
      </c>
      <c r="J109" s="1621"/>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616"/>
      <c r="DI109" s="1616"/>
      <c r="DJ109" s="1616"/>
      <c r="DK109" s="1616"/>
      <c r="DL109" s="1616"/>
      <c r="DM109" s="1616"/>
      <c r="DN109" s="1616"/>
      <c r="DO109" s="1616"/>
      <c r="DP109" s="1616"/>
      <c r="DQ109" s="1616"/>
      <c r="DR109" s="1616"/>
      <c r="DS109" s="1616"/>
      <c r="DT109" s="1616"/>
      <c r="DU109" s="1616"/>
      <c r="DV109" s="1616"/>
      <c r="DW109" s="1616"/>
      <c r="DX109" s="1616"/>
      <c r="DY109" s="1616"/>
      <c r="DZ109" s="1616"/>
      <c r="EA109" s="1616"/>
      <c r="EB109" s="1616"/>
      <c r="EC109" s="1616"/>
      <c r="ED109" s="1616"/>
      <c r="EE109" s="1616"/>
      <c r="EF109" s="1616"/>
      <c r="EG109" s="1616"/>
      <c r="EH109" s="1616"/>
      <c r="EI109" s="1616"/>
      <c r="EJ109" s="1616"/>
      <c r="EK109" s="1616"/>
      <c r="EL109" s="1616"/>
      <c r="EM109" s="1616"/>
      <c r="EN109" s="1616"/>
      <c r="EO109" s="1616"/>
      <c r="EP109" s="1616"/>
      <c r="EQ109" s="1616"/>
      <c r="ER109" s="1616"/>
      <c r="ES109" s="1616"/>
      <c r="ET109" s="1616"/>
      <c r="EU109" s="1616"/>
      <c r="EV109" s="1616"/>
      <c r="EW109" s="1616"/>
      <c r="EX109" s="1616"/>
      <c r="EY109" s="1616"/>
      <c r="EZ109" s="1616"/>
      <c r="FA109" s="1616"/>
      <c r="FB109" s="1616"/>
      <c r="FC109" s="1616"/>
      <c r="FD109" s="1616"/>
      <c r="FE109" s="1616"/>
      <c r="FF109" s="1616"/>
      <c r="FG109" s="1616"/>
      <c r="FH109" s="1616"/>
      <c r="FI109" s="1616"/>
      <c r="FJ109" s="1616"/>
      <c r="FK109" s="1616"/>
      <c r="FL109" s="1616"/>
      <c r="FM109" s="1616"/>
      <c r="FN109" s="1616"/>
      <c r="FO109" s="1616"/>
      <c r="FP109" s="1616"/>
      <c r="FQ109" s="1616"/>
      <c r="FR109" s="1616"/>
      <c r="FS109" s="1616"/>
      <c r="FT109" s="1616"/>
      <c r="FU109" s="1616"/>
      <c r="FV109" s="1616"/>
      <c r="FW109" s="1616"/>
      <c r="FX109" s="1616"/>
      <c r="FY109" s="1616"/>
      <c r="FZ109" s="1616"/>
      <c r="GA109" s="1616"/>
      <c r="GB109" s="1616"/>
      <c r="GC109" s="1616"/>
      <c r="GD109" s="1616"/>
      <c r="GE109" s="1616"/>
      <c r="GF109" s="1616"/>
      <c r="GG109" s="1616"/>
      <c r="GH109" s="1616"/>
      <c r="GI109" s="1616"/>
      <c r="GJ109" s="1616"/>
      <c r="GK109" s="1616"/>
      <c r="GL109" s="1616"/>
      <c r="GM109" s="1616"/>
      <c r="GN109" s="1616"/>
      <c r="GO109" s="1616"/>
      <c r="GP109" s="1616"/>
      <c r="GQ109" s="1616"/>
      <c r="GR109" s="1616"/>
      <c r="GS109" s="1616"/>
      <c r="GT109" s="1616"/>
      <c r="GU109" s="1616"/>
      <c r="GV109" s="1616"/>
      <c r="GW109" s="1616"/>
      <c r="GX109" s="1616"/>
      <c r="GY109" s="1616"/>
      <c r="GZ109" s="1616"/>
      <c r="HA109" s="1616"/>
      <c r="HB109" s="1616"/>
      <c r="HC109" s="1616"/>
      <c r="HD109" s="1616"/>
      <c r="HE109" s="1616"/>
      <c r="HF109" s="1616"/>
      <c r="HG109" s="1616"/>
      <c r="HH109" s="1616"/>
      <c r="HI109" s="1616"/>
      <c r="HJ109" s="1616"/>
      <c r="HK109" s="1616"/>
      <c r="HL109" s="1616"/>
      <c r="HM109" s="1616"/>
      <c r="HN109" s="1616"/>
      <c r="HO109" s="1616"/>
      <c r="HP109" s="1616"/>
      <c r="HQ109" s="1616"/>
      <c r="HR109" s="1616"/>
      <c r="HS109" s="1616"/>
      <c r="HT109" s="1616"/>
      <c r="HU109" s="1616"/>
      <c r="HV109" s="1616"/>
      <c r="HW109" s="1616"/>
      <c r="HX109" s="1616"/>
      <c r="HY109" s="1616"/>
      <c r="HZ109" s="1616"/>
      <c r="IA109" s="1616"/>
      <c r="IB109" s="1616"/>
      <c r="IC109" s="1616"/>
      <c r="ID109" s="1616"/>
      <c r="IE109" s="1616"/>
      <c r="IF109" s="1616"/>
      <c r="IG109" s="1616"/>
      <c r="IH109" s="1616"/>
      <c r="II109" s="1616"/>
      <c r="IJ109" s="1616"/>
      <c r="IK109" s="1616"/>
      <c r="IL109" s="1616"/>
      <c r="IM109" s="1616"/>
      <c r="IN109" s="1616"/>
      <c r="IO109" s="1616"/>
      <c r="IP109" s="1616"/>
      <c r="IQ109" s="1616"/>
      <c r="IR109" s="1616"/>
      <c r="IS109" s="1616"/>
      <c r="IT109" s="1616"/>
      <c r="IU109" s="1616"/>
    </row>
    <row r="110" spans="1:255" s="1248" customFormat="1" ht="13.5" customHeight="1">
      <c r="A110" s="1614"/>
      <c r="B110" s="1615"/>
      <c r="C110" s="1615"/>
      <c r="D110" s="719" t="s">
        <v>6031</v>
      </c>
      <c r="E110" s="1615"/>
      <c r="F110" s="1444"/>
      <c r="G110" s="288"/>
      <c r="H110" s="609"/>
      <c r="I110" s="613"/>
      <c r="J110" s="1612"/>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604" customFormat="1" ht="13.5" customHeight="1">
      <c r="A111" s="595"/>
      <c r="B111" s="596"/>
      <c r="C111" s="597"/>
      <c r="D111" s="719" t="s">
        <v>6033</v>
      </c>
      <c r="E111" s="599"/>
      <c r="F111" s="600">
        <f>(26.3)*(0.1)</f>
        <v>2.6300000000000003</v>
      </c>
      <c r="G111" s="289"/>
      <c r="H111" s="601"/>
      <c r="I111" s="602"/>
      <c r="J111" s="606"/>
      <c r="U111" s="605"/>
      <c r="W111" s="605"/>
    </row>
    <row r="112" spans="1:255" s="604" customFormat="1" ht="27" customHeight="1">
      <c r="A112" s="595"/>
      <c r="B112" s="596"/>
      <c r="C112" s="597"/>
      <c r="D112" s="719" t="s">
        <v>5843</v>
      </c>
      <c r="E112" s="599"/>
      <c r="F112" s="600"/>
      <c r="G112" s="289"/>
      <c r="H112" s="601"/>
      <c r="I112" s="602"/>
      <c r="J112" s="1623"/>
      <c r="U112" s="605"/>
      <c r="W112" s="605"/>
    </row>
    <row r="113" spans="1:255" s="1248" customFormat="1" ht="13.5" customHeight="1">
      <c r="A113" s="1614">
        <v>31</v>
      </c>
      <c r="B113" s="1615" t="s">
        <v>5808</v>
      </c>
      <c r="C113" s="1615">
        <v>460451632</v>
      </c>
      <c r="D113" s="1615" t="s">
        <v>5846</v>
      </c>
      <c r="E113" s="1615" t="s">
        <v>141</v>
      </c>
      <c r="F113" s="573">
        <f>ROUND(SUM(F115),3)</f>
        <v>13.32</v>
      </c>
      <c r="G113" s="288"/>
      <c r="H113" s="568">
        <f>ROUND(F113*G113,2)</f>
        <v>0</v>
      </c>
      <c r="I113" s="613" t="s">
        <v>137</v>
      </c>
      <c r="J113" s="1621"/>
      <c r="BS113" s="1616"/>
      <c r="BT113" s="1616"/>
      <c r="BU113" s="1616"/>
      <c r="BV113" s="1616"/>
      <c r="BW113" s="1616"/>
      <c r="BX113" s="1616"/>
      <c r="BY113" s="1616"/>
      <c r="BZ113" s="1616"/>
      <c r="CA113" s="1616"/>
      <c r="CB113" s="1616"/>
      <c r="CC113" s="1616"/>
      <c r="CD113" s="1616"/>
      <c r="CE113" s="1616"/>
      <c r="CF113" s="1616"/>
      <c r="CG113" s="1616"/>
      <c r="CH113" s="1616"/>
      <c r="CI113" s="1616"/>
      <c r="CJ113" s="1616"/>
      <c r="CK113" s="1616"/>
      <c r="CL113" s="1616"/>
      <c r="CM113" s="1616"/>
      <c r="CN113" s="1616"/>
      <c r="CO113" s="1616"/>
      <c r="CP113" s="1616"/>
      <c r="CQ113" s="1616"/>
      <c r="CR113" s="1616"/>
      <c r="CS113" s="1616"/>
      <c r="CT113" s="1616"/>
      <c r="CU113" s="1616"/>
      <c r="CV113" s="1616"/>
      <c r="CW113" s="1616"/>
      <c r="CX113" s="1616"/>
      <c r="CY113" s="1616"/>
      <c r="CZ113" s="1616"/>
      <c r="DA113" s="1616"/>
      <c r="DB113" s="1616"/>
      <c r="DC113" s="1616"/>
      <c r="DD113" s="1616"/>
      <c r="DE113" s="1616"/>
      <c r="DF113" s="1616"/>
      <c r="DG113" s="1616"/>
      <c r="DH113" s="1616"/>
      <c r="DI113" s="1616"/>
      <c r="DJ113" s="1616"/>
      <c r="DK113" s="1616"/>
      <c r="DL113" s="1616"/>
      <c r="DM113" s="1616"/>
      <c r="DN113" s="1616"/>
      <c r="DO113" s="1616"/>
      <c r="DP113" s="1616"/>
      <c r="DQ113" s="1616"/>
      <c r="DR113" s="1616"/>
      <c r="DS113" s="1616"/>
      <c r="DT113" s="1616"/>
      <c r="DU113" s="1616"/>
      <c r="DV113" s="1616"/>
      <c r="DW113" s="1616"/>
      <c r="DX113" s="1616"/>
      <c r="DY113" s="1616"/>
      <c r="DZ113" s="1616"/>
      <c r="EA113" s="1616"/>
      <c r="EB113" s="1616"/>
      <c r="EC113" s="1616"/>
      <c r="ED113" s="1616"/>
      <c r="EE113" s="1616"/>
      <c r="EF113" s="1616"/>
      <c r="EG113" s="1616"/>
      <c r="EH113" s="1616"/>
      <c r="EI113" s="1616"/>
      <c r="EJ113" s="1616"/>
      <c r="EK113" s="1616"/>
      <c r="EL113" s="1616"/>
      <c r="EM113" s="1616"/>
      <c r="EN113" s="1616"/>
      <c r="EO113" s="1616"/>
      <c r="EP113" s="1616"/>
      <c r="EQ113" s="1616"/>
      <c r="ER113" s="1616"/>
      <c r="ES113" s="1616"/>
      <c r="ET113" s="1616"/>
      <c r="EU113" s="1616"/>
      <c r="EV113" s="1616"/>
      <c r="EW113" s="1616"/>
      <c r="EX113" s="1616"/>
      <c r="EY113" s="1616"/>
      <c r="EZ113" s="1616"/>
      <c r="FA113" s="1616"/>
      <c r="FB113" s="1616"/>
      <c r="FC113" s="1616"/>
      <c r="FD113" s="1616"/>
      <c r="FE113" s="1616"/>
      <c r="FF113" s="1616"/>
      <c r="FG113" s="1616"/>
      <c r="FH113" s="1616"/>
      <c r="FI113" s="1616"/>
      <c r="FJ113" s="1616"/>
      <c r="FK113" s="1616"/>
      <c r="FL113" s="1616"/>
      <c r="FM113" s="1616"/>
      <c r="FN113" s="1616"/>
      <c r="FO113" s="1616"/>
      <c r="FP113" s="1616"/>
      <c r="FQ113" s="1616"/>
      <c r="FR113" s="1616"/>
      <c r="FS113" s="1616"/>
      <c r="FT113" s="1616"/>
      <c r="FU113" s="1616"/>
      <c r="FV113" s="1616"/>
      <c r="FW113" s="1616"/>
      <c r="FX113" s="1616"/>
      <c r="FY113" s="1616"/>
      <c r="FZ113" s="1616"/>
      <c r="GA113" s="1616"/>
      <c r="GB113" s="1616"/>
      <c r="GC113" s="1616"/>
      <c r="GD113" s="1616"/>
      <c r="GE113" s="1616"/>
      <c r="GF113" s="1616"/>
      <c r="GG113" s="1616"/>
      <c r="GH113" s="1616"/>
      <c r="GI113" s="1616"/>
      <c r="GJ113" s="1616"/>
      <c r="GK113" s="1616"/>
      <c r="GL113" s="1616"/>
      <c r="GM113" s="1616"/>
      <c r="GN113" s="1616"/>
      <c r="GO113" s="1616"/>
      <c r="GP113" s="1616"/>
      <c r="GQ113" s="1616"/>
      <c r="GR113" s="1616"/>
      <c r="GS113" s="1616"/>
      <c r="GT113" s="1616"/>
      <c r="GU113" s="1616"/>
      <c r="GV113" s="1616"/>
      <c r="GW113" s="1616"/>
      <c r="GX113" s="1616"/>
      <c r="GY113" s="1616"/>
      <c r="GZ113" s="1616"/>
      <c r="HA113" s="1616"/>
      <c r="HB113" s="1616"/>
      <c r="HC113" s="1616"/>
      <c r="HD113" s="1616"/>
      <c r="HE113" s="1616"/>
      <c r="HF113" s="1616"/>
      <c r="HG113" s="1616"/>
      <c r="HH113" s="1616"/>
      <c r="HI113" s="1616"/>
      <c r="HJ113" s="1616"/>
      <c r="HK113" s="1616"/>
      <c r="HL113" s="1616"/>
      <c r="HM113" s="1616"/>
      <c r="HN113" s="1616"/>
      <c r="HO113" s="1616"/>
      <c r="HP113" s="1616"/>
      <c r="HQ113" s="1616"/>
      <c r="HR113" s="1616"/>
      <c r="HS113" s="1616"/>
      <c r="HT113" s="1616"/>
      <c r="HU113" s="1616"/>
      <c r="HV113" s="1616"/>
      <c r="HW113" s="1616"/>
      <c r="HX113" s="1616"/>
      <c r="HY113" s="1616"/>
      <c r="HZ113" s="1616"/>
      <c r="IA113" s="1616"/>
      <c r="IB113" s="1616"/>
      <c r="IC113" s="1616"/>
      <c r="ID113" s="1616"/>
      <c r="IE113" s="1616"/>
      <c r="IF113" s="1616"/>
      <c r="IG113" s="1616"/>
      <c r="IH113" s="1616"/>
      <c r="II113" s="1616"/>
      <c r="IJ113" s="1616"/>
      <c r="IK113" s="1616"/>
      <c r="IL113" s="1616"/>
      <c r="IM113" s="1616"/>
      <c r="IN113" s="1616"/>
      <c r="IO113" s="1616"/>
      <c r="IP113" s="1616"/>
      <c r="IQ113" s="1616"/>
      <c r="IR113" s="1616"/>
      <c r="IS113" s="1616"/>
      <c r="IT113" s="1616"/>
      <c r="IU113" s="1616"/>
    </row>
    <row r="114" spans="1:255" s="1248" customFormat="1" ht="13.5" customHeight="1">
      <c r="A114" s="1614"/>
      <c r="B114" s="1615"/>
      <c r="C114" s="1615"/>
      <c r="D114" s="719" t="s">
        <v>6034</v>
      </c>
      <c r="E114" s="1615"/>
      <c r="F114" s="1444"/>
      <c r="G114" s="288"/>
      <c r="H114" s="609"/>
      <c r="I114" s="613"/>
      <c r="J114" s="1612"/>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604" customFormat="1" ht="13.5" customHeight="1">
      <c r="A115" s="595"/>
      <c r="B115" s="596"/>
      <c r="C115" s="597"/>
      <c r="D115" s="719" t="s">
        <v>6035</v>
      </c>
      <c r="E115" s="599"/>
      <c r="F115" s="600">
        <f>(14.8)*(0.05+0.85)</f>
        <v>13.32</v>
      </c>
      <c r="G115" s="289"/>
      <c r="H115" s="601"/>
      <c r="I115" s="602"/>
      <c r="J115" s="606"/>
      <c r="U115" s="605"/>
      <c r="W115" s="605"/>
    </row>
    <row r="116" spans="1:255" s="604" customFormat="1" ht="27" customHeight="1">
      <c r="A116" s="595"/>
      <c r="B116" s="596"/>
      <c r="C116" s="597"/>
      <c r="D116" s="719" t="s">
        <v>5843</v>
      </c>
      <c r="E116" s="599"/>
      <c r="F116" s="600"/>
      <c r="G116" s="289"/>
      <c r="H116" s="601"/>
      <c r="I116" s="602"/>
      <c r="J116" s="606"/>
      <c r="U116" s="605"/>
      <c r="W116" s="605"/>
    </row>
    <row r="117" spans="1:255" s="1248" customFormat="1" ht="13.5" customHeight="1">
      <c r="A117" s="1614">
        <v>32</v>
      </c>
      <c r="B117" s="1615" t="s">
        <v>5808</v>
      </c>
      <c r="C117" s="1615">
        <v>460451633</v>
      </c>
      <c r="D117" s="1615" t="s">
        <v>5849</v>
      </c>
      <c r="E117" s="1615" t="s">
        <v>141</v>
      </c>
      <c r="F117" s="573">
        <f>ROUND(SUM(F119),3)</f>
        <v>1.48</v>
      </c>
      <c r="G117" s="288"/>
      <c r="H117" s="568">
        <f>ROUND(F117*G117,2)</f>
        <v>0</v>
      </c>
      <c r="I117" s="613" t="s">
        <v>137</v>
      </c>
      <c r="J117" s="1621"/>
      <c r="BS117" s="1616"/>
      <c r="BT117" s="1616"/>
      <c r="BU117" s="1616"/>
      <c r="BV117" s="1616"/>
      <c r="BW117" s="1616"/>
      <c r="BX117" s="1616"/>
      <c r="BY117" s="1616"/>
      <c r="BZ117" s="1616"/>
      <c r="CA117" s="1616"/>
      <c r="CB117" s="1616"/>
      <c r="CC117" s="1616"/>
      <c r="CD117" s="1616"/>
      <c r="CE117" s="1616"/>
      <c r="CF117" s="1616"/>
      <c r="CG117" s="1616"/>
      <c r="CH117" s="1616"/>
      <c r="CI117" s="1616"/>
      <c r="CJ117" s="1616"/>
      <c r="CK117" s="1616"/>
      <c r="CL117" s="1616"/>
      <c r="CM117" s="1616"/>
      <c r="CN117" s="1616"/>
      <c r="CO117" s="1616"/>
      <c r="CP117" s="1616"/>
      <c r="CQ117" s="1616"/>
      <c r="CR117" s="1616"/>
      <c r="CS117" s="1616"/>
      <c r="CT117" s="1616"/>
      <c r="CU117" s="1616"/>
      <c r="CV117" s="1616"/>
      <c r="CW117" s="1616"/>
      <c r="CX117" s="1616"/>
      <c r="CY117" s="1616"/>
      <c r="CZ117" s="1616"/>
      <c r="DA117" s="1616"/>
      <c r="DB117" s="1616"/>
      <c r="DC117" s="1616"/>
      <c r="DD117" s="1616"/>
      <c r="DE117" s="1616"/>
      <c r="DF117" s="1616"/>
      <c r="DG117" s="1616"/>
      <c r="DH117" s="1616"/>
      <c r="DI117" s="1616"/>
      <c r="DJ117" s="1616"/>
      <c r="DK117" s="1616"/>
      <c r="DL117" s="1616"/>
      <c r="DM117" s="1616"/>
      <c r="DN117" s="1616"/>
      <c r="DO117" s="1616"/>
      <c r="DP117" s="1616"/>
      <c r="DQ117" s="1616"/>
      <c r="DR117" s="1616"/>
      <c r="DS117" s="1616"/>
      <c r="DT117" s="1616"/>
      <c r="DU117" s="1616"/>
      <c r="DV117" s="1616"/>
      <c r="DW117" s="1616"/>
      <c r="DX117" s="1616"/>
      <c r="DY117" s="1616"/>
      <c r="DZ117" s="1616"/>
      <c r="EA117" s="1616"/>
      <c r="EB117" s="1616"/>
      <c r="EC117" s="1616"/>
      <c r="ED117" s="1616"/>
      <c r="EE117" s="1616"/>
      <c r="EF117" s="1616"/>
      <c r="EG117" s="1616"/>
      <c r="EH117" s="1616"/>
      <c r="EI117" s="1616"/>
      <c r="EJ117" s="1616"/>
      <c r="EK117" s="1616"/>
      <c r="EL117" s="1616"/>
      <c r="EM117" s="1616"/>
      <c r="EN117" s="1616"/>
      <c r="EO117" s="1616"/>
      <c r="EP117" s="1616"/>
      <c r="EQ117" s="1616"/>
      <c r="ER117" s="1616"/>
      <c r="ES117" s="1616"/>
      <c r="ET117" s="1616"/>
      <c r="EU117" s="1616"/>
      <c r="EV117" s="1616"/>
      <c r="EW117" s="1616"/>
      <c r="EX117" s="1616"/>
      <c r="EY117" s="1616"/>
      <c r="EZ117" s="1616"/>
      <c r="FA117" s="1616"/>
      <c r="FB117" s="1616"/>
      <c r="FC117" s="1616"/>
      <c r="FD117" s="1616"/>
      <c r="FE117" s="1616"/>
      <c r="FF117" s="1616"/>
      <c r="FG117" s="1616"/>
      <c r="FH117" s="1616"/>
      <c r="FI117" s="1616"/>
      <c r="FJ117" s="1616"/>
      <c r="FK117" s="1616"/>
      <c r="FL117" s="1616"/>
      <c r="FM117" s="1616"/>
      <c r="FN117" s="1616"/>
      <c r="FO117" s="1616"/>
      <c r="FP117" s="1616"/>
      <c r="FQ117" s="1616"/>
      <c r="FR117" s="1616"/>
      <c r="FS117" s="1616"/>
      <c r="FT117" s="1616"/>
      <c r="FU117" s="1616"/>
      <c r="FV117" s="1616"/>
      <c r="FW117" s="1616"/>
      <c r="FX117" s="1616"/>
      <c r="FY117" s="1616"/>
      <c r="FZ117" s="1616"/>
      <c r="GA117" s="1616"/>
      <c r="GB117" s="1616"/>
      <c r="GC117" s="1616"/>
      <c r="GD117" s="1616"/>
      <c r="GE117" s="1616"/>
      <c r="GF117" s="1616"/>
      <c r="GG117" s="1616"/>
      <c r="GH117" s="1616"/>
      <c r="GI117" s="1616"/>
      <c r="GJ117" s="1616"/>
      <c r="GK117" s="1616"/>
      <c r="GL117" s="1616"/>
      <c r="GM117" s="1616"/>
      <c r="GN117" s="1616"/>
      <c r="GO117" s="1616"/>
      <c r="GP117" s="1616"/>
      <c r="GQ117" s="1616"/>
      <c r="GR117" s="1616"/>
      <c r="GS117" s="1616"/>
      <c r="GT117" s="1616"/>
      <c r="GU117" s="1616"/>
      <c r="GV117" s="1616"/>
      <c r="GW117" s="1616"/>
      <c r="GX117" s="1616"/>
      <c r="GY117" s="1616"/>
      <c r="GZ117" s="1616"/>
      <c r="HA117" s="1616"/>
      <c r="HB117" s="1616"/>
      <c r="HC117" s="1616"/>
      <c r="HD117" s="1616"/>
      <c r="HE117" s="1616"/>
      <c r="HF117" s="1616"/>
      <c r="HG117" s="1616"/>
      <c r="HH117" s="1616"/>
      <c r="HI117" s="1616"/>
      <c r="HJ117" s="1616"/>
      <c r="HK117" s="1616"/>
      <c r="HL117" s="1616"/>
      <c r="HM117" s="1616"/>
      <c r="HN117" s="1616"/>
      <c r="HO117" s="1616"/>
      <c r="HP117" s="1616"/>
      <c r="HQ117" s="1616"/>
      <c r="HR117" s="1616"/>
      <c r="HS117" s="1616"/>
      <c r="HT117" s="1616"/>
      <c r="HU117" s="1616"/>
      <c r="HV117" s="1616"/>
      <c r="HW117" s="1616"/>
      <c r="HX117" s="1616"/>
      <c r="HY117" s="1616"/>
      <c r="HZ117" s="1616"/>
      <c r="IA117" s="1616"/>
      <c r="IB117" s="1616"/>
      <c r="IC117" s="1616"/>
      <c r="ID117" s="1616"/>
      <c r="IE117" s="1616"/>
      <c r="IF117" s="1616"/>
      <c r="IG117" s="1616"/>
      <c r="IH117" s="1616"/>
      <c r="II117" s="1616"/>
      <c r="IJ117" s="1616"/>
      <c r="IK117" s="1616"/>
      <c r="IL117" s="1616"/>
      <c r="IM117" s="1616"/>
      <c r="IN117" s="1616"/>
      <c r="IO117" s="1616"/>
      <c r="IP117" s="1616"/>
      <c r="IQ117" s="1616"/>
      <c r="IR117" s="1616"/>
      <c r="IS117" s="1616"/>
      <c r="IT117" s="1616"/>
      <c r="IU117" s="1616"/>
    </row>
    <row r="118" spans="1:255" s="1248" customFormat="1" ht="13.5" customHeight="1">
      <c r="A118" s="1614"/>
      <c r="B118" s="1615"/>
      <c r="C118" s="1615"/>
      <c r="D118" s="719" t="s">
        <v>6034</v>
      </c>
      <c r="E118" s="1615"/>
      <c r="F118" s="1444"/>
      <c r="G118" s="288"/>
      <c r="H118" s="609"/>
      <c r="I118" s="613"/>
      <c r="J118" s="1612"/>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604" customFormat="1" ht="13.5" customHeight="1">
      <c r="A119" s="595"/>
      <c r="B119" s="596"/>
      <c r="C119" s="597"/>
      <c r="D119" s="719" t="s">
        <v>6036</v>
      </c>
      <c r="E119" s="599"/>
      <c r="F119" s="600">
        <f>(14.8)*(0.1)</f>
        <v>1.4800000000000002</v>
      </c>
      <c r="G119" s="289"/>
      <c r="H119" s="601"/>
      <c r="I119" s="602"/>
      <c r="J119" s="606"/>
      <c r="U119" s="605"/>
      <c r="W119" s="605"/>
    </row>
    <row r="120" spans="1:255" s="604" customFormat="1" ht="27" customHeight="1">
      <c r="A120" s="595"/>
      <c r="B120" s="596"/>
      <c r="C120" s="597"/>
      <c r="D120" s="719" t="s">
        <v>5843</v>
      </c>
      <c r="E120" s="599"/>
      <c r="F120" s="600"/>
      <c r="G120" s="289"/>
      <c r="H120" s="601"/>
      <c r="I120" s="602"/>
      <c r="J120" s="1623"/>
      <c r="U120" s="605"/>
      <c r="W120" s="605"/>
    </row>
    <row r="121" spans="1:255" s="1248" customFormat="1" ht="13.5" customHeight="1">
      <c r="A121" s="1614">
        <v>33</v>
      </c>
      <c r="B121" s="1615" t="s">
        <v>5808</v>
      </c>
      <c r="C121" s="1615">
        <v>460661113</v>
      </c>
      <c r="D121" s="1615" t="s">
        <v>5851</v>
      </c>
      <c r="E121" s="1615" t="s">
        <v>141</v>
      </c>
      <c r="F121" s="573">
        <f>ROUND(SUM(F123),3)</f>
        <v>52.6</v>
      </c>
      <c r="G121" s="288"/>
      <c r="H121" s="568">
        <f>ROUND(F121*G121,2)</f>
        <v>0</v>
      </c>
      <c r="I121" s="613" t="s">
        <v>137</v>
      </c>
      <c r="J121" s="1612"/>
      <c r="BS121" s="1616"/>
      <c r="BT121" s="1616"/>
      <c r="BU121" s="1616"/>
      <c r="BV121" s="1616"/>
      <c r="BW121" s="1616"/>
      <c r="BX121" s="1616"/>
      <c r="BY121" s="1616"/>
      <c r="BZ121" s="1616"/>
      <c r="CA121" s="1616"/>
      <c r="CB121" s="1616"/>
      <c r="CC121" s="1616"/>
      <c r="CD121" s="1616"/>
      <c r="CE121" s="1616"/>
      <c r="CF121" s="1616"/>
      <c r="CG121" s="1616"/>
      <c r="CH121" s="1616"/>
      <c r="CI121" s="1616"/>
      <c r="CJ121" s="1616"/>
      <c r="CK121" s="1616"/>
      <c r="CL121" s="1616"/>
      <c r="CM121" s="1616"/>
      <c r="CN121" s="1616"/>
      <c r="CO121" s="1616"/>
      <c r="CP121" s="1616"/>
      <c r="CQ121" s="1616"/>
      <c r="CR121" s="1616"/>
      <c r="CS121" s="1616"/>
      <c r="CT121" s="1616"/>
      <c r="CU121" s="1616"/>
      <c r="CV121" s="1616"/>
      <c r="CW121" s="1616"/>
      <c r="CX121" s="1616"/>
      <c r="CY121" s="1616"/>
      <c r="CZ121" s="1616"/>
      <c r="DA121" s="1616"/>
      <c r="DB121" s="1616"/>
      <c r="DC121" s="1616"/>
      <c r="DD121" s="1616"/>
      <c r="DE121" s="1616"/>
      <c r="DF121" s="1616"/>
      <c r="DG121" s="1616"/>
      <c r="DH121" s="1616"/>
      <c r="DI121" s="1616"/>
      <c r="DJ121" s="1616"/>
      <c r="DK121" s="1616"/>
      <c r="DL121" s="1616"/>
      <c r="DM121" s="1616"/>
      <c r="DN121" s="1616"/>
      <c r="DO121" s="1616"/>
      <c r="DP121" s="1616"/>
      <c r="DQ121" s="1616"/>
      <c r="DR121" s="1616"/>
      <c r="DS121" s="1616"/>
      <c r="DT121" s="1616"/>
      <c r="DU121" s="1616"/>
      <c r="DV121" s="1616"/>
      <c r="DW121" s="1616"/>
      <c r="DX121" s="1616"/>
      <c r="DY121" s="1616"/>
      <c r="DZ121" s="1616"/>
      <c r="EA121" s="1616"/>
      <c r="EB121" s="1616"/>
      <c r="EC121" s="1616"/>
      <c r="ED121" s="1616"/>
      <c r="EE121" s="1616"/>
      <c r="EF121" s="1616"/>
      <c r="EG121" s="1616"/>
      <c r="EH121" s="1616"/>
      <c r="EI121" s="1616"/>
      <c r="EJ121" s="1616"/>
      <c r="EK121" s="1616"/>
      <c r="EL121" s="1616"/>
      <c r="EM121" s="1616"/>
      <c r="EN121" s="1616"/>
      <c r="EO121" s="1616"/>
      <c r="EP121" s="1616"/>
      <c r="EQ121" s="1616"/>
      <c r="ER121" s="1616"/>
      <c r="ES121" s="1616"/>
      <c r="ET121" s="1616"/>
      <c r="EU121" s="1616"/>
      <c r="EV121" s="1616"/>
      <c r="EW121" s="1616"/>
      <c r="EX121" s="1616"/>
      <c r="EY121" s="1616"/>
      <c r="EZ121" s="1616"/>
      <c r="FA121" s="1616"/>
      <c r="FB121" s="1616"/>
      <c r="FC121" s="1616"/>
      <c r="FD121" s="1616"/>
      <c r="FE121" s="1616"/>
      <c r="FF121" s="1616"/>
      <c r="FG121" s="1616"/>
      <c r="FH121" s="1616"/>
      <c r="FI121" s="1616"/>
      <c r="FJ121" s="1616"/>
      <c r="FK121" s="1616"/>
      <c r="FL121" s="1616"/>
      <c r="FM121" s="1616"/>
      <c r="FN121" s="1616"/>
      <c r="FO121" s="1616"/>
      <c r="FP121" s="1616"/>
      <c r="FQ121" s="1616"/>
      <c r="FR121" s="1616"/>
      <c r="FS121" s="1616"/>
      <c r="FT121" s="1616"/>
      <c r="FU121" s="1616"/>
      <c r="FV121" s="1616"/>
      <c r="FW121" s="1616"/>
      <c r="FX121" s="1616"/>
      <c r="FY121" s="1616"/>
      <c r="FZ121" s="1616"/>
      <c r="GA121" s="1616"/>
      <c r="GB121" s="1616"/>
      <c r="GC121" s="1616"/>
      <c r="GD121" s="1616"/>
      <c r="GE121" s="1616"/>
      <c r="GF121" s="1616"/>
      <c r="GG121" s="1616"/>
      <c r="GH121" s="1616"/>
      <c r="GI121" s="1616"/>
      <c r="GJ121" s="1616"/>
      <c r="GK121" s="1616"/>
      <c r="GL121" s="1616"/>
      <c r="GM121" s="1616"/>
      <c r="GN121" s="1616"/>
      <c r="GO121" s="1616"/>
      <c r="GP121" s="1616"/>
      <c r="GQ121" s="1616"/>
      <c r="GR121" s="1616"/>
      <c r="GS121" s="1616"/>
      <c r="GT121" s="1616"/>
      <c r="GU121" s="1616"/>
      <c r="GV121" s="1616"/>
      <c r="GW121" s="1616"/>
      <c r="GX121" s="1616"/>
      <c r="GY121" s="1616"/>
      <c r="GZ121" s="1616"/>
      <c r="HA121" s="1616"/>
      <c r="HB121" s="1616"/>
      <c r="HC121" s="1616"/>
      <c r="HD121" s="1616"/>
      <c r="HE121" s="1616"/>
      <c r="HF121" s="1616"/>
      <c r="HG121" s="1616"/>
      <c r="HH121" s="1616"/>
      <c r="HI121" s="1616"/>
      <c r="HJ121" s="1616"/>
      <c r="HK121" s="1616"/>
      <c r="HL121" s="1616"/>
      <c r="HM121" s="1616"/>
      <c r="HN121" s="1616"/>
      <c r="HO121" s="1616"/>
      <c r="HP121" s="1616"/>
      <c r="HQ121" s="1616"/>
      <c r="HR121" s="1616"/>
      <c r="HS121" s="1616"/>
      <c r="HT121" s="1616"/>
      <c r="HU121" s="1616"/>
      <c r="HV121" s="1616"/>
      <c r="HW121" s="1616"/>
      <c r="HX121" s="1616"/>
      <c r="HY121" s="1616"/>
      <c r="HZ121" s="1616"/>
      <c r="IA121" s="1616"/>
      <c r="IB121" s="1616"/>
      <c r="IC121" s="1616"/>
      <c r="ID121" s="1616"/>
      <c r="IE121" s="1616"/>
      <c r="IF121" s="1616"/>
      <c r="IG121" s="1616"/>
      <c r="IH121" s="1616"/>
      <c r="II121" s="1616"/>
      <c r="IJ121" s="1616"/>
      <c r="IK121" s="1616"/>
      <c r="IL121" s="1616"/>
      <c r="IM121" s="1616"/>
      <c r="IN121" s="1616"/>
      <c r="IO121" s="1616"/>
      <c r="IP121" s="1616"/>
      <c r="IQ121" s="1616"/>
      <c r="IR121" s="1616"/>
      <c r="IS121" s="1616"/>
      <c r="IT121" s="1616"/>
      <c r="IU121" s="1616"/>
    </row>
    <row r="122" spans="1:255" s="1248" customFormat="1" ht="13.5" customHeight="1">
      <c r="A122" s="1614"/>
      <c r="B122" s="1615"/>
      <c r="C122" s="1615"/>
      <c r="D122" s="719" t="s">
        <v>6037</v>
      </c>
      <c r="E122" s="1615"/>
      <c r="F122" s="1444"/>
      <c r="G122" s="288"/>
      <c r="H122" s="609"/>
      <c r="I122" s="613"/>
      <c r="J122" s="1612"/>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604" customFormat="1" ht="13.5" customHeight="1">
      <c r="A123" s="595"/>
      <c r="B123" s="596"/>
      <c r="C123" s="597"/>
      <c r="D123" s="719" t="s">
        <v>6038</v>
      </c>
      <c r="E123" s="599"/>
      <c r="F123" s="600">
        <f>(26.3)*2</f>
        <v>52.6</v>
      </c>
      <c r="G123" s="289"/>
      <c r="H123" s="601"/>
      <c r="I123" s="602"/>
      <c r="J123" s="606"/>
      <c r="U123" s="605"/>
      <c r="W123" s="605"/>
    </row>
    <row r="124" spans="1:255" s="604" customFormat="1" ht="13.5" customHeight="1">
      <c r="A124" s="595"/>
      <c r="B124" s="596"/>
      <c r="C124" s="597"/>
      <c r="D124" s="719" t="s">
        <v>5854</v>
      </c>
      <c r="E124" s="599"/>
      <c r="F124" s="600"/>
      <c r="G124" s="289"/>
      <c r="H124" s="601"/>
      <c r="I124" s="602"/>
      <c r="J124" s="606"/>
      <c r="U124" s="605"/>
      <c r="W124" s="605"/>
    </row>
    <row r="125" spans="1:255" s="604" customFormat="1" ht="27" customHeight="1">
      <c r="A125" s="595"/>
      <c r="B125" s="596"/>
      <c r="C125" s="597"/>
      <c r="D125" s="719" t="s">
        <v>5855</v>
      </c>
      <c r="E125" s="599"/>
      <c r="F125" s="600"/>
      <c r="G125" s="289"/>
      <c r="H125" s="601"/>
      <c r="I125" s="602"/>
      <c r="J125" s="606"/>
      <c r="U125" s="605"/>
      <c r="W125" s="605"/>
    </row>
    <row r="126" spans="1:255" s="1248" customFormat="1" ht="13.5" customHeight="1">
      <c r="A126" s="1614">
        <v>34</v>
      </c>
      <c r="B126" s="1615" t="s">
        <v>5808</v>
      </c>
      <c r="C126" s="1615">
        <v>460661114</v>
      </c>
      <c r="D126" s="1615" t="s">
        <v>5856</v>
      </c>
      <c r="E126" s="1615" t="s">
        <v>141</v>
      </c>
      <c r="F126" s="573">
        <f>ROUND(SUM(F128),3)</f>
        <v>29.6</v>
      </c>
      <c r="G126" s="288"/>
      <c r="H126" s="568">
        <f>ROUND(F126*G126,2)</f>
        <v>0</v>
      </c>
      <c r="I126" s="613" t="s">
        <v>137</v>
      </c>
      <c r="J126" s="1612"/>
      <c r="BS126" s="1616"/>
      <c r="BT126" s="1616"/>
      <c r="BU126" s="1616"/>
      <c r="BV126" s="1616"/>
      <c r="BW126" s="1616"/>
      <c r="BX126" s="1616"/>
      <c r="BY126" s="1616"/>
      <c r="BZ126" s="1616"/>
      <c r="CA126" s="1616"/>
      <c r="CB126" s="1616"/>
      <c r="CC126" s="1616"/>
      <c r="CD126" s="1616"/>
      <c r="CE126" s="1616"/>
      <c r="CF126" s="1616"/>
      <c r="CG126" s="1616"/>
      <c r="CH126" s="1616"/>
      <c r="CI126" s="1616"/>
      <c r="CJ126" s="1616"/>
      <c r="CK126" s="1616"/>
      <c r="CL126" s="1616"/>
      <c r="CM126" s="1616"/>
      <c r="CN126" s="1616"/>
      <c r="CO126" s="1616"/>
      <c r="CP126" s="1616"/>
      <c r="CQ126" s="1616"/>
      <c r="CR126" s="1616"/>
      <c r="CS126" s="1616"/>
      <c r="CT126" s="1616"/>
      <c r="CU126" s="1616"/>
      <c r="CV126" s="1616"/>
      <c r="CW126" s="1616"/>
      <c r="CX126" s="1616"/>
      <c r="CY126" s="1616"/>
      <c r="CZ126" s="1616"/>
      <c r="DA126" s="1616"/>
      <c r="DB126" s="1616"/>
      <c r="DC126" s="1616"/>
      <c r="DD126" s="1616"/>
      <c r="DE126" s="1616"/>
      <c r="DF126" s="1616"/>
      <c r="DG126" s="1616"/>
      <c r="DH126" s="1616"/>
      <c r="DI126" s="1616"/>
      <c r="DJ126" s="1616"/>
      <c r="DK126" s="1616"/>
      <c r="DL126" s="1616"/>
      <c r="DM126" s="1616"/>
      <c r="DN126" s="1616"/>
      <c r="DO126" s="1616"/>
      <c r="DP126" s="1616"/>
      <c r="DQ126" s="1616"/>
      <c r="DR126" s="1616"/>
      <c r="DS126" s="1616"/>
      <c r="DT126" s="1616"/>
      <c r="DU126" s="1616"/>
      <c r="DV126" s="1616"/>
      <c r="DW126" s="1616"/>
      <c r="DX126" s="1616"/>
      <c r="DY126" s="1616"/>
      <c r="DZ126" s="1616"/>
      <c r="EA126" s="1616"/>
      <c r="EB126" s="1616"/>
      <c r="EC126" s="1616"/>
      <c r="ED126" s="1616"/>
      <c r="EE126" s="1616"/>
      <c r="EF126" s="1616"/>
      <c r="EG126" s="1616"/>
      <c r="EH126" s="1616"/>
      <c r="EI126" s="1616"/>
      <c r="EJ126" s="1616"/>
      <c r="EK126" s="1616"/>
      <c r="EL126" s="1616"/>
      <c r="EM126" s="1616"/>
      <c r="EN126" s="1616"/>
      <c r="EO126" s="1616"/>
      <c r="EP126" s="1616"/>
      <c r="EQ126" s="1616"/>
      <c r="ER126" s="1616"/>
      <c r="ES126" s="1616"/>
      <c r="ET126" s="1616"/>
      <c r="EU126" s="1616"/>
      <c r="EV126" s="1616"/>
      <c r="EW126" s="1616"/>
      <c r="EX126" s="1616"/>
      <c r="EY126" s="1616"/>
      <c r="EZ126" s="1616"/>
      <c r="FA126" s="1616"/>
      <c r="FB126" s="1616"/>
      <c r="FC126" s="1616"/>
      <c r="FD126" s="1616"/>
      <c r="FE126" s="1616"/>
      <c r="FF126" s="1616"/>
      <c r="FG126" s="1616"/>
      <c r="FH126" s="1616"/>
      <c r="FI126" s="1616"/>
      <c r="FJ126" s="1616"/>
      <c r="FK126" s="1616"/>
      <c r="FL126" s="1616"/>
      <c r="FM126" s="1616"/>
      <c r="FN126" s="1616"/>
      <c r="FO126" s="1616"/>
      <c r="FP126" s="1616"/>
      <c r="FQ126" s="1616"/>
      <c r="FR126" s="1616"/>
      <c r="FS126" s="1616"/>
      <c r="FT126" s="1616"/>
      <c r="FU126" s="1616"/>
      <c r="FV126" s="1616"/>
      <c r="FW126" s="1616"/>
      <c r="FX126" s="1616"/>
      <c r="FY126" s="1616"/>
      <c r="FZ126" s="1616"/>
      <c r="GA126" s="1616"/>
      <c r="GB126" s="1616"/>
      <c r="GC126" s="1616"/>
      <c r="GD126" s="1616"/>
      <c r="GE126" s="1616"/>
      <c r="GF126" s="1616"/>
      <c r="GG126" s="1616"/>
      <c r="GH126" s="1616"/>
      <c r="GI126" s="1616"/>
      <c r="GJ126" s="1616"/>
      <c r="GK126" s="1616"/>
      <c r="GL126" s="1616"/>
      <c r="GM126" s="1616"/>
      <c r="GN126" s="1616"/>
      <c r="GO126" s="1616"/>
      <c r="GP126" s="1616"/>
      <c r="GQ126" s="1616"/>
      <c r="GR126" s="1616"/>
      <c r="GS126" s="1616"/>
      <c r="GT126" s="1616"/>
      <c r="GU126" s="1616"/>
      <c r="GV126" s="1616"/>
      <c r="GW126" s="1616"/>
      <c r="GX126" s="1616"/>
      <c r="GY126" s="1616"/>
      <c r="GZ126" s="1616"/>
      <c r="HA126" s="1616"/>
      <c r="HB126" s="1616"/>
      <c r="HC126" s="1616"/>
      <c r="HD126" s="1616"/>
      <c r="HE126" s="1616"/>
      <c r="HF126" s="1616"/>
      <c r="HG126" s="1616"/>
      <c r="HH126" s="1616"/>
      <c r="HI126" s="1616"/>
      <c r="HJ126" s="1616"/>
      <c r="HK126" s="1616"/>
      <c r="HL126" s="1616"/>
      <c r="HM126" s="1616"/>
      <c r="HN126" s="1616"/>
      <c r="HO126" s="1616"/>
      <c r="HP126" s="1616"/>
      <c r="HQ126" s="1616"/>
      <c r="HR126" s="1616"/>
      <c r="HS126" s="1616"/>
      <c r="HT126" s="1616"/>
      <c r="HU126" s="1616"/>
      <c r="HV126" s="1616"/>
      <c r="HW126" s="1616"/>
      <c r="HX126" s="1616"/>
      <c r="HY126" s="1616"/>
      <c r="HZ126" s="1616"/>
      <c r="IA126" s="1616"/>
      <c r="IB126" s="1616"/>
      <c r="IC126" s="1616"/>
      <c r="ID126" s="1616"/>
      <c r="IE126" s="1616"/>
      <c r="IF126" s="1616"/>
      <c r="IG126" s="1616"/>
      <c r="IH126" s="1616"/>
      <c r="II126" s="1616"/>
      <c r="IJ126" s="1616"/>
      <c r="IK126" s="1616"/>
      <c r="IL126" s="1616"/>
      <c r="IM126" s="1616"/>
      <c r="IN126" s="1616"/>
      <c r="IO126" s="1616"/>
      <c r="IP126" s="1616"/>
      <c r="IQ126" s="1616"/>
      <c r="IR126" s="1616"/>
      <c r="IS126" s="1616"/>
      <c r="IT126" s="1616"/>
      <c r="IU126" s="1616"/>
    </row>
    <row r="127" spans="1:255" s="1248" customFormat="1" ht="13.5" customHeight="1">
      <c r="A127" s="1614"/>
      <c r="B127" s="1615"/>
      <c r="C127" s="1615"/>
      <c r="D127" s="719" t="s">
        <v>6039</v>
      </c>
      <c r="E127" s="1615"/>
      <c r="F127" s="1444"/>
      <c r="G127" s="288"/>
      <c r="H127" s="609"/>
      <c r="I127" s="613"/>
      <c r="J127" s="1612"/>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604" customFormat="1" ht="13.5" customHeight="1">
      <c r="A128" s="595"/>
      <c r="B128" s="596"/>
      <c r="C128" s="597"/>
      <c r="D128" s="719" t="s">
        <v>6040</v>
      </c>
      <c r="E128" s="599"/>
      <c r="F128" s="600">
        <f>(14.8)*2</f>
        <v>29.6</v>
      </c>
      <c r="G128" s="289"/>
      <c r="H128" s="601"/>
      <c r="I128" s="602"/>
      <c r="J128" s="606"/>
      <c r="U128" s="605"/>
      <c r="W128" s="605"/>
    </row>
    <row r="129" spans="1:255" s="604" customFormat="1" ht="13.5" customHeight="1">
      <c r="A129" s="595"/>
      <c r="B129" s="596"/>
      <c r="C129" s="597"/>
      <c r="D129" s="719" t="s">
        <v>5854</v>
      </c>
      <c r="E129" s="599"/>
      <c r="F129" s="600"/>
      <c r="G129" s="289"/>
      <c r="H129" s="601"/>
      <c r="I129" s="602"/>
      <c r="J129" s="606"/>
      <c r="U129" s="605"/>
      <c r="W129" s="605"/>
    </row>
    <row r="130" spans="1:255" s="604" customFormat="1" ht="27" customHeight="1">
      <c r="A130" s="595"/>
      <c r="B130" s="596"/>
      <c r="C130" s="597"/>
      <c r="D130" s="719" t="s">
        <v>5855</v>
      </c>
      <c r="E130" s="599"/>
      <c r="F130" s="600"/>
      <c r="G130" s="289"/>
      <c r="H130" s="601"/>
      <c r="I130" s="602"/>
      <c r="J130" s="606"/>
      <c r="U130" s="605"/>
      <c r="W130" s="605"/>
    </row>
    <row r="131" spans="1:255" s="1248" customFormat="1" ht="13.5" customHeight="1">
      <c r="A131" s="1614">
        <v>35</v>
      </c>
      <c r="B131" s="1615" t="s">
        <v>5808</v>
      </c>
      <c r="C131" s="1615">
        <v>460671113</v>
      </c>
      <c r="D131" s="1615" t="s">
        <v>5859</v>
      </c>
      <c r="E131" s="1615" t="s">
        <v>141</v>
      </c>
      <c r="F131" s="573">
        <f>ROUND(SUM(F133),3)</f>
        <v>52.6</v>
      </c>
      <c r="G131" s="288"/>
      <c r="H131" s="568">
        <f>ROUND(F131*G131,2)</f>
        <v>0</v>
      </c>
      <c r="I131" s="613" t="s">
        <v>137</v>
      </c>
      <c r="J131" s="1612"/>
      <c r="BS131" s="1616"/>
      <c r="BT131" s="1616"/>
      <c r="BU131" s="1616"/>
      <c r="BV131" s="1616"/>
      <c r="BW131" s="1616"/>
      <c r="BX131" s="1616"/>
      <c r="BY131" s="1616"/>
      <c r="BZ131" s="1616"/>
      <c r="CA131" s="1616"/>
      <c r="CB131" s="1616"/>
      <c r="CC131" s="1616"/>
      <c r="CD131" s="1616"/>
      <c r="CE131" s="1616"/>
      <c r="CF131" s="1616"/>
      <c r="CG131" s="1616"/>
      <c r="CH131" s="1616"/>
      <c r="CI131" s="1616"/>
      <c r="CJ131" s="1616"/>
      <c r="CK131" s="1616"/>
      <c r="CL131" s="1616"/>
      <c r="CM131" s="1616"/>
      <c r="CN131" s="1616"/>
      <c r="CO131" s="1616"/>
      <c r="CP131" s="1616"/>
      <c r="CQ131" s="1616"/>
      <c r="CR131" s="1616"/>
      <c r="CS131" s="1616"/>
      <c r="CT131" s="1616"/>
      <c r="CU131" s="1616"/>
      <c r="CV131" s="1616"/>
      <c r="CW131" s="1616"/>
      <c r="CX131" s="1616"/>
      <c r="CY131" s="1616"/>
      <c r="CZ131" s="1616"/>
      <c r="DA131" s="1616"/>
      <c r="DB131" s="1616"/>
      <c r="DC131" s="1616"/>
      <c r="DD131" s="1616"/>
      <c r="DE131" s="1616"/>
      <c r="DF131" s="1616"/>
      <c r="DG131" s="1616"/>
      <c r="DH131" s="1616"/>
      <c r="DI131" s="1616"/>
      <c r="DJ131" s="1616"/>
      <c r="DK131" s="1616"/>
      <c r="DL131" s="1616"/>
      <c r="DM131" s="1616"/>
      <c r="DN131" s="1616"/>
      <c r="DO131" s="1616"/>
      <c r="DP131" s="1616"/>
      <c r="DQ131" s="1616"/>
      <c r="DR131" s="1616"/>
      <c r="DS131" s="1616"/>
      <c r="DT131" s="1616"/>
      <c r="DU131" s="1616"/>
      <c r="DV131" s="1616"/>
      <c r="DW131" s="1616"/>
      <c r="DX131" s="1616"/>
      <c r="DY131" s="1616"/>
      <c r="DZ131" s="1616"/>
      <c r="EA131" s="1616"/>
      <c r="EB131" s="1616"/>
      <c r="EC131" s="1616"/>
      <c r="ED131" s="1616"/>
      <c r="EE131" s="1616"/>
      <c r="EF131" s="1616"/>
      <c r="EG131" s="1616"/>
      <c r="EH131" s="1616"/>
      <c r="EI131" s="1616"/>
      <c r="EJ131" s="1616"/>
      <c r="EK131" s="1616"/>
      <c r="EL131" s="1616"/>
      <c r="EM131" s="1616"/>
      <c r="EN131" s="1616"/>
      <c r="EO131" s="1616"/>
      <c r="EP131" s="1616"/>
      <c r="EQ131" s="1616"/>
      <c r="ER131" s="1616"/>
      <c r="ES131" s="1616"/>
      <c r="ET131" s="1616"/>
      <c r="EU131" s="1616"/>
      <c r="EV131" s="1616"/>
      <c r="EW131" s="1616"/>
      <c r="EX131" s="1616"/>
      <c r="EY131" s="1616"/>
      <c r="EZ131" s="1616"/>
      <c r="FA131" s="1616"/>
      <c r="FB131" s="1616"/>
      <c r="FC131" s="1616"/>
      <c r="FD131" s="1616"/>
      <c r="FE131" s="1616"/>
      <c r="FF131" s="1616"/>
      <c r="FG131" s="1616"/>
      <c r="FH131" s="1616"/>
      <c r="FI131" s="1616"/>
      <c r="FJ131" s="1616"/>
      <c r="FK131" s="1616"/>
      <c r="FL131" s="1616"/>
      <c r="FM131" s="1616"/>
      <c r="FN131" s="1616"/>
      <c r="FO131" s="1616"/>
      <c r="FP131" s="1616"/>
      <c r="FQ131" s="1616"/>
      <c r="FR131" s="1616"/>
      <c r="FS131" s="1616"/>
      <c r="FT131" s="1616"/>
      <c r="FU131" s="1616"/>
      <c r="FV131" s="1616"/>
      <c r="FW131" s="1616"/>
      <c r="FX131" s="1616"/>
      <c r="FY131" s="1616"/>
      <c r="FZ131" s="1616"/>
      <c r="GA131" s="1616"/>
      <c r="GB131" s="1616"/>
      <c r="GC131" s="1616"/>
      <c r="GD131" s="1616"/>
      <c r="GE131" s="1616"/>
      <c r="GF131" s="1616"/>
      <c r="GG131" s="1616"/>
      <c r="GH131" s="1616"/>
      <c r="GI131" s="1616"/>
      <c r="GJ131" s="1616"/>
      <c r="GK131" s="1616"/>
      <c r="GL131" s="1616"/>
      <c r="GM131" s="1616"/>
      <c r="GN131" s="1616"/>
      <c r="GO131" s="1616"/>
      <c r="GP131" s="1616"/>
      <c r="GQ131" s="1616"/>
      <c r="GR131" s="1616"/>
      <c r="GS131" s="1616"/>
      <c r="GT131" s="1616"/>
      <c r="GU131" s="1616"/>
      <c r="GV131" s="1616"/>
      <c r="GW131" s="1616"/>
      <c r="GX131" s="1616"/>
      <c r="GY131" s="1616"/>
      <c r="GZ131" s="1616"/>
      <c r="HA131" s="1616"/>
      <c r="HB131" s="1616"/>
      <c r="HC131" s="1616"/>
      <c r="HD131" s="1616"/>
      <c r="HE131" s="1616"/>
      <c r="HF131" s="1616"/>
      <c r="HG131" s="1616"/>
      <c r="HH131" s="1616"/>
      <c r="HI131" s="1616"/>
      <c r="HJ131" s="1616"/>
      <c r="HK131" s="1616"/>
      <c r="HL131" s="1616"/>
      <c r="HM131" s="1616"/>
      <c r="HN131" s="1616"/>
      <c r="HO131" s="1616"/>
      <c r="HP131" s="1616"/>
      <c r="HQ131" s="1616"/>
      <c r="HR131" s="1616"/>
      <c r="HS131" s="1616"/>
      <c r="HT131" s="1616"/>
      <c r="HU131" s="1616"/>
      <c r="HV131" s="1616"/>
      <c r="HW131" s="1616"/>
      <c r="HX131" s="1616"/>
      <c r="HY131" s="1616"/>
      <c r="HZ131" s="1616"/>
      <c r="IA131" s="1616"/>
      <c r="IB131" s="1616"/>
      <c r="IC131" s="1616"/>
      <c r="ID131" s="1616"/>
      <c r="IE131" s="1616"/>
      <c r="IF131" s="1616"/>
      <c r="IG131" s="1616"/>
      <c r="IH131" s="1616"/>
      <c r="II131" s="1616"/>
      <c r="IJ131" s="1616"/>
      <c r="IK131" s="1616"/>
      <c r="IL131" s="1616"/>
      <c r="IM131" s="1616"/>
      <c r="IN131" s="1616"/>
      <c r="IO131" s="1616"/>
      <c r="IP131" s="1616"/>
      <c r="IQ131" s="1616"/>
      <c r="IR131" s="1616"/>
      <c r="IS131" s="1616"/>
      <c r="IT131" s="1616"/>
      <c r="IU131" s="1616"/>
    </row>
    <row r="132" spans="1:255" s="1248" customFormat="1" ht="13.5" customHeight="1">
      <c r="A132" s="1614"/>
      <c r="B132" s="1615"/>
      <c r="C132" s="1615"/>
      <c r="D132" s="719" t="s">
        <v>6041</v>
      </c>
      <c r="E132" s="1615"/>
      <c r="F132" s="1444"/>
      <c r="G132" s="288"/>
      <c r="H132" s="609"/>
      <c r="I132" s="613"/>
      <c r="J132" s="1612"/>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604" customFormat="1" ht="13.5" customHeight="1">
      <c r="A133" s="595"/>
      <c r="B133" s="596"/>
      <c r="C133" s="597"/>
      <c r="D133" s="719" t="s">
        <v>6042</v>
      </c>
      <c r="E133" s="599"/>
      <c r="F133" s="600">
        <f>(26.3)*2</f>
        <v>52.6</v>
      </c>
      <c r="G133" s="289"/>
      <c r="H133" s="601"/>
      <c r="I133" s="602"/>
      <c r="J133" s="606"/>
      <c r="U133" s="605"/>
      <c r="W133" s="605"/>
    </row>
    <row r="134" spans="1:255" s="1248" customFormat="1" ht="13.5" customHeight="1">
      <c r="A134" s="1614">
        <v>36</v>
      </c>
      <c r="B134" s="1615" t="s">
        <v>5808</v>
      </c>
      <c r="C134" s="1615">
        <v>460671114</v>
      </c>
      <c r="D134" s="1615" t="s">
        <v>5862</v>
      </c>
      <c r="E134" s="1615" t="s">
        <v>141</v>
      </c>
      <c r="F134" s="573">
        <f>ROUND(SUM(F136),3)</f>
        <v>29.6</v>
      </c>
      <c r="G134" s="288"/>
      <c r="H134" s="568">
        <f>ROUND(F134*G134,2)</f>
        <v>0</v>
      </c>
      <c r="I134" s="613" t="s">
        <v>137</v>
      </c>
      <c r="J134" s="1612"/>
      <c r="BS134" s="1616"/>
      <c r="BT134" s="1616"/>
      <c r="BU134" s="1616"/>
      <c r="BV134" s="1616"/>
      <c r="BW134" s="1616"/>
      <c r="BX134" s="1616"/>
      <c r="BY134" s="1616"/>
      <c r="BZ134" s="1616"/>
      <c r="CA134" s="1616"/>
      <c r="CB134" s="1616"/>
      <c r="CC134" s="1616"/>
      <c r="CD134" s="1616"/>
      <c r="CE134" s="1616"/>
      <c r="CF134" s="1616"/>
      <c r="CG134" s="1616"/>
      <c r="CH134" s="1616"/>
      <c r="CI134" s="1616"/>
      <c r="CJ134" s="1616"/>
      <c r="CK134" s="1616"/>
      <c r="CL134" s="1616"/>
      <c r="CM134" s="1616"/>
      <c r="CN134" s="1616"/>
      <c r="CO134" s="1616"/>
      <c r="CP134" s="1616"/>
      <c r="CQ134" s="1616"/>
      <c r="CR134" s="1616"/>
      <c r="CS134" s="1616"/>
      <c r="CT134" s="1616"/>
      <c r="CU134" s="1616"/>
      <c r="CV134" s="1616"/>
      <c r="CW134" s="1616"/>
      <c r="CX134" s="1616"/>
      <c r="CY134" s="1616"/>
      <c r="CZ134" s="1616"/>
      <c r="DA134" s="1616"/>
      <c r="DB134" s="1616"/>
      <c r="DC134" s="1616"/>
      <c r="DD134" s="1616"/>
      <c r="DE134" s="1616"/>
      <c r="DF134" s="1616"/>
      <c r="DG134" s="1616"/>
      <c r="DH134" s="1616"/>
      <c r="DI134" s="1616"/>
      <c r="DJ134" s="1616"/>
      <c r="DK134" s="1616"/>
      <c r="DL134" s="1616"/>
      <c r="DM134" s="1616"/>
      <c r="DN134" s="1616"/>
      <c r="DO134" s="1616"/>
      <c r="DP134" s="1616"/>
      <c r="DQ134" s="1616"/>
      <c r="DR134" s="1616"/>
      <c r="DS134" s="1616"/>
      <c r="DT134" s="1616"/>
      <c r="DU134" s="1616"/>
      <c r="DV134" s="1616"/>
      <c r="DW134" s="1616"/>
      <c r="DX134" s="1616"/>
      <c r="DY134" s="1616"/>
      <c r="DZ134" s="1616"/>
      <c r="EA134" s="1616"/>
      <c r="EB134" s="1616"/>
      <c r="EC134" s="1616"/>
      <c r="ED134" s="1616"/>
      <c r="EE134" s="1616"/>
      <c r="EF134" s="1616"/>
      <c r="EG134" s="1616"/>
      <c r="EH134" s="1616"/>
      <c r="EI134" s="1616"/>
      <c r="EJ134" s="1616"/>
      <c r="EK134" s="1616"/>
      <c r="EL134" s="1616"/>
      <c r="EM134" s="1616"/>
      <c r="EN134" s="1616"/>
      <c r="EO134" s="1616"/>
      <c r="EP134" s="1616"/>
      <c r="EQ134" s="1616"/>
      <c r="ER134" s="1616"/>
      <c r="ES134" s="1616"/>
      <c r="ET134" s="1616"/>
      <c r="EU134" s="1616"/>
      <c r="EV134" s="1616"/>
      <c r="EW134" s="1616"/>
      <c r="EX134" s="1616"/>
      <c r="EY134" s="1616"/>
      <c r="EZ134" s="1616"/>
      <c r="FA134" s="1616"/>
      <c r="FB134" s="1616"/>
      <c r="FC134" s="1616"/>
      <c r="FD134" s="1616"/>
      <c r="FE134" s="1616"/>
      <c r="FF134" s="1616"/>
      <c r="FG134" s="1616"/>
      <c r="FH134" s="1616"/>
      <c r="FI134" s="1616"/>
      <c r="FJ134" s="1616"/>
      <c r="FK134" s="1616"/>
      <c r="FL134" s="1616"/>
      <c r="FM134" s="1616"/>
      <c r="FN134" s="1616"/>
      <c r="FO134" s="1616"/>
      <c r="FP134" s="1616"/>
      <c r="FQ134" s="1616"/>
      <c r="FR134" s="1616"/>
      <c r="FS134" s="1616"/>
      <c r="FT134" s="1616"/>
      <c r="FU134" s="1616"/>
      <c r="FV134" s="1616"/>
      <c r="FW134" s="1616"/>
      <c r="FX134" s="1616"/>
      <c r="FY134" s="1616"/>
      <c r="FZ134" s="1616"/>
      <c r="GA134" s="1616"/>
      <c r="GB134" s="1616"/>
      <c r="GC134" s="1616"/>
      <c r="GD134" s="1616"/>
      <c r="GE134" s="1616"/>
      <c r="GF134" s="1616"/>
      <c r="GG134" s="1616"/>
      <c r="GH134" s="1616"/>
      <c r="GI134" s="1616"/>
      <c r="GJ134" s="1616"/>
      <c r="GK134" s="1616"/>
      <c r="GL134" s="1616"/>
      <c r="GM134" s="1616"/>
      <c r="GN134" s="1616"/>
      <c r="GO134" s="1616"/>
      <c r="GP134" s="1616"/>
      <c r="GQ134" s="1616"/>
      <c r="GR134" s="1616"/>
      <c r="GS134" s="1616"/>
      <c r="GT134" s="1616"/>
      <c r="GU134" s="1616"/>
      <c r="GV134" s="1616"/>
      <c r="GW134" s="1616"/>
      <c r="GX134" s="1616"/>
      <c r="GY134" s="1616"/>
      <c r="GZ134" s="1616"/>
      <c r="HA134" s="1616"/>
      <c r="HB134" s="1616"/>
      <c r="HC134" s="1616"/>
      <c r="HD134" s="1616"/>
      <c r="HE134" s="1616"/>
      <c r="HF134" s="1616"/>
      <c r="HG134" s="1616"/>
      <c r="HH134" s="1616"/>
      <c r="HI134" s="1616"/>
      <c r="HJ134" s="1616"/>
      <c r="HK134" s="1616"/>
      <c r="HL134" s="1616"/>
      <c r="HM134" s="1616"/>
      <c r="HN134" s="1616"/>
      <c r="HO134" s="1616"/>
      <c r="HP134" s="1616"/>
      <c r="HQ134" s="1616"/>
      <c r="HR134" s="1616"/>
      <c r="HS134" s="1616"/>
      <c r="HT134" s="1616"/>
      <c r="HU134" s="1616"/>
      <c r="HV134" s="1616"/>
      <c r="HW134" s="1616"/>
      <c r="HX134" s="1616"/>
      <c r="HY134" s="1616"/>
      <c r="HZ134" s="1616"/>
      <c r="IA134" s="1616"/>
      <c r="IB134" s="1616"/>
      <c r="IC134" s="1616"/>
      <c r="ID134" s="1616"/>
      <c r="IE134" s="1616"/>
      <c r="IF134" s="1616"/>
      <c r="IG134" s="1616"/>
      <c r="IH134" s="1616"/>
      <c r="II134" s="1616"/>
      <c r="IJ134" s="1616"/>
      <c r="IK134" s="1616"/>
      <c r="IL134" s="1616"/>
      <c r="IM134" s="1616"/>
      <c r="IN134" s="1616"/>
      <c r="IO134" s="1616"/>
      <c r="IP134" s="1616"/>
      <c r="IQ134" s="1616"/>
      <c r="IR134" s="1616"/>
      <c r="IS134" s="1616"/>
      <c r="IT134" s="1616"/>
      <c r="IU134" s="1616"/>
    </row>
    <row r="135" spans="1:255" s="1248" customFormat="1" ht="13.5" customHeight="1">
      <c r="A135" s="1614"/>
      <c r="B135" s="1615"/>
      <c r="C135" s="1615"/>
      <c r="D135" s="719" t="s">
        <v>6043</v>
      </c>
      <c r="E135" s="1615"/>
      <c r="F135" s="1444"/>
      <c r="G135" s="288"/>
      <c r="H135" s="609"/>
      <c r="I135" s="613"/>
      <c r="J135" s="1612"/>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604" customFormat="1" ht="13.5" customHeight="1">
      <c r="A136" s="595"/>
      <c r="B136" s="596"/>
      <c r="C136" s="597"/>
      <c r="D136" s="719" t="s">
        <v>6044</v>
      </c>
      <c r="E136" s="599"/>
      <c r="F136" s="600">
        <f>(14.8)*2</f>
        <v>29.6</v>
      </c>
      <c r="G136" s="289"/>
      <c r="H136" s="601"/>
      <c r="I136" s="602"/>
      <c r="J136" s="606"/>
      <c r="U136" s="605"/>
      <c r="W136" s="605"/>
    </row>
    <row r="137" spans="1:255" s="1248" customFormat="1" ht="13.5" customHeight="1">
      <c r="A137" s="1624" t="s">
        <v>1262</v>
      </c>
      <c r="B137" s="1615" t="s">
        <v>5808</v>
      </c>
      <c r="C137" s="1615" t="s">
        <v>5865</v>
      </c>
      <c r="D137" s="1615" t="s">
        <v>6045</v>
      </c>
      <c r="E137" s="1615" t="s">
        <v>141</v>
      </c>
      <c r="F137" s="573">
        <f>ROUND(SUM(F139:F139),3)</f>
        <v>1.65</v>
      </c>
      <c r="G137" s="288"/>
      <c r="H137" s="568">
        <f>ROUND(F137*G137,2)</f>
        <v>0</v>
      </c>
      <c r="I137" s="1014" t="s">
        <v>111</v>
      </c>
      <c r="J137" s="1565"/>
      <c r="K137" s="612"/>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6046</v>
      </c>
      <c r="E138" s="599"/>
      <c r="F138" s="600"/>
      <c r="G138" s="410"/>
      <c r="H138" s="1629"/>
      <c r="I138" s="1630"/>
      <c r="J138" s="1566"/>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6047</v>
      </c>
      <c r="E139" s="599"/>
      <c r="F139" s="600">
        <f>(1.5)*1.1</f>
        <v>1.6500000000000001</v>
      </c>
      <c r="G139" s="410"/>
      <c r="H139" s="1629"/>
      <c r="I139" s="1630"/>
      <c r="J139" s="1639"/>
      <c r="U139" s="1632"/>
      <c r="W139" s="1632"/>
    </row>
    <row r="140" spans="1:255" s="1631" customFormat="1" ht="13.5" customHeight="1">
      <c r="A140" s="1625"/>
      <c r="B140" s="1626"/>
      <c r="C140" s="1627"/>
      <c r="D140" s="1634" t="s">
        <v>5869</v>
      </c>
      <c r="E140" s="599"/>
      <c r="F140" s="600"/>
      <c r="G140" s="410"/>
      <c r="H140" s="1629"/>
      <c r="I140" s="1630"/>
      <c r="J140" s="1635"/>
      <c r="P140" s="1636"/>
      <c r="U140" s="1632"/>
      <c r="W140" s="1632"/>
    </row>
    <row r="141" spans="1:255" s="1631" customFormat="1" ht="13.5" customHeight="1">
      <c r="A141" s="1625"/>
      <c r="B141" s="1626"/>
      <c r="C141" s="1627"/>
      <c r="D141" s="1634" t="s">
        <v>5870</v>
      </c>
      <c r="E141" s="599"/>
      <c r="F141" s="600"/>
      <c r="G141" s="410"/>
      <c r="H141" s="1629"/>
      <c r="I141" s="1630"/>
      <c r="J141" s="1637"/>
      <c r="U141" s="1632"/>
      <c r="W141" s="1632"/>
    </row>
    <row r="142" spans="1:255" s="1248" customFormat="1" ht="13.5" customHeight="1">
      <c r="A142" s="1624" t="s">
        <v>1266</v>
      </c>
      <c r="B142" s="1615" t="s">
        <v>5808</v>
      </c>
      <c r="C142" s="1615" t="s">
        <v>5871</v>
      </c>
      <c r="D142" s="1615" t="s">
        <v>6048</v>
      </c>
      <c r="E142" s="1615" t="s">
        <v>141</v>
      </c>
      <c r="F142" s="573">
        <f>ROUND(SUM(F144),3)</f>
        <v>45.21</v>
      </c>
      <c r="G142" s="288"/>
      <c r="H142" s="568">
        <f>ROUND(F142*G142,2)</f>
        <v>0</v>
      </c>
      <c r="I142" s="1014" t="s">
        <v>111</v>
      </c>
      <c r="J142" s="1565"/>
      <c r="K142" s="612"/>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6049</v>
      </c>
      <c r="E143" s="599"/>
      <c r="F143" s="600"/>
      <c r="G143" s="410"/>
      <c r="H143" s="1629"/>
      <c r="I143" s="1630"/>
      <c r="J143" s="1566"/>
      <c r="K143" s="1567"/>
      <c r="L143" s="604"/>
      <c r="M143" s="604"/>
      <c r="N143" s="604"/>
      <c r="O143" s="604"/>
      <c r="P143" s="604"/>
      <c r="Q143" s="604"/>
      <c r="R143" s="604"/>
      <c r="S143" s="604"/>
      <c r="T143" s="604"/>
      <c r="U143" s="1572"/>
    </row>
    <row r="144" spans="1:255" s="1631" customFormat="1" ht="13.5" customHeight="1">
      <c r="A144" s="1625"/>
      <c r="B144" s="1626"/>
      <c r="C144" s="1627"/>
      <c r="D144" s="1628" t="s">
        <v>6050</v>
      </c>
      <c r="E144" s="599"/>
      <c r="F144" s="600">
        <f>(14.8+26.3)*1.1</f>
        <v>45.210000000000008</v>
      </c>
      <c r="G144" s="410"/>
      <c r="H144" s="1629"/>
      <c r="I144" s="1630"/>
      <c r="J144" s="1566"/>
      <c r="K144" s="1567"/>
      <c r="U144" s="1572"/>
      <c r="W144" s="1638"/>
    </row>
    <row r="145" spans="1:256" s="1631" customFormat="1" ht="13.5" customHeight="1">
      <c r="A145" s="1625"/>
      <c r="B145" s="1626"/>
      <c r="C145" s="1627"/>
      <c r="D145" s="1634" t="s">
        <v>5869</v>
      </c>
      <c r="E145" s="599"/>
      <c r="F145" s="600"/>
      <c r="G145" s="410"/>
      <c r="H145" s="1629"/>
      <c r="I145" s="1630"/>
      <c r="J145" s="1639"/>
      <c r="U145" s="1632"/>
      <c r="W145" s="1632"/>
    </row>
    <row r="146" spans="1:256" s="1631" customFormat="1" ht="13.5" customHeight="1">
      <c r="A146" s="1625"/>
      <c r="B146" s="1626"/>
      <c r="C146" s="1627"/>
      <c r="D146" s="1634" t="s">
        <v>5870</v>
      </c>
      <c r="E146" s="599"/>
      <c r="F146" s="600"/>
      <c r="G146" s="410"/>
      <c r="H146" s="1629"/>
      <c r="I146" s="1630"/>
      <c r="J146" s="1637"/>
      <c r="N146" s="1635"/>
      <c r="U146" s="1632"/>
      <c r="W146" s="1632"/>
    </row>
    <row r="147" spans="1:256" s="1248" customFormat="1" ht="27" customHeight="1">
      <c r="A147" s="1614">
        <v>39</v>
      </c>
      <c r="B147" s="1252">
        <v>946</v>
      </c>
      <c r="C147" s="1245" t="s">
        <v>5875</v>
      </c>
      <c r="D147" s="1245" t="s">
        <v>5876</v>
      </c>
      <c r="E147" s="1245" t="s">
        <v>146</v>
      </c>
      <c r="F147" s="1640">
        <f>ROUND(SUM(F149,F151),3)</f>
        <v>14.468</v>
      </c>
      <c r="G147" s="1641">
        <f>ROUND(SUM(H153:H156)/F147,2)</f>
        <v>0</v>
      </c>
      <c r="H147" s="568">
        <f>ROUND(F147*G147,2)</f>
        <v>0</v>
      </c>
      <c r="I147" s="1280" t="s">
        <v>111</v>
      </c>
    </row>
    <row r="148" spans="1:256" s="1248" customFormat="1" ht="13.5" customHeight="1">
      <c r="A148" s="1244"/>
      <c r="B148" s="1252"/>
      <c r="C148" s="1245"/>
      <c r="D148" s="1255" t="s">
        <v>4784</v>
      </c>
      <c r="E148" s="1245"/>
      <c r="F148" s="1246"/>
      <c r="G148" s="404"/>
      <c r="H148" s="1247"/>
      <c r="I148" s="1280"/>
      <c r="J148" s="1642"/>
      <c r="K148" s="1643"/>
      <c r="L148" s="1643"/>
      <c r="M148" s="1642"/>
      <c r="N148" s="1644"/>
    </row>
    <row r="149" spans="1:256" s="593" customFormat="1" ht="13.5" customHeight="1">
      <c r="A149" s="789"/>
      <c r="B149" s="790"/>
      <c r="C149" s="1245"/>
      <c r="D149" s="756" t="s">
        <v>182</v>
      </c>
      <c r="E149" s="1260"/>
      <c r="F149" s="758">
        <f>SUM(F150)</f>
        <v>13.020750000000003</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248" customFormat="1" ht="27" customHeight="1">
      <c r="A150" s="1524"/>
      <c r="B150" s="1525"/>
      <c r="C150" s="1645"/>
      <c r="D150" s="1255" t="s">
        <v>6051</v>
      </c>
      <c r="E150" s="1255"/>
      <c r="F150" s="1249">
        <f>(14.8*0.8*0.5)*(0.85+0.05)+(26.3*0.65*0.5)*(0.85+0.05)</f>
        <v>13.020750000000003</v>
      </c>
      <c r="G150" s="404"/>
      <c r="H150" s="1247"/>
      <c r="I150" s="1492"/>
      <c r="J150" s="1523"/>
    </row>
    <row r="151" spans="1:256" s="593" customFormat="1" ht="13.5" customHeight="1">
      <c r="A151" s="789"/>
      <c r="B151" s="790"/>
      <c r="C151" s="1245"/>
      <c r="D151" s="756" t="s">
        <v>185</v>
      </c>
      <c r="E151" s="1260"/>
      <c r="F151" s="758">
        <f>SUM(F152)</f>
        <v>1.4467500000000002</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248" customFormat="1" ht="27" customHeight="1">
      <c r="A152" s="1524"/>
      <c r="B152" s="1525"/>
      <c r="C152" s="1645"/>
      <c r="D152" s="1255" t="s">
        <v>6052</v>
      </c>
      <c r="E152" s="1255"/>
      <c r="F152" s="1249">
        <f>(14.8*0.8*0.5)*(0.1)+(26.3*0.65*0.5)*(0.1)</f>
        <v>1.4467500000000002</v>
      </c>
      <c r="G152" s="404"/>
      <c r="H152" s="1247"/>
      <c r="I152" s="1492"/>
      <c r="J152" s="1523"/>
    </row>
    <row r="153" spans="1:256" s="1248" customFormat="1" ht="13.5" customHeight="1">
      <c r="A153" s="1518" t="s">
        <v>5879</v>
      </c>
      <c r="B153" s="1245"/>
      <c r="C153" s="777">
        <v>460371121</v>
      </c>
      <c r="D153" s="1255" t="s">
        <v>5880</v>
      </c>
      <c r="E153" s="1259" t="s">
        <v>146</v>
      </c>
      <c r="F153" s="1249">
        <f>F149</f>
        <v>13.020750000000003</v>
      </c>
      <c r="G153" s="415"/>
      <c r="H153" s="803">
        <f t="shared" ref="H153:H156" si="0">ROUND(F153*G153,2)</f>
        <v>0</v>
      </c>
      <c r="I153" s="781" t="s">
        <v>137</v>
      </c>
      <c r="J153" s="647"/>
      <c r="K153" s="647"/>
      <c r="L153" s="612"/>
      <c r="M153" s="612"/>
      <c r="N153" s="612"/>
      <c r="O153" s="612"/>
      <c r="P153" s="612"/>
      <c r="Q153" s="612"/>
      <c r="R153" s="612"/>
      <c r="S153" s="788"/>
      <c r="V153" s="1646"/>
    </row>
    <row r="154" spans="1:256" s="1248" customFormat="1" ht="13.5" customHeight="1">
      <c r="A154" s="1518" t="s">
        <v>5881</v>
      </c>
      <c r="B154" s="1245"/>
      <c r="C154" s="777">
        <v>460371123</v>
      </c>
      <c r="D154" s="1255" t="s">
        <v>5882</v>
      </c>
      <c r="E154" s="1259" t="s">
        <v>146</v>
      </c>
      <c r="F154" s="1249">
        <f>F151</f>
        <v>1.4467500000000002</v>
      </c>
      <c r="G154" s="415"/>
      <c r="H154" s="803">
        <f t="shared" si="0"/>
        <v>0</v>
      </c>
      <c r="I154" s="781" t="s">
        <v>137</v>
      </c>
      <c r="J154" s="647"/>
      <c r="K154" s="647"/>
      <c r="L154" s="612"/>
      <c r="M154" s="612"/>
      <c r="N154" s="612"/>
      <c r="O154" s="612"/>
      <c r="P154" s="612"/>
      <c r="Q154" s="612"/>
      <c r="R154" s="612"/>
      <c r="S154" s="788"/>
      <c r="V154" s="1646"/>
    </row>
    <row r="155" spans="1:256" s="1248" customFormat="1" ht="27" customHeight="1">
      <c r="A155" s="1518" t="s">
        <v>5883</v>
      </c>
      <c r="B155" s="1245"/>
      <c r="C155" s="777">
        <v>460341112</v>
      </c>
      <c r="D155" s="1255" t="s">
        <v>5884</v>
      </c>
      <c r="E155" s="1259" t="s">
        <v>146</v>
      </c>
      <c r="F155" s="1249">
        <f>F147</f>
        <v>14.468</v>
      </c>
      <c r="G155" s="415"/>
      <c r="H155" s="803">
        <f t="shared" si="0"/>
        <v>0</v>
      </c>
      <c r="I155" s="781" t="s">
        <v>137</v>
      </c>
      <c r="J155" s="647"/>
      <c r="K155" s="647"/>
      <c r="L155" s="612"/>
      <c r="M155" s="612"/>
      <c r="N155" s="612"/>
      <c r="O155" s="612"/>
      <c r="P155" s="612"/>
      <c r="Q155" s="612"/>
      <c r="R155" s="612"/>
      <c r="S155" s="788"/>
      <c r="V155" s="1646"/>
    </row>
    <row r="156" spans="1:256" s="1248" customFormat="1" ht="13.5" customHeight="1">
      <c r="A156" s="1518" t="s">
        <v>5885</v>
      </c>
      <c r="B156" s="1245"/>
      <c r="C156" s="777">
        <v>171251201</v>
      </c>
      <c r="D156" s="1255" t="s">
        <v>4795</v>
      </c>
      <c r="E156" s="1259" t="s">
        <v>146</v>
      </c>
      <c r="F156" s="1249">
        <f>F147</f>
        <v>14.468</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c r="B157" s="1245"/>
      <c r="C157" s="777"/>
      <c r="D157" s="1255" t="s">
        <v>4796</v>
      </c>
      <c r="E157" s="1259"/>
      <c r="F157" s="1249"/>
      <c r="G157" s="416"/>
      <c r="H157" s="1267"/>
      <c r="I157" s="781"/>
      <c r="J157" s="647"/>
      <c r="K157" s="647"/>
      <c r="L157" s="612"/>
      <c r="M157" s="612"/>
      <c r="N157" s="612"/>
      <c r="O157" s="612"/>
      <c r="P157" s="612"/>
      <c r="Q157" s="612"/>
      <c r="R157" s="612"/>
      <c r="S157" s="788"/>
      <c r="V157" s="1646"/>
    </row>
    <row r="158" spans="1:256" s="1248" customFormat="1" ht="27" customHeight="1">
      <c r="A158" s="1244">
        <v>40</v>
      </c>
      <c r="B158" s="1252">
        <v>946</v>
      </c>
      <c r="C158" s="1245" t="s">
        <v>5886</v>
      </c>
      <c r="D158" s="1245" t="s">
        <v>5887</v>
      </c>
      <c r="E158" s="1245" t="s">
        <v>146</v>
      </c>
      <c r="F158" s="1640">
        <f>ROUND(SUM(F160,F162),3)</f>
        <v>14.468</v>
      </c>
      <c r="G158" s="1641">
        <f>ROUND(SUM(H164:H166)/F158,2)</f>
        <v>0</v>
      </c>
      <c r="H158" s="568">
        <f>ROUND(F158*G158,2)</f>
        <v>0</v>
      </c>
      <c r="I158" s="1280" t="s">
        <v>111</v>
      </c>
    </row>
    <row r="159" spans="1:256" s="1248" customFormat="1" ht="13.5" customHeight="1">
      <c r="A159" s="1518"/>
      <c r="B159" s="1245"/>
      <c r="C159" s="777"/>
      <c r="D159" s="1255" t="s">
        <v>4799</v>
      </c>
      <c r="E159" s="1259"/>
      <c r="F159" s="1249"/>
      <c r="G159" s="416"/>
      <c r="H159" s="1267"/>
      <c r="I159" s="781"/>
      <c r="J159" s="647"/>
      <c r="K159" s="647"/>
      <c r="L159" s="612"/>
      <c r="M159" s="612"/>
      <c r="N159" s="612"/>
      <c r="O159" s="612"/>
      <c r="P159" s="612"/>
      <c r="Q159" s="612"/>
      <c r="R159" s="612"/>
      <c r="S159" s="788"/>
      <c r="V159" s="1646"/>
    </row>
    <row r="160" spans="1:256" s="593" customFormat="1" ht="13.5" customHeight="1">
      <c r="A160" s="789"/>
      <c r="B160" s="790"/>
      <c r="C160" s="1245"/>
      <c r="D160" s="756" t="s">
        <v>4800</v>
      </c>
      <c r="E160" s="1260"/>
      <c r="F160" s="758">
        <f>SUM(F161)</f>
        <v>13.020750000000003</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248" customFormat="1" ht="27" customHeight="1">
      <c r="A161" s="1524"/>
      <c r="B161" s="1525"/>
      <c r="C161" s="1645"/>
      <c r="D161" s="1255" t="s">
        <v>6053</v>
      </c>
      <c r="E161" s="1255"/>
      <c r="F161" s="1249">
        <f>(14.8*0.8*0.5)*(0.85+0.05)+(26.3*0.65*0.5)*(0.85+0.05)</f>
        <v>13.020750000000003</v>
      </c>
      <c r="G161" s="404"/>
      <c r="H161" s="1247"/>
      <c r="I161" s="1492"/>
      <c r="J161" s="1523"/>
    </row>
    <row r="162" spans="1:256" s="593" customFormat="1" ht="13.5" customHeight="1">
      <c r="A162" s="789"/>
      <c r="B162" s="790"/>
      <c r="C162" s="1245"/>
      <c r="D162" s="756" t="s">
        <v>4802</v>
      </c>
      <c r="E162" s="1260"/>
      <c r="F162" s="758">
        <f>SUM(F163)</f>
        <v>1.4467500000000002</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248" customFormat="1" ht="27" customHeight="1">
      <c r="A163" s="1524"/>
      <c r="B163" s="1525"/>
      <c r="C163" s="1645"/>
      <c r="D163" s="1255" t="s">
        <v>6054</v>
      </c>
      <c r="E163" s="1255"/>
      <c r="F163" s="1249">
        <f>(14.8*0.8*0.5)*(0.1)+(26.3*0.65*0.5)*(0.1)</f>
        <v>1.4467500000000002</v>
      </c>
      <c r="G163" s="404"/>
      <c r="H163" s="1247"/>
      <c r="I163" s="1492"/>
      <c r="J163" s="1523"/>
    </row>
    <row r="164" spans="1:256" s="1248" customFormat="1" ht="13.5" customHeight="1">
      <c r="A164" s="1518" t="s">
        <v>5890</v>
      </c>
      <c r="B164" s="1245"/>
      <c r="C164" s="777">
        <v>460371121</v>
      </c>
      <c r="D164" s="1255" t="s">
        <v>5880</v>
      </c>
      <c r="E164" s="1259" t="s">
        <v>146</v>
      </c>
      <c r="F164" s="1249">
        <f>F161</f>
        <v>13.020750000000003</v>
      </c>
      <c r="G164" s="415"/>
      <c r="H164" s="803">
        <f t="shared" ref="H164:H166" si="1">ROUND(F164*G164,2)</f>
        <v>0</v>
      </c>
      <c r="I164" s="781" t="s">
        <v>137</v>
      </c>
      <c r="J164" s="647"/>
      <c r="K164" s="647"/>
      <c r="L164" s="612"/>
      <c r="M164" s="612"/>
      <c r="N164" s="612"/>
      <c r="O164" s="612"/>
      <c r="P164" s="612"/>
      <c r="Q164" s="612"/>
      <c r="R164" s="612"/>
      <c r="S164" s="788"/>
      <c r="V164" s="1646"/>
    </row>
    <row r="165" spans="1:256" s="1248" customFormat="1" ht="13.5" customHeight="1">
      <c r="A165" s="1518" t="s">
        <v>5891</v>
      </c>
      <c r="B165" s="1245"/>
      <c r="C165" s="777">
        <v>460371123</v>
      </c>
      <c r="D165" s="1255" t="s">
        <v>5882</v>
      </c>
      <c r="E165" s="1259" t="s">
        <v>146</v>
      </c>
      <c r="F165" s="1249">
        <f>F163</f>
        <v>1.4467500000000002</v>
      </c>
      <c r="G165" s="415"/>
      <c r="H165" s="803">
        <f t="shared" si="1"/>
        <v>0</v>
      </c>
      <c r="I165" s="781" t="s">
        <v>137</v>
      </c>
      <c r="J165" s="647"/>
      <c r="K165" s="647"/>
      <c r="L165" s="612"/>
      <c r="M165" s="612"/>
      <c r="N165" s="612"/>
      <c r="O165" s="612"/>
      <c r="P165" s="612"/>
      <c r="Q165" s="612"/>
      <c r="R165" s="612"/>
      <c r="S165" s="788"/>
      <c r="V165" s="1646"/>
    </row>
    <row r="166" spans="1:256" s="1248" customFormat="1" ht="27" customHeight="1">
      <c r="A166" s="1518" t="s">
        <v>5892</v>
      </c>
      <c r="B166" s="1245"/>
      <c r="C166" s="777">
        <v>460341112</v>
      </c>
      <c r="D166" s="1255" t="s">
        <v>5884</v>
      </c>
      <c r="E166" s="1259" t="s">
        <v>146</v>
      </c>
      <c r="F166" s="1249">
        <f>F158</f>
        <v>14.468</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c r="B167" s="1245"/>
      <c r="C167" s="777"/>
      <c r="D167" s="1255" t="s">
        <v>5893</v>
      </c>
      <c r="E167" s="1259"/>
      <c r="F167" s="1249"/>
      <c r="G167" s="416"/>
      <c r="H167" s="1267"/>
      <c r="I167" s="781"/>
      <c r="J167" s="647"/>
      <c r="K167" s="647"/>
      <c r="L167" s="612"/>
      <c r="M167" s="612"/>
      <c r="N167" s="612"/>
      <c r="O167" s="612"/>
      <c r="P167" s="612"/>
      <c r="Q167" s="612"/>
      <c r="R167" s="612"/>
      <c r="S167" s="788"/>
      <c r="V167" s="1646"/>
    </row>
    <row r="168" spans="1:256" s="593" customFormat="1" ht="27" customHeight="1">
      <c r="A168" s="789">
        <v>41</v>
      </c>
      <c r="B168" s="790" t="s">
        <v>5808</v>
      </c>
      <c r="C168" s="1245" t="s">
        <v>5894</v>
      </c>
      <c r="D168" s="776" t="s">
        <v>6326</v>
      </c>
      <c r="E168" s="776" t="s">
        <v>146</v>
      </c>
      <c r="F168" s="1640">
        <f>ROUND(SUM(F170,F172),3)</f>
        <v>11.574</v>
      </c>
      <c r="G168" s="1641">
        <f>ROUND(SUM(H174:H178)/F168,2)</f>
        <v>0</v>
      </c>
      <c r="H168" s="568">
        <f>ROUND(F168*G168,2)</f>
        <v>0</v>
      </c>
      <c r="I168" s="1280" t="s">
        <v>111</v>
      </c>
      <c r="J168" s="1647"/>
      <c r="K168" s="1248"/>
      <c r="L168" s="1248"/>
      <c r="M168" s="1248"/>
      <c r="N168" s="1248"/>
      <c r="O168" s="1248"/>
      <c r="P168" s="1248"/>
      <c r="Q168" s="1248"/>
      <c r="R168" s="1248"/>
      <c r="S168" s="1248"/>
      <c r="T168" s="1248"/>
      <c r="U168" s="1248"/>
      <c r="V168" s="1248"/>
      <c r="W168" s="1248"/>
      <c r="X168" s="1248"/>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5895</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245"/>
      <c r="D170" s="756" t="s">
        <v>182</v>
      </c>
      <c r="E170" s="757"/>
      <c r="F170" s="758">
        <f>SUM(F171)</f>
        <v>10.416600000000003</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6055</v>
      </c>
      <c r="E171" s="585"/>
      <c r="F171" s="762">
        <f>(14.8*0.8*(0.9-0.5))*(0.85+0.05)+(26.3*0.65*(0.9-0.5))*(0.85+0.05)</f>
        <v>10.416600000000003</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245"/>
      <c r="D172" s="756" t="s">
        <v>185</v>
      </c>
      <c r="E172" s="757"/>
      <c r="F172" s="758">
        <f>SUM(F173)</f>
        <v>1.1574000000000002</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27" customHeight="1">
      <c r="A173" s="761"/>
      <c r="B173" s="582"/>
      <c r="C173" s="583"/>
      <c r="D173" s="585" t="s">
        <v>6056</v>
      </c>
      <c r="E173" s="585"/>
      <c r="F173" s="762">
        <f>(14.8*0.8*(0.9-0.5))*(0.1)+(26.3*0.65*(0.9-0.5))*(0.1)</f>
        <v>1.1574000000000002</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248" customFormat="1" ht="13.5" customHeight="1">
      <c r="A174" s="1518" t="s">
        <v>4076</v>
      </c>
      <c r="B174" s="1245"/>
      <c r="C174" s="777">
        <v>460371121</v>
      </c>
      <c r="D174" s="1255" t="s">
        <v>5880</v>
      </c>
      <c r="E174" s="1259" t="s">
        <v>146</v>
      </c>
      <c r="F174" s="1249">
        <f>F170</f>
        <v>10.416600000000003</v>
      </c>
      <c r="G174" s="415"/>
      <c r="H174" s="803">
        <f t="shared" ref="H174:H178" si="2">ROUND(F174*G174,2)</f>
        <v>0</v>
      </c>
      <c r="I174" s="781" t="s">
        <v>137</v>
      </c>
      <c r="J174" s="647"/>
      <c r="K174" s="647"/>
      <c r="L174" s="612"/>
      <c r="M174" s="612"/>
      <c r="N174" s="612"/>
      <c r="O174" s="612"/>
      <c r="P174" s="612"/>
      <c r="Q174" s="612"/>
      <c r="R174" s="612"/>
      <c r="S174" s="788"/>
      <c r="V174" s="1646"/>
    </row>
    <row r="175" spans="1:256" s="1248" customFormat="1" ht="13.5" customHeight="1">
      <c r="A175" s="1518" t="s">
        <v>4080</v>
      </c>
      <c r="B175" s="1245"/>
      <c r="C175" s="777">
        <v>460371123</v>
      </c>
      <c r="D175" s="1255" t="s">
        <v>5882</v>
      </c>
      <c r="E175" s="1259" t="s">
        <v>146</v>
      </c>
      <c r="F175" s="1249">
        <f>F172</f>
        <v>1.1574000000000002</v>
      </c>
      <c r="G175" s="415"/>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5898</v>
      </c>
      <c r="B176" s="776"/>
      <c r="C176" s="777" t="s">
        <v>6327</v>
      </c>
      <c r="D176" s="585" t="s">
        <v>6333</v>
      </c>
      <c r="E176" s="778" t="s">
        <v>146</v>
      </c>
      <c r="F176" s="779">
        <f>F168</f>
        <v>11.574</v>
      </c>
      <c r="G176" s="880"/>
      <c r="H176" s="803">
        <f t="shared" si="2"/>
        <v>0</v>
      </c>
      <c r="I176" s="781" t="s">
        <v>112</v>
      </c>
      <c r="J176" s="201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5899</v>
      </c>
      <c r="B177" s="776"/>
      <c r="C177" s="777">
        <v>171251101</v>
      </c>
      <c r="D177" s="585" t="s">
        <v>192</v>
      </c>
      <c r="E177" s="778" t="s">
        <v>146</v>
      </c>
      <c r="F177" s="779">
        <f>F168</f>
        <v>11.574</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5900</v>
      </c>
      <c r="B178" s="1655"/>
      <c r="C178" s="777" t="s">
        <v>6328</v>
      </c>
      <c r="D178" s="810" t="s">
        <v>6329</v>
      </c>
      <c r="E178" s="1656" t="s">
        <v>175</v>
      </c>
      <c r="F178" s="802">
        <f>F168*2</f>
        <v>23.148</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2404</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248" customFormat="1" ht="13.5" customHeight="1">
      <c r="A181" s="1614">
        <v>42</v>
      </c>
      <c r="B181" s="1615">
        <v>946</v>
      </c>
      <c r="C181" s="1615">
        <v>469981111</v>
      </c>
      <c r="D181" s="1615" t="s">
        <v>5901</v>
      </c>
      <c r="E181" s="1615" t="s">
        <v>175</v>
      </c>
      <c r="F181" s="573">
        <f>ROUND(SUM(F182:F183),3)</f>
        <v>23.346</v>
      </c>
      <c r="G181" s="288"/>
      <c r="H181" s="568">
        <f>ROUND(F181*G181,2)</f>
        <v>0</v>
      </c>
      <c r="I181" s="613" t="s">
        <v>137</v>
      </c>
      <c r="J181" s="1612"/>
      <c r="BS181" s="1616"/>
      <c r="BT181" s="1616"/>
      <c r="BU181" s="1616"/>
      <c r="BV181" s="1616"/>
      <c r="BW181" s="1616"/>
      <c r="BX181" s="1616"/>
      <c r="BY181" s="1616"/>
      <c r="BZ181" s="1616"/>
      <c r="CA181" s="1616"/>
      <c r="CB181" s="1616"/>
      <c r="CC181" s="1616"/>
      <c r="CD181" s="1616"/>
      <c r="CE181" s="1616"/>
      <c r="CF181" s="1616"/>
      <c r="CG181" s="1616"/>
      <c r="CH181" s="1616"/>
      <c r="CI181" s="1616"/>
      <c r="CJ181" s="1616"/>
      <c r="CK181" s="1616"/>
      <c r="CL181" s="1616"/>
      <c r="CM181" s="1616"/>
      <c r="CN181" s="1616"/>
      <c r="CO181" s="1616"/>
      <c r="CP181" s="1616"/>
      <c r="CQ181" s="1616"/>
      <c r="CR181" s="1616"/>
      <c r="CS181" s="1616"/>
      <c r="CT181" s="1616"/>
      <c r="CU181" s="1616"/>
      <c r="CV181" s="1616"/>
      <c r="CW181" s="1616"/>
      <c r="CX181" s="1616"/>
      <c r="CY181" s="1616"/>
      <c r="CZ181" s="1616"/>
      <c r="DA181" s="1616"/>
      <c r="DB181" s="1616"/>
      <c r="DC181" s="1616"/>
      <c r="DD181" s="1616"/>
      <c r="DE181" s="1616"/>
      <c r="DF181" s="1616"/>
      <c r="DG181" s="1616"/>
      <c r="DH181" s="1616"/>
      <c r="DI181" s="1616"/>
      <c r="DJ181" s="1616"/>
      <c r="DK181" s="1616"/>
      <c r="DL181" s="1616"/>
      <c r="DM181" s="1616"/>
      <c r="DN181" s="1616"/>
      <c r="DO181" s="1616"/>
      <c r="DP181" s="1616"/>
      <c r="DQ181" s="1616"/>
      <c r="DR181" s="1616"/>
      <c r="DS181" s="1616"/>
      <c r="DT181" s="1616"/>
      <c r="DU181" s="1616"/>
      <c r="DV181" s="1616"/>
      <c r="DW181" s="1616"/>
      <c r="DX181" s="1616"/>
      <c r="DY181" s="1616"/>
      <c r="DZ181" s="1616"/>
      <c r="EA181" s="1616"/>
      <c r="EB181" s="1616"/>
      <c r="EC181" s="1616"/>
      <c r="ED181" s="1616"/>
      <c r="EE181" s="1616"/>
      <c r="EF181" s="1616"/>
      <c r="EG181" s="1616"/>
      <c r="EH181" s="1616"/>
      <c r="EI181" s="1616"/>
      <c r="EJ181" s="1616"/>
      <c r="EK181" s="1616"/>
      <c r="EL181" s="1616"/>
      <c r="EM181" s="1616"/>
      <c r="EN181" s="1616"/>
      <c r="EO181" s="1616"/>
      <c r="EP181" s="1616"/>
      <c r="EQ181" s="1616"/>
      <c r="ER181" s="1616"/>
      <c r="ES181" s="1616"/>
      <c r="ET181" s="1616"/>
      <c r="EU181" s="1616"/>
      <c r="EV181" s="1616"/>
      <c r="EW181" s="1616"/>
      <c r="EX181" s="1616"/>
      <c r="EY181" s="1616"/>
      <c r="EZ181" s="1616"/>
      <c r="FA181" s="1616"/>
      <c r="FB181" s="1616"/>
      <c r="FC181" s="1616"/>
      <c r="FD181" s="1616"/>
      <c r="FE181" s="1616"/>
      <c r="FF181" s="1616"/>
      <c r="FG181" s="1616"/>
      <c r="FH181" s="1616"/>
      <c r="FI181" s="1616"/>
      <c r="FJ181" s="1616"/>
      <c r="FK181" s="1616"/>
      <c r="FL181" s="1616"/>
      <c r="FM181" s="1616"/>
      <c r="FN181" s="1616"/>
      <c r="FO181" s="1616"/>
      <c r="FP181" s="1616"/>
      <c r="FQ181" s="1616"/>
      <c r="FR181" s="1616"/>
      <c r="FS181" s="1616"/>
      <c r="FT181" s="1616"/>
      <c r="FU181" s="1616"/>
      <c r="FV181" s="1616"/>
      <c r="FW181" s="1616"/>
      <c r="FX181" s="1616"/>
      <c r="FY181" s="1616"/>
      <c r="FZ181" s="1616"/>
      <c r="GA181" s="1616"/>
      <c r="GB181" s="1616"/>
      <c r="GC181" s="1616"/>
      <c r="GD181" s="1616"/>
      <c r="GE181" s="1616"/>
      <c r="GF181" s="1616"/>
      <c r="GG181" s="1616"/>
      <c r="GH181" s="1616"/>
      <c r="GI181" s="1616"/>
      <c r="GJ181" s="1616"/>
      <c r="GK181" s="1616"/>
      <c r="GL181" s="1616"/>
      <c r="GM181" s="1616"/>
      <c r="GN181" s="1616"/>
      <c r="GO181" s="1616"/>
      <c r="GP181" s="1616"/>
      <c r="GQ181" s="1616"/>
      <c r="GR181" s="1616"/>
      <c r="GS181" s="1616"/>
      <c r="GT181" s="1616"/>
      <c r="GU181" s="1616"/>
      <c r="GV181" s="1616"/>
      <c r="GW181" s="1616"/>
      <c r="GX181" s="1616"/>
      <c r="GY181" s="1616"/>
      <c r="GZ181" s="1616"/>
      <c r="HA181" s="1616"/>
      <c r="HB181" s="1616"/>
      <c r="HC181" s="1616"/>
      <c r="HD181" s="1616"/>
      <c r="HE181" s="1616"/>
      <c r="HF181" s="1616"/>
      <c r="HG181" s="1616"/>
      <c r="HH181" s="1616"/>
      <c r="HI181" s="1616"/>
      <c r="HJ181" s="1616"/>
      <c r="HK181" s="1616"/>
      <c r="HL181" s="1616"/>
      <c r="HM181" s="1616"/>
      <c r="HN181" s="1616"/>
      <c r="HO181" s="1616"/>
      <c r="HP181" s="1616"/>
      <c r="HQ181" s="1616"/>
      <c r="HR181" s="1616"/>
      <c r="HS181" s="1616"/>
      <c r="HT181" s="1616"/>
      <c r="HU181" s="1616"/>
      <c r="HV181" s="1616"/>
      <c r="HW181" s="1616"/>
      <c r="HX181" s="1616"/>
      <c r="HY181" s="1616"/>
      <c r="HZ181" s="1616"/>
      <c r="IA181" s="1616"/>
      <c r="IB181" s="1616"/>
      <c r="IC181" s="1616"/>
      <c r="ID181" s="1616"/>
      <c r="IE181" s="1616"/>
      <c r="IF181" s="1616"/>
      <c r="IG181" s="1616"/>
      <c r="IH181" s="1616"/>
      <c r="II181" s="1616"/>
      <c r="IJ181" s="1616"/>
      <c r="IK181" s="1616"/>
      <c r="IL181" s="1616"/>
      <c r="IM181" s="1616"/>
      <c r="IN181" s="1616"/>
      <c r="IO181" s="1616"/>
      <c r="IP181" s="1616"/>
      <c r="IQ181" s="1616"/>
      <c r="IR181" s="1616"/>
      <c r="IS181" s="1616"/>
      <c r="IT181" s="1616"/>
      <c r="IU181" s="1616"/>
    </row>
    <row r="182" spans="1:256" s="604" customFormat="1" ht="13.5" customHeight="1">
      <c r="A182" s="595"/>
      <c r="B182" s="596"/>
      <c r="C182" s="597"/>
      <c r="D182" s="719" t="s">
        <v>6057</v>
      </c>
      <c r="E182" s="599"/>
      <c r="F182" s="600">
        <f>0.059</f>
        <v>5.8999999999999997E-2</v>
      </c>
      <c r="G182" s="289"/>
      <c r="H182" s="601"/>
      <c r="I182" s="602"/>
      <c r="J182" s="606"/>
      <c r="U182" s="605"/>
      <c r="W182" s="605"/>
    </row>
    <row r="183" spans="1:256" s="604" customFormat="1" ht="13.5" customHeight="1">
      <c r="A183" s="595"/>
      <c r="B183" s="596"/>
      <c r="C183" s="597"/>
      <c r="D183" s="719" t="s">
        <v>6058</v>
      </c>
      <c r="E183" s="599"/>
      <c r="F183" s="600">
        <f>23.287</f>
        <v>23.286999999999999</v>
      </c>
      <c r="G183" s="289"/>
      <c r="H183" s="601"/>
      <c r="I183" s="602"/>
      <c r="J183" s="606"/>
      <c r="U183" s="605"/>
      <c r="W183" s="605"/>
    </row>
    <row r="184" spans="1:256" s="612" customFormat="1" ht="13.5" customHeight="1">
      <c r="A184" s="608">
        <v>43</v>
      </c>
      <c r="B184" s="557" t="s">
        <v>362</v>
      </c>
      <c r="C184" s="557" t="s">
        <v>1802</v>
      </c>
      <c r="D184" s="557" t="s">
        <v>1803</v>
      </c>
      <c r="E184" s="557" t="s">
        <v>69</v>
      </c>
      <c r="F184" s="573">
        <f>ROUND(SUM(F185),3)</f>
        <v>5</v>
      </c>
      <c r="G184" s="288"/>
      <c r="H184" s="568">
        <f>ROUND(F184*G184,2)</f>
        <v>0</v>
      </c>
      <c r="I184" s="613" t="s">
        <v>137</v>
      </c>
      <c r="J184" s="408"/>
    </row>
    <row r="185" spans="1:256" s="604" customFormat="1" ht="27" customHeight="1">
      <c r="A185" s="595"/>
      <c r="B185" s="596"/>
      <c r="C185" s="597"/>
      <c r="D185" s="719" t="s">
        <v>5778</v>
      </c>
      <c r="E185" s="599"/>
      <c r="F185" s="600">
        <v>5</v>
      </c>
      <c r="G185" s="289"/>
      <c r="H185" s="601"/>
      <c r="I185" s="602"/>
      <c r="J185" s="606"/>
      <c r="U185" s="605"/>
      <c r="W185" s="605"/>
    </row>
    <row r="186" spans="1:256" ht="21" customHeight="1">
      <c r="A186" s="1659"/>
      <c r="B186" s="1660"/>
      <c r="C186" s="1660"/>
      <c r="D186" s="1660" t="s">
        <v>0</v>
      </c>
      <c r="E186" s="1660"/>
      <c r="F186" s="1661"/>
      <c r="G186" s="1662"/>
      <c r="H186" s="1662">
        <f>H9</f>
        <v>0</v>
      </c>
      <c r="I186" s="1248"/>
    </row>
    <row r="187" spans="1:256">
      <c r="A187" s="1663"/>
      <c r="B187" s="1663"/>
      <c r="C187" s="1664"/>
      <c r="D187" s="1664"/>
      <c r="E187" s="1665"/>
      <c r="F187" s="1666"/>
      <c r="G187" s="1667"/>
      <c r="H187" s="1667"/>
      <c r="I187" s="1668"/>
    </row>
    <row r="188" spans="1:256" ht="13.5" customHeight="1">
      <c r="A188" s="5243" t="s">
        <v>862</v>
      </c>
      <c r="B188" s="5244"/>
      <c r="C188" s="5245"/>
      <c r="D188" s="1669" t="s">
        <v>5987</v>
      </c>
      <c r="E188" s="1670"/>
      <c r="F188" s="1671"/>
      <c r="G188" s="1672"/>
      <c r="H188" s="1673">
        <f>H186</f>
        <v>0</v>
      </c>
      <c r="I188" s="1674"/>
    </row>
    <row r="189" spans="1:256" ht="13.5" customHeight="1">
      <c r="A189" s="1675"/>
      <c r="B189" s="1676"/>
      <c r="C189" s="1676"/>
      <c r="D189" s="1295"/>
      <c r="E189" s="1677"/>
      <c r="F189" s="1678"/>
      <c r="G189" s="1679"/>
      <c r="H189" s="1297"/>
      <c r="I189" s="1248"/>
    </row>
    <row r="190" spans="1:256" ht="13.5" customHeight="1">
      <c r="A190" s="689" t="s">
        <v>1</v>
      </c>
      <c r="B190" s="689"/>
      <c r="C190" s="689"/>
      <c r="D190" s="689"/>
      <c r="E190" s="689"/>
      <c r="F190" s="689"/>
      <c r="G190" s="689"/>
      <c r="H190" s="689"/>
      <c r="I190" s="689"/>
    </row>
    <row r="191" spans="1:256" ht="27" customHeight="1">
      <c r="A191" s="5159" t="s">
        <v>864</v>
      </c>
      <c r="B191" s="5159"/>
      <c r="C191" s="5159"/>
      <c r="D191" s="5159"/>
      <c r="E191" s="5159"/>
      <c r="F191" s="5159"/>
      <c r="G191" s="5159"/>
      <c r="H191" s="689"/>
      <c r="I191" s="1248"/>
    </row>
    <row r="192" spans="1:256" ht="93.75" customHeight="1">
      <c r="A192" s="5159" t="s">
        <v>104</v>
      </c>
      <c r="B192" s="5159"/>
      <c r="C192" s="5159"/>
      <c r="D192" s="5159"/>
      <c r="E192" s="5159"/>
      <c r="F192" s="5159"/>
      <c r="G192" s="5159"/>
      <c r="H192" s="689"/>
      <c r="I192" s="689"/>
    </row>
    <row r="193" spans="1:9" ht="13.5" customHeight="1">
      <c r="A193" s="5159" t="s">
        <v>105</v>
      </c>
      <c r="B193" s="5159"/>
      <c r="C193" s="5159"/>
      <c r="D193" s="5159"/>
      <c r="E193" s="5159"/>
      <c r="F193" s="5159"/>
      <c r="G193" s="5159"/>
      <c r="H193" s="691"/>
      <c r="I193" s="691"/>
    </row>
    <row r="194" spans="1:9" ht="13.5" customHeight="1">
      <c r="A194" s="5159" t="s">
        <v>106</v>
      </c>
      <c r="B194" s="5159"/>
      <c r="C194" s="5159"/>
      <c r="D194" s="5159"/>
      <c r="E194" s="5159"/>
      <c r="F194" s="5159"/>
      <c r="G194" s="5159"/>
      <c r="H194" s="691"/>
      <c r="I194" s="691"/>
    </row>
    <row r="195" spans="1:9" ht="40.5" customHeight="1">
      <c r="A195" s="5156" t="s">
        <v>865</v>
      </c>
      <c r="B195" s="5156"/>
      <c r="C195" s="5156"/>
      <c r="D195" s="5156"/>
      <c r="E195" s="5156"/>
      <c r="F195" s="5156"/>
      <c r="G195" s="5156"/>
      <c r="I195" s="1248"/>
    </row>
    <row r="196" spans="1:9" s="695" customFormat="1" ht="94.5" customHeight="1">
      <c r="A196" s="5156" t="s">
        <v>1013</v>
      </c>
      <c r="B196" s="5156"/>
      <c r="C196" s="5156"/>
      <c r="D196" s="5156"/>
      <c r="E196" s="5156"/>
      <c r="F196" s="5156"/>
      <c r="G196" s="5156"/>
      <c r="H196" s="693"/>
      <c r="I196" s="694"/>
    </row>
  </sheetData>
  <sheetProtection algorithmName="SHA-512" hashValue="AjVXoSx7RhVwSZXBL8TEQC0atLE9CX32ipJHyOSi8nnrocqGf++Y436j8V7X5rxG8BfhH/BHv9hr9RGT7L8GBw==" saltValue="nQVpzvs6DYxFV7RVminn1Q==" spinCount="100000" sheet="1" objects="1" scenarios="1"/>
  <mergeCells count="11">
    <mergeCell ref="A192:G192"/>
    <mergeCell ref="A193:G193"/>
    <mergeCell ref="A194:G194"/>
    <mergeCell ref="A195:G195"/>
    <mergeCell ref="A196:G196"/>
    <mergeCell ref="A191:G191"/>
    <mergeCell ref="A2:I2"/>
    <mergeCell ref="A3:D3"/>
    <mergeCell ref="A4:D4"/>
    <mergeCell ref="E4:H4"/>
    <mergeCell ref="A188:C18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93C2-1FFC-489D-A477-1EEE4C20CDCF}">
  <sheetPr>
    <tabColor rgb="FFFF00FF"/>
    <pageSetUpPr fitToPage="1"/>
  </sheetPr>
  <dimension ref="A1:IV197"/>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199" t="s">
        <v>4243</v>
      </c>
      <c r="B2" s="5242"/>
      <c r="C2" s="5242"/>
      <c r="D2" s="5242"/>
      <c r="E2" s="5242"/>
      <c r="F2" s="5242"/>
      <c r="G2" s="5242"/>
      <c r="H2" s="5242"/>
      <c r="I2" s="5242"/>
    </row>
    <row r="3" spans="1:19" ht="13.5" customHeight="1">
      <c r="A3" s="5228" t="s">
        <v>1797</v>
      </c>
      <c r="B3" s="5242"/>
      <c r="C3" s="5242"/>
      <c r="D3" s="5242"/>
      <c r="E3" s="1547"/>
      <c r="F3" s="1548"/>
      <c r="G3" s="1548"/>
      <c r="H3" s="1248"/>
      <c r="I3" s="1248"/>
    </row>
    <row r="4" spans="1:19" s="1550" customFormat="1" ht="13.5" customHeight="1">
      <c r="A4" s="5193" t="s">
        <v>6059</v>
      </c>
      <c r="B4" s="5242"/>
      <c r="C4" s="5242"/>
      <c r="D4" s="5242"/>
      <c r="E4" s="5193"/>
      <c r="F4" s="5242"/>
      <c r="G4" s="5242"/>
      <c r="H4" s="5242"/>
      <c r="I4" s="1549"/>
    </row>
    <row r="5" spans="1:19" ht="13.5" customHeight="1">
      <c r="A5" s="1547" t="s">
        <v>4246</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H10+H66</f>
        <v>0</v>
      </c>
      <c r="I9" s="625"/>
    </row>
    <row r="10" spans="1:19" s="612" customFormat="1" ht="13.5" customHeight="1">
      <c r="A10" s="608"/>
      <c r="B10" s="557"/>
      <c r="C10" s="616" t="s">
        <v>5742</v>
      </c>
      <c r="D10" s="616" t="s">
        <v>5743</v>
      </c>
      <c r="E10" s="616"/>
      <c r="F10" s="909"/>
      <c r="G10" s="828"/>
      <c r="H10" s="828">
        <f>SUM(H11:H65)</f>
        <v>0</v>
      </c>
      <c r="I10" s="613"/>
    </row>
    <row r="11" spans="1:19" s="1564" customFormat="1" ht="27" customHeight="1">
      <c r="A11" s="1559">
        <v>1</v>
      </c>
      <c r="B11" s="1560" t="s">
        <v>5744</v>
      </c>
      <c r="C11" s="400">
        <v>210220020</v>
      </c>
      <c r="D11" s="401" t="s">
        <v>5745</v>
      </c>
      <c r="E11" s="1561" t="s">
        <v>141</v>
      </c>
      <c r="F11" s="573">
        <f>ROUND(SUM(F13:F14),3)</f>
        <v>34.5</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5752</v>
      </c>
      <c r="E12" s="557"/>
      <c r="F12" s="1249"/>
      <c r="G12" s="288"/>
      <c r="H12" s="609"/>
      <c r="I12" s="613"/>
      <c r="J12" s="1565"/>
    </row>
    <row r="13" spans="1:19" s="612" customFormat="1" ht="27" customHeight="1">
      <c r="A13" s="608"/>
      <c r="B13" s="557"/>
      <c r="C13" s="557"/>
      <c r="D13" s="1255" t="s">
        <v>5992</v>
      </c>
      <c r="E13" s="557"/>
      <c r="F13" s="1249">
        <f>(14.8)</f>
        <v>14.8</v>
      </c>
      <c r="G13" s="288"/>
      <c r="H13" s="609"/>
      <c r="I13" s="613"/>
      <c r="J13" s="1565"/>
    </row>
    <row r="14" spans="1:19" s="612" customFormat="1" ht="27" customHeight="1">
      <c r="A14" s="608"/>
      <c r="B14" s="557"/>
      <c r="C14" s="557"/>
      <c r="D14" s="1255" t="s">
        <v>6060</v>
      </c>
      <c r="E14" s="557"/>
      <c r="F14" s="1249">
        <f>(19.7)</f>
        <v>19.7</v>
      </c>
      <c r="G14" s="288"/>
      <c r="H14" s="609"/>
      <c r="I14" s="613"/>
      <c r="J14" s="1565"/>
    </row>
    <row r="15" spans="1:19" s="612" customFormat="1" ht="13.5" customHeight="1">
      <c r="A15" s="608"/>
      <c r="B15" s="557"/>
      <c r="C15" s="557"/>
      <c r="D15" s="1255" t="s">
        <v>5749</v>
      </c>
      <c r="E15" s="557"/>
      <c r="F15" s="1249"/>
      <c r="G15" s="288"/>
      <c r="H15" s="609"/>
      <c r="I15" s="613"/>
      <c r="J15" s="1565"/>
    </row>
    <row r="16" spans="1:19" s="1567" customFormat="1" ht="13.5" customHeight="1">
      <c r="A16" s="729">
        <v>2</v>
      </c>
      <c r="B16" s="730" t="s">
        <v>5750</v>
      </c>
      <c r="C16" s="730">
        <v>35442062</v>
      </c>
      <c r="D16" s="730" t="s">
        <v>5751</v>
      </c>
      <c r="E16" s="730" t="s">
        <v>853</v>
      </c>
      <c r="F16" s="731">
        <f>ROUND(SUM(F18:F19),3)</f>
        <v>34.414000000000001</v>
      </c>
      <c r="G16" s="292"/>
      <c r="H16" s="733">
        <f>ROUND(F16*G16,2)</f>
        <v>0</v>
      </c>
      <c r="I16" s="734" t="s">
        <v>137</v>
      </c>
      <c r="J16" s="1566"/>
    </row>
    <row r="17" spans="1:27" s="1567" customFormat="1" ht="13.5" customHeight="1">
      <c r="A17" s="729"/>
      <c r="B17" s="730"/>
      <c r="C17" s="730"/>
      <c r="D17" s="1481" t="s">
        <v>5752</v>
      </c>
      <c r="E17" s="730"/>
      <c r="F17" s="1482"/>
      <c r="G17" s="292"/>
      <c r="H17" s="732"/>
      <c r="I17" s="734"/>
      <c r="J17" s="1566"/>
    </row>
    <row r="18" spans="1:27" s="1567" customFormat="1" ht="13.5" customHeight="1">
      <c r="A18" s="729"/>
      <c r="B18" s="730"/>
      <c r="C18" s="730"/>
      <c r="D18" s="1481" t="s">
        <v>5994</v>
      </c>
      <c r="E18" s="730"/>
      <c r="F18" s="1482">
        <f>((14.8)*0.95)*1.05</f>
        <v>14.763000000000002</v>
      </c>
      <c r="G18" s="292"/>
      <c r="H18" s="732"/>
      <c r="I18" s="734"/>
      <c r="J18" s="1566"/>
    </row>
    <row r="19" spans="1:27" s="1567" customFormat="1" ht="13.5" customHeight="1">
      <c r="A19" s="729"/>
      <c r="B19" s="730"/>
      <c r="C19" s="730"/>
      <c r="D19" s="1481" t="s">
        <v>6061</v>
      </c>
      <c r="E19" s="730"/>
      <c r="F19" s="1482">
        <f>((19.7)*0.95)*1.05</f>
        <v>19.650750000000002</v>
      </c>
      <c r="G19" s="292"/>
      <c r="H19" s="732"/>
      <c r="I19" s="734"/>
      <c r="J19" s="1566"/>
    </row>
    <row r="20" spans="1:27" s="1567" customFormat="1" ht="13.5" customHeight="1">
      <c r="A20" s="729"/>
      <c r="B20" s="730"/>
      <c r="C20" s="730"/>
      <c r="D20" s="1481" t="s">
        <v>5755</v>
      </c>
      <c r="E20" s="730"/>
      <c r="F20" s="1482"/>
      <c r="G20" s="292"/>
      <c r="H20" s="732"/>
      <c r="I20" s="734"/>
      <c r="J20" s="1568"/>
    </row>
    <row r="21" spans="1:27" s="1564" customFormat="1" ht="27" customHeight="1">
      <c r="A21" s="1583" t="s">
        <v>127</v>
      </c>
      <c r="B21" s="1560" t="s">
        <v>5744</v>
      </c>
      <c r="C21" s="400">
        <v>210220022</v>
      </c>
      <c r="D21" s="401" t="s">
        <v>5996</v>
      </c>
      <c r="E21" s="1561" t="s">
        <v>141</v>
      </c>
      <c r="F21" s="573">
        <f>ROUND(SUM(F23:F23),3)</f>
        <v>1.5</v>
      </c>
      <c r="G21" s="1413"/>
      <c r="H21" s="568">
        <f>ROUND(F21*G21,2)</f>
        <v>0</v>
      </c>
      <c r="I21" s="613" t="s">
        <v>137</v>
      </c>
      <c r="J21" s="1562"/>
      <c r="K21" s="193"/>
      <c r="L21" s="1563"/>
      <c r="M21" s="1563"/>
      <c r="N21" s="1563"/>
      <c r="O21" s="1563"/>
      <c r="P21" s="1563"/>
      <c r="Q21" s="1563"/>
      <c r="R21" s="1563"/>
      <c r="S21" s="1562"/>
    </row>
    <row r="22" spans="1:27" s="612" customFormat="1" ht="27" customHeight="1">
      <c r="A22" s="1583"/>
      <c r="B22" s="557"/>
      <c r="C22" s="557"/>
      <c r="D22" s="1255" t="s">
        <v>6062</v>
      </c>
      <c r="E22" s="557"/>
      <c r="F22" s="1249"/>
      <c r="G22" s="288"/>
      <c r="H22" s="609"/>
      <c r="I22" s="613"/>
      <c r="J22" s="1565"/>
    </row>
    <row r="23" spans="1:27" s="612" customFormat="1" ht="13.5" customHeight="1">
      <c r="A23" s="1583"/>
      <c r="B23" s="557"/>
      <c r="C23" s="557"/>
      <c r="D23" s="1255" t="s">
        <v>6063</v>
      </c>
      <c r="E23" s="557"/>
      <c r="F23" s="1249">
        <f>1.5</f>
        <v>1.5</v>
      </c>
      <c r="G23" s="288"/>
      <c r="H23" s="609"/>
      <c r="I23" s="613"/>
      <c r="J23" s="2007"/>
    </row>
    <row r="24" spans="1:27" s="612" customFormat="1" ht="13.5" customHeight="1">
      <c r="A24" s="1583"/>
      <c r="B24" s="557"/>
      <c r="C24" s="557"/>
      <c r="D24" s="1255" t="s">
        <v>5749</v>
      </c>
      <c r="E24" s="557"/>
      <c r="F24" s="1249"/>
      <c r="G24" s="288"/>
      <c r="H24" s="609"/>
      <c r="I24" s="613"/>
      <c r="J24" s="1565"/>
    </row>
    <row r="25" spans="1:27" s="1567" customFormat="1" ht="13.5" customHeight="1">
      <c r="A25" s="2008" t="s">
        <v>128</v>
      </c>
      <c r="B25" s="730" t="s">
        <v>5750</v>
      </c>
      <c r="C25" s="730">
        <v>35441073</v>
      </c>
      <c r="D25" s="730" t="s">
        <v>5999</v>
      </c>
      <c r="E25" s="730" t="s">
        <v>853</v>
      </c>
      <c r="F25" s="731">
        <f>ROUND(SUM(F27:F27),3)</f>
        <v>0.97699999999999998</v>
      </c>
      <c r="G25" s="292"/>
      <c r="H25" s="733">
        <f>ROUND(F25*G25,2)</f>
        <v>0</v>
      </c>
      <c r="I25" s="734" t="s">
        <v>137</v>
      </c>
      <c r="J25" s="2009"/>
    </row>
    <row r="26" spans="1:27" s="1567" customFormat="1" ht="27" customHeight="1">
      <c r="A26" s="2008"/>
      <c r="B26" s="730"/>
      <c r="C26" s="730"/>
      <c r="D26" s="1481" t="s">
        <v>6062</v>
      </c>
      <c r="E26" s="730"/>
      <c r="F26" s="1482"/>
      <c r="G26" s="292"/>
      <c r="H26" s="732"/>
      <c r="I26" s="734"/>
      <c r="J26" s="1566"/>
    </row>
    <row r="27" spans="1:27" s="1567" customFormat="1" ht="13.5" customHeight="1">
      <c r="A27" s="2008"/>
      <c r="B27" s="730"/>
      <c r="C27" s="730"/>
      <c r="D27" s="1481" t="s">
        <v>6064</v>
      </c>
      <c r="E27" s="730"/>
      <c r="F27" s="1482">
        <f>((1.5)*0.62)*1.05</f>
        <v>0.97649999999999992</v>
      </c>
      <c r="G27" s="292"/>
      <c r="H27" s="732"/>
      <c r="I27" s="734"/>
      <c r="J27" s="1566"/>
    </row>
    <row r="28" spans="1:27" s="1567" customFormat="1" ht="13.5" customHeight="1">
      <c r="A28" s="2008"/>
      <c r="B28" s="730"/>
      <c r="C28" s="730"/>
      <c r="D28" s="1481" t="s">
        <v>6001</v>
      </c>
      <c r="E28" s="730"/>
      <c r="F28" s="1482"/>
      <c r="G28" s="292"/>
      <c r="H28" s="732"/>
      <c r="I28" s="734"/>
      <c r="J28" s="1568"/>
      <c r="K28" s="2010"/>
      <c r="L28" s="2011"/>
      <c r="M28" s="2011"/>
      <c r="N28" s="2011"/>
      <c r="O28" s="2011"/>
    </row>
    <row r="29" spans="1:27" s="612" customFormat="1" ht="13.5" customHeight="1">
      <c r="A29" s="608">
        <v>5</v>
      </c>
      <c r="B29" s="557" t="s">
        <v>5744</v>
      </c>
      <c r="C29" s="557" t="s">
        <v>5756</v>
      </c>
      <c r="D29" s="557" t="s">
        <v>5757</v>
      </c>
      <c r="E29" s="557" t="s">
        <v>205</v>
      </c>
      <c r="F29" s="573">
        <f>ROUND(SUM(F30),3)</f>
        <v>18</v>
      </c>
      <c r="G29" s="288"/>
      <c r="H29" s="568">
        <f>ROUND(F29*G29,2)</f>
        <v>0</v>
      </c>
      <c r="I29" s="613" t="s">
        <v>111</v>
      </c>
      <c r="J29" s="1565"/>
      <c r="U29" s="1569"/>
    </row>
    <row r="30" spans="1:27" s="1564" customFormat="1" ht="13.5" customHeight="1">
      <c r="A30" s="1570"/>
      <c r="B30" s="1560"/>
      <c r="C30" s="1245"/>
      <c r="D30" s="1255" t="s">
        <v>5758</v>
      </c>
      <c r="E30" s="402"/>
      <c r="F30" s="1249">
        <v>18</v>
      </c>
      <c r="G30" s="1413"/>
      <c r="H30" s="1261"/>
      <c r="I30" s="1280"/>
      <c r="J30" s="1566"/>
      <c r="K30" s="1567"/>
      <c r="L30" s="1571"/>
      <c r="M30" s="1571"/>
      <c r="N30" s="1571"/>
      <c r="O30" s="1571"/>
      <c r="Q30" s="1571"/>
      <c r="R30" s="1571"/>
      <c r="S30" s="1571"/>
      <c r="T30" s="1571"/>
      <c r="U30" s="1572"/>
      <c r="V30" s="193"/>
      <c r="W30" s="193"/>
      <c r="X30" s="193"/>
      <c r="Y30" s="193"/>
      <c r="Z30" s="193"/>
      <c r="AA30" s="193"/>
    </row>
    <row r="31" spans="1:27" s="1564" customFormat="1" ht="13.5" customHeight="1">
      <c r="A31" s="1570"/>
      <c r="B31" s="1560"/>
      <c r="C31" s="1245"/>
      <c r="D31" s="1255" t="s">
        <v>5759</v>
      </c>
      <c r="E31" s="402"/>
      <c r="F31" s="1249"/>
      <c r="G31" s="1413"/>
      <c r="H31" s="1261"/>
      <c r="I31" s="1280"/>
      <c r="J31" s="1566"/>
      <c r="K31" s="1567"/>
      <c r="L31" s="1571"/>
      <c r="M31" s="1571"/>
      <c r="N31" s="1571"/>
      <c r="O31" s="1571"/>
      <c r="P31" s="1571"/>
      <c r="Q31" s="1571"/>
      <c r="R31" s="1571"/>
      <c r="S31" s="1571"/>
      <c r="T31" s="1571"/>
      <c r="U31" s="1572"/>
      <c r="V31" s="193"/>
      <c r="W31" s="193"/>
      <c r="X31" s="193"/>
      <c r="Y31" s="193"/>
      <c r="Z31" s="193"/>
      <c r="AA31" s="193"/>
    </row>
    <row r="32" spans="1:27" s="247" customFormat="1" ht="13.5" customHeight="1">
      <c r="A32" s="1573">
        <v>6</v>
      </c>
      <c r="B32" s="1574">
        <v>921</v>
      </c>
      <c r="C32" s="557" t="s">
        <v>5760</v>
      </c>
      <c r="D32" s="403" t="s">
        <v>3903</v>
      </c>
      <c r="E32" s="1574" t="s">
        <v>49</v>
      </c>
      <c r="F32" s="573">
        <f>ROUND(SUM(F33),3)</f>
        <v>1</v>
      </c>
      <c r="G32" s="404"/>
      <c r="H32" s="568">
        <f>ROUND(F32*G32,2)</f>
        <v>0</v>
      </c>
      <c r="I32" s="613" t="s">
        <v>111</v>
      </c>
      <c r="J32" s="1575"/>
      <c r="L32" s="248"/>
      <c r="S32" s="1576"/>
    </row>
    <row r="33" spans="1:256" s="247" customFormat="1" ht="13.5" customHeight="1">
      <c r="A33" s="1573"/>
      <c r="B33" s="1574"/>
      <c r="C33" s="1574"/>
      <c r="D33" s="1577" t="s">
        <v>3904</v>
      </c>
      <c r="E33" s="1574"/>
      <c r="F33" s="1578">
        <v>1</v>
      </c>
      <c r="G33" s="404"/>
      <c r="H33" s="1253"/>
      <c r="I33" s="1579"/>
      <c r="J33" s="1305"/>
      <c r="R33" s="1569"/>
      <c r="S33" s="1576"/>
    </row>
    <row r="34" spans="1:256" s="247" customFormat="1" ht="40.5" customHeight="1">
      <c r="A34" s="1573"/>
      <c r="B34" s="1574"/>
      <c r="C34" s="1574"/>
      <c r="D34" s="1577" t="s">
        <v>5761</v>
      </c>
      <c r="E34" s="1574"/>
      <c r="F34" s="1578"/>
      <c r="G34" s="404"/>
      <c r="H34" s="1253"/>
      <c r="I34" s="1579"/>
      <c r="J34" s="1580"/>
      <c r="K34" s="1581"/>
      <c r="R34" s="1582"/>
      <c r="S34" s="1576"/>
      <c r="T34" s="406"/>
    </row>
    <row r="35" spans="1:256" s="612" customFormat="1" ht="13.5" customHeight="1">
      <c r="A35" s="608">
        <v>7</v>
      </c>
      <c r="B35" s="557" t="s">
        <v>5744</v>
      </c>
      <c r="C35" s="557" t="s">
        <v>5762</v>
      </c>
      <c r="D35" s="1584" t="s">
        <v>6002</v>
      </c>
      <c r="E35" s="557" t="s">
        <v>141</v>
      </c>
      <c r="F35" s="573">
        <f>ROUND(SUM(F37:F39),3)</f>
        <v>39.6</v>
      </c>
      <c r="G35" s="288"/>
      <c r="H35" s="568">
        <f>ROUND(F35*G35,2)</f>
        <v>0</v>
      </c>
      <c r="I35" s="613" t="s">
        <v>111</v>
      </c>
      <c r="J35" s="1580"/>
      <c r="K35" s="604"/>
      <c r="L35" s="604"/>
      <c r="M35" s="604"/>
      <c r="N35" s="604"/>
      <c r="O35" s="604"/>
      <c r="P35" s="604"/>
      <c r="Q35" s="604"/>
      <c r="R35" s="604"/>
      <c r="S35" s="604"/>
      <c r="T35" s="604"/>
      <c r="U35" s="605"/>
      <c r="V35" s="604"/>
      <c r="W35" s="605"/>
    </row>
    <row r="36" spans="1:256" s="604" customFormat="1" ht="13.5" customHeight="1">
      <c r="A36" s="1586"/>
      <c r="B36" s="596"/>
      <c r="C36" s="597"/>
      <c r="D36" s="1255" t="s">
        <v>6003</v>
      </c>
      <c r="E36" s="599"/>
      <c r="F36" s="600"/>
      <c r="G36" s="289"/>
      <c r="H36" s="601"/>
      <c r="I36" s="602"/>
      <c r="J36" s="1580"/>
      <c r="U36" s="605"/>
      <c r="W36" s="605"/>
    </row>
    <row r="37" spans="1:256" s="604" customFormat="1" ht="13.5" customHeight="1">
      <c r="A37" s="1586"/>
      <c r="B37" s="596"/>
      <c r="C37" s="597"/>
      <c r="D37" s="1255" t="s">
        <v>6065</v>
      </c>
      <c r="E37" s="599"/>
      <c r="F37" s="600">
        <f>(14.8)*1.1</f>
        <v>16.28</v>
      </c>
      <c r="G37" s="289"/>
      <c r="H37" s="601"/>
      <c r="I37" s="602"/>
      <c r="J37" s="1305"/>
      <c r="U37" s="605"/>
      <c r="W37" s="605"/>
    </row>
    <row r="38" spans="1:256" s="604" customFormat="1" ht="13.5" customHeight="1">
      <c r="A38" s="1586"/>
      <c r="B38" s="596"/>
      <c r="C38" s="597"/>
      <c r="D38" s="1255" t="s">
        <v>6066</v>
      </c>
      <c r="E38" s="599"/>
      <c r="F38" s="600">
        <f>(19.7)*1.1</f>
        <v>21.67</v>
      </c>
      <c r="G38" s="289"/>
      <c r="H38" s="601"/>
      <c r="I38" s="602"/>
    </row>
    <row r="39" spans="1:256" s="604" customFormat="1" ht="13.5" customHeight="1">
      <c r="A39" s="1586"/>
      <c r="B39" s="596"/>
      <c r="C39" s="597"/>
      <c r="D39" s="1255" t="s">
        <v>6067</v>
      </c>
      <c r="E39" s="599"/>
      <c r="F39" s="600">
        <f>(1.5)*1.1</f>
        <v>1.6500000000000001</v>
      </c>
      <c r="G39" s="289"/>
      <c r="H39" s="601"/>
      <c r="I39" s="602"/>
    </row>
    <row r="40" spans="1:256" s="604" customFormat="1" ht="27" customHeight="1">
      <c r="A40" s="1586"/>
      <c r="B40" s="596"/>
      <c r="C40" s="597"/>
      <c r="D40" s="597" t="s">
        <v>5787</v>
      </c>
      <c r="E40" s="597"/>
      <c r="F40" s="607"/>
      <c r="G40" s="289"/>
      <c r="H40" s="601"/>
      <c r="I40" s="1590"/>
      <c r="J40" s="606"/>
      <c r="U40" s="605"/>
      <c r="W40" s="605"/>
    </row>
    <row r="41" spans="1:256" s="612" customFormat="1" ht="13.5" customHeight="1">
      <c r="A41" s="608">
        <v>8</v>
      </c>
      <c r="B41" s="557" t="s">
        <v>5744</v>
      </c>
      <c r="C41" s="557" t="s">
        <v>6007</v>
      </c>
      <c r="D41" s="557" t="s">
        <v>5789</v>
      </c>
      <c r="E41" s="557" t="s">
        <v>205</v>
      </c>
      <c r="F41" s="573">
        <f>ROUND(SUM(F43:F43),3)</f>
        <v>1</v>
      </c>
      <c r="G41" s="288"/>
      <c r="H41" s="568">
        <f>ROUND(F41*G41,2)</f>
        <v>0</v>
      </c>
      <c r="I41" s="613" t="s">
        <v>111</v>
      </c>
      <c r="J41" s="409"/>
    </row>
    <row r="42" spans="1:256" s="604" customFormat="1" ht="13.5" customHeight="1">
      <c r="A42" s="1586"/>
      <c r="B42" s="596"/>
      <c r="C42" s="597"/>
      <c r="D42" s="1255" t="s">
        <v>5790</v>
      </c>
      <c r="E42" s="599"/>
      <c r="F42" s="600"/>
      <c r="G42" s="289"/>
      <c r="H42" s="601"/>
      <c r="I42" s="602"/>
      <c r="J42" s="1580"/>
      <c r="U42" s="605"/>
      <c r="W42" s="605"/>
    </row>
    <row r="43" spans="1:256" s="604" customFormat="1" ht="13.5" customHeight="1">
      <c r="A43" s="1586"/>
      <c r="B43" s="596"/>
      <c r="C43" s="597"/>
      <c r="D43" s="1255" t="s">
        <v>5915</v>
      </c>
      <c r="E43" s="599"/>
      <c r="F43" s="600">
        <v>1</v>
      </c>
      <c r="G43" s="289"/>
      <c r="H43" s="601"/>
      <c r="I43" s="602"/>
      <c r="J43" s="1580"/>
      <c r="U43" s="605"/>
      <c r="W43" s="605"/>
    </row>
    <row r="44" spans="1:256" s="604" customFormat="1" ht="27" customHeight="1">
      <c r="A44" s="1586"/>
      <c r="B44" s="596"/>
      <c r="C44" s="597"/>
      <c r="D44" s="597" t="s">
        <v>5792</v>
      </c>
      <c r="E44" s="597"/>
      <c r="F44" s="607"/>
      <c r="G44" s="289"/>
      <c r="H44" s="601"/>
      <c r="I44" s="602"/>
      <c r="J44" s="606"/>
      <c r="U44" s="605"/>
      <c r="W44" s="605"/>
    </row>
    <row r="45" spans="1:256" s="612" customFormat="1" ht="13.5" customHeight="1">
      <c r="A45" s="1583" t="s">
        <v>311</v>
      </c>
      <c r="B45" s="557" t="s">
        <v>5744</v>
      </c>
      <c r="C45" s="557" t="s">
        <v>5793</v>
      </c>
      <c r="D45" s="557" t="s">
        <v>5794</v>
      </c>
      <c r="E45" s="557" t="s">
        <v>49</v>
      </c>
      <c r="F45" s="573">
        <f>ROUND(SUM(F47),3)</f>
        <v>1</v>
      </c>
      <c r="G45" s="288"/>
      <c r="H45" s="568">
        <f>ROUND(F45*G45,2)</f>
        <v>0</v>
      </c>
      <c r="I45" s="613" t="s">
        <v>111</v>
      </c>
      <c r="J45" s="1591"/>
    </row>
    <row r="46" spans="1:256" s="612" customFormat="1" ht="13.5" customHeight="1">
      <c r="A46" s="1583"/>
      <c r="B46" s="557"/>
      <c r="C46" s="557"/>
      <c r="D46" s="1255" t="s">
        <v>5917</v>
      </c>
      <c r="E46" s="557"/>
      <c r="F46" s="615"/>
      <c r="G46" s="288"/>
      <c r="H46" s="609"/>
      <c r="I46" s="613"/>
      <c r="J46" s="1565"/>
    </row>
    <row r="47" spans="1:256" s="612" customFormat="1" ht="13.5" customHeight="1">
      <c r="A47" s="1583"/>
      <c r="B47" s="557"/>
      <c r="C47" s="557"/>
      <c r="D47" s="1255" t="s">
        <v>6068</v>
      </c>
      <c r="E47" s="557"/>
      <c r="F47" s="1249">
        <v>1</v>
      </c>
      <c r="G47" s="288"/>
      <c r="H47" s="609"/>
      <c r="I47" s="613"/>
      <c r="J47" s="1592"/>
    </row>
    <row r="48" spans="1:256" s="1600" customFormat="1" ht="54" customHeight="1">
      <c r="A48" s="1593"/>
      <c r="B48" s="1594"/>
      <c r="C48" s="1595"/>
      <c r="D48" s="584" t="s">
        <v>5797</v>
      </c>
      <c r="E48" s="1596"/>
      <c r="F48" s="1597"/>
      <c r="G48" s="407"/>
      <c r="H48" s="1598"/>
      <c r="I48" s="1599"/>
      <c r="J48" s="1592"/>
      <c r="L48" s="1601"/>
      <c r="M48" s="1601"/>
      <c r="N48" s="1601"/>
      <c r="O48" s="1611"/>
      <c r="P48" s="1601"/>
      <c r="Q48" s="1601"/>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c r="FD48" s="1601"/>
      <c r="FE48" s="1601"/>
      <c r="FF48" s="1601"/>
      <c r="FG48" s="1601"/>
      <c r="FH48" s="1601"/>
      <c r="FI48" s="1601"/>
      <c r="FJ48" s="1601"/>
      <c r="FK48" s="1601"/>
      <c r="FL48" s="1601"/>
      <c r="FM48" s="1601"/>
      <c r="FN48" s="1601"/>
      <c r="FO48" s="1601"/>
      <c r="FP48" s="1601"/>
      <c r="FQ48" s="1601"/>
      <c r="FR48" s="1601"/>
      <c r="FS48" s="1601"/>
      <c r="FT48" s="1601"/>
      <c r="FU48" s="1601"/>
      <c r="FV48" s="1601"/>
      <c r="FW48" s="1601"/>
      <c r="FX48" s="1601"/>
      <c r="FY48" s="1601"/>
      <c r="FZ48" s="1601"/>
      <c r="GA48" s="1601"/>
      <c r="GB48" s="1601"/>
      <c r="GC48" s="1601"/>
      <c r="GD48" s="1601"/>
      <c r="GE48" s="1601"/>
      <c r="GF48" s="1601"/>
      <c r="GG48" s="1601"/>
      <c r="GH48" s="1601"/>
      <c r="GI48" s="1601"/>
      <c r="GJ48" s="1601"/>
      <c r="GK48" s="1601"/>
      <c r="GL48" s="1601"/>
      <c r="GM48" s="1601"/>
      <c r="GN48" s="1601"/>
      <c r="GO48" s="1601"/>
      <c r="GP48" s="1601"/>
      <c r="GQ48" s="1601"/>
      <c r="GR48" s="1601"/>
      <c r="GS48" s="1601"/>
      <c r="GT48" s="1601"/>
      <c r="GU48" s="1601"/>
      <c r="GV48" s="1601"/>
      <c r="GW48" s="1601"/>
      <c r="GX48" s="1601"/>
      <c r="GY48" s="1601"/>
      <c r="GZ48" s="1601"/>
      <c r="HA48" s="1601"/>
      <c r="HB48" s="1601"/>
      <c r="HC48" s="1601"/>
      <c r="HD48" s="1601"/>
      <c r="HE48" s="1601"/>
      <c r="HF48" s="1601"/>
      <c r="HG48" s="1601"/>
      <c r="HH48" s="1601"/>
      <c r="HI48" s="1601"/>
      <c r="HJ48" s="1601"/>
      <c r="HK48" s="1601"/>
      <c r="HL48" s="1601"/>
      <c r="HM48" s="1601"/>
      <c r="HN48" s="1601"/>
      <c r="HO48" s="1601"/>
      <c r="HP48" s="1601"/>
      <c r="HQ48" s="1601"/>
      <c r="HR48" s="1601"/>
      <c r="HS48" s="1601"/>
      <c r="HT48" s="1601"/>
      <c r="HU48" s="1601"/>
      <c r="HV48" s="1601"/>
      <c r="HW48" s="1601"/>
      <c r="HX48" s="1601"/>
      <c r="HY48" s="1601"/>
      <c r="HZ48" s="1601"/>
      <c r="IA48" s="1601"/>
      <c r="IB48" s="1601"/>
      <c r="IC48" s="1601"/>
      <c r="ID48" s="1601"/>
      <c r="IE48" s="1601"/>
      <c r="IF48" s="1601"/>
      <c r="IG48" s="1601"/>
      <c r="IH48" s="1601"/>
      <c r="II48" s="1601"/>
      <c r="IJ48" s="1601"/>
      <c r="IK48" s="1601"/>
      <c r="IL48" s="1601"/>
      <c r="IM48" s="1601"/>
      <c r="IN48" s="1601"/>
      <c r="IO48" s="1601"/>
      <c r="IP48" s="1601"/>
      <c r="IQ48" s="1601"/>
      <c r="IR48" s="1601"/>
      <c r="IS48" s="1601"/>
      <c r="IT48" s="1601"/>
      <c r="IU48" s="1601"/>
      <c r="IV48" s="1601"/>
    </row>
    <row r="49" spans="1:256" s="612" customFormat="1" ht="13.5" customHeight="1">
      <c r="A49" s="1583" t="s">
        <v>6009</v>
      </c>
      <c r="B49" s="557" t="s">
        <v>5744</v>
      </c>
      <c r="C49" s="557" t="s">
        <v>5768</v>
      </c>
      <c r="D49" s="557" t="s">
        <v>6010</v>
      </c>
      <c r="E49" s="557" t="s">
        <v>49</v>
      </c>
      <c r="F49" s="573">
        <f>ROUND(SUM(F51),3)</f>
        <v>1</v>
      </c>
      <c r="G49" s="288"/>
      <c r="H49" s="568">
        <f>ROUND(F49*G49,2)</f>
        <v>0</v>
      </c>
      <c r="I49" s="613" t="s">
        <v>111</v>
      </c>
      <c r="J49" s="1591"/>
      <c r="K49" s="1592"/>
    </row>
    <row r="50" spans="1:256" s="612" customFormat="1" ht="13.5" customHeight="1">
      <c r="A50" s="1583"/>
      <c r="B50" s="557"/>
      <c r="C50" s="557"/>
      <c r="D50" s="1255" t="s">
        <v>6069</v>
      </c>
      <c r="E50" s="557"/>
      <c r="F50" s="615"/>
      <c r="G50" s="288"/>
      <c r="H50" s="609"/>
      <c r="I50" s="613"/>
      <c r="J50" s="1565"/>
    </row>
    <row r="51" spans="1:256" s="612" customFormat="1" ht="27" customHeight="1">
      <c r="A51" s="1583"/>
      <c r="B51" s="557"/>
      <c r="C51" s="557"/>
      <c r="D51" s="1255" t="s">
        <v>6070</v>
      </c>
      <c r="E51" s="557"/>
      <c r="F51" s="1249">
        <v>1</v>
      </c>
      <c r="G51" s="288"/>
      <c r="H51" s="609"/>
      <c r="I51" s="613"/>
      <c r="J51" s="1565"/>
    </row>
    <row r="52" spans="1:256" s="1600" customFormat="1" ht="54" customHeight="1">
      <c r="A52" s="1593"/>
      <c r="B52" s="1594"/>
      <c r="C52" s="1595"/>
      <c r="D52" s="584" t="s">
        <v>5772</v>
      </c>
      <c r="E52" s="1596"/>
      <c r="F52" s="1597"/>
      <c r="G52" s="407"/>
      <c r="H52" s="1598"/>
      <c r="I52" s="1599"/>
      <c r="L52" s="1601"/>
      <c r="M52" s="1601"/>
      <c r="N52" s="1601"/>
      <c r="O52" s="1601"/>
      <c r="P52" s="1601"/>
      <c r="Q52" s="1601"/>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c r="FD52" s="1601"/>
      <c r="FE52" s="1601"/>
      <c r="FF52" s="1601"/>
      <c r="FG52" s="1601"/>
      <c r="FH52" s="1601"/>
      <c r="FI52" s="1601"/>
      <c r="FJ52" s="1601"/>
      <c r="FK52" s="1601"/>
      <c r="FL52" s="1601"/>
      <c r="FM52" s="1601"/>
      <c r="FN52" s="1601"/>
      <c r="FO52" s="1601"/>
      <c r="FP52" s="1601"/>
      <c r="FQ52" s="1601"/>
      <c r="FR52" s="1601"/>
      <c r="FS52" s="1601"/>
      <c r="FT52" s="1601"/>
      <c r="FU52" s="1601"/>
      <c r="FV52" s="1601"/>
      <c r="FW52" s="1601"/>
      <c r="FX52" s="1601"/>
      <c r="FY52" s="1601"/>
      <c r="FZ52" s="1601"/>
      <c r="GA52" s="1601"/>
      <c r="GB52" s="1601"/>
      <c r="GC52" s="1601"/>
      <c r="GD52" s="1601"/>
      <c r="GE52" s="1601"/>
      <c r="GF52" s="1601"/>
      <c r="GG52" s="1601"/>
      <c r="GH52" s="1601"/>
      <c r="GI52" s="1601"/>
      <c r="GJ52" s="1601"/>
      <c r="GK52" s="1601"/>
      <c r="GL52" s="1601"/>
      <c r="GM52" s="1601"/>
      <c r="GN52" s="1601"/>
      <c r="GO52" s="1601"/>
      <c r="GP52" s="1601"/>
      <c r="GQ52" s="1601"/>
      <c r="GR52" s="1601"/>
      <c r="GS52" s="1601"/>
      <c r="GT52" s="1601"/>
      <c r="GU52" s="1601"/>
      <c r="GV52" s="1601"/>
      <c r="GW52" s="1601"/>
      <c r="GX52" s="1601"/>
      <c r="GY52" s="1601"/>
      <c r="GZ52" s="1601"/>
      <c r="HA52" s="1601"/>
      <c r="HB52" s="1601"/>
      <c r="HC52" s="1601"/>
      <c r="HD52" s="1601"/>
      <c r="HE52" s="1601"/>
      <c r="HF52" s="1601"/>
      <c r="HG52" s="1601"/>
      <c r="HH52" s="1601"/>
      <c r="HI52" s="1601"/>
      <c r="HJ52" s="1601"/>
      <c r="HK52" s="1601"/>
      <c r="HL52" s="1601"/>
      <c r="HM52" s="1601"/>
      <c r="HN52" s="1601"/>
      <c r="HO52" s="1601"/>
      <c r="HP52" s="1601"/>
      <c r="HQ52" s="1601"/>
      <c r="HR52" s="1601"/>
      <c r="HS52" s="1601"/>
      <c r="HT52" s="1601"/>
      <c r="HU52" s="1601"/>
      <c r="HV52" s="1601"/>
      <c r="HW52" s="1601"/>
      <c r="HX52" s="1601"/>
      <c r="HY52" s="1601"/>
      <c r="HZ52" s="1601"/>
      <c r="IA52" s="1601"/>
      <c r="IB52" s="1601"/>
      <c r="IC52" s="1601"/>
      <c r="ID52" s="1601"/>
      <c r="IE52" s="1601"/>
      <c r="IF52" s="1601"/>
      <c r="IG52" s="1601"/>
      <c r="IH52" s="1601"/>
      <c r="II52" s="1601"/>
      <c r="IJ52" s="1601"/>
      <c r="IK52" s="1601"/>
      <c r="IL52" s="1601"/>
      <c r="IM52" s="1601"/>
      <c r="IN52" s="1601"/>
      <c r="IO52" s="1601"/>
      <c r="IP52" s="1601"/>
      <c r="IQ52" s="1601"/>
      <c r="IR52" s="1601"/>
      <c r="IS52" s="1601"/>
      <c r="IT52" s="1601"/>
      <c r="IU52" s="1601"/>
      <c r="IV52" s="1601"/>
    </row>
    <row r="53" spans="1:256" s="612" customFormat="1" ht="27" customHeight="1">
      <c r="A53" s="608">
        <v>11</v>
      </c>
      <c r="B53" s="557" t="s">
        <v>5744</v>
      </c>
      <c r="C53" s="557" t="s">
        <v>5773</v>
      </c>
      <c r="D53" s="557" t="s">
        <v>6013</v>
      </c>
      <c r="E53" s="557" t="s">
        <v>49</v>
      </c>
      <c r="F53" s="573">
        <f>ROUND(SUM(F55),3)</f>
        <v>1</v>
      </c>
      <c r="G53" s="288"/>
      <c r="H53" s="568">
        <f>ROUND(F53*G53,2)</f>
        <v>0</v>
      </c>
      <c r="I53" s="613" t="s">
        <v>111</v>
      </c>
      <c r="J53" s="1565"/>
    </row>
    <row r="54" spans="1:256" s="612" customFormat="1" ht="13.5" customHeight="1">
      <c r="A54" s="608"/>
      <c r="B54" s="557"/>
      <c r="C54" s="557"/>
      <c r="D54" s="1255" t="s">
        <v>6014</v>
      </c>
      <c r="E54" s="557"/>
      <c r="F54" s="615"/>
      <c r="G54" s="288"/>
      <c r="H54" s="609"/>
      <c r="I54" s="613"/>
      <c r="J54" s="1565"/>
    </row>
    <row r="55" spans="1:256" s="612" customFormat="1" ht="13.5" customHeight="1">
      <c r="A55" s="608"/>
      <c r="B55" s="557"/>
      <c r="C55" s="557"/>
      <c r="D55" s="1255" t="s">
        <v>5913</v>
      </c>
      <c r="E55" s="557"/>
      <c r="F55" s="1249">
        <v>1</v>
      </c>
      <c r="G55" s="288"/>
      <c r="H55" s="609"/>
      <c r="I55" s="613"/>
      <c r="J55" s="1565"/>
    </row>
    <row r="56" spans="1:256" s="1587" customFormat="1" ht="67.5" customHeight="1">
      <c r="A56" s="1602"/>
      <c r="B56" s="1603"/>
      <c r="C56" s="1604"/>
      <c r="D56" s="584" t="s">
        <v>5777</v>
      </c>
      <c r="E56" s="1605"/>
      <c r="F56" s="1606"/>
      <c r="G56" s="299"/>
      <c r="H56" s="1607"/>
      <c r="I56" s="160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c r="BS56" s="1588"/>
      <c r="BT56" s="1588"/>
      <c r="BU56" s="1588"/>
      <c r="BV56" s="1588"/>
      <c r="BW56" s="1588"/>
      <c r="BX56" s="1588"/>
      <c r="BY56" s="1588"/>
      <c r="BZ56" s="1588"/>
      <c r="CA56" s="1588"/>
      <c r="CB56" s="1588"/>
      <c r="CC56" s="1588"/>
      <c r="CD56" s="1588"/>
      <c r="CE56" s="1588"/>
      <c r="CF56" s="1588"/>
      <c r="CG56" s="1588"/>
      <c r="CH56" s="1588"/>
      <c r="CI56" s="1588"/>
      <c r="CJ56" s="1588"/>
      <c r="CK56" s="1588"/>
      <c r="CL56" s="1588"/>
      <c r="CM56" s="1588"/>
      <c r="CN56" s="1588"/>
      <c r="CO56" s="1588"/>
      <c r="CP56" s="1588"/>
      <c r="CQ56" s="1588"/>
      <c r="CR56" s="1588"/>
      <c r="CS56" s="1588"/>
      <c r="CT56" s="1588"/>
      <c r="CU56" s="1588"/>
      <c r="CV56" s="1588"/>
      <c r="CW56" s="1588"/>
      <c r="CX56" s="1588"/>
      <c r="CY56" s="1588"/>
      <c r="CZ56" s="1588"/>
      <c r="DA56" s="1588"/>
      <c r="DB56" s="1588"/>
      <c r="DC56" s="1588"/>
      <c r="DD56" s="1588"/>
      <c r="DE56" s="1588"/>
      <c r="DF56" s="1588"/>
      <c r="DG56" s="1588"/>
      <c r="DH56" s="1588"/>
      <c r="DI56" s="1588"/>
      <c r="DJ56" s="1588"/>
      <c r="DK56" s="1588"/>
      <c r="DL56" s="1588"/>
      <c r="DM56" s="1588"/>
      <c r="DN56" s="1588"/>
      <c r="DO56" s="1588"/>
      <c r="DP56" s="1588"/>
      <c r="DQ56" s="1588"/>
      <c r="DR56" s="1588"/>
      <c r="DS56" s="1588"/>
      <c r="DT56" s="1588"/>
      <c r="DU56" s="1588"/>
      <c r="DV56" s="1588"/>
      <c r="DW56" s="1588"/>
      <c r="DX56" s="1588"/>
      <c r="DY56" s="1588"/>
      <c r="DZ56" s="1588"/>
      <c r="EA56" s="1588"/>
      <c r="EB56" s="1588"/>
      <c r="EC56" s="1588"/>
      <c r="ED56" s="1588"/>
      <c r="EE56" s="1588"/>
      <c r="EF56" s="1588"/>
      <c r="EG56" s="1588"/>
      <c r="EH56" s="1588"/>
      <c r="EI56" s="1588"/>
      <c r="EJ56" s="1588"/>
      <c r="EK56" s="1588"/>
      <c r="EL56" s="1588"/>
      <c r="EM56" s="1588"/>
      <c r="EN56" s="1588"/>
      <c r="EO56" s="1588"/>
      <c r="EP56" s="1588"/>
      <c r="EQ56" s="1588"/>
      <c r="ER56" s="1588"/>
      <c r="ES56" s="1588"/>
      <c r="ET56" s="1588"/>
      <c r="EU56" s="1588"/>
      <c r="EV56" s="1588"/>
      <c r="EW56" s="1588"/>
      <c r="EX56" s="1588"/>
      <c r="EY56" s="1588"/>
      <c r="EZ56" s="1588"/>
      <c r="FA56" s="1588"/>
      <c r="FB56" s="1588"/>
      <c r="FC56" s="1588"/>
      <c r="FD56" s="1588"/>
      <c r="FE56" s="1588"/>
      <c r="FF56" s="1588"/>
      <c r="FG56" s="1588"/>
      <c r="FH56" s="1588"/>
      <c r="FI56" s="1588"/>
      <c r="FJ56" s="1588"/>
      <c r="FK56" s="1588"/>
      <c r="FL56" s="1588"/>
      <c r="FM56" s="1588"/>
      <c r="FN56" s="1588"/>
      <c r="FO56" s="1588"/>
      <c r="FP56" s="1588"/>
      <c r="FQ56" s="1588"/>
      <c r="FR56" s="1588"/>
      <c r="FS56" s="1588"/>
      <c r="FT56" s="1588"/>
      <c r="FU56" s="1588"/>
      <c r="FV56" s="1588"/>
      <c r="FW56" s="1588"/>
      <c r="FX56" s="1588"/>
      <c r="FY56" s="1588"/>
      <c r="FZ56" s="1588"/>
      <c r="GA56" s="1588"/>
      <c r="GB56" s="1588"/>
      <c r="GC56" s="1588"/>
      <c r="GD56" s="1588"/>
      <c r="GE56" s="1588"/>
      <c r="GF56" s="1588"/>
      <c r="GG56" s="1588"/>
      <c r="GH56" s="1588"/>
      <c r="GI56" s="1588"/>
      <c r="GJ56" s="1588"/>
      <c r="GK56" s="1588"/>
      <c r="GL56" s="1588"/>
      <c r="GM56" s="1588"/>
      <c r="GN56" s="1588"/>
      <c r="GO56" s="1588"/>
      <c r="GP56" s="1588"/>
      <c r="GQ56" s="1588"/>
      <c r="GR56" s="1588"/>
      <c r="GS56" s="1588"/>
      <c r="GT56" s="1588"/>
      <c r="GU56" s="1588"/>
      <c r="GV56" s="1588"/>
      <c r="GW56" s="1588"/>
      <c r="GX56" s="1588"/>
      <c r="GY56" s="1588"/>
      <c r="GZ56" s="1588"/>
      <c r="HA56" s="1588"/>
      <c r="HB56" s="1588"/>
      <c r="HC56" s="1588"/>
      <c r="HD56" s="1588"/>
      <c r="HE56" s="1588"/>
      <c r="HF56" s="1588"/>
      <c r="HG56" s="1588"/>
      <c r="HH56" s="1588"/>
      <c r="HI56" s="1588"/>
      <c r="HJ56" s="1588"/>
      <c r="HK56" s="1588"/>
      <c r="HL56" s="1588"/>
      <c r="HM56" s="1588"/>
      <c r="HN56" s="1588"/>
      <c r="HO56" s="1588"/>
      <c r="HP56" s="1588"/>
      <c r="HQ56" s="1588"/>
      <c r="HR56" s="1588"/>
      <c r="HS56" s="1588"/>
      <c r="HT56" s="1588"/>
      <c r="HU56" s="1588"/>
      <c r="HV56" s="1588"/>
      <c r="HW56" s="1588"/>
      <c r="HX56" s="1588"/>
      <c r="HY56" s="1588"/>
      <c r="HZ56" s="1588"/>
      <c r="IA56" s="1588"/>
      <c r="IB56" s="1588"/>
      <c r="IC56" s="1588"/>
      <c r="ID56" s="1588"/>
      <c r="IE56" s="1588"/>
      <c r="IF56" s="1588"/>
      <c r="IG56" s="1588"/>
      <c r="IH56" s="1588"/>
      <c r="II56" s="1588"/>
      <c r="IJ56" s="1588"/>
      <c r="IK56" s="1588"/>
      <c r="IL56" s="1588"/>
      <c r="IM56" s="1588"/>
      <c r="IN56" s="1588"/>
      <c r="IO56" s="1588"/>
      <c r="IP56" s="1588"/>
      <c r="IQ56" s="1588"/>
      <c r="IR56" s="1588"/>
      <c r="IS56" s="1588"/>
      <c r="IT56" s="1588"/>
      <c r="IU56" s="1588"/>
      <c r="IV56" s="1588"/>
    </row>
    <row r="57" spans="1:256" s="612" customFormat="1" ht="13.5" customHeight="1">
      <c r="A57" s="608">
        <v>12</v>
      </c>
      <c r="B57" s="557" t="s">
        <v>5744</v>
      </c>
      <c r="C57" s="557" t="s">
        <v>5773</v>
      </c>
      <c r="D57" s="557" t="s">
        <v>5799</v>
      </c>
      <c r="E57" s="557" t="s">
        <v>49</v>
      </c>
      <c r="F57" s="573">
        <f>ROUND(SUM(F58),3)</f>
        <v>1</v>
      </c>
      <c r="G57" s="288"/>
      <c r="H57" s="568">
        <f>ROUND(F57*G57,2)</f>
        <v>0</v>
      </c>
      <c r="I57" s="613" t="s">
        <v>111</v>
      </c>
      <c r="J57" s="408"/>
    </row>
    <row r="58" spans="1:256" s="1564" customFormat="1" ht="27" customHeight="1">
      <c r="A58" s="1570"/>
      <c r="B58" s="1560"/>
      <c r="C58" s="1245"/>
      <c r="D58" s="1255" t="s">
        <v>5800</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t="s">
        <v>5744</v>
      </c>
      <c r="C60" s="557" t="s">
        <v>6015</v>
      </c>
      <c r="D60" s="557" t="s">
        <v>1618</v>
      </c>
      <c r="E60" s="557" t="s">
        <v>205</v>
      </c>
      <c r="F60" s="573">
        <f>ROUND(SUM(F61),3)</f>
        <v>1</v>
      </c>
      <c r="G60" s="288"/>
      <c r="H60" s="568">
        <f>ROUND(F60*G60,2)</f>
        <v>0</v>
      </c>
      <c r="I60" s="613" t="s">
        <v>111</v>
      </c>
      <c r="J60" s="408"/>
    </row>
    <row r="61" spans="1:256" s="1564" customFormat="1" ht="13.5" customHeight="1">
      <c r="A61" s="1570"/>
      <c r="B61" s="1560"/>
      <c r="C61" s="1245"/>
      <c r="D61" s="1255" t="s">
        <v>5802</v>
      </c>
      <c r="E61" s="402"/>
      <c r="F61" s="1249">
        <v>1</v>
      </c>
      <c r="G61" s="1413"/>
      <c r="H61" s="1261"/>
      <c r="I61" s="1280"/>
      <c r="K61" s="593"/>
    </row>
    <row r="62" spans="1:256" s="612" customFormat="1" ht="13.5" customHeight="1">
      <c r="A62" s="608">
        <v>14</v>
      </c>
      <c r="B62" s="557" t="s">
        <v>5744</v>
      </c>
      <c r="C62" s="557" t="s">
        <v>6016</v>
      </c>
      <c r="D62" s="557" t="s">
        <v>5804</v>
      </c>
      <c r="E62" s="557" t="s">
        <v>49</v>
      </c>
      <c r="F62" s="573">
        <f>ROUND(SUM(F63),3)</f>
        <v>1</v>
      </c>
      <c r="G62" s="288"/>
      <c r="H62" s="568">
        <f>ROUND(F62*G62,2)</f>
        <v>0</v>
      </c>
      <c r="I62" s="613" t="s">
        <v>111</v>
      </c>
      <c r="J62" s="408"/>
    </row>
    <row r="63" spans="1:256" s="1564" customFormat="1" ht="13.5" customHeight="1">
      <c r="A63" s="1570"/>
      <c r="B63" s="1560"/>
      <c r="C63" s="1245"/>
      <c r="D63" s="1255" t="s">
        <v>5805</v>
      </c>
      <c r="E63" s="402"/>
      <c r="F63" s="1249">
        <v>1</v>
      </c>
      <c r="G63" s="1413"/>
      <c r="H63" s="1261"/>
      <c r="I63" s="1280"/>
      <c r="K63" s="593"/>
    </row>
    <row r="64" spans="1:256" s="612" customFormat="1" ht="13.5" customHeight="1">
      <c r="A64" s="608">
        <v>15</v>
      </c>
      <c r="B64" s="557" t="s">
        <v>362</v>
      </c>
      <c r="C64" s="557" t="s">
        <v>1802</v>
      </c>
      <c r="D64" s="557" t="s">
        <v>1803</v>
      </c>
      <c r="E64" s="557" t="s">
        <v>69</v>
      </c>
      <c r="F64" s="573">
        <f>ROUND(SUM(F65),3)</f>
        <v>3</v>
      </c>
      <c r="G64" s="288"/>
      <c r="H64" s="568">
        <f>ROUND(F64*G64,2)</f>
        <v>0</v>
      </c>
      <c r="I64" s="613" t="s">
        <v>137</v>
      </c>
      <c r="J64" s="408"/>
    </row>
    <row r="65" spans="1:255" s="1564" customFormat="1" ht="27" customHeight="1">
      <c r="A65" s="1570"/>
      <c r="B65" s="1560"/>
      <c r="C65" s="1245"/>
      <c r="D65" s="1255" t="s">
        <v>5778</v>
      </c>
      <c r="E65" s="402"/>
      <c r="F65" s="1249">
        <v>3</v>
      </c>
      <c r="G65" s="1413"/>
      <c r="H65" s="1261"/>
      <c r="I65" s="1280"/>
      <c r="J65" s="612"/>
      <c r="K65" s="612"/>
      <c r="L65" s="612"/>
      <c r="M65" s="612"/>
      <c r="N65" s="612"/>
    </row>
    <row r="66" spans="1:255" s="612" customFormat="1" ht="13.5" customHeight="1">
      <c r="A66" s="608"/>
      <c r="B66" s="557"/>
      <c r="C66" s="616" t="s">
        <v>5806</v>
      </c>
      <c r="D66" s="616" t="s">
        <v>5807</v>
      </c>
      <c r="E66" s="616"/>
      <c r="F66" s="617"/>
      <c r="G66" s="303"/>
      <c r="H66" s="828">
        <f>SUM(H67:H153,H158:H164,H168:H174,H180:H186)</f>
        <v>0</v>
      </c>
      <c r="I66" s="613"/>
      <c r="J66" s="1612"/>
      <c r="K66" s="1248"/>
      <c r="L66" s="1613"/>
      <c r="M66" s="1613"/>
      <c r="N66" s="1613"/>
    </row>
    <row r="67" spans="1:255" s="1248" customFormat="1" ht="13.5" customHeight="1">
      <c r="A67" s="1614">
        <v>16</v>
      </c>
      <c r="B67" s="1615" t="s">
        <v>5808</v>
      </c>
      <c r="C67" s="1615">
        <v>460010024</v>
      </c>
      <c r="D67" s="1615" t="s">
        <v>5809</v>
      </c>
      <c r="E67" s="1615" t="s">
        <v>5810</v>
      </c>
      <c r="F67" s="573">
        <f>ROUND(SUM(F68),3)</f>
        <v>3.5000000000000003E-2</v>
      </c>
      <c r="G67" s="288"/>
      <c r="H67" s="568">
        <f>ROUND(F67*G67,2)</f>
        <v>0</v>
      </c>
      <c r="I67" s="613" t="s">
        <v>137</v>
      </c>
      <c r="J67" s="603"/>
      <c r="K67" s="604"/>
      <c r="L67" s="604"/>
      <c r="M67" s="604"/>
      <c r="N67" s="604"/>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6071</v>
      </c>
      <c r="E68" s="599"/>
      <c r="F68" s="600">
        <f>(14.8+19.7)/1000</f>
        <v>3.4500000000000003E-2</v>
      </c>
      <c r="G68" s="289"/>
      <c r="H68" s="601"/>
      <c r="I68" s="602"/>
      <c r="J68" s="603"/>
      <c r="N68" s="1248"/>
      <c r="U68" s="605"/>
      <c r="W68" s="605"/>
    </row>
    <row r="69" spans="1:255" s="1248" customFormat="1" ht="13.5" customHeight="1">
      <c r="A69" s="1614">
        <v>17</v>
      </c>
      <c r="B69" s="1615" t="s">
        <v>5808</v>
      </c>
      <c r="C69" s="1615">
        <v>460041111</v>
      </c>
      <c r="D69" s="1615" t="s">
        <v>5812</v>
      </c>
      <c r="E69" s="1615" t="s">
        <v>69</v>
      </c>
      <c r="F69" s="573">
        <f>ROUND(SUM(F70),3)</f>
        <v>2</v>
      </c>
      <c r="G69" s="288"/>
      <c r="H69" s="568">
        <f>ROUND(F69*G69,2)</f>
        <v>0</v>
      </c>
      <c r="I69" s="613" t="s">
        <v>137</v>
      </c>
      <c r="J69" s="603"/>
      <c r="K69" s="604"/>
      <c r="L69" s="604"/>
      <c r="M69" s="604"/>
      <c r="N69" s="604"/>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5813</v>
      </c>
      <c r="E70" s="599"/>
      <c r="F70" s="600">
        <v>2</v>
      </c>
      <c r="G70" s="289"/>
      <c r="H70" s="601"/>
      <c r="I70" s="602"/>
      <c r="J70" s="603"/>
      <c r="U70" s="605"/>
      <c r="W70" s="605"/>
    </row>
    <row r="71" spans="1:255" s="1248" customFormat="1" ht="13.5" customHeight="1">
      <c r="A71" s="1614">
        <v>18</v>
      </c>
      <c r="B71" s="1615" t="s">
        <v>5808</v>
      </c>
      <c r="C71" s="1615">
        <v>460161452</v>
      </c>
      <c r="D71" s="1615" t="s">
        <v>5814</v>
      </c>
      <c r="E71" s="1615" t="s">
        <v>141</v>
      </c>
      <c r="F71" s="573">
        <f>ROUND(SUM(F73),3)</f>
        <v>0.98499999999999999</v>
      </c>
      <c r="G71" s="288"/>
      <c r="H71" s="568">
        <f>ROUND(F71*G71,2)</f>
        <v>0</v>
      </c>
      <c r="I71" s="613" t="s">
        <v>137</v>
      </c>
      <c r="J71" s="1612"/>
      <c r="L71" s="1613"/>
      <c r="BM71" s="1616"/>
      <c r="BN71" s="1616"/>
      <c r="BO71" s="1616"/>
      <c r="BP71" s="1616"/>
      <c r="BQ71" s="1616"/>
      <c r="BR71" s="1616"/>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6072</v>
      </c>
      <c r="E72" s="599"/>
      <c r="F72" s="600"/>
      <c r="G72" s="289"/>
      <c r="H72" s="601"/>
      <c r="I72" s="602"/>
      <c r="J72" s="603"/>
      <c r="U72" s="605"/>
      <c r="W72" s="605"/>
    </row>
    <row r="73" spans="1:255" s="604" customFormat="1" ht="13.5" customHeight="1">
      <c r="A73" s="595"/>
      <c r="B73" s="596"/>
      <c r="C73" s="597"/>
      <c r="D73" s="1618" t="s">
        <v>6073</v>
      </c>
      <c r="E73" s="599"/>
      <c r="F73" s="600">
        <f>(19.7)*0.05</f>
        <v>0.98499999999999999</v>
      </c>
      <c r="G73" s="289"/>
      <c r="H73" s="601"/>
      <c r="I73" s="602"/>
      <c r="J73" s="603"/>
      <c r="U73" s="605"/>
      <c r="W73" s="605"/>
    </row>
    <row r="74" spans="1:255" s="604" customFormat="1" ht="27" customHeight="1">
      <c r="A74" s="595"/>
      <c r="B74" s="596"/>
      <c r="C74" s="597"/>
      <c r="D74" s="1619" t="s">
        <v>4323</v>
      </c>
      <c r="E74" s="599"/>
      <c r="F74" s="600"/>
      <c r="G74" s="289"/>
      <c r="H74" s="601"/>
      <c r="I74" s="602"/>
      <c r="U74" s="605"/>
      <c r="W74" s="605"/>
    </row>
    <row r="75" spans="1:255" s="1248" customFormat="1" ht="27" customHeight="1">
      <c r="A75" s="1614">
        <v>19</v>
      </c>
      <c r="B75" s="1615" t="s">
        <v>5808</v>
      </c>
      <c r="C75" s="1615">
        <v>460161652</v>
      </c>
      <c r="D75" s="1615" t="s">
        <v>5817</v>
      </c>
      <c r="E75" s="1615" t="s">
        <v>141</v>
      </c>
      <c r="F75" s="573">
        <f>ROUND(SUM(F77),3)</f>
        <v>0.74</v>
      </c>
      <c r="G75" s="5246" t="s">
        <v>6074</v>
      </c>
      <c r="H75" s="5247"/>
      <c r="I75" s="613" t="s">
        <v>137</v>
      </c>
      <c r="J75" s="1612"/>
      <c r="L75" s="1613"/>
      <c r="BM75" s="1616"/>
      <c r="BN75" s="1616"/>
      <c r="BO75" s="1616"/>
      <c r="BP75" s="1616"/>
      <c r="BQ75" s="1616"/>
      <c r="BR75" s="1616"/>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6020</v>
      </c>
      <c r="E76" s="599"/>
      <c r="F76" s="600"/>
      <c r="G76" s="289"/>
      <c r="H76" s="601"/>
      <c r="I76" s="602"/>
      <c r="J76" s="603"/>
      <c r="U76" s="605"/>
      <c r="W76" s="605"/>
    </row>
    <row r="77" spans="1:255" s="604" customFormat="1" ht="13.5" customHeight="1">
      <c r="A77" s="595"/>
      <c r="B77" s="596"/>
      <c r="C77" s="597"/>
      <c r="D77" s="1618" t="s">
        <v>6021</v>
      </c>
      <c r="E77" s="599"/>
      <c r="F77" s="600">
        <f>(14.8)*0.05</f>
        <v>0.7400000000000001</v>
      </c>
      <c r="G77" s="289"/>
      <c r="H77" s="601"/>
      <c r="I77" s="602"/>
      <c r="J77" s="603"/>
      <c r="U77" s="605"/>
      <c r="W77" s="605"/>
    </row>
    <row r="78" spans="1:255" s="604" customFormat="1" ht="27" customHeight="1">
      <c r="A78" s="595"/>
      <c r="B78" s="596"/>
      <c r="C78" s="597"/>
      <c r="D78" s="1619" t="s">
        <v>4323</v>
      </c>
      <c r="E78" s="599"/>
      <c r="F78" s="600"/>
      <c r="G78" s="289"/>
      <c r="H78" s="601"/>
      <c r="I78" s="602"/>
      <c r="U78" s="605"/>
      <c r="W78" s="605"/>
    </row>
    <row r="79" spans="1:255" s="1248" customFormat="1" ht="13.5" customHeight="1">
      <c r="A79" s="1614">
        <v>20</v>
      </c>
      <c r="B79" s="1615" t="s">
        <v>5808</v>
      </c>
      <c r="C79" s="1615">
        <v>460171452</v>
      </c>
      <c r="D79" s="1615" t="s">
        <v>5820</v>
      </c>
      <c r="E79" s="1615" t="s">
        <v>141</v>
      </c>
      <c r="F79" s="573">
        <f>ROUND(SUM(F81),3)</f>
        <v>16.745000000000001</v>
      </c>
      <c r="G79" s="288"/>
      <c r="H79" s="568">
        <f>ROUND(F79*G79,2)</f>
        <v>0</v>
      </c>
      <c r="I79" s="613" t="s">
        <v>137</v>
      </c>
      <c r="J79" s="1612"/>
      <c r="L79" s="1613"/>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6075</v>
      </c>
      <c r="E80" s="599"/>
      <c r="F80" s="600"/>
      <c r="G80" s="289"/>
      <c r="H80" s="601"/>
      <c r="I80" s="602"/>
      <c r="J80" s="603"/>
      <c r="U80" s="605"/>
      <c r="W80" s="605"/>
    </row>
    <row r="81" spans="1:255" s="604" customFormat="1" ht="13.5" customHeight="1">
      <c r="A81" s="595"/>
      <c r="B81" s="596"/>
      <c r="C81" s="597"/>
      <c r="D81" s="1618" t="s">
        <v>6076</v>
      </c>
      <c r="E81" s="599"/>
      <c r="F81" s="600">
        <f>(19.7)*0.85</f>
        <v>16.744999999999997</v>
      </c>
      <c r="G81" s="289"/>
      <c r="H81" s="601"/>
      <c r="I81" s="602"/>
      <c r="J81" s="603"/>
      <c r="U81" s="605"/>
      <c r="W81" s="605"/>
    </row>
    <row r="82" spans="1:255" s="604" customFormat="1" ht="27" customHeight="1">
      <c r="A82" s="595"/>
      <c r="B82" s="596"/>
      <c r="C82" s="597"/>
      <c r="D82" s="1619" t="s">
        <v>4323</v>
      </c>
      <c r="E82" s="599"/>
      <c r="F82" s="600"/>
      <c r="G82" s="289"/>
      <c r="H82" s="601"/>
      <c r="I82" s="602"/>
      <c r="U82" s="605"/>
      <c r="W82" s="605"/>
    </row>
    <row r="83" spans="1:255" s="1248" customFormat="1" ht="13.5" customHeight="1">
      <c r="A83" s="1614">
        <v>21</v>
      </c>
      <c r="B83" s="1615" t="s">
        <v>5808</v>
      </c>
      <c r="C83" s="1615">
        <v>460171453</v>
      </c>
      <c r="D83" s="1615" t="s">
        <v>5823</v>
      </c>
      <c r="E83" s="1615" t="s">
        <v>141</v>
      </c>
      <c r="F83" s="573">
        <f>ROUND(SUM(F85),3)</f>
        <v>1.97</v>
      </c>
      <c r="G83" s="288"/>
      <c r="H83" s="568">
        <f>ROUND(F83*G83,2)</f>
        <v>0</v>
      </c>
      <c r="I83" s="613" t="s">
        <v>137</v>
      </c>
      <c r="J83" s="1612"/>
      <c r="L83" s="1613"/>
      <c r="BM83" s="1616"/>
      <c r="BN83" s="1616"/>
      <c r="BO83" s="1616"/>
      <c r="BP83" s="1616"/>
      <c r="BQ83" s="1616"/>
      <c r="BR83" s="1616"/>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6077</v>
      </c>
      <c r="E84" s="599"/>
      <c r="F84" s="600"/>
      <c r="G84" s="289"/>
      <c r="H84" s="601"/>
      <c r="I84" s="602"/>
      <c r="J84" s="603"/>
      <c r="U84" s="605"/>
      <c r="W84" s="605"/>
    </row>
    <row r="85" spans="1:255" s="604" customFormat="1" ht="13.5" customHeight="1">
      <c r="A85" s="595"/>
      <c r="B85" s="596"/>
      <c r="C85" s="597"/>
      <c r="D85" s="1618" t="s">
        <v>6078</v>
      </c>
      <c r="E85" s="599"/>
      <c r="F85" s="600">
        <f>(19.7)*0.1</f>
        <v>1.97</v>
      </c>
      <c r="G85" s="289"/>
      <c r="H85" s="601"/>
      <c r="I85" s="602"/>
      <c r="J85" s="603"/>
      <c r="U85" s="605"/>
      <c r="W85" s="605"/>
    </row>
    <row r="86" spans="1:255" s="604" customFormat="1" ht="27" customHeight="1">
      <c r="A86" s="595"/>
      <c r="B86" s="596"/>
      <c r="C86" s="597"/>
      <c r="D86" s="1619" t="s">
        <v>4323</v>
      </c>
      <c r="E86" s="599"/>
      <c r="F86" s="600"/>
      <c r="G86" s="289"/>
      <c r="H86" s="601"/>
      <c r="I86" s="602"/>
      <c r="U86" s="605"/>
      <c r="W86" s="605"/>
    </row>
    <row r="87" spans="1:255" s="1248" customFormat="1" ht="27" customHeight="1">
      <c r="A87" s="1614">
        <v>22</v>
      </c>
      <c r="B87" s="1615" t="s">
        <v>5808</v>
      </c>
      <c r="C87" s="1615">
        <v>460171652</v>
      </c>
      <c r="D87" s="1615" t="s">
        <v>5826</v>
      </c>
      <c r="E87" s="1615" t="s">
        <v>141</v>
      </c>
      <c r="F87" s="573">
        <f>ROUND(SUM(F89),3)</f>
        <v>12.58</v>
      </c>
      <c r="G87" s="5246" t="s">
        <v>6074</v>
      </c>
      <c r="H87" s="5247"/>
      <c r="I87" s="613" t="s">
        <v>137</v>
      </c>
      <c r="J87" s="1612"/>
      <c r="L87" s="1613"/>
      <c r="BM87" s="1616"/>
      <c r="BN87" s="1616"/>
      <c r="BO87" s="1616"/>
      <c r="BP87" s="1616"/>
      <c r="BQ87" s="1616"/>
      <c r="BR87" s="1616"/>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6026</v>
      </c>
      <c r="E88" s="599"/>
      <c r="F88" s="600"/>
      <c r="G88" s="289"/>
      <c r="H88" s="601"/>
      <c r="I88" s="602"/>
      <c r="J88" s="603"/>
      <c r="U88" s="605"/>
      <c r="W88" s="605"/>
    </row>
    <row r="89" spans="1:255" s="604" customFormat="1" ht="27" customHeight="1">
      <c r="A89" s="595"/>
      <c r="B89" s="596"/>
      <c r="C89" s="597"/>
      <c r="D89" s="1618" t="s">
        <v>6027</v>
      </c>
      <c r="E89" s="599"/>
      <c r="F89" s="600">
        <f>(14.8)*0.85</f>
        <v>12.58</v>
      </c>
      <c r="G89" s="289"/>
      <c r="H89" s="601"/>
      <c r="I89" s="602"/>
      <c r="J89" s="603"/>
      <c r="U89" s="605"/>
      <c r="W89" s="605"/>
    </row>
    <row r="90" spans="1:255" s="604" customFormat="1" ht="27" customHeight="1">
      <c r="A90" s="595"/>
      <c r="B90" s="596"/>
      <c r="C90" s="597"/>
      <c r="D90" s="719" t="s">
        <v>4323</v>
      </c>
      <c r="E90" s="599"/>
      <c r="F90" s="600"/>
      <c r="G90" s="289"/>
      <c r="H90" s="601"/>
      <c r="I90" s="602"/>
      <c r="J90" s="603"/>
      <c r="U90" s="605"/>
      <c r="W90" s="605"/>
    </row>
    <row r="91" spans="1:255" s="1248" customFormat="1" ht="27" customHeight="1">
      <c r="A91" s="1614">
        <v>23</v>
      </c>
      <c r="B91" s="1615" t="s">
        <v>5808</v>
      </c>
      <c r="C91" s="1615">
        <v>460171653</v>
      </c>
      <c r="D91" s="1615" t="s">
        <v>5829</v>
      </c>
      <c r="E91" s="1615" t="s">
        <v>141</v>
      </c>
      <c r="F91" s="573">
        <f>ROUND(SUM(F93),3)</f>
        <v>1.48</v>
      </c>
      <c r="G91" s="5246" t="s">
        <v>6074</v>
      </c>
      <c r="H91" s="5247"/>
      <c r="I91" s="613" t="s">
        <v>137</v>
      </c>
      <c r="J91" s="1612"/>
      <c r="K91" s="60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6028</v>
      </c>
      <c r="E92" s="599"/>
      <c r="F92" s="600"/>
      <c r="G92" s="289"/>
      <c r="H92" s="601"/>
      <c r="I92" s="602"/>
      <c r="J92" s="603"/>
      <c r="U92" s="605"/>
      <c r="W92" s="605"/>
    </row>
    <row r="93" spans="1:255" s="604" customFormat="1" ht="13.5" customHeight="1">
      <c r="A93" s="595"/>
      <c r="B93" s="596"/>
      <c r="C93" s="597"/>
      <c r="D93" s="1618" t="s">
        <v>6029</v>
      </c>
      <c r="E93" s="599"/>
      <c r="F93" s="600">
        <f>(14.8)*0.1</f>
        <v>1.4800000000000002</v>
      </c>
      <c r="G93" s="289"/>
      <c r="H93" s="601"/>
      <c r="I93" s="602"/>
      <c r="J93" s="606"/>
      <c r="U93" s="605"/>
      <c r="W93" s="605"/>
    </row>
    <row r="94" spans="1:255" s="604" customFormat="1" ht="27" customHeight="1">
      <c r="A94" s="595"/>
      <c r="B94" s="596"/>
      <c r="C94" s="597"/>
      <c r="D94" s="719" t="s">
        <v>4323</v>
      </c>
      <c r="E94" s="599"/>
      <c r="F94" s="600"/>
      <c r="G94" s="289"/>
      <c r="H94" s="601"/>
      <c r="I94" s="602"/>
      <c r="J94" s="606"/>
      <c r="U94" s="605"/>
      <c r="W94" s="605"/>
    </row>
    <row r="95" spans="1:255" s="1248" customFormat="1" ht="13.5" customHeight="1">
      <c r="A95" s="1614">
        <v>24</v>
      </c>
      <c r="B95" s="1615" t="s">
        <v>5808</v>
      </c>
      <c r="C95" s="1615">
        <v>460241111</v>
      </c>
      <c r="D95" s="1615" t="s">
        <v>5832</v>
      </c>
      <c r="E95" s="1615" t="s">
        <v>146</v>
      </c>
      <c r="F95" s="573">
        <f>ROUND(SUM(F96),3)</f>
        <v>0.57599999999999996</v>
      </c>
      <c r="G95" s="288"/>
      <c r="H95" s="568">
        <f>ROUND(F95*G95,2)</f>
        <v>0</v>
      </c>
      <c r="I95" s="613" t="s">
        <v>137</v>
      </c>
      <c r="J95" s="1612"/>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6079</v>
      </c>
      <c r="E96" s="599"/>
      <c r="F96" s="600">
        <f>(19.7*0.65*0.9)*0.05</f>
        <v>0.57622499999999999</v>
      </c>
      <c r="G96" s="289"/>
      <c r="H96" s="601"/>
      <c r="I96" s="602"/>
      <c r="J96" s="606"/>
      <c r="U96" s="605"/>
      <c r="W96" s="605"/>
    </row>
    <row r="97" spans="1:255" s="604" customFormat="1" ht="27" customHeight="1">
      <c r="A97" s="595"/>
      <c r="B97" s="596"/>
      <c r="C97" s="597"/>
      <c r="D97" s="719" t="s">
        <v>6080</v>
      </c>
      <c r="E97" s="599"/>
      <c r="F97" s="600"/>
      <c r="G97" s="289"/>
      <c r="H97" s="601"/>
      <c r="I97" s="602"/>
      <c r="J97" s="606"/>
      <c r="U97" s="605"/>
      <c r="W97" s="605"/>
    </row>
    <row r="98" spans="1:255" s="1248" customFormat="1" ht="13.5" customHeight="1">
      <c r="A98" s="1614">
        <v>25</v>
      </c>
      <c r="B98" s="1615" t="s">
        <v>5808</v>
      </c>
      <c r="C98" s="1615">
        <v>460242111</v>
      </c>
      <c r="D98" s="1615" t="s">
        <v>5834</v>
      </c>
      <c r="E98" s="1615" t="s">
        <v>205</v>
      </c>
      <c r="F98" s="573">
        <f>ROUND(SUM(F99),3)</f>
        <v>4</v>
      </c>
      <c r="G98" s="288"/>
      <c r="H98" s="568">
        <f>ROUND(F98*G98,2)</f>
        <v>0</v>
      </c>
      <c r="I98" s="613" t="s">
        <v>137</v>
      </c>
      <c r="J98" s="1612"/>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604" customFormat="1" ht="13.5" customHeight="1">
      <c r="A99" s="595"/>
      <c r="B99" s="596"/>
      <c r="C99" s="597"/>
      <c r="D99" s="719" t="s">
        <v>5835</v>
      </c>
      <c r="E99" s="599"/>
      <c r="F99" s="600">
        <v>4</v>
      </c>
      <c r="G99" s="289"/>
      <c r="H99" s="601"/>
      <c r="I99" s="1620"/>
      <c r="J99" s="606"/>
      <c r="U99" s="605"/>
      <c r="W99" s="605"/>
    </row>
    <row r="100" spans="1:255" s="1248" customFormat="1" ht="13.5" customHeight="1">
      <c r="A100" s="1614">
        <v>26</v>
      </c>
      <c r="B100" s="1615" t="s">
        <v>5808</v>
      </c>
      <c r="C100" s="1615">
        <v>460242121</v>
      </c>
      <c r="D100" s="1615" t="s">
        <v>5836</v>
      </c>
      <c r="E100" s="1615" t="s">
        <v>141</v>
      </c>
      <c r="F100" s="573">
        <f>ROUND(SUM(F101),3)</f>
        <v>5</v>
      </c>
      <c r="G100" s="288"/>
      <c r="H100" s="568">
        <f>ROUND(F100*G100,2)</f>
        <v>0</v>
      </c>
      <c r="I100" s="613" t="s">
        <v>137</v>
      </c>
      <c r="J100" s="1612"/>
      <c r="BM100" s="1616"/>
      <c r="BN100" s="1616"/>
      <c r="BO100" s="1616"/>
      <c r="BP100" s="1616"/>
      <c r="BQ100" s="1616"/>
      <c r="BR100" s="1616"/>
      <c r="BS100" s="1616"/>
      <c r="BT100" s="1616"/>
      <c r="BU100" s="1616"/>
      <c r="BV100" s="1616"/>
      <c r="BW100" s="1616"/>
      <c r="BX100" s="1616"/>
      <c r="BY100" s="1616"/>
      <c r="BZ100" s="1616"/>
      <c r="CA100" s="1616"/>
      <c r="CB100" s="1616"/>
      <c r="CC100" s="1616"/>
      <c r="CD100" s="1616"/>
      <c r="CE100" s="1616"/>
      <c r="CF100" s="1616"/>
      <c r="CG100" s="1616"/>
      <c r="CH100" s="1616"/>
      <c r="CI100" s="1616"/>
      <c r="CJ100" s="1616"/>
      <c r="CK100" s="1616"/>
      <c r="CL100" s="1616"/>
      <c r="CM100" s="1616"/>
      <c r="CN100" s="1616"/>
      <c r="CO100" s="1616"/>
      <c r="CP100" s="1616"/>
      <c r="CQ100" s="1616"/>
      <c r="CR100" s="1616"/>
      <c r="CS100" s="1616"/>
      <c r="CT100" s="1616"/>
      <c r="CU100" s="1616"/>
      <c r="CV100" s="1616"/>
      <c r="CW100" s="1616"/>
      <c r="CX100" s="1616"/>
      <c r="CY100" s="1616"/>
      <c r="CZ100" s="1616"/>
      <c r="DA100" s="1616"/>
      <c r="DB100" s="1616"/>
      <c r="DC100" s="1616"/>
      <c r="DD100" s="1616"/>
      <c r="DE100" s="1616"/>
      <c r="DF100" s="1616"/>
      <c r="DG100" s="1616"/>
      <c r="DH100" s="1616"/>
      <c r="DI100" s="1616"/>
      <c r="DJ100" s="1616"/>
      <c r="DK100" s="1616"/>
      <c r="DL100" s="1616"/>
      <c r="DM100" s="1616"/>
      <c r="DN100" s="1616"/>
      <c r="DO100" s="1616"/>
      <c r="DP100" s="1616"/>
      <c r="DQ100" s="1616"/>
      <c r="DR100" s="1616"/>
      <c r="DS100" s="1616"/>
      <c r="DT100" s="1616"/>
      <c r="DU100" s="1616"/>
      <c r="DV100" s="1616"/>
      <c r="DW100" s="1616"/>
      <c r="DX100" s="1616"/>
      <c r="DY100" s="1616"/>
      <c r="DZ100" s="1616"/>
      <c r="EA100" s="1616"/>
      <c r="EB100" s="1616"/>
      <c r="EC100" s="1616"/>
      <c r="ED100" s="1616"/>
      <c r="EE100" s="1616"/>
      <c r="EF100" s="1616"/>
      <c r="EG100" s="1616"/>
      <c r="EH100" s="1616"/>
      <c r="EI100" s="1616"/>
      <c r="EJ100" s="1616"/>
      <c r="EK100" s="1616"/>
      <c r="EL100" s="1616"/>
      <c r="EM100" s="1616"/>
      <c r="EN100" s="1616"/>
      <c r="EO100" s="1616"/>
      <c r="EP100" s="1616"/>
      <c r="EQ100" s="1616"/>
      <c r="ER100" s="1616"/>
      <c r="ES100" s="1616"/>
      <c r="ET100" s="1616"/>
      <c r="EU100" s="1616"/>
      <c r="EV100" s="1616"/>
      <c r="EW100" s="1616"/>
      <c r="EX100" s="1616"/>
      <c r="EY100" s="1616"/>
      <c r="EZ100" s="1616"/>
      <c r="FA100" s="1616"/>
      <c r="FB100" s="1616"/>
      <c r="FC100" s="1616"/>
      <c r="FD100" s="1616"/>
      <c r="FE100" s="1616"/>
      <c r="FF100" s="1616"/>
      <c r="FG100" s="1616"/>
      <c r="FH100" s="1616"/>
      <c r="FI100" s="1616"/>
      <c r="FJ100" s="1616"/>
      <c r="FK100" s="1616"/>
      <c r="FL100" s="1616"/>
      <c r="FM100" s="1616"/>
      <c r="FN100" s="1616"/>
      <c r="FO100" s="1616"/>
      <c r="FP100" s="1616"/>
      <c r="FQ100" s="1616"/>
      <c r="FR100" s="1616"/>
      <c r="FS100" s="1616"/>
      <c r="FT100" s="1616"/>
      <c r="FU100" s="1616"/>
      <c r="FV100" s="1616"/>
      <c r="FW100" s="1616"/>
      <c r="FX100" s="1616"/>
      <c r="FY100" s="1616"/>
      <c r="FZ100" s="1616"/>
      <c r="GA100" s="1616"/>
      <c r="GB100" s="1616"/>
      <c r="GC100" s="1616"/>
      <c r="GD100" s="1616"/>
      <c r="GE100" s="1616"/>
      <c r="GF100" s="1616"/>
      <c r="GG100" s="1616"/>
      <c r="GH100" s="1616"/>
      <c r="GI100" s="1616"/>
      <c r="GJ100" s="1616"/>
      <c r="GK100" s="1616"/>
      <c r="GL100" s="1616"/>
      <c r="GM100" s="1616"/>
      <c r="GN100" s="1616"/>
      <c r="GO100" s="1616"/>
      <c r="GP100" s="1616"/>
      <c r="GQ100" s="1616"/>
      <c r="GR100" s="1616"/>
      <c r="GS100" s="1616"/>
      <c r="GT100" s="1616"/>
      <c r="GU100" s="1616"/>
      <c r="GV100" s="1616"/>
      <c r="GW100" s="1616"/>
      <c r="GX100" s="1616"/>
      <c r="GY100" s="1616"/>
      <c r="GZ100" s="1616"/>
      <c r="HA100" s="1616"/>
      <c r="HB100" s="1616"/>
      <c r="HC100" s="1616"/>
      <c r="HD100" s="1616"/>
      <c r="HE100" s="1616"/>
      <c r="HF100" s="1616"/>
      <c r="HG100" s="1616"/>
      <c r="HH100" s="1616"/>
      <c r="HI100" s="1616"/>
      <c r="HJ100" s="1616"/>
      <c r="HK100" s="1616"/>
      <c r="HL100" s="1616"/>
      <c r="HM100" s="1616"/>
      <c r="HN100" s="1616"/>
      <c r="HO100" s="1616"/>
      <c r="HP100" s="1616"/>
      <c r="HQ100" s="1616"/>
      <c r="HR100" s="1616"/>
      <c r="HS100" s="1616"/>
      <c r="HT100" s="1616"/>
      <c r="HU100" s="1616"/>
      <c r="HV100" s="1616"/>
      <c r="HW100" s="1616"/>
      <c r="HX100" s="1616"/>
      <c r="HY100" s="1616"/>
      <c r="HZ100" s="1616"/>
      <c r="IA100" s="1616"/>
      <c r="IB100" s="1616"/>
      <c r="IC100" s="1616"/>
      <c r="ID100" s="1616"/>
      <c r="IE100" s="1616"/>
      <c r="IF100" s="1616"/>
      <c r="IG100" s="1616"/>
      <c r="IH100" s="1616"/>
      <c r="II100" s="1616"/>
      <c r="IJ100" s="1616"/>
      <c r="IK100" s="1616"/>
      <c r="IL100" s="1616"/>
      <c r="IM100" s="1616"/>
      <c r="IN100" s="1616"/>
      <c r="IO100" s="1616"/>
      <c r="IP100" s="1616"/>
      <c r="IQ100" s="1616"/>
      <c r="IR100" s="1616"/>
      <c r="IS100" s="1616"/>
      <c r="IT100" s="1616"/>
      <c r="IU100" s="1616"/>
    </row>
    <row r="101" spans="1:255" s="604" customFormat="1" ht="13.5" customHeight="1">
      <c r="A101" s="595"/>
      <c r="B101" s="596"/>
      <c r="C101" s="597"/>
      <c r="D101" s="719" t="s">
        <v>5835</v>
      </c>
      <c r="E101" s="599"/>
      <c r="F101" s="600">
        <v>5</v>
      </c>
      <c r="G101" s="289"/>
      <c r="H101" s="601"/>
      <c r="I101" s="1620"/>
      <c r="J101" s="606"/>
      <c r="U101" s="605"/>
      <c r="W101" s="605"/>
    </row>
    <row r="102" spans="1:255" s="1248" customFormat="1" ht="13.5" customHeight="1">
      <c r="A102" s="1614">
        <v>27</v>
      </c>
      <c r="B102" s="1615" t="s">
        <v>5808</v>
      </c>
      <c r="C102" s="1615">
        <v>460242211</v>
      </c>
      <c r="D102" s="1615" t="s">
        <v>5837</v>
      </c>
      <c r="E102" s="1615" t="s">
        <v>205</v>
      </c>
      <c r="F102" s="573">
        <f>ROUND(SUM(F103),3)</f>
        <v>5</v>
      </c>
      <c r="G102" s="288"/>
      <c r="H102" s="568">
        <f>ROUND(F102*G102,2)</f>
        <v>0</v>
      </c>
      <c r="I102" s="613" t="s">
        <v>137</v>
      </c>
      <c r="J102" s="1612"/>
      <c r="BM102" s="1616"/>
      <c r="BN102" s="1616"/>
      <c r="BO102" s="1616"/>
      <c r="BP102" s="1616"/>
      <c r="BQ102" s="1616"/>
      <c r="BR102" s="1616"/>
      <c r="BS102" s="1616"/>
      <c r="BT102" s="1616"/>
      <c r="BU102" s="1616"/>
      <c r="BV102" s="1616"/>
      <c r="BW102" s="1616"/>
      <c r="BX102" s="1616"/>
      <c r="BY102" s="1616"/>
      <c r="BZ102" s="1616"/>
      <c r="CA102" s="1616"/>
      <c r="CB102" s="1616"/>
      <c r="CC102" s="1616"/>
      <c r="CD102" s="1616"/>
      <c r="CE102" s="1616"/>
      <c r="CF102" s="1616"/>
      <c r="CG102" s="1616"/>
      <c r="CH102" s="1616"/>
      <c r="CI102" s="1616"/>
      <c r="CJ102" s="1616"/>
      <c r="CK102" s="1616"/>
      <c r="CL102" s="1616"/>
      <c r="CM102" s="1616"/>
      <c r="CN102" s="1616"/>
      <c r="CO102" s="1616"/>
      <c r="CP102" s="1616"/>
      <c r="CQ102" s="1616"/>
      <c r="CR102" s="1616"/>
      <c r="CS102" s="1616"/>
      <c r="CT102" s="1616"/>
      <c r="CU102" s="1616"/>
      <c r="CV102" s="1616"/>
      <c r="CW102" s="1616"/>
      <c r="CX102" s="1616"/>
      <c r="CY102" s="1616"/>
      <c r="CZ102" s="1616"/>
      <c r="DA102" s="1616"/>
      <c r="DB102" s="1616"/>
      <c r="DC102" s="1616"/>
      <c r="DD102" s="1616"/>
      <c r="DE102" s="1616"/>
      <c r="DF102" s="1616"/>
      <c r="DG102" s="1616"/>
      <c r="DH102" s="1616"/>
      <c r="DI102" s="1616"/>
      <c r="DJ102" s="1616"/>
      <c r="DK102" s="1616"/>
      <c r="DL102" s="1616"/>
      <c r="DM102" s="1616"/>
      <c r="DN102" s="1616"/>
      <c r="DO102" s="1616"/>
      <c r="DP102" s="1616"/>
      <c r="DQ102" s="1616"/>
      <c r="DR102" s="1616"/>
      <c r="DS102" s="1616"/>
      <c r="DT102" s="1616"/>
      <c r="DU102" s="1616"/>
      <c r="DV102" s="1616"/>
      <c r="DW102" s="1616"/>
      <c r="DX102" s="1616"/>
      <c r="DY102" s="1616"/>
      <c r="DZ102" s="1616"/>
      <c r="EA102" s="1616"/>
      <c r="EB102" s="1616"/>
      <c r="EC102" s="1616"/>
      <c r="ED102" s="1616"/>
      <c r="EE102" s="1616"/>
      <c r="EF102" s="1616"/>
      <c r="EG102" s="1616"/>
      <c r="EH102" s="1616"/>
      <c r="EI102" s="1616"/>
      <c r="EJ102" s="1616"/>
      <c r="EK102" s="1616"/>
      <c r="EL102" s="1616"/>
      <c r="EM102" s="1616"/>
      <c r="EN102" s="1616"/>
      <c r="EO102" s="1616"/>
      <c r="EP102" s="1616"/>
      <c r="EQ102" s="1616"/>
      <c r="ER102" s="1616"/>
      <c r="ES102" s="1616"/>
      <c r="ET102" s="1616"/>
      <c r="EU102" s="1616"/>
      <c r="EV102" s="1616"/>
      <c r="EW102" s="1616"/>
      <c r="EX102" s="1616"/>
      <c r="EY102" s="1616"/>
      <c r="EZ102" s="1616"/>
      <c r="FA102" s="1616"/>
      <c r="FB102" s="1616"/>
      <c r="FC102" s="1616"/>
      <c r="FD102" s="1616"/>
      <c r="FE102" s="1616"/>
      <c r="FF102" s="1616"/>
      <c r="FG102" s="1616"/>
      <c r="FH102" s="1616"/>
      <c r="FI102" s="1616"/>
      <c r="FJ102" s="1616"/>
      <c r="FK102" s="1616"/>
      <c r="FL102" s="1616"/>
      <c r="FM102" s="1616"/>
      <c r="FN102" s="1616"/>
      <c r="FO102" s="1616"/>
      <c r="FP102" s="1616"/>
      <c r="FQ102" s="1616"/>
      <c r="FR102" s="1616"/>
      <c r="FS102" s="1616"/>
      <c r="FT102" s="1616"/>
      <c r="FU102" s="1616"/>
      <c r="FV102" s="1616"/>
      <c r="FW102" s="1616"/>
      <c r="FX102" s="1616"/>
      <c r="FY102" s="1616"/>
      <c r="FZ102" s="1616"/>
      <c r="GA102" s="1616"/>
      <c r="GB102" s="1616"/>
      <c r="GC102" s="1616"/>
      <c r="GD102" s="1616"/>
      <c r="GE102" s="1616"/>
      <c r="GF102" s="1616"/>
      <c r="GG102" s="1616"/>
      <c r="GH102" s="1616"/>
      <c r="GI102" s="1616"/>
      <c r="GJ102" s="1616"/>
      <c r="GK102" s="1616"/>
      <c r="GL102" s="1616"/>
      <c r="GM102" s="1616"/>
      <c r="GN102" s="1616"/>
      <c r="GO102" s="1616"/>
      <c r="GP102" s="1616"/>
      <c r="GQ102" s="1616"/>
      <c r="GR102" s="1616"/>
      <c r="GS102" s="1616"/>
      <c r="GT102" s="1616"/>
      <c r="GU102" s="1616"/>
      <c r="GV102" s="1616"/>
      <c r="GW102" s="1616"/>
      <c r="GX102" s="1616"/>
      <c r="GY102" s="1616"/>
      <c r="GZ102" s="1616"/>
      <c r="HA102" s="1616"/>
      <c r="HB102" s="1616"/>
      <c r="HC102" s="1616"/>
      <c r="HD102" s="1616"/>
      <c r="HE102" s="1616"/>
      <c r="HF102" s="1616"/>
      <c r="HG102" s="1616"/>
      <c r="HH102" s="1616"/>
      <c r="HI102" s="1616"/>
      <c r="HJ102" s="1616"/>
      <c r="HK102" s="1616"/>
      <c r="HL102" s="1616"/>
      <c r="HM102" s="1616"/>
      <c r="HN102" s="1616"/>
      <c r="HO102" s="1616"/>
      <c r="HP102" s="1616"/>
      <c r="HQ102" s="1616"/>
      <c r="HR102" s="1616"/>
      <c r="HS102" s="1616"/>
      <c r="HT102" s="1616"/>
      <c r="HU102" s="1616"/>
      <c r="HV102" s="1616"/>
      <c r="HW102" s="1616"/>
      <c r="HX102" s="1616"/>
      <c r="HY102" s="1616"/>
      <c r="HZ102" s="1616"/>
      <c r="IA102" s="1616"/>
      <c r="IB102" s="1616"/>
      <c r="IC102" s="1616"/>
      <c r="ID102" s="1616"/>
      <c r="IE102" s="1616"/>
      <c r="IF102" s="1616"/>
      <c r="IG102" s="1616"/>
      <c r="IH102" s="1616"/>
      <c r="II102" s="1616"/>
      <c r="IJ102" s="1616"/>
      <c r="IK102" s="1616"/>
      <c r="IL102" s="1616"/>
      <c r="IM102" s="1616"/>
      <c r="IN102" s="1616"/>
      <c r="IO102" s="1616"/>
      <c r="IP102" s="1616"/>
      <c r="IQ102" s="1616"/>
      <c r="IR102" s="1616"/>
      <c r="IS102" s="1616"/>
      <c r="IT102" s="1616"/>
      <c r="IU102" s="1616"/>
    </row>
    <row r="103" spans="1:255" s="604" customFormat="1" ht="13.5" customHeight="1">
      <c r="A103" s="595"/>
      <c r="B103" s="596"/>
      <c r="C103" s="597"/>
      <c r="D103" s="719" t="s">
        <v>5838</v>
      </c>
      <c r="E103" s="599"/>
      <c r="F103" s="600">
        <v>5</v>
      </c>
      <c r="G103" s="289"/>
      <c r="H103" s="601"/>
      <c r="I103" s="1620"/>
      <c r="J103" s="606"/>
      <c r="U103" s="605"/>
      <c r="W103" s="605"/>
    </row>
    <row r="104" spans="1:255" s="1248" customFormat="1" ht="13.5" customHeight="1">
      <c r="A104" s="1614">
        <v>28</v>
      </c>
      <c r="B104" s="1615" t="s">
        <v>5808</v>
      </c>
      <c r="C104" s="1615">
        <v>460242221</v>
      </c>
      <c r="D104" s="1615" t="s">
        <v>5839</v>
      </c>
      <c r="E104" s="1615" t="s">
        <v>141</v>
      </c>
      <c r="F104" s="573">
        <f>ROUND(SUM(F105),3)</f>
        <v>15</v>
      </c>
      <c r="G104" s="288"/>
      <c r="H104" s="568">
        <f>ROUND(F104*G104,2)</f>
        <v>0</v>
      </c>
      <c r="I104" s="613" t="s">
        <v>137</v>
      </c>
      <c r="J104" s="1612"/>
      <c r="BM104" s="1616"/>
      <c r="BN104" s="1616"/>
      <c r="BO104" s="1616"/>
      <c r="BP104" s="1616"/>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5838</v>
      </c>
      <c r="E105" s="599"/>
      <c r="F105" s="600">
        <v>15</v>
      </c>
      <c r="G105" s="289"/>
      <c r="H105" s="601"/>
      <c r="I105" s="1620"/>
      <c r="J105" s="606"/>
      <c r="U105" s="605"/>
      <c r="W105" s="605"/>
    </row>
    <row r="106" spans="1:255" s="1248" customFormat="1" ht="13.5" customHeight="1">
      <c r="A106" s="1614">
        <v>29</v>
      </c>
      <c r="B106" s="1615" t="s">
        <v>5808</v>
      </c>
      <c r="C106" s="1615">
        <v>460451432</v>
      </c>
      <c r="D106" s="1615" t="s">
        <v>5840</v>
      </c>
      <c r="E106" s="1615" t="s">
        <v>141</v>
      </c>
      <c r="F106" s="573">
        <f>ROUND(SUM(F108),3)</f>
        <v>17.73</v>
      </c>
      <c r="G106" s="288"/>
      <c r="H106" s="568">
        <f>ROUND(F106*G106,2)</f>
        <v>0</v>
      </c>
      <c r="I106" s="613" t="s">
        <v>137</v>
      </c>
      <c r="J106" s="1621"/>
      <c r="BM106" s="1616"/>
      <c r="BN106" s="1616"/>
      <c r="BO106" s="1616"/>
      <c r="BP106" s="1616"/>
      <c r="BQ106" s="1616"/>
      <c r="BR106" s="1616"/>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6081</v>
      </c>
      <c r="E107" s="1615"/>
      <c r="F107" s="1444"/>
      <c r="G107" s="288"/>
      <c r="H107" s="609"/>
      <c r="I107" s="613"/>
      <c r="J107" s="1612"/>
      <c r="BM107" s="1616"/>
      <c r="BN107" s="1616"/>
      <c r="BO107" s="1616"/>
      <c r="BP107" s="1616"/>
      <c r="BQ107" s="1616"/>
      <c r="BR107" s="1616"/>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1248" customFormat="1" ht="13.5" customHeight="1">
      <c r="A108" s="1614"/>
      <c r="B108" s="1615"/>
      <c r="C108" s="1615"/>
      <c r="D108" s="719" t="s">
        <v>6082</v>
      </c>
      <c r="E108" s="1615"/>
      <c r="F108" s="600">
        <f>(19.7)*(0.05+0.85)</f>
        <v>17.73</v>
      </c>
      <c r="G108" s="308"/>
      <c r="H108" s="609"/>
      <c r="I108" s="613"/>
      <c r="J108" s="1612"/>
      <c r="BM108" s="1616"/>
      <c r="BN108" s="1616"/>
      <c r="BO108" s="1616"/>
      <c r="BP108" s="1616"/>
      <c r="BQ108" s="1616"/>
      <c r="BR108" s="1616"/>
      <c r="BS108" s="1616"/>
      <c r="BT108" s="1616"/>
      <c r="BU108" s="1616"/>
      <c r="BV108" s="1616"/>
      <c r="BW108" s="1616"/>
      <c r="BX108" s="1616"/>
      <c r="BY108" s="1616"/>
      <c r="BZ108" s="1616"/>
      <c r="CA108" s="1616"/>
      <c r="CB108" s="1616"/>
      <c r="CC108" s="1616"/>
      <c r="CD108" s="1616"/>
      <c r="CE108" s="1616"/>
      <c r="CF108" s="1616"/>
      <c r="CG108" s="1616"/>
      <c r="CH108" s="1616"/>
      <c r="CI108" s="1616"/>
      <c r="CJ108" s="1616"/>
      <c r="CK108" s="1616"/>
      <c r="CL108" s="1616"/>
      <c r="CM108" s="1616"/>
      <c r="CN108" s="1616"/>
      <c r="CO108" s="1616"/>
      <c r="CP108" s="1616"/>
      <c r="CQ108" s="1616"/>
      <c r="CR108" s="1616"/>
      <c r="CS108" s="1616"/>
      <c r="CT108" s="1616"/>
      <c r="CU108" s="1616"/>
      <c r="CV108" s="1616"/>
      <c r="CW108" s="1616"/>
      <c r="CX108" s="1616"/>
      <c r="CY108" s="1616"/>
      <c r="CZ108" s="1616"/>
      <c r="DA108" s="1616"/>
      <c r="DB108" s="1616"/>
      <c r="DC108" s="1616"/>
      <c r="DD108" s="1616"/>
      <c r="DE108" s="1616"/>
      <c r="DF108" s="1616"/>
      <c r="DG108" s="1616"/>
      <c r="DH108" s="1616"/>
      <c r="DI108" s="1616"/>
      <c r="DJ108" s="1616"/>
      <c r="DK108" s="1616"/>
      <c r="DL108" s="1616"/>
      <c r="DM108" s="1616"/>
      <c r="DN108" s="1616"/>
      <c r="DO108" s="1616"/>
      <c r="DP108" s="1616"/>
      <c r="DQ108" s="1616"/>
      <c r="DR108" s="1616"/>
      <c r="DS108" s="1616"/>
      <c r="DT108" s="1616"/>
      <c r="DU108" s="1616"/>
      <c r="DV108" s="1616"/>
      <c r="DW108" s="1616"/>
      <c r="DX108" s="1616"/>
      <c r="DY108" s="1616"/>
      <c r="DZ108" s="1616"/>
      <c r="EA108" s="1616"/>
      <c r="EB108" s="1616"/>
      <c r="EC108" s="1616"/>
      <c r="ED108" s="1616"/>
      <c r="EE108" s="1616"/>
      <c r="EF108" s="1616"/>
      <c r="EG108" s="1616"/>
      <c r="EH108" s="1616"/>
      <c r="EI108" s="1616"/>
      <c r="EJ108" s="1616"/>
      <c r="EK108" s="1616"/>
      <c r="EL108" s="1616"/>
      <c r="EM108" s="1616"/>
      <c r="EN108" s="1616"/>
      <c r="EO108" s="1616"/>
      <c r="EP108" s="1616"/>
      <c r="EQ108" s="1616"/>
      <c r="ER108" s="1616"/>
      <c r="ES108" s="1616"/>
      <c r="ET108" s="1616"/>
      <c r="EU108" s="1616"/>
      <c r="EV108" s="1616"/>
      <c r="EW108" s="1616"/>
      <c r="EX108" s="1616"/>
      <c r="EY108" s="1616"/>
      <c r="EZ108" s="1616"/>
      <c r="FA108" s="1616"/>
      <c r="FB108" s="1616"/>
      <c r="FC108" s="1616"/>
      <c r="FD108" s="1616"/>
      <c r="FE108" s="1616"/>
      <c r="FF108" s="1616"/>
      <c r="FG108" s="1616"/>
      <c r="FH108" s="1616"/>
      <c r="FI108" s="1616"/>
      <c r="FJ108" s="1616"/>
      <c r="FK108" s="1616"/>
      <c r="FL108" s="1616"/>
      <c r="FM108" s="1616"/>
      <c r="FN108" s="1616"/>
      <c r="FO108" s="1616"/>
      <c r="FP108" s="1616"/>
      <c r="FQ108" s="1616"/>
      <c r="FR108" s="1616"/>
      <c r="FS108" s="1616"/>
      <c r="FT108" s="1616"/>
      <c r="FU108" s="1616"/>
      <c r="FV108" s="1616"/>
      <c r="FW108" s="1616"/>
      <c r="FX108" s="1616"/>
      <c r="FY108" s="1616"/>
      <c r="FZ108" s="1616"/>
      <c r="GA108" s="1616"/>
      <c r="GB108" s="1616"/>
      <c r="GC108" s="1616"/>
      <c r="GD108" s="1616"/>
      <c r="GE108" s="1616"/>
      <c r="GF108" s="1616"/>
      <c r="GG108" s="1616"/>
      <c r="GH108" s="1616"/>
      <c r="GI108" s="1616"/>
      <c r="GJ108" s="1616"/>
      <c r="GK108" s="1616"/>
      <c r="GL108" s="1616"/>
      <c r="GM108" s="1616"/>
      <c r="GN108" s="1616"/>
      <c r="GO108" s="1616"/>
      <c r="GP108" s="1616"/>
      <c r="GQ108" s="1616"/>
      <c r="GR108" s="1616"/>
      <c r="GS108" s="1616"/>
      <c r="GT108" s="1616"/>
      <c r="GU108" s="1616"/>
      <c r="GV108" s="1616"/>
      <c r="GW108" s="1616"/>
      <c r="GX108" s="1616"/>
      <c r="GY108" s="1616"/>
      <c r="GZ108" s="1616"/>
      <c r="HA108" s="1616"/>
      <c r="HB108" s="1616"/>
      <c r="HC108" s="1616"/>
      <c r="HD108" s="1616"/>
      <c r="HE108" s="1616"/>
      <c r="HF108" s="1616"/>
      <c r="HG108" s="1616"/>
      <c r="HH108" s="1616"/>
      <c r="HI108" s="1616"/>
      <c r="HJ108" s="1616"/>
      <c r="HK108" s="1616"/>
      <c r="HL108" s="1616"/>
      <c r="HM108" s="1616"/>
      <c r="HN108" s="1616"/>
      <c r="HO108" s="1616"/>
      <c r="HP108" s="1616"/>
      <c r="HQ108" s="1616"/>
      <c r="HR108" s="1616"/>
      <c r="HS108" s="1616"/>
      <c r="HT108" s="1616"/>
      <c r="HU108" s="1616"/>
      <c r="HV108" s="1616"/>
      <c r="HW108" s="1616"/>
      <c r="HX108" s="1616"/>
      <c r="HY108" s="1616"/>
      <c r="HZ108" s="1616"/>
      <c r="IA108" s="1616"/>
      <c r="IB108" s="1616"/>
      <c r="IC108" s="1616"/>
      <c r="ID108" s="1616"/>
      <c r="IE108" s="1616"/>
      <c r="IF108" s="1616"/>
      <c r="IG108" s="1616"/>
      <c r="IH108" s="1616"/>
      <c r="II108" s="1616"/>
      <c r="IJ108" s="1616"/>
      <c r="IK108" s="1616"/>
      <c r="IL108" s="1616"/>
      <c r="IM108" s="1616"/>
      <c r="IN108" s="1616"/>
      <c r="IO108" s="1616"/>
      <c r="IP108" s="1616"/>
      <c r="IQ108" s="1616"/>
      <c r="IR108" s="1616"/>
      <c r="IS108" s="1616"/>
      <c r="IT108" s="1616"/>
      <c r="IU108" s="1616"/>
    </row>
    <row r="109" spans="1:255" s="604" customFormat="1" ht="27" customHeight="1">
      <c r="A109" s="595"/>
      <c r="B109" s="596"/>
      <c r="C109" s="597"/>
      <c r="D109" s="719" t="s">
        <v>5843</v>
      </c>
      <c r="E109" s="599"/>
      <c r="F109" s="600"/>
      <c r="G109" s="289"/>
      <c r="H109" s="601"/>
      <c r="I109" s="602"/>
      <c r="J109" s="606"/>
      <c r="U109" s="605"/>
      <c r="W109" s="605"/>
    </row>
    <row r="110" spans="1:255" s="1248" customFormat="1" ht="13.5" customHeight="1">
      <c r="A110" s="1614">
        <v>30</v>
      </c>
      <c r="B110" s="1615" t="s">
        <v>5808</v>
      </c>
      <c r="C110" s="1615">
        <v>460451433</v>
      </c>
      <c r="D110" s="1615" t="s">
        <v>5844</v>
      </c>
      <c r="E110" s="1615" t="s">
        <v>141</v>
      </c>
      <c r="F110" s="573">
        <f>ROUND(SUM(F112),3)</f>
        <v>1.97</v>
      </c>
      <c r="G110" s="288"/>
      <c r="H110" s="568">
        <f>ROUND(F110*G110,2)</f>
        <v>0</v>
      </c>
      <c r="I110" s="613" t="s">
        <v>137</v>
      </c>
      <c r="J110" s="1621"/>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1248" customFormat="1" ht="13.5" customHeight="1">
      <c r="A111" s="1614"/>
      <c r="B111" s="1615"/>
      <c r="C111" s="1615"/>
      <c r="D111" s="719" t="s">
        <v>6081</v>
      </c>
      <c r="E111" s="1615"/>
      <c r="F111" s="1444"/>
      <c r="G111" s="288"/>
      <c r="H111" s="609"/>
      <c r="I111" s="613"/>
      <c r="J111" s="1612"/>
      <c r="BM111" s="1616"/>
      <c r="BN111" s="1616"/>
      <c r="BO111" s="1616"/>
      <c r="BP111" s="1616"/>
      <c r="BQ111" s="1616"/>
      <c r="BR111" s="1616"/>
      <c r="BS111" s="1616"/>
      <c r="BT111" s="1616"/>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604" customFormat="1" ht="13.5" customHeight="1">
      <c r="A112" s="595"/>
      <c r="B112" s="596"/>
      <c r="C112" s="597"/>
      <c r="D112" s="719" t="s">
        <v>6083</v>
      </c>
      <c r="E112" s="599"/>
      <c r="F112" s="600">
        <f>(19.7)*(0.1)</f>
        <v>1.97</v>
      </c>
      <c r="G112" s="289"/>
      <c r="H112" s="601"/>
      <c r="I112" s="602"/>
      <c r="J112" s="606"/>
      <c r="U112" s="605"/>
      <c r="W112" s="605"/>
    </row>
    <row r="113" spans="1:255" s="604" customFormat="1" ht="27" customHeight="1">
      <c r="A113" s="595"/>
      <c r="B113" s="596"/>
      <c r="C113" s="597"/>
      <c r="D113" s="719" t="s">
        <v>5843</v>
      </c>
      <c r="E113" s="599"/>
      <c r="F113" s="600"/>
      <c r="G113" s="289"/>
      <c r="H113" s="601"/>
      <c r="I113" s="602"/>
      <c r="J113" s="1623"/>
      <c r="U113" s="605"/>
      <c r="W113" s="605"/>
    </row>
    <row r="114" spans="1:255" s="1248" customFormat="1" ht="27" customHeight="1">
      <c r="A114" s="1614">
        <v>31</v>
      </c>
      <c r="B114" s="1615" t="s">
        <v>5808</v>
      </c>
      <c r="C114" s="1615">
        <v>460451632</v>
      </c>
      <c r="D114" s="1615" t="s">
        <v>5846</v>
      </c>
      <c r="E114" s="1615" t="s">
        <v>141</v>
      </c>
      <c r="F114" s="573">
        <f>ROUND(SUM(F116),3)</f>
        <v>13.32</v>
      </c>
      <c r="G114" s="5246" t="s">
        <v>6074</v>
      </c>
      <c r="H114" s="5247"/>
      <c r="I114" s="613" t="s">
        <v>137</v>
      </c>
      <c r="J114" s="1621"/>
      <c r="BM114" s="1616"/>
      <c r="BN114" s="1616"/>
      <c r="BO114" s="1616"/>
      <c r="BP114" s="1616"/>
      <c r="BQ114" s="1616"/>
      <c r="BR114" s="1616"/>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1248" customFormat="1" ht="13.5" customHeight="1">
      <c r="A115" s="1614"/>
      <c r="B115" s="1615"/>
      <c r="C115" s="1615"/>
      <c r="D115" s="719" t="s">
        <v>6034</v>
      </c>
      <c r="E115" s="1615"/>
      <c r="F115" s="1444"/>
      <c r="G115" s="288"/>
      <c r="H115" s="609"/>
      <c r="I115" s="613"/>
      <c r="J115" s="1612"/>
      <c r="BM115" s="1616"/>
      <c r="BN115" s="1616"/>
      <c r="BO115" s="1616"/>
      <c r="BP115" s="1616"/>
      <c r="BQ115" s="1616"/>
      <c r="BR115" s="1616"/>
      <c r="BS115" s="1616"/>
      <c r="BT115" s="1616"/>
      <c r="BU115" s="1616"/>
      <c r="BV115" s="1616"/>
      <c r="BW115" s="1616"/>
      <c r="BX115" s="1616"/>
      <c r="BY115" s="1616"/>
      <c r="BZ115" s="1616"/>
      <c r="CA115" s="1616"/>
      <c r="CB115" s="1616"/>
      <c r="CC115" s="1616"/>
      <c r="CD115" s="1616"/>
      <c r="CE115" s="1616"/>
      <c r="CF115" s="1616"/>
      <c r="CG115" s="1616"/>
      <c r="CH115" s="1616"/>
      <c r="CI115" s="1616"/>
      <c r="CJ115" s="1616"/>
      <c r="CK115" s="1616"/>
      <c r="CL115" s="1616"/>
      <c r="CM115" s="1616"/>
      <c r="CN115" s="1616"/>
      <c r="CO115" s="1616"/>
      <c r="CP115" s="1616"/>
      <c r="CQ115" s="1616"/>
      <c r="CR115" s="1616"/>
      <c r="CS115" s="1616"/>
      <c r="CT115" s="1616"/>
      <c r="CU115" s="1616"/>
      <c r="CV115" s="1616"/>
      <c r="CW115" s="1616"/>
      <c r="CX115" s="1616"/>
      <c r="CY115" s="1616"/>
      <c r="CZ115" s="1616"/>
      <c r="DA115" s="1616"/>
      <c r="DB115" s="1616"/>
      <c r="DC115" s="1616"/>
      <c r="DD115" s="1616"/>
      <c r="DE115" s="1616"/>
      <c r="DF115" s="1616"/>
      <c r="DG115" s="1616"/>
      <c r="DH115" s="1616"/>
      <c r="DI115" s="1616"/>
      <c r="DJ115" s="1616"/>
      <c r="DK115" s="1616"/>
      <c r="DL115" s="1616"/>
      <c r="DM115" s="1616"/>
      <c r="DN115" s="1616"/>
      <c r="DO115" s="1616"/>
      <c r="DP115" s="1616"/>
      <c r="DQ115" s="1616"/>
      <c r="DR115" s="1616"/>
      <c r="DS115" s="1616"/>
      <c r="DT115" s="1616"/>
      <c r="DU115" s="1616"/>
      <c r="DV115" s="1616"/>
      <c r="DW115" s="1616"/>
      <c r="DX115" s="1616"/>
      <c r="DY115" s="1616"/>
      <c r="DZ115" s="1616"/>
      <c r="EA115" s="1616"/>
      <c r="EB115" s="1616"/>
      <c r="EC115" s="1616"/>
      <c r="ED115" s="1616"/>
      <c r="EE115" s="1616"/>
      <c r="EF115" s="1616"/>
      <c r="EG115" s="1616"/>
      <c r="EH115" s="1616"/>
      <c r="EI115" s="1616"/>
      <c r="EJ115" s="1616"/>
      <c r="EK115" s="1616"/>
      <c r="EL115" s="1616"/>
      <c r="EM115" s="1616"/>
      <c r="EN115" s="1616"/>
      <c r="EO115" s="1616"/>
      <c r="EP115" s="1616"/>
      <c r="EQ115" s="1616"/>
      <c r="ER115" s="1616"/>
      <c r="ES115" s="1616"/>
      <c r="ET115" s="1616"/>
      <c r="EU115" s="1616"/>
      <c r="EV115" s="1616"/>
      <c r="EW115" s="1616"/>
      <c r="EX115" s="1616"/>
      <c r="EY115" s="1616"/>
      <c r="EZ115" s="1616"/>
      <c r="FA115" s="1616"/>
      <c r="FB115" s="1616"/>
      <c r="FC115" s="1616"/>
      <c r="FD115" s="1616"/>
      <c r="FE115" s="1616"/>
      <c r="FF115" s="1616"/>
      <c r="FG115" s="1616"/>
      <c r="FH115" s="1616"/>
      <c r="FI115" s="1616"/>
      <c r="FJ115" s="1616"/>
      <c r="FK115" s="1616"/>
      <c r="FL115" s="1616"/>
      <c r="FM115" s="1616"/>
      <c r="FN115" s="1616"/>
      <c r="FO115" s="1616"/>
      <c r="FP115" s="1616"/>
      <c r="FQ115" s="1616"/>
      <c r="FR115" s="1616"/>
      <c r="FS115" s="1616"/>
      <c r="FT115" s="1616"/>
      <c r="FU115" s="1616"/>
      <c r="FV115" s="1616"/>
      <c r="FW115" s="1616"/>
      <c r="FX115" s="1616"/>
      <c r="FY115" s="1616"/>
      <c r="FZ115" s="1616"/>
      <c r="GA115" s="1616"/>
      <c r="GB115" s="1616"/>
      <c r="GC115" s="1616"/>
      <c r="GD115" s="1616"/>
      <c r="GE115" s="1616"/>
      <c r="GF115" s="1616"/>
      <c r="GG115" s="1616"/>
      <c r="GH115" s="1616"/>
      <c r="GI115" s="1616"/>
      <c r="GJ115" s="1616"/>
      <c r="GK115" s="1616"/>
      <c r="GL115" s="1616"/>
      <c r="GM115" s="1616"/>
      <c r="GN115" s="1616"/>
      <c r="GO115" s="1616"/>
      <c r="GP115" s="1616"/>
      <c r="GQ115" s="1616"/>
      <c r="GR115" s="1616"/>
      <c r="GS115" s="1616"/>
      <c r="GT115" s="1616"/>
      <c r="GU115" s="1616"/>
      <c r="GV115" s="1616"/>
      <c r="GW115" s="1616"/>
      <c r="GX115" s="1616"/>
      <c r="GY115" s="1616"/>
      <c r="GZ115" s="1616"/>
      <c r="HA115" s="1616"/>
      <c r="HB115" s="1616"/>
      <c r="HC115" s="1616"/>
      <c r="HD115" s="1616"/>
      <c r="HE115" s="1616"/>
      <c r="HF115" s="1616"/>
      <c r="HG115" s="1616"/>
      <c r="HH115" s="1616"/>
      <c r="HI115" s="1616"/>
      <c r="HJ115" s="1616"/>
      <c r="HK115" s="1616"/>
      <c r="HL115" s="1616"/>
      <c r="HM115" s="1616"/>
      <c r="HN115" s="1616"/>
      <c r="HO115" s="1616"/>
      <c r="HP115" s="1616"/>
      <c r="HQ115" s="1616"/>
      <c r="HR115" s="1616"/>
      <c r="HS115" s="1616"/>
      <c r="HT115" s="1616"/>
      <c r="HU115" s="1616"/>
      <c r="HV115" s="1616"/>
      <c r="HW115" s="1616"/>
      <c r="HX115" s="1616"/>
      <c r="HY115" s="1616"/>
      <c r="HZ115" s="1616"/>
      <c r="IA115" s="1616"/>
      <c r="IB115" s="1616"/>
      <c r="IC115" s="1616"/>
      <c r="ID115" s="1616"/>
      <c r="IE115" s="1616"/>
      <c r="IF115" s="1616"/>
      <c r="IG115" s="1616"/>
      <c r="IH115" s="1616"/>
      <c r="II115" s="1616"/>
      <c r="IJ115" s="1616"/>
      <c r="IK115" s="1616"/>
      <c r="IL115" s="1616"/>
      <c r="IM115" s="1616"/>
      <c r="IN115" s="1616"/>
      <c r="IO115" s="1616"/>
      <c r="IP115" s="1616"/>
      <c r="IQ115" s="1616"/>
      <c r="IR115" s="1616"/>
      <c r="IS115" s="1616"/>
      <c r="IT115" s="1616"/>
      <c r="IU115" s="1616"/>
    </row>
    <row r="116" spans="1:255" s="604" customFormat="1" ht="13.5" customHeight="1">
      <c r="A116" s="595"/>
      <c r="B116" s="596"/>
      <c r="C116" s="597"/>
      <c r="D116" s="719" t="s">
        <v>6035</v>
      </c>
      <c r="E116" s="599"/>
      <c r="F116" s="600">
        <f>(14.8)*(0.05+0.85)</f>
        <v>13.32</v>
      </c>
      <c r="G116" s="289"/>
      <c r="H116" s="601"/>
      <c r="I116" s="602"/>
      <c r="J116" s="606"/>
      <c r="U116" s="605"/>
      <c r="W116" s="605"/>
    </row>
    <row r="117" spans="1:255" s="604" customFormat="1" ht="27" customHeight="1">
      <c r="A117" s="595"/>
      <c r="B117" s="596"/>
      <c r="C117" s="597"/>
      <c r="D117" s="719" t="s">
        <v>5843</v>
      </c>
      <c r="E117" s="599"/>
      <c r="F117" s="600"/>
      <c r="G117" s="289"/>
      <c r="H117" s="601"/>
      <c r="I117" s="602"/>
      <c r="J117" s="606"/>
      <c r="U117" s="605"/>
      <c r="W117" s="605"/>
    </row>
    <row r="118" spans="1:255" s="1248" customFormat="1" ht="27" customHeight="1">
      <c r="A118" s="1614">
        <v>32</v>
      </c>
      <c r="B118" s="1615" t="s">
        <v>5808</v>
      </c>
      <c r="C118" s="1615">
        <v>460451633</v>
      </c>
      <c r="D118" s="1615" t="s">
        <v>5849</v>
      </c>
      <c r="E118" s="1615" t="s">
        <v>141</v>
      </c>
      <c r="F118" s="573">
        <f>ROUND(SUM(F120),3)</f>
        <v>1.48</v>
      </c>
      <c r="G118" s="5246" t="s">
        <v>6074</v>
      </c>
      <c r="H118" s="5247"/>
      <c r="I118" s="613" t="s">
        <v>137</v>
      </c>
      <c r="J118" s="1621"/>
      <c r="BM118" s="1616"/>
      <c r="BN118" s="1616"/>
      <c r="BO118" s="1616"/>
      <c r="BP118" s="1616"/>
      <c r="BQ118" s="1616"/>
      <c r="BR118" s="1616"/>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1248" customFormat="1" ht="13.5" customHeight="1">
      <c r="A119" s="1614"/>
      <c r="B119" s="1615"/>
      <c r="C119" s="1615"/>
      <c r="D119" s="719" t="s">
        <v>6034</v>
      </c>
      <c r="E119" s="1615"/>
      <c r="F119" s="1444"/>
      <c r="G119" s="288"/>
      <c r="H119" s="609"/>
      <c r="I119" s="613"/>
      <c r="J119" s="1612"/>
      <c r="BM119" s="1616"/>
      <c r="BN119" s="1616"/>
      <c r="BO119" s="1616"/>
      <c r="BP119" s="1616"/>
      <c r="BQ119" s="1616"/>
      <c r="BR119" s="1616"/>
      <c r="BS119" s="1616"/>
      <c r="BT119" s="1616"/>
      <c r="BU119" s="1616"/>
      <c r="BV119" s="1616"/>
      <c r="BW119" s="1616"/>
      <c r="BX119" s="1616"/>
      <c r="BY119" s="1616"/>
      <c r="BZ119" s="1616"/>
      <c r="CA119" s="1616"/>
      <c r="CB119" s="1616"/>
      <c r="CC119" s="1616"/>
      <c r="CD119" s="1616"/>
      <c r="CE119" s="1616"/>
      <c r="CF119" s="1616"/>
      <c r="CG119" s="1616"/>
      <c r="CH119" s="1616"/>
      <c r="CI119" s="1616"/>
      <c r="CJ119" s="1616"/>
      <c r="CK119" s="1616"/>
      <c r="CL119" s="1616"/>
      <c r="CM119" s="1616"/>
      <c r="CN119" s="1616"/>
      <c r="CO119" s="1616"/>
      <c r="CP119" s="1616"/>
      <c r="CQ119" s="1616"/>
      <c r="CR119" s="1616"/>
      <c r="CS119" s="1616"/>
      <c r="CT119" s="1616"/>
      <c r="CU119" s="1616"/>
      <c r="CV119" s="1616"/>
      <c r="CW119" s="1616"/>
      <c r="CX119" s="1616"/>
      <c r="CY119" s="1616"/>
      <c r="CZ119" s="1616"/>
      <c r="DA119" s="1616"/>
      <c r="DB119" s="1616"/>
      <c r="DC119" s="1616"/>
      <c r="DD119" s="1616"/>
      <c r="DE119" s="1616"/>
      <c r="DF119" s="1616"/>
      <c r="DG119" s="1616"/>
      <c r="DH119" s="1616"/>
      <c r="DI119" s="1616"/>
      <c r="DJ119" s="1616"/>
      <c r="DK119" s="1616"/>
      <c r="DL119" s="1616"/>
      <c r="DM119" s="1616"/>
      <c r="DN119" s="1616"/>
      <c r="DO119" s="1616"/>
      <c r="DP119" s="1616"/>
      <c r="DQ119" s="1616"/>
      <c r="DR119" s="1616"/>
      <c r="DS119" s="1616"/>
      <c r="DT119" s="1616"/>
      <c r="DU119" s="1616"/>
      <c r="DV119" s="1616"/>
      <c r="DW119" s="1616"/>
      <c r="DX119" s="1616"/>
      <c r="DY119" s="1616"/>
      <c r="DZ119" s="1616"/>
      <c r="EA119" s="1616"/>
      <c r="EB119" s="1616"/>
      <c r="EC119" s="1616"/>
      <c r="ED119" s="1616"/>
      <c r="EE119" s="1616"/>
      <c r="EF119" s="1616"/>
      <c r="EG119" s="1616"/>
      <c r="EH119" s="1616"/>
      <c r="EI119" s="1616"/>
      <c r="EJ119" s="1616"/>
      <c r="EK119" s="1616"/>
      <c r="EL119" s="1616"/>
      <c r="EM119" s="1616"/>
      <c r="EN119" s="1616"/>
      <c r="EO119" s="1616"/>
      <c r="EP119" s="1616"/>
      <c r="EQ119" s="1616"/>
      <c r="ER119" s="1616"/>
      <c r="ES119" s="1616"/>
      <c r="ET119" s="1616"/>
      <c r="EU119" s="1616"/>
      <c r="EV119" s="1616"/>
      <c r="EW119" s="1616"/>
      <c r="EX119" s="1616"/>
      <c r="EY119" s="1616"/>
      <c r="EZ119" s="1616"/>
      <c r="FA119" s="1616"/>
      <c r="FB119" s="1616"/>
      <c r="FC119" s="1616"/>
      <c r="FD119" s="1616"/>
      <c r="FE119" s="1616"/>
      <c r="FF119" s="1616"/>
      <c r="FG119" s="1616"/>
      <c r="FH119" s="1616"/>
      <c r="FI119" s="1616"/>
      <c r="FJ119" s="1616"/>
      <c r="FK119" s="1616"/>
      <c r="FL119" s="1616"/>
      <c r="FM119" s="1616"/>
      <c r="FN119" s="1616"/>
      <c r="FO119" s="1616"/>
      <c r="FP119" s="1616"/>
      <c r="FQ119" s="1616"/>
      <c r="FR119" s="1616"/>
      <c r="FS119" s="1616"/>
      <c r="FT119" s="1616"/>
      <c r="FU119" s="1616"/>
      <c r="FV119" s="1616"/>
      <c r="FW119" s="1616"/>
      <c r="FX119" s="1616"/>
      <c r="FY119" s="1616"/>
      <c r="FZ119" s="1616"/>
      <c r="GA119" s="1616"/>
      <c r="GB119" s="1616"/>
      <c r="GC119" s="1616"/>
      <c r="GD119" s="1616"/>
      <c r="GE119" s="1616"/>
      <c r="GF119" s="1616"/>
      <c r="GG119" s="1616"/>
      <c r="GH119" s="1616"/>
      <c r="GI119" s="1616"/>
      <c r="GJ119" s="1616"/>
      <c r="GK119" s="1616"/>
      <c r="GL119" s="1616"/>
      <c r="GM119" s="1616"/>
      <c r="GN119" s="1616"/>
      <c r="GO119" s="1616"/>
      <c r="GP119" s="1616"/>
      <c r="GQ119" s="1616"/>
      <c r="GR119" s="1616"/>
      <c r="GS119" s="1616"/>
      <c r="GT119" s="1616"/>
      <c r="GU119" s="1616"/>
      <c r="GV119" s="1616"/>
      <c r="GW119" s="1616"/>
      <c r="GX119" s="1616"/>
      <c r="GY119" s="1616"/>
      <c r="GZ119" s="1616"/>
      <c r="HA119" s="1616"/>
      <c r="HB119" s="1616"/>
      <c r="HC119" s="1616"/>
      <c r="HD119" s="1616"/>
      <c r="HE119" s="1616"/>
      <c r="HF119" s="1616"/>
      <c r="HG119" s="1616"/>
      <c r="HH119" s="1616"/>
      <c r="HI119" s="1616"/>
      <c r="HJ119" s="1616"/>
      <c r="HK119" s="1616"/>
      <c r="HL119" s="1616"/>
      <c r="HM119" s="1616"/>
      <c r="HN119" s="1616"/>
      <c r="HO119" s="1616"/>
      <c r="HP119" s="1616"/>
      <c r="HQ119" s="1616"/>
      <c r="HR119" s="1616"/>
      <c r="HS119" s="1616"/>
      <c r="HT119" s="1616"/>
      <c r="HU119" s="1616"/>
      <c r="HV119" s="1616"/>
      <c r="HW119" s="1616"/>
      <c r="HX119" s="1616"/>
      <c r="HY119" s="1616"/>
      <c r="HZ119" s="1616"/>
      <c r="IA119" s="1616"/>
      <c r="IB119" s="1616"/>
      <c r="IC119" s="1616"/>
      <c r="ID119" s="1616"/>
      <c r="IE119" s="1616"/>
      <c r="IF119" s="1616"/>
      <c r="IG119" s="1616"/>
      <c r="IH119" s="1616"/>
      <c r="II119" s="1616"/>
      <c r="IJ119" s="1616"/>
      <c r="IK119" s="1616"/>
      <c r="IL119" s="1616"/>
      <c r="IM119" s="1616"/>
      <c r="IN119" s="1616"/>
      <c r="IO119" s="1616"/>
      <c r="IP119" s="1616"/>
      <c r="IQ119" s="1616"/>
      <c r="IR119" s="1616"/>
      <c r="IS119" s="1616"/>
      <c r="IT119" s="1616"/>
      <c r="IU119" s="1616"/>
    </row>
    <row r="120" spans="1:255" s="604" customFormat="1" ht="13.5" customHeight="1">
      <c r="A120" s="595"/>
      <c r="B120" s="596"/>
      <c r="C120" s="597"/>
      <c r="D120" s="719" t="s">
        <v>6036</v>
      </c>
      <c r="E120" s="599"/>
      <c r="F120" s="600">
        <f>(14.8)*(0.1)</f>
        <v>1.4800000000000002</v>
      </c>
      <c r="G120" s="289"/>
      <c r="H120" s="601"/>
      <c r="I120" s="602"/>
      <c r="J120" s="606"/>
      <c r="U120" s="605"/>
      <c r="W120" s="605"/>
    </row>
    <row r="121" spans="1:255" s="604" customFormat="1" ht="27" customHeight="1">
      <c r="A121" s="595"/>
      <c r="B121" s="596"/>
      <c r="C121" s="597"/>
      <c r="D121" s="719" t="s">
        <v>5843</v>
      </c>
      <c r="E121" s="599"/>
      <c r="F121" s="600"/>
      <c r="G121" s="289"/>
      <c r="H121" s="601"/>
      <c r="I121" s="602"/>
      <c r="J121" s="1623"/>
      <c r="U121" s="605"/>
      <c r="W121" s="605"/>
    </row>
    <row r="122" spans="1:255" s="1248" customFormat="1" ht="13.5" customHeight="1">
      <c r="A122" s="1614">
        <v>33</v>
      </c>
      <c r="B122" s="1615" t="s">
        <v>5808</v>
      </c>
      <c r="C122" s="1615">
        <v>460661113</v>
      </c>
      <c r="D122" s="1615" t="s">
        <v>5851</v>
      </c>
      <c r="E122" s="1615" t="s">
        <v>141</v>
      </c>
      <c r="F122" s="573">
        <f>ROUND(SUM(F124),3)</f>
        <v>39.4</v>
      </c>
      <c r="G122" s="288"/>
      <c r="H122" s="568">
        <f>ROUND(F122*G122,2)</f>
        <v>0</v>
      </c>
      <c r="I122" s="613" t="s">
        <v>137</v>
      </c>
      <c r="J122" s="1612"/>
      <c r="BM122" s="1616"/>
      <c r="BN122" s="1616"/>
      <c r="BO122" s="1616"/>
      <c r="BP122" s="1616"/>
      <c r="BQ122" s="1616"/>
      <c r="BR122" s="1616"/>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1248" customFormat="1" ht="13.5" customHeight="1">
      <c r="A123" s="1614"/>
      <c r="B123" s="1615"/>
      <c r="C123" s="1615"/>
      <c r="D123" s="719" t="s">
        <v>6084</v>
      </c>
      <c r="E123" s="1615"/>
      <c r="F123" s="1444"/>
      <c r="G123" s="288"/>
      <c r="H123" s="609"/>
      <c r="I123" s="613"/>
      <c r="J123" s="1612"/>
      <c r="BM123" s="1616"/>
      <c r="BN123" s="1616"/>
      <c r="BO123" s="1616"/>
      <c r="BP123" s="1616"/>
      <c r="BQ123" s="1616"/>
      <c r="BR123" s="1616"/>
      <c r="BS123" s="1616"/>
      <c r="BT123" s="1616"/>
      <c r="BU123" s="1616"/>
      <c r="BV123" s="1616"/>
      <c r="BW123" s="1616"/>
      <c r="BX123" s="1616"/>
      <c r="BY123" s="1616"/>
      <c r="BZ123" s="1616"/>
      <c r="CA123" s="1616"/>
      <c r="CB123" s="1616"/>
      <c r="CC123" s="1616"/>
      <c r="CD123" s="1616"/>
      <c r="CE123" s="1616"/>
      <c r="CF123" s="1616"/>
      <c r="CG123" s="1616"/>
      <c r="CH123" s="1616"/>
      <c r="CI123" s="1616"/>
      <c r="CJ123" s="1616"/>
      <c r="CK123" s="1616"/>
      <c r="CL123" s="1616"/>
      <c r="CM123" s="1616"/>
      <c r="CN123" s="1616"/>
      <c r="CO123" s="1616"/>
      <c r="CP123" s="1616"/>
      <c r="CQ123" s="1616"/>
      <c r="CR123" s="1616"/>
      <c r="CS123" s="1616"/>
      <c r="CT123" s="1616"/>
      <c r="CU123" s="1616"/>
      <c r="CV123" s="1616"/>
      <c r="CW123" s="1616"/>
      <c r="CX123" s="1616"/>
      <c r="CY123" s="1616"/>
      <c r="CZ123" s="1616"/>
      <c r="DA123" s="1616"/>
      <c r="DB123" s="1616"/>
      <c r="DC123" s="1616"/>
      <c r="DD123" s="1616"/>
      <c r="DE123" s="1616"/>
      <c r="DF123" s="1616"/>
      <c r="DG123" s="1616"/>
      <c r="DH123" s="1616"/>
      <c r="DI123" s="1616"/>
      <c r="DJ123" s="1616"/>
      <c r="DK123" s="1616"/>
      <c r="DL123" s="1616"/>
      <c r="DM123" s="1616"/>
      <c r="DN123" s="1616"/>
      <c r="DO123" s="1616"/>
      <c r="DP123" s="1616"/>
      <c r="DQ123" s="1616"/>
      <c r="DR123" s="1616"/>
      <c r="DS123" s="1616"/>
      <c r="DT123" s="1616"/>
      <c r="DU123" s="1616"/>
      <c r="DV123" s="1616"/>
      <c r="DW123" s="1616"/>
      <c r="DX123" s="1616"/>
      <c r="DY123" s="1616"/>
      <c r="DZ123" s="1616"/>
      <c r="EA123" s="1616"/>
      <c r="EB123" s="1616"/>
      <c r="EC123" s="1616"/>
      <c r="ED123" s="1616"/>
      <c r="EE123" s="1616"/>
      <c r="EF123" s="1616"/>
      <c r="EG123" s="1616"/>
      <c r="EH123" s="1616"/>
      <c r="EI123" s="1616"/>
      <c r="EJ123" s="1616"/>
      <c r="EK123" s="1616"/>
      <c r="EL123" s="1616"/>
      <c r="EM123" s="1616"/>
      <c r="EN123" s="1616"/>
      <c r="EO123" s="1616"/>
      <c r="EP123" s="1616"/>
      <c r="EQ123" s="1616"/>
      <c r="ER123" s="1616"/>
      <c r="ES123" s="1616"/>
      <c r="ET123" s="1616"/>
      <c r="EU123" s="1616"/>
      <c r="EV123" s="1616"/>
      <c r="EW123" s="1616"/>
      <c r="EX123" s="1616"/>
      <c r="EY123" s="1616"/>
      <c r="EZ123" s="1616"/>
      <c r="FA123" s="1616"/>
      <c r="FB123" s="1616"/>
      <c r="FC123" s="1616"/>
      <c r="FD123" s="1616"/>
      <c r="FE123" s="1616"/>
      <c r="FF123" s="1616"/>
      <c r="FG123" s="1616"/>
      <c r="FH123" s="1616"/>
      <c r="FI123" s="1616"/>
      <c r="FJ123" s="1616"/>
      <c r="FK123" s="1616"/>
      <c r="FL123" s="1616"/>
      <c r="FM123" s="1616"/>
      <c r="FN123" s="1616"/>
      <c r="FO123" s="1616"/>
      <c r="FP123" s="1616"/>
      <c r="FQ123" s="1616"/>
      <c r="FR123" s="1616"/>
      <c r="FS123" s="1616"/>
      <c r="FT123" s="1616"/>
      <c r="FU123" s="1616"/>
      <c r="FV123" s="1616"/>
      <c r="FW123" s="1616"/>
      <c r="FX123" s="1616"/>
      <c r="FY123" s="1616"/>
      <c r="FZ123" s="1616"/>
      <c r="GA123" s="1616"/>
      <c r="GB123" s="1616"/>
      <c r="GC123" s="1616"/>
      <c r="GD123" s="1616"/>
      <c r="GE123" s="1616"/>
      <c r="GF123" s="1616"/>
      <c r="GG123" s="1616"/>
      <c r="GH123" s="1616"/>
      <c r="GI123" s="1616"/>
      <c r="GJ123" s="1616"/>
      <c r="GK123" s="1616"/>
      <c r="GL123" s="1616"/>
      <c r="GM123" s="1616"/>
      <c r="GN123" s="1616"/>
      <c r="GO123" s="1616"/>
      <c r="GP123" s="1616"/>
      <c r="GQ123" s="1616"/>
      <c r="GR123" s="1616"/>
      <c r="GS123" s="1616"/>
      <c r="GT123" s="1616"/>
      <c r="GU123" s="1616"/>
      <c r="GV123" s="1616"/>
      <c r="GW123" s="1616"/>
      <c r="GX123" s="1616"/>
      <c r="GY123" s="1616"/>
      <c r="GZ123" s="1616"/>
      <c r="HA123" s="1616"/>
      <c r="HB123" s="1616"/>
      <c r="HC123" s="1616"/>
      <c r="HD123" s="1616"/>
      <c r="HE123" s="1616"/>
      <c r="HF123" s="1616"/>
      <c r="HG123" s="1616"/>
      <c r="HH123" s="1616"/>
      <c r="HI123" s="1616"/>
      <c r="HJ123" s="1616"/>
      <c r="HK123" s="1616"/>
      <c r="HL123" s="1616"/>
      <c r="HM123" s="1616"/>
      <c r="HN123" s="1616"/>
      <c r="HO123" s="1616"/>
      <c r="HP123" s="1616"/>
      <c r="HQ123" s="1616"/>
      <c r="HR123" s="1616"/>
      <c r="HS123" s="1616"/>
      <c r="HT123" s="1616"/>
      <c r="HU123" s="1616"/>
      <c r="HV123" s="1616"/>
      <c r="HW123" s="1616"/>
      <c r="HX123" s="1616"/>
      <c r="HY123" s="1616"/>
      <c r="HZ123" s="1616"/>
      <c r="IA123" s="1616"/>
      <c r="IB123" s="1616"/>
      <c r="IC123" s="1616"/>
      <c r="ID123" s="1616"/>
      <c r="IE123" s="1616"/>
      <c r="IF123" s="1616"/>
      <c r="IG123" s="1616"/>
      <c r="IH123" s="1616"/>
      <c r="II123" s="1616"/>
      <c r="IJ123" s="1616"/>
      <c r="IK123" s="1616"/>
      <c r="IL123" s="1616"/>
      <c r="IM123" s="1616"/>
      <c r="IN123" s="1616"/>
      <c r="IO123" s="1616"/>
      <c r="IP123" s="1616"/>
      <c r="IQ123" s="1616"/>
      <c r="IR123" s="1616"/>
      <c r="IS123" s="1616"/>
      <c r="IT123" s="1616"/>
      <c r="IU123" s="1616"/>
    </row>
    <row r="124" spans="1:255" s="604" customFormat="1" ht="13.5" customHeight="1">
      <c r="A124" s="595"/>
      <c r="B124" s="596"/>
      <c r="C124" s="597"/>
      <c r="D124" s="719" t="s">
        <v>6085</v>
      </c>
      <c r="E124" s="599"/>
      <c r="F124" s="600">
        <f>(19.7)*2</f>
        <v>39.4</v>
      </c>
      <c r="G124" s="289"/>
      <c r="H124" s="601"/>
      <c r="I124" s="602"/>
      <c r="J124" s="606"/>
      <c r="U124" s="605"/>
      <c r="W124" s="605"/>
    </row>
    <row r="125" spans="1:255" s="604" customFormat="1" ht="13.5" customHeight="1">
      <c r="A125" s="595"/>
      <c r="B125" s="596"/>
      <c r="C125" s="597"/>
      <c r="D125" s="719" t="s">
        <v>5854</v>
      </c>
      <c r="E125" s="599"/>
      <c r="F125" s="600"/>
      <c r="G125" s="289"/>
      <c r="H125" s="601"/>
      <c r="I125" s="602"/>
      <c r="J125" s="606"/>
      <c r="U125" s="605"/>
      <c r="W125" s="605"/>
    </row>
    <row r="126" spans="1:255" s="604" customFormat="1" ht="27" customHeight="1">
      <c r="A126" s="595"/>
      <c r="B126" s="596"/>
      <c r="C126" s="597"/>
      <c r="D126" s="719" t="s">
        <v>5855</v>
      </c>
      <c r="E126" s="599"/>
      <c r="F126" s="600"/>
      <c r="G126" s="289"/>
      <c r="H126" s="601"/>
      <c r="I126" s="602"/>
      <c r="J126" s="606"/>
      <c r="U126" s="605"/>
      <c r="W126" s="605"/>
    </row>
    <row r="127" spans="1:255" s="1248" customFormat="1" ht="27" customHeight="1">
      <c r="A127" s="1614">
        <v>34</v>
      </c>
      <c r="B127" s="1615" t="s">
        <v>5808</v>
      </c>
      <c r="C127" s="1615">
        <v>460661114</v>
      </c>
      <c r="D127" s="1615" t="s">
        <v>5856</v>
      </c>
      <c r="E127" s="1615" t="s">
        <v>141</v>
      </c>
      <c r="F127" s="573">
        <f>ROUND(SUM(F129),3)</f>
        <v>29.6</v>
      </c>
      <c r="G127" s="5246" t="s">
        <v>6074</v>
      </c>
      <c r="H127" s="5247"/>
      <c r="I127" s="613" t="s">
        <v>137</v>
      </c>
      <c r="J127" s="1612"/>
      <c r="BM127" s="1616"/>
      <c r="BN127" s="1616"/>
      <c r="BO127" s="1616"/>
      <c r="BP127" s="1616"/>
      <c r="BQ127" s="1616"/>
      <c r="BR127" s="1616"/>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1248" customFormat="1" ht="13.5" customHeight="1">
      <c r="A128" s="1614"/>
      <c r="B128" s="1615"/>
      <c r="C128" s="1615"/>
      <c r="D128" s="719" t="s">
        <v>6039</v>
      </c>
      <c r="E128" s="1615"/>
      <c r="F128" s="1444"/>
      <c r="G128" s="288"/>
      <c r="H128" s="609"/>
      <c r="I128" s="613"/>
      <c r="J128" s="1612"/>
      <c r="BM128" s="1616"/>
      <c r="BN128" s="1616"/>
      <c r="BO128" s="1616"/>
      <c r="BP128" s="1616"/>
      <c r="BQ128" s="1616"/>
      <c r="BR128" s="1616"/>
      <c r="BS128" s="1616"/>
      <c r="BT128" s="1616"/>
      <c r="BU128" s="1616"/>
      <c r="BV128" s="1616"/>
      <c r="BW128" s="1616"/>
      <c r="BX128" s="1616"/>
      <c r="BY128" s="1616"/>
      <c r="BZ128" s="1616"/>
      <c r="CA128" s="1616"/>
      <c r="CB128" s="1616"/>
      <c r="CC128" s="1616"/>
      <c r="CD128" s="1616"/>
      <c r="CE128" s="1616"/>
      <c r="CF128" s="1616"/>
      <c r="CG128" s="1616"/>
      <c r="CH128" s="1616"/>
      <c r="CI128" s="1616"/>
      <c r="CJ128" s="1616"/>
      <c r="CK128" s="1616"/>
      <c r="CL128" s="1616"/>
      <c r="CM128" s="1616"/>
      <c r="CN128" s="1616"/>
      <c r="CO128" s="1616"/>
      <c r="CP128" s="1616"/>
      <c r="CQ128" s="1616"/>
      <c r="CR128" s="1616"/>
      <c r="CS128" s="1616"/>
      <c r="CT128" s="1616"/>
      <c r="CU128" s="1616"/>
      <c r="CV128" s="1616"/>
      <c r="CW128" s="1616"/>
      <c r="CX128" s="1616"/>
      <c r="CY128" s="1616"/>
      <c r="CZ128" s="1616"/>
      <c r="DA128" s="1616"/>
      <c r="DB128" s="1616"/>
      <c r="DC128" s="1616"/>
      <c r="DD128" s="1616"/>
      <c r="DE128" s="1616"/>
      <c r="DF128" s="1616"/>
      <c r="DG128" s="1616"/>
      <c r="DH128" s="1616"/>
      <c r="DI128" s="1616"/>
      <c r="DJ128" s="1616"/>
      <c r="DK128" s="1616"/>
      <c r="DL128" s="1616"/>
      <c r="DM128" s="1616"/>
      <c r="DN128" s="1616"/>
      <c r="DO128" s="1616"/>
      <c r="DP128" s="1616"/>
      <c r="DQ128" s="1616"/>
      <c r="DR128" s="1616"/>
      <c r="DS128" s="1616"/>
      <c r="DT128" s="1616"/>
      <c r="DU128" s="1616"/>
      <c r="DV128" s="1616"/>
      <c r="DW128" s="1616"/>
      <c r="DX128" s="1616"/>
      <c r="DY128" s="1616"/>
      <c r="DZ128" s="1616"/>
      <c r="EA128" s="1616"/>
      <c r="EB128" s="1616"/>
      <c r="EC128" s="1616"/>
      <c r="ED128" s="1616"/>
      <c r="EE128" s="1616"/>
      <c r="EF128" s="1616"/>
      <c r="EG128" s="1616"/>
      <c r="EH128" s="1616"/>
      <c r="EI128" s="1616"/>
      <c r="EJ128" s="1616"/>
      <c r="EK128" s="1616"/>
      <c r="EL128" s="1616"/>
      <c r="EM128" s="1616"/>
      <c r="EN128" s="1616"/>
      <c r="EO128" s="1616"/>
      <c r="EP128" s="1616"/>
      <c r="EQ128" s="1616"/>
      <c r="ER128" s="1616"/>
      <c r="ES128" s="1616"/>
      <c r="ET128" s="1616"/>
      <c r="EU128" s="1616"/>
      <c r="EV128" s="1616"/>
      <c r="EW128" s="1616"/>
      <c r="EX128" s="1616"/>
      <c r="EY128" s="1616"/>
      <c r="EZ128" s="1616"/>
      <c r="FA128" s="1616"/>
      <c r="FB128" s="1616"/>
      <c r="FC128" s="1616"/>
      <c r="FD128" s="1616"/>
      <c r="FE128" s="1616"/>
      <c r="FF128" s="1616"/>
      <c r="FG128" s="1616"/>
      <c r="FH128" s="1616"/>
      <c r="FI128" s="1616"/>
      <c r="FJ128" s="1616"/>
      <c r="FK128" s="1616"/>
      <c r="FL128" s="1616"/>
      <c r="FM128" s="1616"/>
      <c r="FN128" s="1616"/>
      <c r="FO128" s="1616"/>
      <c r="FP128" s="1616"/>
      <c r="FQ128" s="1616"/>
      <c r="FR128" s="1616"/>
      <c r="FS128" s="1616"/>
      <c r="FT128" s="1616"/>
      <c r="FU128" s="1616"/>
      <c r="FV128" s="1616"/>
      <c r="FW128" s="1616"/>
      <c r="FX128" s="1616"/>
      <c r="FY128" s="1616"/>
      <c r="FZ128" s="1616"/>
      <c r="GA128" s="1616"/>
      <c r="GB128" s="1616"/>
      <c r="GC128" s="1616"/>
      <c r="GD128" s="1616"/>
      <c r="GE128" s="1616"/>
      <c r="GF128" s="1616"/>
      <c r="GG128" s="1616"/>
      <c r="GH128" s="1616"/>
      <c r="GI128" s="1616"/>
      <c r="GJ128" s="1616"/>
      <c r="GK128" s="1616"/>
      <c r="GL128" s="1616"/>
      <c r="GM128" s="1616"/>
      <c r="GN128" s="1616"/>
      <c r="GO128" s="1616"/>
      <c r="GP128" s="1616"/>
      <c r="GQ128" s="1616"/>
      <c r="GR128" s="1616"/>
      <c r="GS128" s="1616"/>
      <c r="GT128" s="1616"/>
      <c r="GU128" s="1616"/>
      <c r="GV128" s="1616"/>
      <c r="GW128" s="1616"/>
      <c r="GX128" s="1616"/>
      <c r="GY128" s="1616"/>
      <c r="GZ128" s="1616"/>
      <c r="HA128" s="1616"/>
      <c r="HB128" s="1616"/>
      <c r="HC128" s="1616"/>
      <c r="HD128" s="1616"/>
      <c r="HE128" s="1616"/>
      <c r="HF128" s="1616"/>
      <c r="HG128" s="1616"/>
      <c r="HH128" s="1616"/>
      <c r="HI128" s="1616"/>
      <c r="HJ128" s="1616"/>
      <c r="HK128" s="1616"/>
      <c r="HL128" s="1616"/>
      <c r="HM128" s="1616"/>
      <c r="HN128" s="1616"/>
      <c r="HO128" s="1616"/>
      <c r="HP128" s="1616"/>
      <c r="HQ128" s="1616"/>
      <c r="HR128" s="1616"/>
      <c r="HS128" s="1616"/>
      <c r="HT128" s="1616"/>
      <c r="HU128" s="1616"/>
      <c r="HV128" s="1616"/>
      <c r="HW128" s="1616"/>
      <c r="HX128" s="1616"/>
      <c r="HY128" s="1616"/>
      <c r="HZ128" s="1616"/>
      <c r="IA128" s="1616"/>
      <c r="IB128" s="1616"/>
      <c r="IC128" s="1616"/>
      <c r="ID128" s="1616"/>
      <c r="IE128" s="1616"/>
      <c r="IF128" s="1616"/>
      <c r="IG128" s="1616"/>
      <c r="IH128" s="1616"/>
      <c r="II128" s="1616"/>
      <c r="IJ128" s="1616"/>
      <c r="IK128" s="1616"/>
      <c r="IL128" s="1616"/>
      <c r="IM128" s="1616"/>
      <c r="IN128" s="1616"/>
      <c r="IO128" s="1616"/>
      <c r="IP128" s="1616"/>
      <c r="IQ128" s="1616"/>
      <c r="IR128" s="1616"/>
      <c r="IS128" s="1616"/>
      <c r="IT128" s="1616"/>
      <c r="IU128" s="1616"/>
    </row>
    <row r="129" spans="1:255" s="604" customFormat="1" ht="13.5" customHeight="1">
      <c r="A129" s="595"/>
      <c r="B129" s="596"/>
      <c r="C129" s="597"/>
      <c r="D129" s="719" t="s">
        <v>6040</v>
      </c>
      <c r="E129" s="599"/>
      <c r="F129" s="600">
        <f>(14.8)*2</f>
        <v>29.6</v>
      </c>
      <c r="G129" s="289"/>
      <c r="H129" s="601"/>
      <c r="I129" s="602"/>
      <c r="J129" s="606"/>
      <c r="U129" s="605"/>
      <c r="W129" s="605"/>
    </row>
    <row r="130" spans="1:255" s="604" customFormat="1" ht="13.5" customHeight="1">
      <c r="A130" s="595"/>
      <c r="B130" s="596"/>
      <c r="C130" s="597"/>
      <c r="D130" s="719" t="s">
        <v>5854</v>
      </c>
      <c r="E130" s="599"/>
      <c r="F130" s="600"/>
      <c r="G130" s="289"/>
      <c r="H130" s="601"/>
      <c r="I130" s="602"/>
      <c r="J130" s="606"/>
      <c r="U130" s="605"/>
      <c r="W130" s="605"/>
    </row>
    <row r="131" spans="1:255" s="604" customFormat="1" ht="27" customHeight="1">
      <c r="A131" s="595"/>
      <c r="B131" s="596"/>
      <c r="C131" s="597"/>
      <c r="D131" s="719" t="s">
        <v>5855</v>
      </c>
      <c r="E131" s="599"/>
      <c r="F131" s="600"/>
      <c r="G131" s="289"/>
      <c r="H131" s="601"/>
      <c r="I131" s="602"/>
      <c r="J131" s="606"/>
      <c r="U131" s="605"/>
      <c r="W131" s="605"/>
    </row>
    <row r="132" spans="1:255" s="1248" customFormat="1" ht="13.5" customHeight="1">
      <c r="A132" s="1614">
        <v>35</v>
      </c>
      <c r="B132" s="1615" t="s">
        <v>5808</v>
      </c>
      <c r="C132" s="1615">
        <v>460671113</v>
      </c>
      <c r="D132" s="1615" t="s">
        <v>5859</v>
      </c>
      <c r="E132" s="1615" t="s">
        <v>141</v>
      </c>
      <c r="F132" s="573">
        <f>ROUND(SUM(F134),3)</f>
        <v>39.4</v>
      </c>
      <c r="G132" s="288"/>
      <c r="H132" s="568">
        <f>ROUND(F132*G132,2)</f>
        <v>0</v>
      </c>
      <c r="I132" s="613" t="s">
        <v>137</v>
      </c>
      <c r="J132" s="1612"/>
      <c r="BM132" s="1616"/>
      <c r="BN132" s="1616"/>
      <c r="BO132" s="1616"/>
      <c r="BP132" s="1616"/>
      <c r="BQ132" s="1616"/>
      <c r="BR132" s="1616"/>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1248" customFormat="1" ht="13.5" customHeight="1">
      <c r="A133" s="1614"/>
      <c r="B133" s="1615"/>
      <c r="C133" s="1615"/>
      <c r="D133" s="719" t="s">
        <v>6086</v>
      </c>
      <c r="E133" s="1615"/>
      <c r="F133" s="1444"/>
      <c r="G133" s="288"/>
      <c r="H133" s="609"/>
      <c r="I133" s="613"/>
      <c r="J133" s="1612"/>
      <c r="BM133" s="1616"/>
      <c r="BN133" s="1616"/>
      <c r="BO133" s="1616"/>
      <c r="BP133" s="1616"/>
      <c r="BQ133" s="1616"/>
      <c r="BR133" s="1616"/>
      <c r="BS133" s="1616"/>
      <c r="BT133" s="1616"/>
      <c r="BU133" s="1616"/>
      <c r="BV133" s="1616"/>
      <c r="BW133" s="1616"/>
      <c r="BX133" s="1616"/>
      <c r="BY133" s="1616"/>
      <c r="BZ133" s="1616"/>
      <c r="CA133" s="1616"/>
      <c r="CB133" s="1616"/>
      <c r="CC133" s="1616"/>
      <c r="CD133" s="1616"/>
      <c r="CE133" s="1616"/>
      <c r="CF133" s="1616"/>
      <c r="CG133" s="1616"/>
      <c r="CH133" s="1616"/>
      <c r="CI133" s="1616"/>
      <c r="CJ133" s="1616"/>
      <c r="CK133" s="1616"/>
      <c r="CL133" s="1616"/>
      <c r="CM133" s="1616"/>
      <c r="CN133" s="1616"/>
      <c r="CO133" s="1616"/>
      <c r="CP133" s="1616"/>
      <c r="CQ133" s="1616"/>
      <c r="CR133" s="1616"/>
      <c r="CS133" s="1616"/>
      <c r="CT133" s="1616"/>
      <c r="CU133" s="1616"/>
      <c r="CV133" s="1616"/>
      <c r="CW133" s="1616"/>
      <c r="CX133" s="1616"/>
      <c r="CY133" s="1616"/>
      <c r="CZ133" s="1616"/>
      <c r="DA133" s="1616"/>
      <c r="DB133" s="1616"/>
      <c r="DC133" s="1616"/>
      <c r="DD133" s="1616"/>
      <c r="DE133" s="1616"/>
      <c r="DF133" s="1616"/>
      <c r="DG133" s="1616"/>
      <c r="DH133" s="1616"/>
      <c r="DI133" s="1616"/>
      <c r="DJ133" s="1616"/>
      <c r="DK133" s="1616"/>
      <c r="DL133" s="1616"/>
      <c r="DM133" s="1616"/>
      <c r="DN133" s="1616"/>
      <c r="DO133" s="1616"/>
      <c r="DP133" s="1616"/>
      <c r="DQ133" s="1616"/>
      <c r="DR133" s="1616"/>
      <c r="DS133" s="1616"/>
      <c r="DT133" s="1616"/>
      <c r="DU133" s="1616"/>
      <c r="DV133" s="1616"/>
      <c r="DW133" s="1616"/>
      <c r="DX133" s="1616"/>
      <c r="DY133" s="1616"/>
      <c r="DZ133" s="1616"/>
      <c r="EA133" s="1616"/>
      <c r="EB133" s="1616"/>
      <c r="EC133" s="1616"/>
      <c r="ED133" s="1616"/>
      <c r="EE133" s="1616"/>
      <c r="EF133" s="1616"/>
      <c r="EG133" s="1616"/>
      <c r="EH133" s="1616"/>
      <c r="EI133" s="1616"/>
      <c r="EJ133" s="1616"/>
      <c r="EK133" s="1616"/>
      <c r="EL133" s="1616"/>
      <c r="EM133" s="1616"/>
      <c r="EN133" s="1616"/>
      <c r="EO133" s="1616"/>
      <c r="EP133" s="1616"/>
      <c r="EQ133" s="1616"/>
      <c r="ER133" s="1616"/>
      <c r="ES133" s="1616"/>
      <c r="ET133" s="1616"/>
      <c r="EU133" s="1616"/>
      <c r="EV133" s="1616"/>
      <c r="EW133" s="1616"/>
      <c r="EX133" s="1616"/>
      <c r="EY133" s="1616"/>
      <c r="EZ133" s="1616"/>
      <c r="FA133" s="1616"/>
      <c r="FB133" s="1616"/>
      <c r="FC133" s="1616"/>
      <c r="FD133" s="1616"/>
      <c r="FE133" s="1616"/>
      <c r="FF133" s="1616"/>
      <c r="FG133" s="1616"/>
      <c r="FH133" s="1616"/>
      <c r="FI133" s="1616"/>
      <c r="FJ133" s="1616"/>
      <c r="FK133" s="1616"/>
      <c r="FL133" s="1616"/>
      <c r="FM133" s="1616"/>
      <c r="FN133" s="1616"/>
      <c r="FO133" s="1616"/>
      <c r="FP133" s="1616"/>
      <c r="FQ133" s="1616"/>
      <c r="FR133" s="1616"/>
      <c r="FS133" s="1616"/>
      <c r="FT133" s="1616"/>
      <c r="FU133" s="1616"/>
      <c r="FV133" s="1616"/>
      <c r="FW133" s="1616"/>
      <c r="FX133" s="1616"/>
      <c r="FY133" s="1616"/>
      <c r="FZ133" s="1616"/>
      <c r="GA133" s="1616"/>
      <c r="GB133" s="1616"/>
      <c r="GC133" s="1616"/>
      <c r="GD133" s="1616"/>
      <c r="GE133" s="1616"/>
      <c r="GF133" s="1616"/>
      <c r="GG133" s="1616"/>
      <c r="GH133" s="1616"/>
      <c r="GI133" s="1616"/>
      <c r="GJ133" s="1616"/>
      <c r="GK133" s="1616"/>
      <c r="GL133" s="1616"/>
      <c r="GM133" s="1616"/>
      <c r="GN133" s="1616"/>
      <c r="GO133" s="1616"/>
      <c r="GP133" s="1616"/>
      <c r="GQ133" s="1616"/>
      <c r="GR133" s="1616"/>
      <c r="GS133" s="1616"/>
      <c r="GT133" s="1616"/>
      <c r="GU133" s="1616"/>
      <c r="GV133" s="1616"/>
      <c r="GW133" s="1616"/>
      <c r="GX133" s="1616"/>
      <c r="GY133" s="1616"/>
      <c r="GZ133" s="1616"/>
      <c r="HA133" s="1616"/>
      <c r="HB133" s="1616"/>
      <c r="HC133" s="1616"/>
      <c r="HD133" s="1616"/>
      <c r="HE133" s="1616"/>
      <c r="HF133" s="1616"/>
      <c r="HG133" s="1616"/>
      <c r="HH133" s="1616"/>
      <c r="HI133" s="1616"/>
      <c r="HJ133" s="1616"/>
      <c r="HK133" s="1616"/>
      <c r="HL133" s="1616"/>
      <c r="HM133" s="1616"/>
      <c r="HN133" s="1616"/>
      <c r="HO133" s="1616"/>
      <c r="HP133" s="1616"/>
      <c r="HQ133" s="1616"/>
      <c r="HR133" s="1616"/>
      <c r="HS133" s="1616"/>
      <c r="HT133" s="1616"/>
      <c r="HU133" s="1616"/>
      <c r="HV133" s="1616"/>
      <c r="HW133" s="1616"/>
      <c r="HX133" s="1616"/>
      <c r="HY133" s="1616"/>
      <c r="HZ133" s="1616"/>
      <c r="IA133" s="1616"/>
      <c r="IB133" s="1616"/>
      <c r="IC133" s="1616"/>
      <c r="ID133" s="1616"/>
      <c r="IE133" s="1616"/>
      <c r="IF133" s="1616"/>
      <c r="IG133" s="1616"/>
      <c r="IH133" s="1616"/>
      <c r="II133" s="1616"/>
      <c r="IJ133" s="1616"/>
      <c r="IK133" s="1616"/>
      <c r="IL133" s="1616"/>
      <c r="IM133" s="1616"/>
      <c r="IN133" s="1616"/>
      <c r="IO133" s="1616"/>
      <c r="IP133" s="1616"/>
      <c r="IQ133" s="1616"/>
      <c r="IR133" s="1616"/>
      <c r="IS133" s="1616"/>
      <c r="IT133" s="1616"/>
      <c r="IU133" s="1616"/>
    </row>
    <row r="134" spans="1:255" s="604" customFormat="1" ht="13.5" customHeight="1">
      <c r="A134" s="595"/>
      <c r="B134" s="596"/>
      <c r="C134" s="597"/>
      <c r="D134" s="719" t="s">
        <v>6087</v>
      </c>
      <c r="E134" s="599"/>
      <c r="F134" s="600">
        <f>(19.7)*2</f>
        <v>39.4</v>
      </c>
      <c r="G134" s="289"/>
      <c r="H134" s="601"/>
      <c r="I134" s="602"/>
      <c r="J134" s="606"/>
      <c r="U134" s="605"/>
      <c r="W134" s="605"/>
    </row>
    <row r="135" spans="1:255" s="1248" customFormat="1" ht="27" customHeight="1">
      <c r="A135" s="1614">
        <v>36</v>
      </c>
      <c r="B135" s="1615" t="s">
        <v>5808</v>
      </c>
      <c r="C135" s="1615">
        <v>460671114</v>
      </c>
      <c r="D135" s="1615" t="s">
        <v>5862</v>
      </c>
      <c r="E135" s="1615" t="s">
        <v>141</v>
      </c>
      <c r="F135" s="573">
        <f>ROUND(SUM(F137),3)</f>
        <v>29.6</v>
      </c>
      <c r="G135" s="5246" t="s">
        <v>6074</v>
      </c>
      <c r="H135" s="5247"/>
      <c r="I135" s="613" t="s">
        <v>137</v>
      </c>
      <c r="J135" s="1612"/>
      <c r="BM135" s="1616"/>
      <c r="BN135" s="1616"/>
      <c r="BO135" s="1616"/>
      <c r="BP135" s="1616"/>
      <c r="BQ135" s="1616"/>
      <c r="BR135" s="1616"/>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1248" customFormat="1" ht="13.5" customHeight="1">
      <c r="A136" s="1614"/>
      <c r="B136" s="1615"/>
      <c r="C136" s="1615"/>
      <c r="D136" s="719" t="s">
        <v>6043</v>
      </c>
      <c r="E136" s="1615"/>
      <c r="F136" s="1444"/>
      <c r="G136" s="288"/>
      <c r="H136" s="609"/>
      <c r="I136" s="613"/>
      <c r="J136" s="1612"/>
      <c r="BM136" s="1616"/>
      <c r="BN136" s="1616"/>
      <c r="BO136" s="1616"/>
      <c r="BP136" s="1616"/>
      <c r="BQ136" s="1616"/>
      <c r="BR136" s="1616"/>
      <c r="BS136" s="1616"/>
      <c r="BT136" s="1616"/>
      <c r="BU136" s="1616"/>
      <c r="BV136" s="1616"/>
      <c r="BW136" s="1616"/>
      <c r="BX136" s="1616"/>
      <c r="BY136" s="1616"/>
      <c r="BZ136" s="1616"/>
      <c r="CA136" s="1616"/>
      <c r="CB136" s="1616"/>
      <c r="CC136" s="1616"/>
      <c r="CD136" s="1616"/>
      <c r="CE136" s="1616"/>
      <c r="CF136" s="1616"/>
      <c r="CG136" s="1616"/>
      <c r="CH136" s="1616"/>
      <c r="CI136" s="1616"/>
      <c r="CJ136" s="1616"/>
      <c r="CK136" s="1616"/>
      <c r="CL136" s="1616"/>
      <c r="CM136" s="1616"/>
      <c r="CN136" s="1616"/>
      <c r="CO136" s="1616"/>
      <c r="CP136" s="1616"/>
      <c r="CQ136" s="1616"/>
      <c r="CR136" s="1616"/>
      <c r="CS136" s="1616"/>
      <c r="CT136" s="1616"/>
      <c r="CU136" s="1616"/>
      <c r="CV136" s="1616"/>
      <c r="CW136" s="1616"/>
      <c r="CX136" s="1616"/>
      <c r="CY136" s="1616"/>
      <c r="CZ136" s="1616"/>
      <c r="DA136" s="1616"/>
      <c r="DB136" s="1616"/>
      <c r="DC136" s="1616"/>
      <c r="DD136" s="1616"/>
      <c r="DE136" s="1616"/>
      <c r="DF136" s="1616"/>
      <c r="DG136" s="1616"/>
      <c r="DH136" s="1616"/>
      <c r="DI136" s="1616"/>
      <c r="DJ136" s="1616"/>
      <c r="DK136" s="1616"/>
      <c r="DL136" s="1616"/>
      <c r="DM136" s="1616"/>
      <c r="DN136" s="1616"/>
      <c r="DO136" s="1616"/>
      <c r="DP136" s="1616"/>
      <c r="DQ136" s="1616"/>
      <c r="DR136" s="1616"/>
      <c r="DS136" s="1616"/>
      <c r="DT136" s="1616"/>
      <c r="DU136" s="1616"/>
      <c r="DV136" s="1616"/>
      <c r="DW136" s="1616"/>
      <c r="DX136" s="1616"/>
      <c r="DY136" s="1616"/>
      <c r="DZ136" s="1616"/>
      <c r="EA136" s="1616"/>
      <c r="EB136" s="1616"/>
      <c r="EC136" s="1616"/>
      <c r="ED136" s="1616"/>
      <c r="EE136" s="1616"/>
      <c r="EF136" s="1616"/>
      <c r="EG136" s="1616"/>
      <c r="EH136" s="1616"/>
      <c r="EI136" s="1616"/>
      <c r="EJ136" s="1616"/>
      <c r="EK136" s="1616"/>
      <c r="EL136" s="1616"/>
      <c r="EM136" s="1616"/>
      <c r="EN136" s="1616"/>
      <c r="EO136" s="1616"/>
      <c r="EP136" s="1616"/>
      <c r="EQ136" s="1616"/>
      <c r="ER136" s="1616"/>
      <c r="ES136" s="1616"/>
      <c r="ET136" s="1616"/>
      <c r="EU136" s="1616"/>
      <c r="EV136" s="1616"/>
      <c r="EW136" s="1616"/>
      <c r="EX136" s="1616"/>
      <c r="EY136" s="1616"/>
      <c r="EZ136" s="1616"/>
      <c r="FA136" s="1616"/>
      <c r="FB136" s="1616"/>
      <c r="FC136" s="1616"/>
      <c r="FD136" s="1616"/>
      <c r="FE136" s="1616"/>
      <c r="FF136" s="1616"/>
      <c r="FG136" s="1616"/>
      <c r="FH136" s="1616"/>
      <c r="FI136" s="1616"/>
      <c r="FJ136" s="1616"/>
      <c r="FK136" s="1616"/>
      <c r="FL136" s="1616"/>
      <c r="FM136" s="1616"/>
      <c r="FN136" s="1616"/>
      <c r="FO136" s="1616"/>
      <c r="FP136" s="1616"/>
      <c r="FQ136" s="1616"/>
      <c r="FR136" s="1616"/>
      <c r="FS136" s="1616"/>
      <c r="FT136" s="1616"/>
      <c r="FU136" s="1616"/>
      <c r="FV136" s="1616"/>
      <c r="FW136" s="1616"/>
      <c r="FX136" s="1616"/>
      <c r="FY136" s="1616"/>
      <c r="FZ136" s="1616"/>
      <c r="GA136" s="1616"/>
      <c r="GB136" s="1616"/>
      <c r="GC136" s="1616"/>
      <c r="GD136" s="1616"/>
      <c r="GE136" s="1616"/>
      <c r="GF136" s="1616"/>
      <c r="GG136" s="1616"/>
      <c r="GH136" s="1616"/>
      <c r="GI136" s="1616"/>
      <c r="GJ136" s="1616"/>
      <c r="GK136" s="1616"/>
      <c r="GL136" s="1616"/>
      <c r="GM136" s="1616"/>
      <c r="GN136" s="1616"/>
      <c r="GO136" s="1616"/>
      <c r="GP136" s="1616"/>
      <c r="GQ136" s="1616"/>
      <c r="GR136" s="1616"/>
      <c r="GS136" s="1616"/>
      <c r="GT136" s="1616"/>
      <c r="GU136" s="1616"/>
      <c r="GV136" s="1616"/>
      <c r="GW136" s="1616"/>
      <c r="GX136" s="1616"/>
      <c r="GY136" s="1616"/>
      <c r="GZ136" s="1616"/>
      <c r="HA136" s="1616"/>
      <c r="HB136" s="1616"/>
      <c r="HC136" s="1616"/>
      <c r="HD136" s="1616"/>
      <c r="HE136" s="1616"/>
      <c r="HF136" s="1616"/>
      <c r="HG136" s="1616"/>
      <c r="HH136" s="1616"/>
      <c r="HI136" s="1616"/>
      <c r="HJ136" s="1616"/>
      <c r="HK136" s="1616"/>
      <c r="HL136" s="1616"/>
      <c r="HM136" s="1616"/>
      <c r="HN136" s="1616"/>
      <c r="HO136" s="1616"/>
      <c r="HP136" s="1616"/>
      <c r="HQ136" s="1616"/>
      <c r="HR136" s="1616"/>
      <c r="HS136" s="1616"/>
      <c r="HT136" s="1616"/>
      <c r="HU136" s="1616"/>
      <c r="HV136" s="1616"/>
      <c r="HW136" s="1616"/>
      <c r="HX136" s="1616"/>
      <c r="HY136" s="1616"/>
      <c r="HZ136" s="1616"/>
      <c r="IA136" s="1616"/>
      <c r="IB136" s="1616"/>
      <c r="IC136" s="1616"/>
      <c r="ID136" s="1616"/>
      <c r="IE136" s="1616"/>
      <c r="IF136" s="1616"/>
      <c r="IG136" s="1616"/>
      <c r="IH136" s="1616"/>
      <c r="II136" s="1616"/>
      <c r="IJ136" s="1616"/>
      <c r="IK136" s="1616"/>
      <c r="IL136" s="1616"/>
      <c r="IM136" s="1616"/>
      <c r="IN136" s="1616"/>
      <c r="IO136" s="1616"/>
      <c r="IP136" s="1616"/>
      <c r="IQ136" s="1616"/>
      <c r="IR136" s="1616"/>
      <c r="IS136" s="1616"/>
      <c r="IT136" s="1616"/>
      <c r="IU136" s="1616"/>
    </row>
    <row r="137" spans="1:255" s="604" customFormat="1" ht="13.5" customHeight="1">
      <c r="A137" s="595"/>
      <c r="B137" s="596"/>
      <c r="C137" s="597"/>
      <c r="D137" s="719" t="s">
        <v>6044</v>
      </c>
      <c r="E137" s="599"/>
      <c r="F137" s="600">
        <f>(14.8)*2</f>
        <v>29.6</v>
      </c>
      <c r="G137" s="289"/>
      <c r="H137" s="601"/>
      <c r="I137" s="602"/>
      <c r="J137" s="606"/>
      <c r="U137" s="605"/>
      <c r="W137" s="605"/>
    </row>
    <row r="138" spans="1:255" s="1248" customFormat="1" ht="13.5" customHeight="1">
      <c r="A138" s="1624" t="s">
        <v>1262</v>
      </c>
      <c r="B138" s="1615" t="s">
        <v>5808</v>
      </c>
      <c r="C138" s="1615" t="s">
        <v>5865</v>
      </c>
      <c r="D138" s="1615" t="s">
        <v>6045</v>
      </c>
      <c r="E138" s="1615" t="s">
        <v>141</v>
      </c>
      <c r="F138" s="573">
        <f>ROUND(SUM(F140:F140),3)</f>
        <v>1.65</v>
      </c>
      <c r="G138" s="288"/>
      <c r="H138" s="568">
        <f>ROUND(F138*G138,2)</f>
        <v>0</v>
      </c>
      <c r="I138" s="1014" t="s">
        <v>111</v>
      </c>
      <c r="J138" s="1565"/>
      <c r="K138" s="612"/>
      <c r="U138" s="1569"/>
      <c r="CF138" s="1616"/>
      <c r="CG138" s="1616"/>
      <c r="CH138" s="1616"/>
      <c r="CI138" s="1616"/>
      <c r="CJ138" s="1616"/>
      <c r="CK138" s="1616"/>
      <c r="CL138" s="1616"/>
      <c r="CM138" s="1616"/>
      <c r="CN138" s="1616"/>
      <c r="CO138" s="1616"/>
      <c r="CP138" s="1616"/>
      <c r="CQ138" s="1616"/>
      <c r="CR138" s="1616"/>
      <c r="CS138" s="1616"/>
      <c r="CT138" s="1616"/>
      <c r="CU138" s="1616"/>
      <c r="CV138" s="1616"/>
      <c r="CW138" s="1616"/>
      <c r="CX138" s="1616"/>
      <c r="CY138" s="1616"/>
      <c r="CZ138" s="1616"/>
      <c r="DA138" s="1616"/>
      <c r="DB138" s="1616"/>
      <c r="DC138" s="1616"/>
      <c r="DD138" s="1616"/>
      <c r="DE138" s="1616"/>
      <c r="DF138" s="1616"/>
      <c r="DG138" s="1616"/>
      <c r="DH138" s="1616"/>
      <c r="DI138" s="1616"/>
      <c r="DJ138" s="1616"/>
      <c r="DK138" s="1616"/>
      <c r="DL138" s="1616"/>
      <c r="DM138" s="1616"/>
      <c r="DN138" s="1616"/>
      <c r="DO138" s="1616"/>
      <c r="DP138" s="1616"/>
      <c r="DQ138" s="1616"/>
      <c r="DR138" s="1616"/>
      <c r="DS138" s="1616"/>
      <c r="DT138" s="1616"/>
      <c r="DU138" s="1616"/>
      <c r="DV138" s="1616"/>
      <c r="DW138" s="1616"/>
      <c r="DX138" s="1616"/>
      <c r="DY138" s="1616"/>
      <c r="DZ138" s="1616"/>
      <c r="EA138" s="1616"/>
      <c r="EB138" s="1616"/>
      <c r="EC138" s="1616"/>
      <c r="ED138" s="1616"/>
      <c r="EE138" s="1616"/>
      <c r="EF138" s="1616"/>
      <c r="EG138" s="1616"/>
      <c r="EH138" s="1616"/>
      <c r="EI138" s="1616"/>
      <c r="EJ138" s="1616"/>
      <c r="EK138" s="1616"/>
      <c r="EL138" s="1616"/>
      <c r="EM138" s="1616"/>
      <c r="EN138" s="1616"/>
      <c r="EO138" s="1616"/>
      <c r="EP138" s="1616"/>
      <c r="EQ138" s="1616"/>
      <c r="ER138" s="1616"/>
      <c r="ES138" s="1616"/>
      <c r="ET138" s="1616"/>
      <c r="EU138" s="1616"/>
      <c r="EV138" s="1616"/>
      <c r="EW138" s="1616"/>
      <c r="EX138" s="1616"/>
      <c r="EY138" s="1616"/>
      <c r="EZ138" s="1616"/>
      <c r="FA138" s="1616"/>
      <c r="FB138" s="1616"/>
      <c r="FC138" s="1616"/>
      <c r="FD138" s="1616"/>
      <c r="FE138" s="1616"/>
      <c r="FF138" s="1616"/>
      <c r="FG138" s="1616"/>
      <c r="FH138" s="1616"/>
      <c r="FI138" s="1616"/>
      <c r="FJ138" s="1616"/>
      <c r="FK138" s="1616"/>
      <c r="FL138" s="1616"/>
      <c r="FM138" s="1616"/>
      <c r="FN138" s="1616"/>
      <c r="FO138" s="1616"/>
      <c r="FP138" s="1616"/>
      <c r="FQ138" s="1616"/>
      <c r="FR138" s="1616"/>
      <c r="FS138" s="1616"/>
      <c r="FT138" s="1616"/>
      <c r="FU138" s="1616"/>
      <c r="FV138" s="1616"/>
      <c r="FW138" s="1616"/>
      <c r="FX138" s="1616"/>
      <c r="FY138" s="1616"/>
      <c r="FZ138" s="1616"/>
      <c r="GA138" s="1616"/>
      <c r="GB138" s="1616"/>
      <c r="GC138" s="1616"/>
      <c r="GD138" s="1616"/>
      <c r="GE138" s="1616"/>
      <c r="GF138" s="1616"/>
      <c r="GG138" s="1616"/>
      <c r="GH138" s="1616"/>
      <c r="GI138" s="1616"/>
      <c r="GJ138" s="1616"/>
      <c r="GK138" s="1616"/>
      <c r="GL138" s="1616"/>
      <c r="GM138" s="1616"/>
      <c r="GN138" s="1616"/>
      <c r="GO138" s="1616"/>
      <c r="GP138" s="1616"/>
      <c r="GQ138" s="1616"/>
      <c r="GR138" s="1616"/>
      <c r="GS138" s="1616"/>
      <c r="GT138" s="1616"/>
      <c r="GU138" s="1616"/>
      <c r="GV138" s="1616"/>
      <c r="GW138" s="1616"/>
      <c r="GX138" s="1616"/>
      <c r="GY138" s="1616"/>
      <c r="GZ138" s="1616"/>
      <c r="HA138" s="1616"/>
      <c r="HB138" s="1616"/>
      <c r="HC138" s="1616"/>
      <c r="HD138" s="1616"/>
      <c r="HE138" s="1616"/>
      <c r="HF138" s="1616"/>
      <c r="HG138" s="1616"/>
      <c r="HH138" s="1616"/>
      <c r="HI138" s="1616"/>
      <c r="HJ138" s="1616"/>
      <c r="HK138" s="1616"/>
      <c r="HL138" s="1616"/>
      <c r="HM138" s="1616"/>
      <c r="HN138" s="1616"/>
      <c r="HO138" s="1616"/>
      <c r="HP138" s="1616"/>
      <c r="HQ138" s="1616"/>
      <c r="HR138" s="1616"/>
      <c r="HS138" s="1616"/>
      <c r="HT138" s="1616"/>
      <c r="HU138" s="1616"/>
      <c r="HV138" s="1616"/>
      <c r="HW138" s="1616"/>
      <c r="HX138" s="1616"/>
      <c r="HY138" s="1616"/>
      <c r="HZ138" s="1616"/>
      <c r="IA138" s="1616"/>
      <c r="IB138" s="1616"/>
      <c r="IC138" s="1616"/>
      <c r="ID138" s="1616"/>
      <c r="IE138" s="1616"/>
      <c r="IF138" s="1616"/>
      <c r="IG138" s="1616"/>
      <c r="IH138" s="1616"/>
      <c r="II138" s="1616"/>
      <c r="IJ138" s="1616"/>
      <c r="IK138" s="1616"/>
      <c r="IL138" s="1616"/>
      <c r="IM138" s="1616"/>
      <c r="IN138" s="1616"/>
      <c r="IO138" s="1616"/>
      <c r="IP138" s="1616"/>
      <c r="IQ138" s="1616"/>
      <c r="IR138" s="1616"/>
      <c r="IS138" s="1616"/>
      <c r="IT138" s="1616"/>
      <c r="IU138" s="1616"/>
    </row>
    <row r="139" spans="1:255" s="1631" customFormat="1" ht="13.5" customHeight="1">
      <c r="A139" s="1625"/>
      <c r="B139" s="1626"/>
      <c r="C139" s="1627"/>
      <c r="D139" s="1628" t="s">
        <v>6046</v>
      </c>
      <c r="E139" s="599"/>
      <c r="F139" s="600"/>
      <c r="G139" s="410"/>
      <c r="H139" s="1629"/>
      <c r="I139" s="1630"/>
      <c r="J139" s="1566"/>
      <c r="K139" s="1567"/>
      <c r="L139" s="604"/>
      <c r="M139" s="604"/>
      <c r="N139" s="604"/>
      <c r="O139" s="604"/>
      <c r="P139" s="604"/>
      <c r="Q139" s="604"/>
      <c r="R139" s="604"/>
      <c r="S139" s="604"/>
      <c r="T139" s="604"/>
      <c r="U139" s="1572"/>
      <c r="W139" s="1632"/>
    </row>
    <row r="140" spans="1:255" s="1631" customFormat="1" ht="13.5" customHeight="1">
      <c r="A140" s="1625"/>
      <c r="B140" s="1626"/>
      <c r="C140" s="1627"/>
      <c r="D140" s="1628" t="s">
        <v>6088</v>
      </c>
      <c r="E140" s="599"/>
      <c r="F140" s="600">
        <f>(1.5)*1.1</f>
        <v>1.6500000000000001</v>
      </c>
      <c r="G140" s="410"/>
      <c r="H140" s="1629"/>
      <c r="I140" s="1630"/>
      <c r="J140" s="1639"/>
      <c r="U140" s="1632"/>
      <c r="W140" s="1632"/>
    </row>
    <row r="141" spans="1:255" s="1631" customFormat="1" ht="13.5" customHeight="1">
      <c r="A141" s="1625"/>
      <c r="B141" s="1626"/>
      <c r="C141" s="1627"/>
      <c r="D141" s="1634" t="s">
        <v>5869</v>
      </c>
      <c r="E141" s="599"/>
      <c r="F141" s="600"/>
      <c r="G141" s="410"/>
      <c r="H141" s="1629"/>
      <c r="I141" s="1630"/>
      <c r="J141" s="1635"/>
      <c r="P141" s="1636"/>
      <c r="U141" s="1632"/>
      <c r="W141" s="1632"/>
    </row>
    <row r="142" spans="1:255" s="1631" customFormat="1" ht="13.5" customHeight="1">
      <c r="A142" s="1625"/>
      <c r="B142" s="1626"/>
      <c r="C142" s="1627"/>
      <c r="D142" s="1634" t="s">
        <v>5870</v>
      </c>
      <c r="E142" s="599"/>
      <c r="F142" s="600"/>
      <c r="G142" s="410"/>
      <c r="H142" s="1629"/>
      <c r="I142" s="1630"/>
      <c r="J142" s="1637"/>
      <c r="U142" s="1632"/>
      <c r="W142" s="1632"/>
    </row>
    <row r="143" spans="1:255" s="1248" customFormat="1" ht="13.5" customHeight="1">
      <c r="A143" s="1624" t="s">
        <v>1266</v>
      </c>
      <c r="B143" s="1615" t="s">
        <v>5808</v>
      </c>
      <c r="C143" s="1615" t="s">
        <v>5871</v>
      </c>
      <c r="D143" s="1615" t="s">
        <v>6048</v>
      </c>
      <c r="E143" s="1615" t="s">
        <v>141</v>
      </c>
      <c r="F143" s="573">
        <f>ROUND(SUM(F145),3)</f>
        <v>37.950000000000003</v>
      </c>
      <c r="G143" s="288"/>
      <c r="H143" s="568">
        <f>ROUND(F143*G143,2)</f>
        <v>0</v>
      </c>
      <c r="I143" s="1014" t="s">
        <v>111</v>
      </c>
      <c r="J143" s="1565"/>
      <c r="K143" s="612"/>
      <c r="U143" s="1569"/>
      <c r="BU143" s="1616"/>
      <c r="BV143" s="1616"/>
      <c r="BW143" s="1616"/>
      <c r="BX143" s="1616"/>
      <c r="BY143" s="1616"/>
      <c r="BZ143" s="1616"/>
      <c r="CA143" s="1616"/>
      <c r="CB143" s="1616"/>
      <c r="CC143" s="1616"/>
      <c r="CD143" s="1616"/>
      <c r="CE143" s="1616"/>
      <c r="CF143" s="1616"/>
      <c r="CG143" s="1616"/>
      <c r="CH143" s="1616"/>
      <c r="CI143" s="1616"/>
      <c r="CJ143" s="1616"/>
      <c r="CK143" s="1616"/>
      <c r="CL143" s="1616"/>
      <c r="CM143" s="1616"/>
      <c r="CN143" s="1616"/>
      <c r="CO143" s="1616"/>
      <c r="CP143" s="1616"/>
      <c r="CQ143" s="1616"/>
      <c r="CR143" s="1616"/>
      <c r="CS143" s="1616"/>
      <c r="CT143" s="1616"/>
      <c r="CU143" s="1616"/>
      <c r="CV143" s="1616"/>
      <c r="CW143" s="1616"/>
      <c r="CX143" s="1616"/>
      <c r="CY143" s="1616"/>
      <c r="CZ143" s="1616"/>
      <c r="DA143" s="1616"/>
      <c r="DB143" s="1616"/>
      <c r="DC143" s="1616"/>
      <c r="DD143" s="1616"/>
      <c r="DE143" s="1616"/>
      <c r="DF143" s="1616"/>
      <c r="DG143" s="1616"/>
      <c r="DH143" s="1616"/>
      <c r="DI143" s="1616"/>
      <c r="DJ143" s="1616"/>
      <c r="DK143" s="1616"/>
      <c r="DL143" s="1616"/>
      <c r="DM143" s="1616"/>
      <c r="DN143" s="1616"/>
      <c r="DO143" s="1616"/>
      <c r="DP143" s="1616"/>
      <c r="DQ143" s="1616"/>
      <c r="DR143" s="1616"/>
      <c r="DS143" s="1616"/>
      <c r="DT143" s="1616"/>
      <c r="DU143" s="1616"/>
      <c r="DV143" s="1616"/>
      <c r="DW143" s="1616"/>
      <c r="DX143" s="1616"/>
      <c r="DY143" s="1616"/>
      <c r="DZ143" s="1616"/>
      <c r="EA143" s="1616"/>
      <c r="EB143" s="1616"/>
      <c r="EC143" s="1616"/>
      <c r="ED143" s="1616"/>
      <c r="EE143" s="1616"/>
      <c r="EF143" s="1616"/>
      <c r="EG143" s="1616"/>
      <c r="EH143" s="1616"/>
      <c r="EI143" s="1616"/>
      <c r="EJ143" s="1616"/>
      <c r="EK143" s="1616"/>
      <c r="EL143" s="1616"/>
      <c r="EM143" s="1616"/>
      <c r="EN143" s="1616"/>
      <c r="EO143" s="1616"/>
      <c r="EP143" s="1616"/>
      <c r="EQ143" s="1616"/>
      <c r="ER143" s="1616"/>
      <c r="ES143" s="1616"/>
      <c r="ET143" s="1616"/>
      <c r="EU143" s="1616"/>
      <c r="EV143" s="1616"/>
      <c r="EW143" s="1616"/>
      <c r="EX143" s="1616"/>
      <c r="EY143" s="1616"/>
      <c r="EZ143" s="1616"/>
      <c r="FA143" s="1616"/>
      <c r="FB143" s="1616"/>
      <c r="FC143" s="1616"/>
      <c r="FD143" s="1616"/>
      <c r="FE143" s="1616"/>
      <c r="FF143" s="1616"/>
      <c r="FG143" s="1616"/>
      <c r="FH143" s="1616"/>
      <c r="FI143" s="1616"/>
      <c r="FJ143" s="1616"/>
      <c r="FK143" s="1616"/>
      <c r="FL143" s="1616"/>
      <c r="FM143" s="1616"/>
      <c r="FN143" s="1616"/>
      <c r="FO143" s="1616"/>
      <c r="FP143" s="1616"/>
      <c r="FQ143" s="1616"/>
      <c r="FR143" s="1616"/>
      <c r="FS143" s="1616"/>
      <c r="FT143" s="1616"/>
      <c r="FU143" s="1616"/>
      <c r="FV143" s="1616"/>
      <c r="FW143" s="1616"/>
      <c r="FX143" s="1616"/>
      <c r="FY143" s="1616"/>
      <c r="FZ143" s="1616"/>
      <c r="GA143" s="1616"/>
      <c r="GB143" s="1616"/>
      <c r="GC143" s="1616"/>
      <c r="GD143" s="1616"/>
      <c r="GE143" s="1616"/>
      <c r="GF143" s="1616"/>
      <c r="GG143" s="1616"/>
      <c r="GH143" s="1616"/>
      <c r="GI143" s="1616"/>
      <c r="GJ143" s="1616"/>
      <c r="GK143" s="1616"/>
      <c r="GL143" s="1616"/>
      <c r="GM143" s="1616"/>
      <c r="GN143" s="1616"/>
      <c r="GO143" s="1616"/>
      <c r="GP143" s="1616"/>
      <c r="GQ143" s="1616"/>
      <c r="GR143" s="1616"/>
      <c r="GS143" s="1616"/>
      <c r="GT143" s="1616"/>
      <c r="GU143" s="1616"/>
      <c r="GV143" s="1616"/>
      <c r="GW143" s="1616"/>
      <c r="GX143" s="1616"/>
      <c r="GY143" s="1616"/>
      <c r="GZ143" s="1616"/>
      <c r="HA143" s="1616"/>
      <c r="HB143" s="1616"/>
      <c r="HC143" s="1616"/>
      <c r="HD143" s="1616"/>
      <c r="HE143" s="1616"/>
      <c r="HF143" s="1616"/>
      <c r="HG143" s="1616"/>
      <c r="HH143" s="1616"/>
      <c r="HI143" s="1616"/>
      <c r="HJ143" s="1616"/>
      <c r="HK143" s="1616"/>
      <c r="HL143" s="1616"/>
      <c r="HM143" s="1616"/>
      <c r="HN143" s="1616"/>
      <c r="HO143" s="1616"/>
      <c r="HP143" s="1616"/>
      <c r="HQ143" s="1616"/>
      <c r="HR143" s="1616"/>
      <c r="HS143" s="1616"/>
      <c r="HT143" s="1616"/>
      <c r="HU143" s="1616"/>
      <c r="HV143" s="1616"/>
      <c r="HW143" s="1616"/>
      <c r="HX143" s="1616"/>
      <c r="HY143" s="1616"/>
      <c r="HZ143" s="1616"/>
      <c r="IA143" s="1616"/>
      <c r="IB143" s="1616"/>
      <c r="IC143" s="1616"/>
      <c r="ID143" s="1616"/>
      <c r="IE143" s="1616"/>
      <c r="IF143" s="1616"/>
      <c r="IG143" s="1616"/>
      <c r="IH143" s="1616"/>
      <c r="II143" s="1616"/>
      <c r="IJ143" s="1616"/>
      <c r="IK143" s="1616"/>
      <c r="IL143" s="1616"/>
      <c r="IM143" s="1616"/>
      <c r="IN143" s="1616"/>
      <c r="IO143" s="1616"/>
      <c r="IP143" s="1616"/>
      <c r="IQ143" s="1616"/>
      <c r="IR143" s="1616"/>
      <c r="IS143" s="1616"/>
      <c r="IT143" s="1616"/>
      <c r="IU143" s="1616"/>
    </row>
    <row r="144" spans="1:255" s="1631" customFormat="1" ht="13.5" customHeight="1">
      <c r="A144" s="1625"/>
      <c r="B144" s="1626"/>
      <c r="C144" s="1627"/>
      <c r="D144" s="1628" t="s">
        <v>6049</v>
      </c>
      <c r="E144" s="599"/>
      <c r="F144" s="600"/>
      <c r="G144" s="410"/>
      <c r="H144" s="1629"/>
      <c r="I144" s="1630"/>
      <c r="J144" s="1566"/>
      <c r="K144" s="1567"/>
      <c r="L144" s="604"/>
      <c r="M144" s="604"/>
      <c r="N144" s="604"/>
      <c r="O144" s="604"/>
      <c r="P144" s="604"/>
      <c r="Q144" s="604"/>
      <c r="R144" s="604"/>
      <c r="S144" s="604"/>
      <c r="T144" s="604"/>
      <c r="U144" s="1572"/>
    </row>
    <row r="145" spans="1:256" s="1631" customFormat="1" ht="13.5" customHeight="1">
      <c r="A145" s="1625"/>
      <c r="B145" s="1626"/>
      <c r="C145" s="1627"/>
      <c r="D145" s="1628" t="s">
        <v>6089</v>
      </c>
      <c r="E145" s="599"/>
      <c r="F145" s="600">
        <f>(14.8+19.7)*1.1</f>
        <v>37.950000000000003</v>
      </c>
      <c r="G145" s="410"/>
      <c r="H145" s="1629"/>
      <c r="I145" s="1630"/>
      <c r="J145" s="1566"/>
      <c r="K145" s="1567"/>
      <c r="U145" s="1572"/>
      <c r="W145" s="1638"/>
    </row>
    <row r="146" spans="1:256" s="1631" customFormat="1" ht="13.5" customHeight="1">
      <c r="A146" s="1625"/>
      <c r="B146" s="1626"/>
      <c r="C146" s="1627"/>
      <c r="D146" s="1634" t="s">
        <v>5869</v>
      </c>
      <c r="E146" s="599"/>
      <c r="F146" s="600"/>
      <c r="G146" s="410"/>
      <c r="H146" s="1629"/>
      <c r="I146" s="1630"/>
      <c r="J146" s="1639"/>
      <c r="U146" s="1632"/>
      <c r="W146" s="1632"/>
    </row>
    <row r="147" spans="1:256" s="1631" customFormat="1" ht="13.5" customHeight="1">
      <c r="A147" s="1625"/>
      <c r="B147" s="1626"/>
      <c r="C147" s="1627"/>
      <c r="D147" s="1634" t="s">
        <v>5870</v>
      </c>
      <c r="E147" s="599"/>
      <c r="F147" s="600"/>
      <c r="G147" s="410"/>
      <c r="H147" s="1629"/>
      <c r="I147" s="1630"/>
      <c r="J147" s="1637"/>
      <c r="N147" s="1635"/>
      <c r="U147" s="1632"/>
      <c r="W147" s="1632"/>
    </row>
    <row r="148" spans="1:256" s="1248" customFormat="1" ht="27" customHeight="1">
      <c r="A148" s="1614">
        <v>39</v>
      </c>
      <c r="B148" s="1252">
        <v>946</v>
      </c>
      <c r="C148" s="1245" t="s">
        <v>5875</v>
      </c>
      <c r="D148" s="1245" t="s">
        <v>5876</v>
      </c>
      <c r="E148" s="1245" t="s">
        <v>146</v>
      </c>
      <c r="F148" s="1640">
        <f>ROUND(SUM(F150,F152),3)</f>
        <v>6.4029999999999996</v>
      </c>
      <c r="G148" s="1641">
        <f>ROUND(SUM(H154:H157)/F148,2)</f>
        <v>0</v>
      </c>
      <c r="H148" s="568">
        <f>ROUND(F148*G148,2)</f>
        <v>0</v>
      </c>
      <c r="I148" s="1280" t="s">
        <v>111</v>
      </c>
    </row>
    <row r="149" spans="1:256" s="1248" customFormat="1" ht="13.5" customHeight="1">
      <c r="A149" s="1244"/>
      <c r="B149" s="1252"/>
      <c r="C149" s="1245"/>
      <c r="D149" s="1255" t="s">
        <v>4784</v>
      </c>
      <c r="E149" s="1245"/>
      <c r="F149" s="1246"/>
      <c r="G149" s="404"/>
      <c r="H149" s="1247"/>
      <c r="I149" s="1280"/>
      <c r="J149" s="1642"/>
      <c r="K149" s="1643"/>
      <c r="L149" s="1643"/>
      <c r="M149" s="1642"/>
      <c r="N149" s="1644"/>
    </row>
    <row r="150" spans="1:256" s="593" customFormat="1" ht="13.5" customHeight="1">
      <c r="A150" s="789"/>
      <c r="B150" s="790"/>
      <c r="C150" s="1245"/>
      <c r="D150" s="756" t="s">
        <v>182</v>
      </c>
      <c r="E150" s="1260"/>
      <c r="F150" s="758">
        <f>SUM(F151)</f>
        <v>5.7622499999999999</v>
      </c>
      <c r="G150" s="879"/>
      <c r="H150" s="587"/>
      <c r="I150" s="1014"/>
      <c r="J150" s="1262"/>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213"/>
      <c r="CY150" s="213"/>
      <c r="CZ150" s="213"/>
      <c r="DA150" s="213"/>
      <c r="DB150" s="213"/>
      <c r="DC150" s="213"/>
      <c r="DD150" s="213"/>
      <c r="DE150" s="213"/>
      <c r="DF150" s="213"/>
      <c r="DG150" s="213"/>
      <c r="DH150" s="213"/>
      <c r="DI150" s="213"/>
      <c r="DJ150" s="213"/>
      <c r="DK150" s="213"/>
      <c r="DL150" s="213"/>
      <c r="DM150" s="213"/>
      <c r="DN150" s="213"/>
      <c r="DO150" s="213"/>
      <c r="DP150" s="213"/>
      <c r="DQ150" s="213"/>
      <c r="DR150" s="213"/>
      <c r="DS150" s="213"/>
      <c r="DT150" s="213"/>
      <c r="DU150" s="213"/>
      <c r="DV150" s="213"/>
      <c r="DW150" s="213"/>
      <c r="DX150" s="213"/>
      <c r="DY150" s="213"/>
      <c r="DZ150" s="213"/>
      <c r="EA150" s="213"/>
      <c r="EB150" s="213"/>
      <c r="EC150" s="213"/>
      <c r="ED150" s="213"/>
      <c r="EE150" s="213"/>
      <c r="EF150" s="213"/>
      <c r="EG150" s="213"/>
      <c r="EH150" s="213"/>
      <c r="EI150" s="213"/>
      <c r="EJ150" s="213"/>
      <c r="EK150" s="213"/>
      <c r="EL150" s="213"/>
      <c r="EM150" s="213"/>
      <c r="EN150" s="213"/>
      <c r="EO150" s="213"/>
      <c r="EP150" s="213"/>
      <c r="EQ150" s="213"/>
      <c r="ER150" s="213"/>
      <c r="ES150" s="213"/>
      <c r="ET150" s="213"/>
      <c r="EU150" s="213"/>
      <c r="EV150" s="213"/>
      <c r="EW150" s="213"/>
      <c r="EX150" s="213"/>
      <c r="EY150" s="213"/>
      <c r="EZ150" s="213"/>
      <c r="FA150" s="213"/>
      <c r="FB150" s="213"/>
      <c r="FC150" s="213"/>
      <c r="FD150" s="213"/>
      <c r="FE150" s="213"/>
      <c r="FF150" s="213"/>
      <c r="FG150" s="213"/>
      <c r="FH150" s="213"/>
      <c r="FI150" s="213"/>
      <c r="FJ150" s="213"/>
      <c r="FK150" s="213"/>
      <c r="FL150" s="213"/>
      <c r="FM150" s="213"/>
      <c r="FN150" s="213"/>
      <c r="FO150" s="213"/>
      <c r="FP150" s="213"/>
      <c r="FQ150" s="213"/>
      <c r="FR150" s="213"/>
      <c r="FS150" s="213"/>
      <c r="FT150" s="213"/>
      <c r="FU150" s="213"/>
      <c r="FV150" s="213"/>
      <c r="FW150" s="213"/>
      <c r="FX150" s="213"/>
      <c r="FY150" s="213"/>
      <c r="FZ150" s="213"/>
      <c r="GA150" s="213"/>
      <c r="GB150" s="213"/>
      <c r="GC150" s="213"/>
      <c r="GD150" s="213"/>
      <c r="GE150" s="213"/>
      <c r="GF150" s="213"/>
      <c r="GG150" s="213"/>
      <c r="GH150" s="213"/>
      <c r="GI150" s="213"/>
      <c r="GJ150" s="213"/>
      <c r="GK150" s="213"/>
      <c r="GL150" s="213"/>
      <c r="GM150" s="213"/>
      <c r="GN150" s="213"/>
      <c r="GO150" s="213"/>
      <c r="GP150" s="213"/>
      <c r="GQ150" s="213"/>
      <c r="GR150" s="213"/>
      <c r="GS150" s="213"/>
      <c r="GT150" s="213"/>
      <c r="GU150" s="213"/>
      <c r="GV150" s="213"/>
      <c r="GW150" s="213"/>
      <c r="GX150" s="213"/>
      <c r="GY150" s="213"/>
      <c r="GZ150" s="213"/>
      <c r="HA150" s="213"/>
      <c r="HB150" s="213"/>
      <c r="HC150" s="213"/>
      <c r="HD150" s="213"/>
      <c r="HE150" s="213"/>
      <c r="HF150" s="213"/>
      <c r="HG150" s="213"/>
      <c r="HH150" s="213"/>
      <c r="HI150" s="213"/>
      <c r="HJ150" s="213"/>
      <c r="HK150" s="213"/>
      <c r="HL150" s="213"/>
      <c r="HM150" s="213"/>
      <c r="HN150" s="213"/>
      <c r="HO150" s="213"/>
      <c r="HP150" s="213"/>
      <c r="HQ150" s="213"/>
      <c r="HR150" s="213"/>
      <c r="HS150" s="213"/>
      <c r="HT150" s="213"/>
      <c r="HU150" s="213"/>
      <c r="HV150" s="213"/>
      <c r="HW150" s="213"/>
      <c r="HX150" s="213"/>
      <c r="HY150" s="213"/>
      <c r="HZ150" s="213"/>
      <c r="IA150" s="213"/>
      <c r="IB150" s="213"/>
      <c r="IC150" s="213"/>
      <c r="ID150" s="213"/>
      <c r="IE150" s="213"/>
      <c r="IF150" s="213"/>
      <c r="IG150" s="213"/>
      <c r="IH150" s="213"/>
      <c r="II150" s="213"/>
      <c r="IJ150" s="213"/>
      <c r="IK150" s="213"/>
      <c r="IL150" s="213"/>
      <c r="IM150" s="213"/>
      <c r="IN150" s="213"/>
      <c r="IO150" s="213"/>
      <c r="IP150" s="213"/>
      <c r="IQ150" s="213"/>
      <c r="IR150" s="213"/>
      <c r="IS150" s="213"/>
      <c r="IT150" s="213"/>
      <c r="IU150" s="213"/>
      <c r="IV150" s="213"/>
    </row>
    <row r="151" spans="1:256" s="1248" customFormat="1" ht="27" customHeight="1">
      <c r="A151" s="1524"/>
      <c r="B151" s="1525"/>
      <c r="C151" s="1645"/>
      <c r="D151" s="1255" t="s">
        <v>6090</v>
      </c>
      <c r="E151" s="1255"/>
      <c r="F151" s="1249">
        <f>(19.7*0.65*0.5)*(0.85+0.05)</f>
        <v>5.7622499999999999</v>
      </c>
      <c r="G151" s="404"/>
      <c r="H151" s="1247"/>
      <c r="I151" s="1492"/>
      <c r="J151" s="1523"/>
    </row>
    <row r="152" spans="1:256" s="593" customFormat="1" ht="13.5" customHeight="1">
      <c r="A152" s="789"/>
      <c r="B152" s="790"/>
      <c r="C152" s="1245"/>
      <c r="D152" s="756" t="s">
        <v>185</v>
      </c>
      <c r="E152" s="1260"/>
      <c r="F152" s="758">
        <f>SUM(F153)</f>
        <v>0.64024999999999999</v>
      </c>
      <c r="G152" s="879"/>
      <c r="H152" s="587"/>
      <c r="I152" s="1014"/>
      <c r="J152" s="1262"/>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c r="CP152" s="213"/>
      <c r="CQ152" s="213"/>
      <c r="CR152" s="213"/>
      <c r="CS152" s="213"/>
      <c r="CT152" s="213"/>
      <c r="CU152" s="213"/>
      <c r="CV152" s="213"/>
      <c r="CW152" s="213"/>
      <c r="CX152" s="213"/>
      <c r="CY152" s="213"/>
      <c r="CZ152" s="213"/>
      <c r="DA152" s="213"/>
      <c r="DB152" s="213"/>
      <c r="DC152" s="213"/>
      <c r="DD152" s="213"/>
      <c r="DE152" s="213"/>
      <c r="DF152" s="213"/>
      <c r="DG152" s="213"/>
      <c r="DH152" s="213"/>
      <c r="DI152" s="213"/>
      <c r="DJ152" s="213"/>
      <c r="DK152" s="213"/>
      <c r="DL152" s="213"/>
      <c r="DM152" s="213"/>
      <c r="DN152" s="213"/>
      <c r="DO152" s="213"/>
      <c r="DP152" s="213"/>
      <c r="DQ152" s="213"/>
      <c r="DR152" s="213"/>
      <c r="DS152" s="213"/>
      <c r="DT152" s="213"/>
      <c r="DU152" s="213"/>
      <c r="DV152" s="213"/>
      <c r="DW152" s="213"/>
      <c r="DX152" s="213"/>
      <c r="DY152" s="213"/>
      <c r="DZ152" s="213"/>
      <c r="EA152" s="213"/>
      <c r="EB152" s="213"/>
      <c r="EC152" s="213"/>
      <c r="ED152" s="213"/>
      <c r="EE152" s="213"/>
      <c r="EF152" s="213"/>
      <c r="EG152" s="213"/>
      <c r="EH152" s="213"/>
      <c r="EI152" s="213"/>
      <c r="EJ152" s="213"/>
      <c r="EK152" s="213"/>
      <c r="EL152" s="213"/>
      <c r="EM152" s="213"/>
      <c r="EN152" s="213"/>
      <c r="EO152" s="213"/>
      <c r="EP152" s="213"/>
      <c r="EQ152" s="213"/>
      <c r="ER152" s="213"/>
      <c r="ES152" s="213"/>
      <c r="ET152" s="213"/>
      <c r="EU152" s="213"/>
      <c r="EV152" s="213"/>
      <c r="EW152" s="213"/>
      <c r="EX152" s="213"/>
      <c r="EY152" s="213"/>
      <c r="EZ152" s="213"/>
      <c r="FA152" s="213"/>
      <c r="FB152" s="213"/>
      <c r="FC152" s="213"/>
      <c r="FD152" s="213"/>
      <c r="FE152" s="213"/>
      <c r="FF152" s="213"/>
      <c r="FG152" s="213"/>
      <c r="FH152" s="213"/>
      <c r="FI152" s="213"/>
      <c r="FJ152" s="213"/>
      <c r="FK152" s="213"/>
      <c r="FL152" s="213"/>
      <c r="FM152" s="213"/>
      <c r="FN152" s="213"/>
      <c r="FO152" s="213"/>
      <c r="FP152" s="213"/>
      <c r="FQ152" s="213"/>
      <c r="FR152" s="213"/>
      <c r="FS152" s="213"/>
      <c r="FT152" s="213"/>
      <c r="FU152" s="213"/>
      <c r="FV152" s="213"/>
      <c r="FW152" s="213"/>
      <c r="FX152" s="213"/>
      <c r="FY152" s="213"/>
      <c r="FZ152" s="213"/>
      <c r="GA152" s="213"/>
      <c r="GB152" s="213"/>
      <c r="GC152" s="213"/>
      <c r="GD152" s="213"/>
      <c r="GE152" s="213"/>
      <c r="GF152" s="213"/>
      <c r="GG152" s="213"/>
      <c r="GH152" s="213"/>
      <c r="GI152" s="213"/>
      <c r="GJ152" s="213"/>
      <c r="GK152" s="213"/>
      <c r="GL152" s="213"/>
      <c r="GM152" s="213"/>
      <c r="GN152" s="213"/>
      <c r="GO152" s="213"/>
      <c r="GP152" s="213"/>
      <c r="GQ152" s="213"/>
      <c r="GR152" s="213"/>
      <c r="GS152" s="213"/>
      <c r="GT152" s="213"/>
      <c r="GU152" s="213"/>
      <c r="GV152" s="213"/>
      <c r="GW152" s="213"/>
      <c r="GX152" s="213"/>
      <c r="GY152" s="213"/>
      <c r="GZ152" s="213"/>
      <c r="HA152" s="213"/>
      <c r="HB152" s="213"/>
      <c r="HC152" s="213"/>
      <c r="HD152" s="213"/>
      <c r="HE152" s="213"/>
      <c r="HF152" s="213"/>
      <c r="HG152" s="213"/>
      <c r="HH152" s="213"/>
      <c r="HI152" s="213"/>
      <c r="HJ152" s="213"/>
      <c r="HK152" s="213"/>
      <c r="HL152" s="213"/>
      <c r="HM152" s="213"/>
      <c r="HN152" s="213"/>
      <c r="HO152" s="213"/>
      <c r="HP152" s="213"/>
      <c r="HQ152" s="213"/>
      <c r="HR152" s="213"/>
      <c r="HS152" s="213"/>
      <c r="HT152" s="213"/>
      <c r="HU152" s="213"/>
      <c r="HV152" s="213"/>
      <c r="HW152" s="213"/>
      <c r="HX152" s="213"/>
      <c r="HY152" s="213"/>
      <c r="HZ152" s="213"/>
      <c r="IA152" s="213"/>
      <c r="IB152" s="213"/>
      <c r="IC152" s="213"/>
      <c r="ID152" s="213"/>
      <c r="IE152" s="213"/>
      <c r="IF152" s="213"/>
      <c r="IG152" s="213"/>
      <c r="IH152" s="213"/>
      <c r="II152" s="213"/>
      <c r="IJ152" s="213"/>
      <c r="IK152" s="213"/>
      <c r="IL152" s="213"/>
      <c r="IM152" s="213"/>
      <c r="IN152" s="213"/>
      <c r="IO152" s="213"/>
      <c r="IP152" s="213"/>
      <c r="IQ152" s="213"/>
      <c r="IR152" s="213"/>
      <c r="IS152" s="213"/>
      <c r="IT152" s="213"/>
      <c r="IU152" s="213"/>
      <c r="IV152" s="213"/>
    </row>
    <row r="153" spans="1:256" s="1248" customFormat="1" ht="27" customHeight="1">
      <c r="A153" s="1524"/>
      <c r="B153" s="1525"/>
      <c r="C153" s="1645"/>
      <c r="D153" s="1255" t="s">
        <v>6091</v>
      </c>
      <c r="E153" s="1255"/>
      <c r="F153" s="1249">
        <f>(19.7*0.65*0.5)*(0.1)</f>
        <v>0.64024999999999999</v>
      </c>
      <c r="G153" s="404"/>
      <c r="H153" s="1247"/>
      <c r="I153" s="1492"/>
      <c r="J153" s="1523"/>
    </row>
    <row r="154" spans="1:256" s="1248" customFormat="1" ht="13.5" customHeight="1">
      <c r="A154" s="1518" t="s">
        <v>5879</v>
      </c>
      <c r="B154" s="1245"/>
      <c r="C154" s="777">
        <v>460371121</v>
      </c>
      <c r="D154" s="1255" t="s">
        <v>5880</v>
      </c>
      <c r="E154" s="1259" t="s">
        <v>146</v>
      </c>
      <c r="F154" s="1249">
        <f>F150</f>
        <v>5.7622499999999999</v>
      </c>
      <c r="G154" s="415"/>
      <c r="H154" s="803">
        <f t="shared" ref="H154:H157" si="0">ROUND(F154*G154,2)</f>
        <v>0</v>
      </c>
      <c r="I154" s="781" t="s">
        <v>137</v>
      </c>
      <c r="J154" s="647"/>
      <c r="K154" s="647"/>
      <c r="L154" s="612"/>
      <c r="M154" s="612"/>
      <c r="N154" s="612"/>
      <c r="O154" s="612"/>
      <c r="P154" s="612"/>
      <c r="Q154" s="612"/>
      <c r="R154" s="612"/>
      <c r="S154" s="788"/>
      <c r="V154" s="1646"/>
    </row>
    <row r="155" spans="1:256" s="1248" customFormat="1" ht="13.5" customHeight="1">
      <c r="A155" s="1518" t="s">
        <v>5881</v>
      </c>
      <c r="B155" s="1245"/>
      <c r="C155" s="777">
        <v>460371123</v>
      </c>
      <c r="D155" s="1255" t="s">
        <v>5882</v>
      </c>
      <c r="E155" s="1259" t="s">
        <v>146</v>
      </c>
      <c r="F155" s="1249">
        <f>F152</f>
        <v>0.64024999999999999</v>
      </c>
      <c r="G155" s="415"/>
      <c r="H155" s="803">
        <f t="shared" si="0"/>
        <v>0</v>
      </c>
      <c r="I155" s="781" t="s">
        <v>137</v>
      </c>
      <c r="J155" s="647"/>
      <c r="K155" s="647"/>
      <c r="L155" s="612"/>
      <c r="M155" s="612"/>
      <c r="N155" s="612"/>
      <c r="O155" s="612"/>
      <c r="P155" s="612"/>
      <c r="Q155" s="612"/>
      <c r="R155" s="612"/>
      <c r="S155" s="788"/>
      <c r="V155" s="1646"/>
    </row>
    <row r="156" spans="1:256" s="1248" customFormat="1" ht="27" customHeight="1">
      <c r="A156" s="1518" t="s">
        <v>5883</v>
      </c>
      <c r="B156" s="1245"/>
      <c r="C156" s="777">
        <v>460341112</v>
      </c>
      <c r="D156" s="1255" t="s">
        <v>5884</v>
      </c>
      <c r="E156" s="1259" t="s">
        <v>146</v>
      </c>
      <c r="F156" s="1249">
        <f>F148</f>
        <v>6.4029999999999996</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t="s">
        <v>5885</v>
      </c>
      <c r="B157" s="1245"/>
      <c r="C157" s="777">
        <v>171251201</v>
      </c>
      <c r="D157" s="1255" t="s">
        <v>4795</v>
      </c>
      <c r="E157" s="1259" t="s">
        <v>146</v>
      </c>
      <c r="F157" s="1249">
        <f>F148</f>
        <v>6.4029999999999996</v>
      </c>
      <c r="G157" s="415"/>
      <c r="H157" s="803">
        <f t="shared" si="0"/>
        <v>0</v>
      </c>
      <c r="I157" s="781" t="s">
        <v>137</v>
      </c>
      <c r="J157" s="647"/>
      <c r="K157" s="647"/>
      <c r="L157" s="612"/>
      <c r="M157" s="612"/>
      <c r="N157" s="612"/>
      <c r="O157" s="612"/>
      <c r="P157" s="612"/>
      <c r="Q157" s="612"/>
      <c r="R157" s="612"/>
      <c r="S157" s="788"/>
      <c r="V157" s="1646"/>
    </row>
    <row r="158" spans="1:256" s="1248" customFormat="1" ht="13.5" customHeight="1">
      <c r="A158" s="1518"/>
      <c r="B158" s="1245"/>
      <c r="C158" s="777"/>
      <c r="D158" s="1255" t="s">
        <v>4796</v>
      </c>
      <c r="E158" s="1259"/>
      <c r="F158" s="1249"/>
      <c r="G158" s="416"/>
      <c r="H158" s="1267"/>
      <c r="I158" s="781"/>
      <c r="J158" s="647"/>
      <c r="K158" s="647"/>
      <c r="L158" s="612"/>
      <c r="M158" s="612"/>
      <c r="N158" s="612"/>
      <c r="O158" s="612"/>
      <c r="P158" s="612"/>
      <c r="Q158" s="612"/>
      <c r="R158" s="612"/>
      <c r="S158" s="788"/>
      <c r="V158" s="1646"/>
    </row>
    <row r="159" spans="1:256" s="1248" customFormat="1" ht="27" customHeight="1">
      <c r="A159" s="1244">
        <v>40</v>
      </c>
      <c r="B159" s="1252">
        <v>946</v>
      </c>
      <c r="C159" s="1245" t="s">
        <v>5886</v>
      </c>
      <c r="D159" s="1245" t="s">
        <v>5887</v>
      </c>
      <c r="E159" s="1245" t="s">
        <v>146</v>
      </c>
      <c r="F159" s="1640">
        <f>ROUND(SUM(F161,F163),3)</f>
        <v>6.4029999999999996</v>
      </c>
      <c r="G159" s="1641">
        <f>ROUND(SUM(H165:H167)/F159,2)</f>
        <v>0</v>
      </c>
      <c r="H159" s="568">
        <f>ROUND(F159*G159,2)</f>
        <v>0</v>
      </c>
      <c r="I159" s="1280" t="s">
        <v>111</v>
      </c>
    </row>
    <row r="160" spans="1:256" s="1248" customFormat="1" ht="13.5" customHeight="1">
      <c r="A160" s="1518"/>
      <c r="B160" s="1245"/>
      <c r="C160" s="777"/>
      <c r="D160" s="1255" t="s">
        <v>4799</v>
      </c>
      <c r="E160" s="1259"/>
      <c r="F160" s="1249"/>
      <c r="G160" s="416"/>
      <c r="H160" s="1267"/>
      <c r="I160" s="781"/>
      <c r="J160" s="647"/>
      <c r="K160" s="647"/>
      <c r="L160" s="612"/>
      <c r="M160" s="612"/>
      <c r="N160" s="612"/>
      <c r="O160" s="612"/>
      <c r="P160" s="612"/>
      <c r="Q160" s="612"/>
      <c r="R160" s="612"/>
      <c r="S160" s="788"/>
      <c r="V160" s="1646"/>
    </row>
    <row r="161" spans="1:256" s="593" customFormat="1" ht="13.5" customHeight="1">
      <c r="A161" s="789"/>
      <c r="B161" s="790"/>
      <c r="C161" s="1245"/>
      <c r="D161" s="756" t="s">
        <v>4800</v>
      </c>
      <c r="E161" s="1260"/>
      <c r="F161" s="758">
        <f>SUM(F162)</f>
        <v>5.7622499999999999</v>
      </c>
      <c r="G161" s="879"/>
      <c r="H161" s="587"/>
      <c r="I161" s="1014"/>
      <c r="J161" s="1262"/>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c r="CP161" s="213"/>
      <c r="CQ161" s="213"/>
      <c r="CR161" s="213"/>
      <c r="CS161" s="213"/>
      <c r="CT161" s="213"/>
      <c r="CU161" s="213"/>
      <c r="CV161" s="213"/>
      <c r="CW161" s="213"/>
      <c r="CX161" s="213"/>
      <c r="CY161" s="213"/>
      <c r="CZ161" s="213"/>
      <c r="DA161" s="213"/>
      <c r="DB161" s="213"/>
      <c r="DC161" s="213"/>
      <c r="DD161" s="213"/>
      <c r="DE161" s="213"/>
      <c r="DF161" s="213"/>
      <c r="DG161" s="213"/>
      <c r="DH161" s="213"/>
      <c r="DI161" s="213"/>
      <c r="DJ161" s="213"/>
      <c r="DK161" s="213"/>
      <c r="DL161" s="213"/>
      <c r="DM161" s="213"/>
      <c r="DN161" s="213"/>
      <c r="DO161" s="213"/>
      <c r="DP161" s="213"/>
      <c r="DQ161" s="213"/>
      <c r="DR161" s="213"/>
      <c r="DS161" s="213"/>
      <c r="DT161" s="213"/>
      <c r="DU161" s="213"/>
      <c r="DV161" s="213"/>
      <c r="DW161" s="213"/>
      <c r="DX161" s="213"/>
      <c r="DY161" s="213"/>
      <c r="DZ161" s="213"/>
      <c r="EA161" s="213"/>
      <c r="EB161" s="213"/>
      <c r="EC161" s="213"/>
      <c r="ED161" s="213"/>
      <c r="EE161" s="213"/>
      <c r="EF161" s="213"/>
      <c r="EG161" s="213"/>
      <c r="EH161" s="213"/>
      <c r="EI161" s="213"/>
      <c r="EJ161" s="213"/>
      <c r="EK161" s="213"/>
      <c r="EL161" s="213"/>
      <c r="EM161" s="213"/>
      <c r="EN161" s="213"/>
      <c r="EO161" s="213"/>
      <c r="EP161" s="213"/>
      <c r="EQ161" s="213"/>
      <c r="ER161" s="213"/>
      <c r="ES161" s="213"/>
      <c r="ET161" s="213"/>
      <c r="EU161" s="213"/>
      <c r="EV161" s="213"/>
      <c r="EW161" s="213"/>
      <c r="EX161" s="213"/>
      <c r="EY161" s="213"/>
      <c r="EZ161" s="213"/>
      <c r="FA161" s="213"/>
      <c r="FB161" s="213"/>
      <c r="FC161" s="213"/>
      <c r="FD161" s="213"/>
      <c r="FE161" s="213"/>
      <c r="FF161" s="213"/>
      <c r="FG161" s="213"/>
      <c r="FH161" s="213"/>
      <c r="FI161" s="213"/>
      <c r="FJ161" s="213"/>
      <c r="FK161" s="213"/>
      <c r="FL161" s="213"/>
      <c r="FM161" s="213"/>
      <c r="FN161" s="213"/>
      <c r="FO161" s="213"/>
      <c r="FP161" s="213"/>
      <c r="FQ161" s="213"/>
      <c r="FR161" s="213"/>
      <c r="FS161" s="213"/>
      <c r="FT161" s="213"/>
      <c r="FU161" s="213"/>
      <c r="FV161" s="213"/>
      <c r="FW161" s="213"/>
      <c r="FX161" s="213"/>
      <c r="FY161" s="213"/>
      <c r="FZ161" s="213"/>
      <c r="GA161" s="213"/>
      <c r="GB161" s="213"/>
      <c r="GC161" s="213"/>
      <c r="GD161" s="213"/>
      <c r="GE161" s="213"/>
      <c r="GF161" s="213"/>
      <c r="GG161" s="213"/>
      <c r="GH161" s="213"/>
      <c r="GI161" s="213"/>
      <c r="GJ161" s="213"/>
      <c r="GK161" s="213"/>
      <c r="GL161" s="213"/>
      <c r="GM161" s="213"/>
      <c r="GN161" s="213"/>
      <c r="GO161" s="213"/>
      <c r="GP161" s="213"/>
      <c r="GQ161" s="213"/>
      <c r="GR161" s="213"/>
      <c r="GS161" s="213"/>
      <c r="GT161" s="213"/>
      <c r="GU161" s="213"/>
      <c r="GV161" s="213"/>
      <c r="GW161" s="213"/>
      <c r="GX161" s="213"/>
      <c r="GY161" s="213"/>
      <c r="GZ161" s="213"/>
      <c r="HA161" s="213"/>
      <c r="HB161" s="213"/>
      <c r="HC161" s="213"/>
      <c r="HD161" s="213"/>
      <c r="HE161" s="213"/>
      <c r="HF161" s="213"/>
      <c r="HG161" s="213"/>
      <c r="HH161" s="213"/>
      <c r="HI161" s="213"/>
      <c r="HJ161" s="213"/>
      <c r="HK161" s="213"/>
      <c r="HL161" s="213"/>
      <c r="HM161" s="213"/>
      <c r="HN161" s="213"/>
      <c r="HO161" s="213"/>
      <c r="HP161" s="213"/>
      <c r="HQ161" s="213"/>
      <c r="HR161" s="213"/>
      <c r="HS161" s="213"/>
      <c r="HT161" s="213"/>
      <c r="HU161" s="213"/>
      <c r="HV161" s="213"/>
      <c r="HW161" s="213"/>
      <c r="HX161" s="213"/>
      <c r="HY161" s="213"/>
      <c r="HZ161" s="213"/>
      <c r="IA161" s="213"/>
      <c r="IB161" s="213"/>
      <c r="IC161" s="213"/>
      <c r="ID161" s="213"/>
      <c r="IE161" s="213"/>
      <c r="IF161" s="213"/>
      <c r="IG161" s="213"/>
      <c r="IH161" s="213"/>
      <c r="II161" s="213"/>
      <c r="IJ161" s="213"/>
      <c r="IK161" s="213"/>
      <c r="IL161" s="213"/>
      <c r="IM161" s="213"/>
      <c r="IN161" s="213"/>
      <c r="IO161" s="213"/>
      <c r="IP161" s="213"/>
      <c r="IQ161" s="213"/>
      <c r="IR161" s="213"/>
      <c r="IS161" s="213"/>
      <c r="IT161" s="213"/>
      <c r="IU161" s="213"/>
      <c r="IV161" s="213"/>
    </row>
    <row r="162" spans="1:256" s="1248" customFormat="1" ht="27" customHeight="1">
      <c r="A162" s="1524"/>
      <c r="B162" s="1525"/>
      <c r="C162" s="1645"/>
      <c r="D162" s="1255" t="s">
        <v>6092</v>
      </c>
      <c r="E162" s="1255"/>
      <c r="F162" s="1249">
        <f>(19.7*0.65*0.5)*(0.85+0.05)</f>
        <v>5.7622499999999999</v>
      </c>
      <c r="G162" s="404"/>
      <c r="H162" s="1247"/>
      <c r="I162" s="1492"/>
      <c r="J162" s="1523"/>
    </row>
    <row r="163" spans="1:256" s="593" customFormat="1" ht="13.5" customHeight="1">
      <c r="A163" s="789"/>
      <c r="B163" s="790"/>
      <c r="C163" s="1245"/>
      <c r="D163" s="756" t="s">
        <v>4802</v>
      </c>
      <c r="E163" s="1260"/>
      <c r="F163" s="758">
        <f>SUM(F164)</f>
        <v>0.64024999999999999</v>
      </c>
      <c r="G163" s="879"/>
      <c r="H163" s="587"/>
      <c r="I163" s="1014"/>
      <c r="J163" s="1262"/>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c r="CP163" s="213"/>
      <c r="CQ163" s="213"/>
      <c r="CR163" s="213"/>
      <c r="CS163" s="213"/>
      <c r="CT163" s="213"/>
      <c r="CU163" s="213"/>
      <c r="CV163" s="213"/>
      <c r="CW163" s="213"/>
      <c r="CX163" s="213"/>
      <c r="CY163" s="213"/>
      <c r="CZ163" s="213"/>
      <c r="DA163" s="213"/>
      <c r="DB163" s="213"/>
      <c r="DC163" s="213"/>
      <c r="DD163" s="213"/>
      <c r="DE163" s="213"/>
      <c r="DF163" s="213"/>
      <c r="DG163" s="213"/>
      <c r="DH163" s="213"/>
      <c r="DI163" s="213"/>
      <c r="DJ163" s="213"/>
      <c r="DK163" s="213"/>
      <c r="DL163" s="213"/>
      <c r="DM163" s="213"/>
      <c r="DN163" s="213"/>
      <c r="DO163" s="213"/>
      <c r="DP163" s="213"/>
      <c r="DQ163" s="213"/>
      <c r="DR163" s="213"/>
      <c r="DS163" s="213"/>
      <c r="DT163" s="213"/>
      <c r="DU163" s="213"/>
      <c r="DV163" s="213"/>
      <c r="DW163" s="213"/>
      <c r="DX163" s="213"/>
      <c r="DY163" s="213"/>
      <c r="DZ163" s="213"/>
      <c r="EA163" s="213"/>
      <c r="EB163" s="213"/>
      <c r="EC163" s="213"/>
      <c r="ED163" s="213"/>
      <c r="EE163" s="213"/>
      <c r="EF163" s="213"/>
      <c r="EG163" s="213"/>
      <c r="EH163" s="213"/>
      <c r="EI163" s="213"/>
      <c r="EJ163" s="213"/>
      <c r="EK163" s="213"/>
      <c r="EL163" s="213"/>
      <c r="EM163" s="213"/>
      <c r="EN163" s="213"/>
      <c r="EO163" s="213"/>
      <c r="EP163" s="213"/>
      <c r="EQ163" s="213"/>
      <c r="ER163" s="213"/>
      <c r="ES163" s="213"/>
      <c r="ET163" s="213"/>
      <c r="EU163" s="213"/>
      <c r="EV163" s="213"/>
      <c r="EW163" s="213"/>
      <c r="EX163" s="213"/>
      <c r="EY163" s="213"/>
      <c r="EZ163" s="213"/>
      <c r="FA163" s="213"/>
      <c r="FB163" s="213"/>
      <c r="FC163" s="213"/>
      <c r="FD163" s="213"/>
      <c r="FE163" s="213"/>
      <c r="FF163" s="213"/>
      <c r="FG163" s="213"/>
      <c r="FH163" s="213"/>
      <c r="FI163" s="213"/>
      <c r="FJ163" s="213"/>
      <c r="FK163" s="213"/>
      <c r="FL163" s="213"/>
      <c r="FM163" s="213"/>
      <c r="FN163" s="213"/>
      <c r="FO163" s="213"/>
      <c r="FP163" s="213"/>
      <c r="FQ163" s="213"/>
      <c r="FR163" s="213"/>
      <c r="FS163" s="213"/>
      <c r="FT163" s="213"/>
      <c r="FU163" s="213"/>
      <c r="FV163" s="213"/>
      <c r="FW163" s="213"/>
      <c r="FX163" s="213"/>
      <c r="FY163" s="213"/>
      <c r="FZ163" s="213"/>
      <c r="GA163" s="213"/>
      <c r="GB163" s="213"/>
      <c r="GC163" s="213"/>
      <c r="GD163" s="213"/>
      <c r="GE163" s="213"/>
      <c r="GF163" s="213"/>
      <c r="GG163" s="213"/>
      <c r="GH163" s="213"/>
      <c r="GI163" s="213"/>
      <c r="GJ163" s="213"/>
      <c r="GK163" s="213"/>
      <c r="GL163" s="213"/>
      <c r="GM163" s="213"/>
      <c r="GN163" s="213"/>
      <c r="GO163" s="213"/>
      <c r="GP163" s="213"/>
      <c r="GQ163" s="213"/>
      <c r="GR163" s="213"/>
      <c r="GS163" s="213"/>
      <c r="GT163" s="213"/>
      <c r="GU163" s="213"/>
      <c r="GV163" s="213"/>
      <c r="GW163" s="213"/>
      <c r="GX163" s="213"/>
      <c r="GY163" s="213"/>
      <c r="GZ163" s="213"/>
      <c r="HA163" s="213"/>
      <c r="HB163" s="213"/>
      <c r="HC163" s="213"/>
      <c r="HD163" s="213"/>
      <c r="HE163" s="213"/>
      <c r="HF163" s="213"/>
      <c r="HG163" s="213"/>
      <c r="HH163" s="213"/>
      <c r="HI163" s="213"/>
      <c r="HJ163" s="213"/>
      <c r="HK163" s="213"/>
      <c r="HL163" s="213"/>
      <c r="HM163" s="213"/>
      <c r="HN163" s="213"/>
      <c r="HO163" s="213"/>
      <c r="HP163" s="213"/>
      <c r="HQ163" s="213"/>
      <c r="HR163" s="213"/>
      <c r="HS163" s="213"/>
      <c r="HT163" s="213"/>
      <c r="HU163" s="213"/>
      <c r="HV163" s="213"/>
      <c r="HW163" s="213"/>
      <c r="HX163" s="213"/>
      <c r="HY163" s="213"/>
      <c r="HZ163" s="213"/>
      <c r="IA163" s="213"/>
      <c r="IB163" s="213"/>
      <c r="IC163" s="213"/>
      <c r="ID163" s="213"/>
      <c r="IE163" s="213"/>
      <c r="IF163" s="213"/>
      <c r="IG163" s="213"/>
      <c r="IH163" s="213"/>
      <c r="II163" s="213"/>
      <c r="IJ163" s="213"/>
      <c r="IK163" s="213"/>
      <c r="IL163" s="213"/>
      <c r="IM163" s="213"/>
      <c r="IN163" s="213"/>
      <c r="IO163" s="213"/>
      <c r="IP163" s="213"/>
      <c r="IQ163" s="213"/>
      <c r="IR163" s="213"/>
      <c r="IS163" s="213"/>
      <c r="IT163" s="213"/>
      <c r="IU163" s="213"/>
      <c r="IV163" s="213"/>
    </row>
    <row r="164" spans="1:256" s="1248" customFormat="1" ht="27" customHeight="1">
      <c r="A164" s="1524"/>
      <c r="B164" s="1525"/>
      <c r="C164" s="1645"/>
      <c r="D164" s="1255" t="s">
        <v>6093</v>
      </c>
      <c r="E164" s="1255"/>
      <c r="F164" s="1249">
        <f>(19.7*0.65*0.5)*(0.1)</f>
        <v>0.64024999999999999</v>
      </c>
      <c r="G164" s="404"/>
      <c r="H164" s="1247"/>
      <c r="I164" s="1492"/>
      <c r="J164" s="1523"/>
    </row>
    <row r="165" spans="1:256" s="1248" customFormat="1" ht="13.5" customHeight="1">
      <c r="A165" s="1518" t="s">
        <v>5890</v>
      </c>
      <c r="B165" s="1245"/>
      <c r="C165" s="777">
        <v>460371121</v>
      </c>
      <c r="D165" s="1255" t="s">
        <v>5880</v>
      </c>
      <c r="E165" s="1259" t="s">
        <v>146</v>
      </c>
      <c r="F165" s="1249">
        <f>F162</f>
        <v>5.7622499999999999</v>
      </c>
      <c r="G165" s="415"/>
      <c r="H165" s="803">
        <f t="shared" ref="H165:H167" si="1">ROUND(F165*G165,2)</f>
        <v>0</v>
      </c>
      <c r="I165" s="781" t="s">
        <v>137</v>
      </c>
      <c r="J165" s="647"/>
      <c r="K165" s="647"/>
      <c r="L165" s="612"/>
      <c r="M165" s="612"/>
      <c r="N165" s="612"/>
      <c r="O165" s="612"/>
      <c r="P165" s="612"/>
      <c r="Q165" s="612"/>
      <c r="R165" s="612"/>
      <c r="S165" s="788"/>
      <c r="V165" s="1646"/>
    </row>
    <row r="166" spans="1:256" s="1248" customFormat="1" ht="13.5" customHeight="1">
      <c r="A166" s="1518" t="s">
        <v>5891</v>
      </c>
      <c r="B166" s="1245"/>
      <c r="C166" s="777">
        <v>460371123</v>
      </c>
      <c r="D166" s="1255" t="s">
        <v>5882</v>
      </c>
      <c r="E166" s="1259" t="s">
        <v>146</v>
      </c>
      <c r="F166" s="1249">
        <f>F164</f>
        <v>0.64024999999999999</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t="s">
        <v>5892</v>
      </c>
      <c r="B167" s="1245"/>
      <c r="C167" s="777">
        <v>460341112</v>
      </c>
      <c r="D167" s="1255" t="s">
        <v>5884</v>
      </c>
      <c r="E167" s="1259" t="s">
        <v>146</v>
      </c>
      <c r="F167" s="1249">
        <f>F159</f>
        <v>6.4029999999999996</v>
      </c>
      <c r="G167" s="415"/>
      <c r="H167" s="803">
        <f t="shared" si="1"/>
        <v>0</v>
      </c>
      <c r="I167" s="781" t="s">
        <v>137</v>
      </c>
      <c r="J167" s="647"/>
      <c r="K167" s="647"/>
      <c r="L167" s="612"/>
      <c r="M167" s="612"/>
      <c r="N167" s="612"/>
      <c r="O167" s="612"/>
      <c r="P167" s="612"/>
      <c r="Q167" s="612"/>
      <c r="R167" s="612"/>
      <c r="S167" s="788"/>
      <c r="V167" s="1646"/>
    </row>
    <row r="168" spans="1:256" s="1248" customFormat="1" ht="27" customHeight="1">
      <c r="A168" s="1518"/>
      <c r="B168" s="1245"/>
      <c r="C168" s="777"/>
      <c r="D168" s="1255" t="s">
        <v>5893</v>
      </c>
      <c r="E168" s="1259"/>
      <c r="F168" s="1249"/>
      <c r="G168" s="416"/>
      <c r="H168" s="1267"/>
      <c r="I168" s="781"/>
      <c r="J168" s="647"/>
      <c r="K168" s="647"/>
      <c r="L168" s="612"/>
      <c r="M168" s="612"/>
      <c r="N168" s="612"/>
      <c r="O168" s="612"/>
      <c r="P168" s="612"/>
      <c r="Q168" s="612"/>
      <c r="R168" s="612"/>
      <c r="S168" s="788"/>
      <c r="V168" s="1646"/>
    </row>
    <row r="169" spans="1:256" s="593" customFormat="1" ht="27" customHeight="1">
      <c r="A169" s="789">
        <v>41</v>
      </c>
      <c r="B169" s="790" t="s">
        <v>5808</v>
      </c>
      <c r="C169" s="1245" t="s">
        <v>5894</v>
      </c>
      <c r="D169" s="776" t="s">
        <v>6326</v>
      </c>
      <c r="E169" s="776" t="s">
        <v>146</v>
      </c>
      <c r="F169" s="1640">
        <f>ROUND(SUM(F171,F173),3)</f>
        <v>5.1219999999999999</v>
      </c>
      <c r="G169" s="1641">
        <f>ROUND(SUM(H175:H179)/F169,2)</f>
        <v>0</v>
      </c>
      <c r="H169" s="568">
        <f>ROUND(F169*G169,2)</f>
        <v>0</v>
      </c>
      <c r="I169" s="1280" t="s">
        <v>111</v>
      </c>
      <c r="J169" s="1647"/>
      <c r="K169" s="1248"/>
      <c r="L169" s="1248"/>
      <c r="M169" s="1248"/>
      <c r="N169" s="1248"/>
      <c r="O169" s="1248"/>
      <c r="P169" s="1248"/>
      <c r="Q169" s="1248"/>
      <c r="R169" s="1248"/>
      <c r="S169" s="1248"/>
      <c r="T169" s="1248"/>
      <c r="U169" s="1248"/>
      <c r="V169" s="1248"/>
      <c r="W169" s="1248"/>
      <c r="X169" s="1248"/>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c r="CP169" s="213"/>
      <c r="CQ169" s="213"/>
      <c r="CR169" s="213"/>
      <c r="CS169" s="213"/>
      <c r="CT169" s="213"/>
      <c r="CU169" s="213"/>
      <c r="CV169" s="213"/>
      <c r="CW169" s="213"/>
      <c r="CX169" s="213"/>
      <c r="CY169" s="213"/>
      <c r="CZ169" s="213"/>
      <c r="DA169" s="213"/>
      <c r="DB169" s="213"/>
      <c r="DC169" s="213"/>
      <c r="DD169" s="213"/>
      <c r="DE169" s="213"/>
      <c r="DF169" s="213"/>
      <c r="DG169" s="213"/>
      <c r="DH169" s="213"/>
      <c r="DI169" s="213"/>
      <c r="DJ169" s="213"/>
      <c r="DK169" s="213"/>
      <c r="DL169" s="213"/>
      <c r="DM169" s="213"/>
      <c r="DN169" s="213"/>
      <c r="DO169" s="213"/>
      <c r="DP169" s="213"/>
      <c r="DQ169" s="213"/>
      <c r="DR169" s="213"/>
      <c r="DS169" s="213"/>
      <c r="DT169" s="213"/>
      <c r="DU169" s="213"/>
      <c r="DV169" s="213"/>
      <c r="DW169" s="213"/>
      <c r="DX169" s="213"/>
      <c r="DY169" s="213"/>
      <c r="DZ169" s="213"/>
      <c r="EA169" s="213"/>
      <c r="EB169" s="213"/>
      <c r="EC169" s="213"/>
      <c r="ED169" s="213"/>
      <c r="EE169" s="213"/>
      <c r="EF169" s="213"/>
      <c r="EG169" s="213"/>
      <c r="EH169" s="213"/>
      <c r="EI169" s="213"/>
      <c r="EJ169" s="213"/>
      <c r="EK169" s="213"/>
      <c r="EL169" s="213"/>
      <c r="EM169" s="213"/>
      <c r="EN169" s="213"/>
      <c r="EO169" s="213"/>
      <c r="EP169" s="213"/>
      <c r="EQ169" s="213"/>
      <c r="ER169" s="213"/>
      <c r="ES169" s="213"/>
      <c r="ET169" s="213"/>
      <c r="EU169" s="213"/>
      <c r="EV169" s="213"/>
      <c r="EW169" s="213"/>
      <c r="EX169" s="213"/>
      <c r="EY169" s="213"/>
      <c r="EZ169" s="213"/>
      <c r="FA169" s="213"/>
      <c r="FB169" s="213"/>
      <c r="FC169" s="213"/>
      <c r="FD169" s="213"/>
      <c r="FE169" s="213"/>
      <c r="FF169" s="213"/>
      <c r="FG169" s="213"/>
      <c r="FH169" s="213"/>
      <c r="FI169" s="213"/>
      <c r="FJ169" s="213"/>
      <c r="FK169" s="213"/>
      <c r="FL169" s="213"/>
      <c r="FM169" s="213"/>
      <c r="FN169" s="213"/>
      <c r="FO169" s="213"/>
      <c r="FP169" s="213"/>
      <c r="FQ169" s="213"/>
      <c r="FR169" s="213"/>
      <c r="FS169" s="213"/>
      <c r="FT169" s="213"/>
      <c r="FU169" s="213"/>
      <c r="FV169" s="213"/>
      <c r="FW169" s="213"/>
      <c r="FX169" s="213"/>
      <c r="FY169" s="213"/>
      <c r="FZ169" s="213"/>
      <c r="GA169" s="213"/>
      <c r="GB169" s="213"/>
      <c r="GC169" s="213"/>
      <c r="GD169" s="213"/>
      <c r="GE169" s="213"/>
      <c r="GF169" s="213"/>
      <c r="GG169" s="213"/>
      <c r="GH169" s="213"/>
      <c r="GI169" s="213"/>
      <c r="GJ169" s="213"/>
      <c r="GK169" s="213"/>
      <c r="GL169" s="213"/>
      <c r="GM169" s="213"/>
      <c r="GN169" s="213"/>
      <c r="GO169" s="213"/>
      <c r="GP169" s="213"/>
      <c r="GQ169" s="213"/>
      <c r="GR169" s="213"/>
      <c r="GS169" s="213"/>
      <c r="GT169" s="213"/>
      <c r="GU169" s="213"/>
      <c r="GV169" s="213"/>
      <c r="GW169" s="213"/>
      <c r="GX169" s="213"/>
      <c r="GY169" s="213"/>
      <c r="GZ169" s="213"/>
      <c r="HA169" s="213"/>
      <c r="HB169" s="213"/>
      <c r="HC169" s="213"/>
      <c r="HD169" s="213"/>
      <c r="HE169" s="213"/>
      <c r="HF169" s="213"/>
      <c r="HG169" s="213"/>
      <c r="HH169" s="213"/>
      <c r="HI169" s="213"/>
      <c r="HJ169" s="213"/>
      <c r="HK169" s="213"/>
      <c r="HL169" s="213"/>
      <c r="HM169" s="213"/>
      <c r="HN169" s="213"/>
      <c r="HO169" s="213"/>
      <c r="HP169" s="213"/>
      <c r="HQ169" s="213"/>
      <c r="HR169" s="213"/>
      <c r="HS169" s="213"/>
      <c r="HT169" s="213"/>
      <c r="HU169" s="213"/>
      <c r="HV169" s="213"/>
      <c r="HW169" s="213"/>
      <c r="HX169" s="213"/>
      <c r="HY169" s="213"/>
      <c r="HZ169" s="213"/>
      <c r="IA169" s="213"/>
      <c r="IB169" s="213"/>
      <c r="IC169" s="213"/>
      <c r="ID169" s="213"/>
      <c r="IE169" s="213"/>
      <c r="IF169" s="213"/>
      <c r="IG169" s="213"/>
      <c r="IH169" s="213"/>
      <c r="II169" s="213"/>
      <c r="IJ169" s="213"/>
      <c r="IK169" s="213"/>
      <c r="IL169" s="213"/>
      <c r="IM169" s="213"/>
      <c r="IN169" s="213"/>
      <c r="IO169" s="213"/>
      <c r="IP169" s="213"/>
      <c r="IQ169" s="213"/>
      <c r="IR169" s="213"/>
      <c r="IS169" s="213"/>
      <c r="IT169" s="213"/>
      <c r="IU169" s="213"/>
      <c r="IV169" s="213"/>
    </row>
    <row r="170" spans="1:256" s="796" customFormat="1" ht="13.5" customHeight="1">
      <c r="A170" s="1015"/>
      <c r="B170" s="1016"/>
      <c r="C170" s="1648"/>
      <c r="D170" s="1036" t="s">
        <v>5895</v>
      </c>
      <c r="E170" s="1648"/>
      <c r="F170" s="1649"/>
      <c r="G170" s="298"/>
      <c r="H170" s="1038"/>
      <c r="I170" s="1019"/>
      <c r="J170" s="1650"/>
      <c r="L170" s="797"/>
      <c r="M170" s="797"/>
      <c r="N170" s="797"/>
      <c r="O170" s="797"/>
      <c r="P170" s="797"/>
      <c r="Q170" s="797"/>
      <c r="R170" s="797"/>
      <c r="S170" s="797"/>
      <c r="V170" s="797"/>
      <c r="W170" s="797"/>
      <c r="X170" s="797"/>
      <c r="Y170" s="797"/>
      <c r="Z170" s="797"/>
      <c r="AA170" s="797"/>
      <c r="AB170" s="797"/>
      <c r="AC170" s="797"/>
      <c r="AD170" s="797"/>
      <c r="AE170" s="797"/>
      <c r="AF170" s="797"/>
      <c r="AG170" s="797"/>
      <c r="AH170" s="797"/>
      <c r="AI170" s="797"/>
      <c r="AJ170" s="797"/>
      <c r="AK170" s="797"/>
      <c r="AL170" s="797"/>
      <c r="AM170" s="797"/>
      <c r="AN170" s="797"/>
      <c r="AO170" s="797"/>
      <c r="AP170" s="797"/>
      <c r="AQ170" s="797"/>
      <c r="AR170" s="797"/>
      <c r="AS170" s="797"/>
      <c r="AT170" s="797"/>
      <c r="AU170" s="797"/>
      <c r="AV170" s="797"/>
      <c r="AW170" s="797"/>
      <c r="AX170" s="797"/>
      <c r="AY170" s="797"/>
      <c r="AZ170" s="797"/>
      <c r="BA170" s="797"/>
      <c r="BB170" s="797"/>
      <c r="BC170" s="797"/>
      <c r="BD170" s="797"/>
      <c r="BE170" s="797"/>
      <c r="BF170" s="797"/>
      <c r="BG170" s="797"/>
      <c r="BH170" s="797"/>
      <c r="BI170" s="797"/>
      <c r="BJ170" s="797"/>
      <c r="BK170" s="797"/>
      <c r="BL170" s="797"/>
      <c r="BM170" s="797"/>
      <c r="BN170" s="797"/>
      <c r="BO170" s="797"/>
      <c r="BP170" s="797"/>
      <c r="BQ170" s="797"/>
      <c r="BR170" s="797"/>
      <c r="BS170" s="797"/>
      <c r="BT170" s="797"/>
      <c r="BU170" s="797"/>
      <c r="BV170" s="797"/>
      <c r="BW170" s="797"/>
      <c r="BX170" s="797"/>
      <c r="BY170" s="797"/>
      <c r="BZ170" s="797"/>
      <c r="CA170" s="797"/>
      <c r="CB170" s="797"/>
      <c r="CC170" s="797"/>
      <c r="CD170" s="797"/>
      <c r="CE170" s="797"/>
      <c r="CF170" s="797"/>
      <c r="CG170" s="797"/>
      <c r="CH170" s="797"/>
      <c r="CI170" s="797"/>
      <c r="CJ170" s="797"/>
      <c r="CK170" s="797"/>
      <c r="CL170" s="797"/>
      <c r="CM170" s="797"/>
      <c r="CN170" s="797"/>
      <c r="CO170" s="797"/>
      <c r="CP170" s="797"/>
      <c r="CQ170" s="797"/>
      <c r="CR170" s="797"/>
      <c r="CS170" s="797"/>
      <c r="CT170" s="797"/>
      <c r="CU170" s="797"/>
      <c r="CV170" s="797"/>
      <c r="CW170" s="797"/>
      <c r="CX170" s="797"/>
      <c r="CY170" s="797"/>
      <c r="CZ170" s="797"/>
      <c r="DA170" s="797"/>
      <c r="DB170" s="797"/>
      <c r="DC170" s="797"/>
      <c r="DD170" s="797"/>
      <c r="DE170" s="797"/>
      <c r="DF170" s="797"/>
      <c r="DG170" s="797"/>
      <c r="DH170" s="797"/>
      <c r="DI170" s="797"/>
      <c r="DJ170" s="797"/>
      <c r="DK170" s="797"/>
      <c r="DL170" s="797"/>
      <c r="DM170" s="797"/>
      <c r="DN170" s="797"/>
      <c r="DO170" s="797"/>
      <c r="DP170" s="797"/>
      <c r="DQ170" s="797"/>
      <c r="DR170" s="797"/>
      <c r="DS170" s="797"/>
      <c r="DT170" s="797"/>
      <c r="DU170" s="797"/>
      <c r="DV170" s="797"/>
      <c r="DW170" s="797"/>
      <c r="DX170" s="797"/>
      <c r="DY170" s="797"/>
      <c r="DZ170" s="797"/>
      <c r="EA170" s="797"/>
      <c r="EB170" s="797"/>
      <c r="EC170" s="797"/>
      <c r="ED170" s="797"/>
      <c r="EE170" s="797"/>
      <c r="EF170" s="797"/>
      <c r="EG170" s="797"/>
      <c r="EH170" s="797"/>
      <c r="EI170" s="797"/>
      <c r="EJ170" s="797"/>
      <c r="EK170" s="797"/>
      <c r="EL170" s="797"/>
      <c r="EM170" s="797"/>
      <c r="EN170" s="797"/>
      <c r="EO170" s="797"/>
      <c r="EP170" s="797"/>
      <c r="EQ170" s="797"/>
      <c r="ER170" s="797"/>
      <c r="ES170" s="797"/>
      <c r="ET170" s="797"/>
      <c r="EU170" s="797"/>
      <c r="EV170" s="797"/>
      <c r="EW170" s="797"/>
      <c r="EX170" s="797"/>
      <c r="EY170" s="797"/>
      <c r="EZ170" s="797"/>
      <c r="FA170" s="797"/>
      <c r="FB170" s="797"/>
      <c r="FC170" s="797"/>
      <c r="FD170" s="797"/>
      <c r="FE170" s="797"/>
      <c r="FF170" s="797"/>
      <c r="FG170" s="797"/>
      <c r="FH170" s="797"/>
      <c r="FI170" s="797"/>
      <c r="FJ170" s="797"/>
      <c r="FK170" s="797"/>
      <c r="FL170" s="797"/>
      <c r="FM170" s="797"/>
      <c r="FN170" s="797"/>
      <c r="FO170" s="797"/>
      <c r="FP170" s="797"/>
      <c r="FQ170" s="797"/>
      <c r="FR170" s="797"/>
      <c r="FS170" s="797"/>
      <c r="FT170" s="797"/>
      <c r="FU170" s="797"/>
      <c r="FV170" s="797"/>
      <c r="FW170" s="797"/>
      <c r="FX170" s="797"/>
      <c r="FY170" s="797"/>
      <c r="FZ170" s="797"/>
      <c r="GA170" s="797"/>
      <c r="GB170" s="797"/>
      <c r="GC170" s="797"/>
      <c r="GD170" s="797"/>
      <c r="GE170" s="797"/>
      <c r="GF170" s="797"/>
      <c r="GG170" s="797"/>
      <c r="GH170" s="797"/>
      <c r="GI170" s="797"/>
      <c r="GJ170" s="797"/>
      <c r="GK170" s="797"/>
      <c r="GL170" s="797"/>
      <c r="GM170" s="797"/>
      <c r="GN170" s="797"/>
      <c r="GO170" s="797"/>
      <c r="GP170" s="797"/>
      <c r="GQ170" s="797"/>
      <c r="GR170" s="797"/>
      <c r="GS170" s="797"/>
      <c r="GT170" s="797"/>
      <c r="GU170" s="797"/>
      <c r="GV170" s="797"/>
      <c r="GW170" s="797"/>
      <c r="GX170" s="797"/>
      <c r="GY170" s="797"/>
      <c r="GZ170" s="797"/>
      <c r="HA170" s="797"/>
      <c r="HB170" s="797"/>
      <c r="HC170" s="797"/>
      <c r="HD170" s="797"/>
      <c r="HE170" s="797"/>
      <c r="HF170" s="797"/>
      <c r="HG170" s="797"/>
      <c r="HH170" s="797"/>
      <c r="HI170" s="797"/>
      <c r="HJ170" s="797"/>
      <c r="HK170" s="797"/>
      <c r="HL170" s="797"/>
      <c r="HM170" s="797"/>
      <c r="HN170" s="797"/>
      <c r="HO170" s="797"/>
      <c r="HP170" s="797"/>
      <c r="HQ170" s="797"/>
      <c r="HR170" s="797"/>
      <c r="HS170" s="797"/>
      <c r="HT170" s="797"/>
      <c r="HU170" s="797"/>
      <c r="HV170" s="797"/>
      <c r="HW170" s="797"/>
      <c r="HX170" s="797"/>
      <c r="HY170" s="797"/>
      <c r="HZ170" s="797"/>
      <c r="IA170" s="797"/>
      <c r="IB170" s="797"/>
      <c r="IC170" s="797"/>
      <c r="ID170" s="797"/>
      <c r="IE170" s="797"/>
      <c r="IF170" s="797"/>
      <c r="IG170" s="797"/>
      <c r="IH170" s="797"/>
      <c r="II170" s="797"/>
      <c r="IJ170" s="797"/>
      <c r="IK170" s="797"/>
      <c r="IL170" s="797"/>
      <c r="IM170" s="797"/>
      <c r="IN170" s="797"/>
      <c r="IO170" s="797"/>
      <c r="IP170" s="797"/>
      <c r="IQ170" s="797"/>
      <c r="IR170" s="797"/>
      <c r="IS170" s="797"/>
      <c r="IT170" s="797"/>
      <c r="IU170" s="797"/>
      <c r="IV170" s="797"/>
    </row>
    <row r="171" spans="1:256" s="753" customFormat="1" ht="13.5" customHeight="1">
      <c r="A171" s="745"/>
      <c r="B171" s="746"/>
      <c r="C171" s="1245"/>
      <c r="D171" s="756" t="s">
        <v>182</v>
      </c>
      <c r="E171" s="757"/>
      <c r="F171" s="758">
        <f>SUM(F172)</f>
        <v>4.6097999999999999</v>
      </c>
      <c r="G171" s="374"/>
      <c r="H171" s="759"/>
      <c r="I171" s="751"/>
      <c r="J171" s="760"/>
      <c r="K171" s="593"/>
      <c r="L171" s="213"/>
      <c r="M171" s="213"/>
      <c r="N171" s="213"/>
      <c r="O171" s="213"/>
      <c r="P171" s="213"/>
      <c r="Q171" s="213"/>
      <c r="R171" s="213"/>
      <c r="S171" s="213"/>
      <c r="T171" s="213"/>
      <c r="U171" s="213"/>
      <c r="V171" s="213"/>
      <c r="W171" s="213"/>
      <c r="X171" s="213"/>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c r="CB171" s="754"/>
      <c r="CC171" s="754"/>
      <c r="CD171" s="754"/>
      <c r="CE171" s="754"/>
      <c r="CF171" s="754"/>
      <c r="CG171" s="754"/>
      <c r="CH171" s="754"/>
      <c r="CI171" s="754"/>
      <c r="CJ171" s="754"/>
      <c r="CK171" s="754"/>
      <c r="CL171" s="754"/>
      <c r="CM171" s="754"/>
      <c r="CN171" s="754"/>
      <c r="CO171" s="754"/>
      <c r="CP171" s="754"/>
      <c r="CQ171" s="754"/>
      <c r="CR171" s="754"/>
      <c r="CS171" s="754"/>
      <c r="CT171" s="754"/>
      <c r="CU171" s="754"/>
      <c r="CV171" s="754"/>
      <c r="CW171" s="754"/>
      <c r="CX171" s="754"/>
      <c r="CY171" s="754"/>
      <c r="CZ171" s="754"/>
      <c r="DA171" s="754"/>
      <c r="DB171" s="754"/>
      <c r="DC171" s="754"/>
      <c r="DD171" s="754"/>
      <c r="DE171" s="754"/>
      <c r="DF171" s="754"/>
      <c r="DG171" s="754"/>
      <c r="DH171" s="754"/>
      <c r="DI171" s="754"/>
      <c r="DJ171" s="754"/>
      <c r="DK171" s="754"/>
      <c r="DL171" s="754"/>
      <c r="DM171" s="754"/>
      <c r="DN171" s="754"/>
      <c r="DO171" s="754"/>
      <c r="DP171" s="754"/>
      <c r="DQ171" s="754"/>
      <c r="DR171" s="754"/>
      <c r="DS171" s="754"/>
      <c r="DT171" s="754"/>
      <c r="DU171" s="754"/>
      <c r="DV171" s="754"/>
      <c r="DW171" s="754"/>
      <c r="DX171" s="754"/>
      <c r="DY171" s="754"/>
      <c r="DZ171" s="754"/>
      <c r="EA171" s="754"/>
      <c r="EB171" s="754"/>
      <c r="EC171" s="754"/>
      <c r="ED171" s="754"/>
      <c r="EE171" s="754"/>
      <c r="EF171" s="754"/>
      <c r="EG171" s="754"/>
      <c r="EH171" s="754"/>
      <c r="EI171" s="754"/>
      <c r="EJ171" s="754"/>
      <c r="EK171" s="754"/>
      <c r="EL171" s="754"/>
      <c r="EM171" s="754"/>
      <c r="EN171" s="754"/>
      <c r="EO171" s="754"/>
      <c r="EP171" s="754"/>
      <c r="EQ171" s="754"/>
      <c r="ER171" s="754"/>
      <c r="ES171" s="754"/>
      <c r="ET171" s="754"/>
      <c r="EU171" s="754"/>
      <c r="EV171" s="754"/>
      <c r="EW171" s="754"/>
      <c r="EX171" s="754"/>
      <c r="EY171" s="754"/>
      <c r="EZ171" s="754"/>
      <c r="FA171" s="754"/>
      <c r="FB171" s="754"/>
      <c r="FC171" s="754"/>
      <c r="FD171" s="754"/>
      <c r="FE171" s="754"/>
      <c r="FF171" s="754"/>
      <c r="FG171" s="754"/>
      <c r="FH171" s="754"/>
      <c r="FI171" s="754"/>
      <c r="FJ171" s="754"/>
      <c r="FK171" s="754"/>
      <c r="FL171" s="754"/>
      <c r="FM171" s="754"/>
      <c r="FN171" s="754"/>
      <c r="FO171" s="754"/>
      <c r="FP171" s="754"/>
      <c r="FQ171" s="754"/>
      <c r="FR171" s="754"/>
      <c r="FS171" s="754"/>
      <c r="FT171" s="754"/>
      <c r="FU171" s="754"/>
      <c r="FV171" s="754"/>
      <c r="FW171" s="754"/>
      <c r="FX171" s="754"/>
      <c r="FY171" s="754"/>
      <c r="FZ171" s="754"/>
      <c r="GA171" s="754"/>
      <c r="GB171" s="754"/>
      <c r="GC171" s="754"/>
      <c r="GD171" s="754"/>
      <c r="GE171" s="754"/>
      <c r="GF171" s="754"/>
      <c r="GG171" s="754"/>
      <c r="GH171" s="754"/>
      <c r="GI171" s="754"/>
      <c r="GJ171" s="754"/>
      <c r="GK171" s="754"/>
      <c r="GL171" s="754"/>
      <c r="GM171" s="754"/>
      <c r="GN171" s="754"/>
      <c r="GO171" s="754"/>
      <c r="GP171" s="754"/>
      <c r="GQ171" s="754"/>
      <c r="GR171" s="754"/>
      <c r="GS171" s="754"/>
      <c r="GT171" s="754"/>
      <c r="GU171" s="754"/>
      <c r="GV171" s="754"/>
      <c r="GW171" s="754"/>
      <c r="GX171" s="754"/>
      <c r="GY171" s="754"/>
      <c r="GZ171" s="754"/>
      <c r="HA171" s="754"/>
      <c r="HB171" s="754"/>
      <c r="HC171" s="754"/>
      <c r="HD171" s="754"/>
      <c r="HE171" s="754"/>
      <c r="HF171" s="754"/>
      <c r="HG171" s="754"/>
      <c r="HH171" s="754"/>
      <c r="HI171" s="754"/>
      <c r="HJ171" s="754"/>
      <c r="HK171" s="754"/>
      <c r="HL171" s="754"/>
      <c r="HM171" s="754"/>
      <c r="HN171" s="754"/>
      <c r="HO171" s="754"/>
      <c r="HP171" s="754"/>
      <c r="HQ171" s="754"/>
      <c r="HR171" s="754"/>
      <c r="HS171" s="754"/>
      <c r="HT171" s="754"/>
      <c r="HU171" s="754"/>
      <c r="HV171" s="754"/>
      <c r="HW171" s="754"/>
      <c r="HX171" s="754"/>
      <c r="HY171" s="754"/>
      <c r="HZ171" s="754"/>
      <c r="IA171" s="754"/>
      <c r="IB171" s="754"/>
      <c r="IC171" s="754"/>
      <c r="ID171" s="754"/>
      <c r="IE171" s="754"/>
      <c r="IF171" s="754"/>
      <c r="IG171" s="754"/>
      <c r="IH171" s="754"/>
      <c r="II171" s="754"/>
      <c r="IJ171" s="754"/>
      <c r="IK171" s="754"/>
      <c r="IL171" s="754"/>
      <c r="IM171" s="754"/>
      <c r="IN171" s="754"/>
      <c r="IO171" s="754"/>
      <c r="IP171" s="754"/>
      <c r="IQ171" s="754"/>
      <c r="IR171" s="754"/>
      <c r="IS171" s="754"/>
      <c r="IT171" s="754"/>
      <c r="IU171" s="754"/>
      <c r="IV171" s="754"/>
    </row>
    <row r="172" spans="1:256" s="593" customFormat="1" ht="27" customHeight="1">
      <c r="A172" s="761"/>
      <c r="B172" s="582"/>
      <c r="C172" s="583"/>
      <c r="D172" s="585" t="s">
        <v>6094</v>
      </c>
      <c r="E172" s="585"/>
      <c r="F172" s="762">
        <f>(19.7*0.65*(0.9-0.5))*(0.85+0.05)</f>
        <v>4.6097999999999999</v>
      </c>
      <c r="G172" s="879"/>
      <c r="H172" s="587"/>
      <c r="I172" s="588"/>
      <c r="J172" s="1651"/>
      <c r="K172" s="753"/>
      <c r="L172" s="754"/>
      <c r="M172" s="754"/>
      <c r="N172" s="754"/>
      <c r="O172" s="754"/>
      <c r="P172" s="754"/>
      <c r="Q172" s="754"/>
      <c r="R172" s="754"/>
      <c r="S172" s="754"/>
      <c r="T172" s="754"/>
      <c r="U172" s="754"/>
      <c r="V172" s="754"/>
      <c r="W172" s="754"/>
      <c r="X172" s="754"/>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c r="CP172" s="213"/>
      <c r="CQ172" s="213"/>
      <c r="CR172" s="213"/>
      <c r="CS172" s="213"/>
      <c r="CT172" s="213"/>
      <c r="CU172" s="213"/>
      <c r="CV172" s="213"/>
      <c r="CW172" s="213"/>
      <c r="CX172" s="213"/>
      <c r="CY172" s="213"/>
      <c r="CZ172" s="213"/>
      <c r="DA172" s="213"/>
      <c r="DB172" s="213"/>
      <c r="DC172" s="213"/>
      <c r="DD172" s="213"/>
      <c r="DE172" s="213"/>
      <c r="DF172" s="213"/>
      <c r="DG172" s="213"/>
      <c r="DH172" s="213"/>
      <c r="DI172" s="213"/>
      <c r="DJ172" s="213"/>
      <c r="DK172" s="213"/>
      <c r="DL172" s="213"/>
      <c r="DM172" s="213"/>
      <c r="DN172" s="213"/>
      <c r="DO172" s="213"/>
      <c r="DP172" s="213"/>
      <c r="DQ172" s="213"/>
      <c r="DR172" s="213"/>
      <c r="DS172" s="213"/>
      <c r="DT172" s="213"/>
      <c r="DU172" s="213"/>
      <c r="DV172" s="213"/>
      <c r="DW172" s="213"/>
      <c r="DX172" s="213"/>
      <c r="DY172" s="213"/>
      <c r="DZ172" s="213"/>
      <c r="EA172" s="213"/>
      <c r="EB172" s="213"/>
      <c r="EC172" s="213"/>
      <c r="ED172" s="213"/>
      <c r="EE172" s="213"/>
      <c r="EF172" s="213"/>
      <c r="EG172" s="213"/>
      <c r="EH172" s="213"/>
      <c r="EI172" s="213"/>
      <c r="EJ172" s="213"/>
      <c r="EK172" s="213"/>
      <c r="EL172" s="213"/>
      <c r="EM172" s="213"/>
      <c r="EN172" s="213"/>
      <c r="EO172" s="213"/>
      <c r="EP172" s="213"/>
      <c r="EQ172" s="213"/>
      <c r="ER172" s="213"/>
      <c r="ES172" s="213"/>
      <c r="ET172" s="213"/>
      <c r="EU172" s="213"/>
      <c r="EV172" s="213"/>
      <c r="EW172" s="213"/>
      <c r="EX172" s="213"/>
      <c r="EY172" s="213"/>
      <c r="EZ172" s="213"/>
      <c r="FA172" s="213"/>
      <c r="FB172" s="213"/>
      <c r="FC172" s="213"/>
      <c r="FD172" s="213"/>
      <c r="FE172" s="213"/>
      <c r="FF172" s="213"/>
      <c r="FG172" s="213"/>
      <c r="FH172" s="213"/>
      <c r="FI172" s="213"/>
      <c r="FJ172" s="213"/>
      <c r="FK172" s="213"/>
      <c r="FL172" s="213"/>
      <c r="FM172" s="213"/>
      <c r="FN172" s="213"/>
      <c r="FO172" s="213"/>
      <c r="FP172" s="213"/>
      <c r="FQ172" s="213"/>
      <c r="FR172" s="213"/>
      <c r="FS172" s="213"/>
      <c r="FT172" s="213"/>
      <c r="FU172" s="213"/>
      <c r="FV172" s="213"/>
      <c r="FW172" s="213"/>
      <c r="FX172" s="213"/>
      <c r="FY172" s="213"/>
      <c r="FZ172" s="213"/>
      <c r="GA172" s="213"/>
      <c r="GB172" s="213"/>
      <c r="GC172" s="213"/>
      <c r="GD172" s="213"/>
      <c r="GE172" s="213"/>
      <c r="GF172" s="213"/>
      <c r="GG172" s="213"/>
      <c r="GH172" s="213"/>
      <c r="GI172" s="213"/>
      <c r="GJ172" s="213"/>
      <c r="GK172" s="213"/>
      <c r="GL172" s="213"/>
      <c r="GM172" s="213"/>
      <c r="GN172" s="213"/>
      <c r="GO172" s="213"/>
      <c r="GP172" s="213"/>
      <c r="GQ172" s="213"/>
      <c r="GR172" s="213"/>
      <c r="GS172" s="213"/>
      <c r="GT172" s="213"/>
      <c r="GU172" s="213"/>
      <c r="GV172" s="213"/>
      <c r="GW172" s="213"/>
      <c r="GX172" s="213"/>
      <c r="GY172" s="213"/>
      <c r="GZ172" s="213"/>
      <c r="HA172" s="213"/>
      <c r="HB172" s="213"/>
      <c r="HC172" s="213"/>
      <c r="HD172" s="213"/>
      <c r="HE172" s="213"/>
      <c r="HF172" s="213"/>
      <c r="HG172" s="213"/>
      <c r="HH172" s="213"/>
      <c r="HI172" s="213"/>
      <c r="HJ172" s="213"/>
      <c r="HK172" s="213"/>
      <c r="HL172" s="213"/>
      <c r="HM172" s="213"/>
      <c r="HN172" s="213"/>
      <c r="HO172" s="213"/>
      <c r="HP172" s="213"/>
      <c r="HQ172" s="213"/>
      <c r="HR172" s="213"/>
      <c r="HS172" s="213"/>
      <c r="HT172" s="213"/>
      <c r="HU172" s="213"/>
      <c r="HV172" s="213"/>
      <c r="HW172" s="213"/>
      <c r="HX172" s="213"/>
      <c r="HY172" s="213"/>
      <c r="HZ172" s="213"/>
      <c r="IA172" s="213"/>
      <c r="IB172" s="213"/>
      <c r="IC172" s="213"/>
      <c r="ID172" s="213"/>
      <c r="IE172" s="213"/>
      <c r="IF172" s="213"/>
      <c r="IG172" s="213"/>
      <c r="IH172" s="213"/>
      <c r="II172" s="213"/>
      <c r="IJ172" s="213"/>
      <c r="IK172" s="213"/>
      <c r="IL172" s="213"/>
      <c r="IM172" s="213"/>
      <c r="IN172" s="213"/>
      <c r="IO172" s="213"/>
      <c r="IP172" s="213"/>
      <c r="IQ172" s="213"/>
      <c r="IR172" s="213"/>
      <c r="IS172" s="213"/>
      <c r="IT172" s="213"/>
      <c r="IU172" s="213"/>
      <c r="IV172" s="213"/>
    </row>
    <row r="173" spans="1:256" s="753" customFormat="1" ht="13.5" customHeight="1">
      <c r="A173" s="745"/>
      <c r="B173" s="746"/>
      <c r="C173" s="1245"/>
      <c r="D173" s="756" t="s">
        <v>185</v>
      </c>
      <c r="E173" s="757"/>
      <c r="F173" s="758">
        <f>SUM(F174)</f>
        <v>0.51219999999999999</v>
      </c>
      <c r="G173" s="374"/>
      <c r="H173" s="759"/>
      <c r="I173" s="751"/>
      <c r="J173" s="1652"/>
      <c r="K173" s="1653"/>
      <c r="L173" s="375"/>
      <c r="M173" s="375"/>
      <c r="N173" s="375"/>
      <c r="O173" s="375"/>
      <c r="P173" s="213"/>
      <c r="Q173" s="213"/>
      <c r="R173" s="213"/>
      <c r="S173" s="213"/>
      <c r="T173" s="213"/>
      <c r="U173" s="213"/>
      <c r="V173" s="213"/>
      <c r="W173" s="213"/>
      <c r="X173" s="213"/>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c r="CB173" s="754"/>
      <c r="CC173" s="754"/>
      <c r="CD173" s="754"/>
      <c r="CE173" s="754"/>
      <c r="CF173" s="754"/>
      <c r="CG173" s="754"/>
      <c r="CH173" s="754"/>
      <c r="CI173" s="754"/>
      <c r="CJ173" s="754"/>
      <c r="CK173" s="754"/>
      <c r="CL173" s="754"/>
      <c r="CM173" s="754"/>
      <c r="CN173" s="754"/>
      <c r="CO173" s="754"/>
      <c r="CP173" s="754"/>
      <c r="CQ173" s="754"/>
      <c r="CR173" s="754"/>
      <c r="CS173" s="754"/>
      <c r="CT173" s="754"/>
      <c r="CU173" s="754"/>
      <c r="CV173" s="754"/>
      <c r="CW173" s="754"/>
      <c r="CX173" s="754"/>
      <c r="CY173" s="754"/>
      <c r="CZ173" s="754"/>
      <c r="DA173" s="754"/>
      <c r="DB173" s="754"/>
      <c r="DC173" s="754"/>
      <c r="DD173" s="754"/>
      <c r="DE173" s="754"/>
      <c r="DF173" s="754"/>
      <c r="DG173" s="754"/>
      <c r="DH173" s="754"/>
      <c r="DI173" s="754"/>
      <c r="DJ173" s="754"/>
      <c r="DK173" s="754"/>
      <c r="DL173" s="754"/>
      <c r="DM173" s="754"/>
      <c r="DN173" s="754"/>
      <c r="DO173" s="754"/>
      <c r="DP173" s="754"/>
      <c r="DQ173" s="754"/>
      <c r="DR173" s="754"/>
      <c r="DS173" s="754"/>
      <c r="DT173" s="754"/>
      <c r="DU173" s="754"/>
      <c r="DV173" s="754"/>
      <c r="DW173" s="754"/>
      <c r="DX173" s="754"/>
      <c r="DY173" s="754"/>
      <c r="DZ173" s="754"/>
      <c r="EA173" s="754"/>
      <c r="EB173" s="754"/>
      <c r="EC173" s="754"/>
      <c r="ED173" s="754"/>
      <c r="EE173" s="754"/>
      <c r="EF173" s="754"/>
      <c r="EG173" s="754"/>
      <c r="EH173" s="754"/>
      <c r="EI173" s="754"/>
      <c r="EJ173" s="754"/>
      <c r="EK173" s="754"/>
      <c r="EL173" s="754"/>
      <c r="EM173" s="754"/>
      <c r="EN173" s="754"/>
      <c r="EO173" s="754"/>
      <c r="EP173" s="754"/>
      <c r="EQ173" s="754"/>
      <c r="ER173" s="754"/>
      <c r="ES173" s="754"/>
      <c r="ET173" s="754"/>
      <c r="EU173" s="754"/>
      <c r="EV173" s="754"/>
      <c r="EW173" s="754"/>
      <c r="EX173" s="754"/>
      <c r="EY173" s="754"/>
      <c r="EZ173" s="754"/>
      <c r="FA173" s="754"/>
      <c r="FB173" s="754"/>
      <c r="FC173" s="754"/>
      <c r="FD173" s="754"/>
      <c r="FE173" s="754"/>
      <c r="FF173" s="754"/>
      <c r="FG173" s="754"/>
      <c r="FH173" s="754"/>
      <c r="FI173" s="754"/>
      <c r="FJ173" s="754"/>
      <c r="FK173" s="754"/>
      <c r="FL173" s="754"/>
      <c r="FM173" s="754"/>
      <c r="FN173" s="754"/>
      <c r="FO173" s="754"/>
      <c r="FP173" s="754"/>
      <c r="FQ173" s="754"/>
      <c r="FR173" s="754"/>
      <c r="FS173" s="754"/>
      <c r="FT173" s="754"/>
      <c r="FU173" s="754"/>
      <c r="FV173" s="754"/>
      <c r="FW173" s="754"/>
      <c r="FX173" s="754"/>
      <c r="FY173" s="754"/>
      <c r="FZ173" s="754"/>
      <c r="GA173" s="754"/>
      <c r="GB173" s="754"/>
      <c r="GC173" s="754"/>
      <c r="GD173" s="754"/>
      <c r="GE173" s="754"/>
      <c r="GF173" s="754"/>
      <c r="GG173" s="754"/>
      <c r="GH173" s="754"/>
      <c r="GI173" s="754"/>
      <c r="GJ173" s="754"/>
      <c r="GK173" s="754"/>
      <c r="GL173" s="754"/>
      <c r="GM173" s="754"/>
      <c r="GN173" s="754"/>
      <c r="GO173" s="754"/>
      <c r="GP173" s="754"/>
      <c r="GQ173" s="754"/>
      <c r="GR173" s="754"/>
      <c r="GS173" s="754"/>
      <c r="GT173" s="754"/>
      <c r="GU173" s="754"/>
      <c r="GV173" s="754"/>
      <c r="GW173" s="754"/>
      <c r="GX173" s="754"/>
      <c r="GY173" s="754"/>
      <c r="GZ173" s="754"/>
      <c r="HA173" s="754"/>
      <c r="HB173" s="754"/>
      <c r="HC173" s="754"/>
      <c r="HD173" s="754"/>
      <c r="HE173" s="754"/>
      <c r="HF173" s="754"/>
      <c r="HG173" s="754"/>
      <c r="HH173" s="754"/>
      <c r="HI173" s="754"/>
      <c r="HJ173" s="754"/>
      <c r="HK173" s="754"/>
      <c r="HL173" s="754"/>
      <c r="HM173" s="754"/>
      <c r="HN173" s="754"/>
      <c r="HO173" s="754"/>
      <c r="HP173" s="754"/>
      <c r="HQ173" s="754"/>
      <c r="HR173" s="754"/>
      <c r="HS173" s="754"/>
      <c r="HT173" s="754"/>
      <c r="HU173" s="754"/>
      <c r="HV173" s="754"/>
      <c r="HW173" s="754"/>
      <c r="HX173" s="754"/>
      <c r="HY173" s="754"/>
      <c r="HZ173" s="754"/>
      <c r="IA173" s="754"/>
      <c r="IB173" s="754"/>
      <c r="IC173" s="754"/>
      <c r="ID173" s="754"/>
      <c r="IE173" s="754"/>
      <c r="IF173" s="754"/>
      <c r="IG173" s="754"/>
      <c r="IH173" s="754"/>
      <c r="II173" s="754"/>
      <c r="IJ173" s="754"/>
      <c r="IK173" s="754"/>
      <c r="IL173" s="754"/>
      <c r="IM173" s="754"/>
      <c r="IN173" s="754"/>
      <c r="IO173" s="754"/>
      <c r="IP173" s="754"/>
      <c r="IQ173" s="754"/>
      <c r="IR173" s="754"/>
      <c r="IS173" s="754"/>
      <c r="IT173" s="754"/>
      <c r="IU173" s="754"/>
      <c r="IV173" s="754"/>
    </row>
    <row r="174" spans="1:256" s="593" customFormat="1" ht="13.5" customHeight="1">
      <c r="A174" s="761"/>
      <c r="B174" s="582"/>
      <c r="C174" s="583"/>
      <c r="D174" s="585" t="s">
        <v>6095</v>
      </c>
      <c r="E174" s="585"/>
      <c r="F174" s="762">
        <f>(19.7*0.65*(0.9-0.5))*(0.1)</f>
        <v>0.51219999999999999</v>
      </c>
      <c r="G174" s="879"/>
      <c r="H174" s="587"/>
      <c r="I174" s="588"/>
      <c r="J174" s="767"/>
      <c r="K174" s="766"/>
      <c r="L174" s="375"/>
      <c r="M174" s="375"/>
      <c r="N174" s="375"/>
      <c r="O174" s="375"/>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c r="CP174" s="213"/>
      <c r="CQ174" s="213"/>
      <c r="CR174" s="213"/>
      <c r="CS174" s="213"/>
      <c r="CT174" s="213"/>
      <c r="CU174" s="213"/>
      <c r="CV174" s="213"/>
      <c r="CW174" s="213"/>
      <c r="CX174" s="213"/>
      <c r="CY174" s="213"/>
      <c r="CZ174" s="213"/>
      <c r="DA174" s="213"/>
      <c r="DB174" s="213"/>
      <c r="DC174" s="213"/>
      <c r="DD174" s="213"/>
      <c r="DE174" s="213"/>
      <c r="DF174" s="213"/>
      <c r="DG174" s="213"/>
      <c r="DH174" s="213"/>
      <c r="DI174" s="213"/>
      <c r="DJ174" s="213"/>
      <c r="DK174" s="213"/>
      <c r="DL174" s="213"/>
      <c r="DM174" s="213"/>
      <c r="DN174" s="213"/>
      <c r="DO174" s="213"/>
      <c r="DP174" s="213"/>
      <c r="DQ174" s="213"/>
      <c r="DR174" s="213"/>
      <c r="DS174" s="213"/>
      <c r="DT174" s="213"/>
      <c r="DU174" s="213"/>
      <c r="DV174" s="213"/>
      <c r="DW174" s="213"/>
      <c r="DX174" s="213"/>
      <c r="DY174" s="213"/>
      <c r="DZ174" s="213"/>
      <c r="EA174" s="213"/>
      <c r="EB174" s="213"/>
      <c r="EC174" s="213"/>
      <c r="ED174" s="213"/>
      <c r="EE174" s="213"/>
      <c r="EF174" s="213"/>
      <c r="EG174" s="213"/>
      <c r="EH174" s="213"/>
      <c r="EI174" s="213"/>
      <c r="EJ174" s="213"/>
      <c r="EK174" s="213"/>
      <c r="EL174" s="213"/>
      <c r="EM174" s="213"/>
      <c r="EN174" s="213"/>
      <c r="EO174" s="213"/>
      <c r="EP174" s="213"/>
      <c r="EQ174" s="213"/>
      <c r="ER174" s="213"/>
      <c r="ES174" s="213"/>
      <c r="ET174" s="213"/>
      <c r="EU174" s="213"/>
      <c r="EV174" s="213"/>
      <c r="EW174" s="213"/>
      <c r="EX174" s="213"/>
      <c r="EY174" s="213"/>
      <c r="EZ174" s="213"/>
      <c r="FA174" s="213"/>
      <c r="FB174" s="213"/>
      <c r="FC174" s="213"/>
      <c r="FD174" s="213"/>
      <c r="FE174" s="213"/>
      <c r="FF174" s="213"/>
      <c r="FG174" s="213"/>
      <c r="FH174" s="213"/>
      <c r="FI174" s="213"/>
      <c r="FJ174" s="213"/>
      <c r="FK174" s="213"/>
      <c r="FL174" s="213"/>
      <c r="FM174" s="213"/>
      <c r="FN174" s="213"/>
      <c r="FO174" s="213"/>
      <c r="FP174" s="213"/>
      <c r="FQ174" s="213"/>
      <c r="FR174" s="213"/>
      <c r="FS174" s="213"/>
      <c r="FT174" s="213"/>
      <c r="FU174" s="213"/>
      <c r="FV174" s="213"/>
      <c r="FW174" s="213"/>
      <c r="FX174" s="213"/>
      <c r="FY174" s="213"/>
      <c r="FZ174" s="213"/>
      <c r="GA174" s="213"/>
      <c r="GB174" s="213"/>
      <c r="GC174" s="213"/>
      <c r="GD174" s="213"/>
      <c r="GE174" s="213"/>
      <c r="GF174" s="213"/>
      <c r="GG174" s="213"/>
      <c r="GH174" s="213"/>
      <c r="GI174" s="213"/>
      <c r="GJ174" s="213"/>
      <c r="GK174" s="213"/>
      <c r="GL174" s="213"/>
      <c r="GM174" s="213"/>
      <c r="GN174" s="213"/>
      <c r="GO174" s="213"/>
      <c r="GP174" s="213"/>
      <c r="GQ174" s="213"/>
      <c r="GR174" s="213"/>
      <c r="GS174" s="213"/>
      <c r="GT174" s="213"/>
      <c r="GU174" s="213"/>
      <c r="GV174" s="213"/>
      <c r="GW174" s="213"/>
      <c r="GX174" s="213"/>
      <c r="GY174" s="213"/>
      <c r="GZ174" s="213"/>
      <c r="HA174" s="213"/>
      <c r="HB174" s="213"/>
      <c r="HC174" s="213"/>
      <c r="HD174" s="213"/>
      <c r="HE174" s="213"/>
      <c r="HF174" s="213"/>
      <c r="HG174" s="213"/>
      <c r="HH174" s="213"/>
      <c r="HI174" s="213"/>
      <c r="HJ174" s="213"/>
      <c r="HK174" s="213"/>
      <c r="HL174" s="213"/>
      <c r="HM174" s="213"/>
      <c r="HN174" s="213"/>
      <c r="HO174" s="213"/>
      <c r="HP174" s="213"/>
      <c r="HQ174" s="213"/>
      <c r="HR174" s="213"/>
      <c r="HS174" s="213"/>
      <c r="HT174" s="213"/>
      <c r="HU174" s="213"/>
      <c r="HV174" s="213"/>
      <c r="HW174" s="213"/>
      <c r="HX174" s="213"/>
      <c r="HY174" s="213"/>
      <c r="HZ174" s="213"/>
      <c r="IA174" s="213"/>
      <c r="IB174" s="213"/>
      <c r="IC174" s="213"/>
      <c r="ID174" s="213"/>
      <c r="IE174" s="213"/>
      <c r="IF174" s="213"/>
      <c r="IG174" s="213"/>
      <c r="IH174" s="213"/>
      <c r="II174" s="213"/>
      <c r="IJ174" s="213"/>
      <c r="IK174" s="213"/>
      <c r="IL174" s="213"/>
      <c r="IM174" s="213"/>
      <c r="IN174" s="213"/>
      <c r="IO174" s="213"/>
      <c r="IP174" s="213"/>
      <c r="IQ174" s="213"/>
      <c r="IR174" s="213"/>
      <c r="IS174" s="213"/>
      <c r="IT174" s="213"/>
      <c r="IU174" s="213"/>
      <c r="IV174" s="213"/>
    </row>
    <row r="175" spans="1:256" s="1248" customFormat="1" ht="13.5" customHeight="1">
      <c r="A175" s="1518" t="s">
        <v>4076</v>
      </c>
      <c r="B175" s="1245"/>
      <c r="C175" s="777">
        <v>460371121</v>
      </c>
      <c r="D175" s="1255" t="s">
        <v>5880</v>
      </c>
      <c r="E175" s="1259" t="s">
        <v>146</v>
      </c>
      <c r="F175" s="1249">
        <f>F171</f>
        <v>4.6097999999999999</v>
      </c>
      <c r="G175" s="415"/>
      <c r="H175" s="803">
        <f t="shared" ref="H175:H179" si="2">ROUND(F175*G175,2)</f>
        <v>0</v>
      </c>
      <c r="I175" s="781" t="s">
        <v>137</v>
      </c>
      <c r="J175" s="647"/>
      <c r="K175" s="647"/>
      <c r="L175" s="612"/>
      <c r="M175" s="612"/>
      <c r="N175" s="612"/>
      <c r="O175" s="612"/>
      <c r="P175" s="612"/>
      <c r="Q175" s="612"/>
      <c r="R175" s="612"/>
      <c r="S175" s="788"/>
      <c r="V175" s="1646"/>
    </row>
    <row r="176" spans="1:256" s="1248" customFormat="1" ht="13.5" customHeight="1">
      <c r="A176" s="1518" t="s">
        <v>4080</v>
      </c>
      <c r="B176" s="1245"/>
      <c r="C176" s="777">
        <v>460371123</v>
      </c>
      <c r="D176" s="1255" t="s">
        <v>5882</v>
      </c>
      <c r="E176" s="1259" t="s">
        <v>146</v>
      </c>
      <c r="F176" s="1249">
        <f>F173</f>
        <v>0.51219999999999999</v>
      </c>
      <c r="G176" s="415"/>
      <c r="H176" s="803">
        <f t="shared" si="2"/>
        <v>0</v>
      </c>
      <c r="I176" s="781" t="s">
        <v>137</v>
      </c>
      <c r="J176" s="647"/>
      <c r="K176" s="647"/>
      <c r="L176" s="612"/>
      <c r="M176" s="612"/>
      <c r="N176" s="612"/>
      <c r="O176" s="612"/>
      <c r="P176" s="612"/>
      <c r="Q176" s="612"/>
      <c r="R176" s="612"/>
      <c r="S176" s="788"/>
      <c r="V176" s="1646"/>
    </row>
    <row r="177" spans="1:256" s="593" customFormat="1" ht="27" customHeight="1">
      <c r="A177" s="775" t="s">
        <v>5898</v>
      </c>
      <c r="B177" s="776"/>
      <c r="C177" s="777" t="s">
        <v>6327</v>
      </c>
      <c r="D177" s="585" t="s">
        <v>6333</v>
      </c>
      <c r="E177" s="778" t="s">
        <v>146</v>
      </c>
      <c r="F177" s="779">
        <f>F169</f>
        <v>5.1219999999999999</v>
      </c>
      <c r="G177" s="880"/>
      <c r="H177" s="803">
        <f t="shared" si="2"/>
        <v>0</v>
      </c>
      <c r="I177" s="781" t="s">
        <v>112</v>
      </c>
      <c r="J177" s="782"/>
      <c r="K177" s="783"/>
      <c r="L177" s="621"/>
      <c r="M177" s="621"/>
      <c r="N177" s="621"/>
      <c r="O177" s="621"/>
      <c r="P177" s="621"/>
      <c r="Q177" s="621"/>
      <c r="R177" s="621"/>
      <c r="S177" s="784"/>
      <c r="T177" s="78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775" t="s">
        <v>5899</v>
      </c>
      <c r="B178" s="776"/>
      <c r="C178" s="777">
        <v>171251101</v>
      </c>
      <c r="D178" s="585" t="s">
        <v>192</v>
      </c>
      <c r="E178" s="778" t="s">
        <v>146</v>
      </c>
      <c r="F178" s="779">
        <f>F169</f>
        <v>5.1219999999999999</v>
      </c>
      <c r="G178" s="880"/>
      <c r="H178" s="803">
        <f t="shared" si="2"/>
        <v>0</v>
      </c>
      <c r="I178" s="781" t="s">
        <v>137</v>
      </c>
      <c r="J178" s="647"/>
      <c r="K178" s="647"/>
      <c r="L178" s="612"/>
      <c r="M178" s="612"/>
      <c r="N178" s="612"/>
      <c r="O178" s="612"/>
      <c r="P178" s="637"/>
      <c r="Q178" s="612"/>
      <c r="R178" s="612"/>
      <c r="S178" s="788"/>
      <c r="T178" s="612"/>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c r="CP178" s="213"/>
      <c r="CQ178" s="213"/>
      <c r="CR178" s="213"/>
      <c r="CS178" s="213"/>
      <c r="CT178" s="213"/>
      <c r="CU178" s="213"/>
      <c r="CV178" s="213"/>
      <c r="CW178" s="213"/>
      <c r="CX178" s="213"/>
      <c r="CY178" s="213"/>
      <c r="CZ178" s="213"/>
      <c r="DA178" s="213"/>
      <c r="DB178" s="213"/>
      <c r="DC178" s="213"/>
      <c r="DD178" s="213"/>
      <c r="DE178" s="213"/>
      <c r="DF178" s="213"/>
      <c r="DG178" s="213"/>
      <c r="DH178" s="213"/>
      <c r="DI178" s="213"/>
      <c r="DJ178" s="213"/>
      <c r="DK178" s="213"/>
      <c r="DL178" s="213"/>
      <c r="DM178" s="213"/>
      <c r="DN178" s="213"/>
      <c r="DO178" s="213"/>
      <c r="DP178" s="213"/>
      <c r="DQ178" s="213"/>
      <c r="DR178" s="213"/>
      <c r="DS178" s="213"/>
      <c r="DT178" s="213"/>
      <c r="DU178" s="213"/>
      <c r="DV178" s="213"/>
      <c r="DW178" s="213"/>
      <c r="DX178" s="213"/>
      <c r="DY178" s="213"/>
      <c r="DZ178" s="213"/>
      <c r="EA178" s="213"/>
      <c r="EB178" s="213"/>
      <c r="EC178" s="213"/>
      <c r="ED178" s="213"/>
      <c r="EE178" s="213"/>
      <c r="EF178" s="213"/>
      <c r="EG178" s="213"/>
      <c r="EH178" s="213"/>
      <c r="EI178" s="213"/>
      <c r="EJ178" s="213"/>
      <c r="EK178" s="213"/>
      <c r="EL178" s="213"/>
      <c r="EM178" s="213"/>
      <c r="EN178" s="213"/>
      <c r="EO178" s="213"/>
      <c r="EP178" s="213"/>
      <c r="EQ178" s="213"/>
      <c r="ER178" s="213"/>
      <c r="ES178" s="213"/>
      <c r="ET178" s="213"/>
      <c r="EU178" s="213"/>
      <c r="EV178" s="213"/>
      <c r="EW178" s="213"/>
      <c r="EX178" s="213"/>
      <c r="EY178" s="213"/>
      <c r="EZ178" s="213"/>
      <c r="FA178" s="213"/>
      <c r="FB178" s="213"/>
      <c r="FC178" s="213"/>
      <c r="FD178" s="213"/>
      <c r="FE178" s="213"/>
      <c r="FF178" s="213"/>
      <c r="FG178" s="213"/>
      <c r="FH178" s="213"/>
      <c r="FI178" s="213"/>
      <c r="FJ178" s="213"/>
      <c r="FK178" s="213"/>
      <c r="FL178" s="213"/>
      <c r="FM178" s="213"/>
      <c r="FN178" s="213"/>
      <c r="FO178" s="213"/>
      <c r="FP178" s="213"/>
      <c r="FQ178" s="213"/>
      <c r="FR178" s="213"/>
      <c r="FS178" s="213"/>
      <c r="FT178" s="213"/>
      <c r="FU178" s="213"/>
      <c r="FV178" s="213"/>
      <c r="FW178" s="213"/>
      <c r="FX178" s="213"/>
      <c r="FY178" s="213"/>
      <c r="FZ178" s="213"/>
      <c r="GA178" s="213"/>
      <c r="GB178" s="213"/>
      <c r="GC178" s="213"/>
      <c r="GD178" s="213"/>
      <c r="GE178" s="213"/>
      <c r="GF178" s="213"/>
      <c r="GG178" s="213"/>
      <c r="GH178" s="213"/>
      <c r="GI178" s="213"/>
      <c r="GJ178" s="213"/>
      <c r="GK178" s="213"/>
      <c r="GL178" s="213"/>
      <c r="GM178" s="213"/>
      <c r="GN178" s="213"/>
      <c r="GO178" s="213"/>
      <c r="GP178" s="213"/>
      <c r="GQ178" s="213"/>
      <c r="GR178" s="213"/>
      <c r="GS178" s="213"/>
      <c r="GT178" s="213"/>
      <c r="GU178" s="213"/>
      <c r="GV178" s="213"/>
      <c r="GW178" s="213"/>
      <c r="GX178" s="213"/>
      <c r="GY178" s="213"/>
      <c r="GZ178" s="213"/>
      <c r="HA178" s="213"/>
      <c r="HB178" s="213"/>
      <c r="HC178" s="213"/>
      <c r="HD178" s="213"/>
      <c r="HE178" s="213"/>
      <c r="HF178" s="213"/>
      <c r="HG178" s="213"/>
      <c r="HH178" s="213"/>
      <c r="HI178" s="213"/>
      <c r="HJ178" s="213"/>
      <c r="HK178" s="213"/>
      <c r="HL178" s="213"/>
      <c r="HM178" s="213"/>
      <c r="HN178" s="213"/>
      <c r="HO178" s="213"/>
      <c r="HP178" s="213"/>
      <c r="HQ178" s="213"/>
      <c r="HR178" s="213"/>
      <c r="HS178" s="213"/>
      <c r="HT178" s="213"/>
      <c r="HU178" s="213"/>
      <c r="HV178" s="213"/>
      <c r="HW178" s="213"/>
      <c r="HX178" s="213"/>
      <c r="HY178" s="213"/>
      <c r="HZ178" s="213"/>
      <c r="IA178" s="213"/>
      <c r="IB178" s="213"/>
      <c r="IC178" s="213"/>
      <c r="ID178" s="213"/>
      <c r="IE178" s="213"/>
      <c r="IF178" s="213"/>
      <c r="IG178" s="213"/>
      <c r="IH178" s="213"/>
      <c r="II178" s="213"/>
      <c r="IJ178" s="213"/>
      <c r="IK178" s="213"/>
      <c r="IL178" s="213"/>
      <c r="IM178" s="213"/>
      <c r="IN178" s="213"/>
      <c r="IO178" s="213"/>
      <c r="IP178" s="213"/>
      <c r="IQ178" s="213"/>
      <c r="IR178" s="213"/>
      <c r="IS178" s="213"/>
      <c r="IT178" s="213"/>
      <c r="IU178" s="213"/>
      <c r="IV178" s="213"/>
    </row>
    <row r="179" spans="1:256" s="593" customFormat="1" ht="27" customHeight="1">
      <c r="A179" s="1654" t="s">
        <v>5900</v>
      </c>
      <c r="B179" s="1655"/>
      <c r="C179" s="777" t="s">
        <v>6328</v>
      </c>
      <c r="D179" s="810" t="s">
        <v>6329</v>
      </c>
      <c r="E179" s="1656" t="s">
        <v>175</v>
      </c>
      <c r="F179" s="802">
        <f>F169*2</f>
        <v>10.244</v>
      </c>
      <c r="G179" s="414"/>
      <c r="H179" s="803">
        <f t="shared" si="2"/>
        <v>0</v>
      </c>
      <c r="I179" s="781" t="s">
        <v>112</v>
      </c>
      <c r="J179" s="647"/>
      <c r="K179" s="647"/>
      <c r="L179" s="612"/>
      <c r="M179" s="612"/>
      <c r="N179" s="612"/>
      <c r="O179" s="612"/>
      <c r="P179" s="612"/>
      <c r="Q179" s="612"/>
      <c r="R179" s="612"/>
      <c r="S179" s="788"/>
      <c r="T179" s="1657"/>
      <c r="U179" s="213"/>
      <c r="V179" s="213"/>
      <c r="W179" s="213"/>
      <c r="X179" s="213"/>
      <c r="Y179" s="1658"/>
      <c r="Z179" s="1658"/>
      <c r="AA179" s="1658"/>
      <c r="AB179" s="1658"/>
      <c r="AC179" s="1658"/>
      <c r="AD179" s="1658"/>
      <c r="AE179" s="1658"/>
      <c r="AF179" s="1658"/>
      <c r="AG179" s="1658"/>
      <c r="AH179" s="1658"/>
      <c r="AI179" s="1658"/>
      <c r="AJ179" s="1658"/>
      <c r="AK179" s="1658"/>
      <c r="AL179" s="1658"/>
      <c r="AM179" s="1658"/>
      <c r="AN179" s="1658"/>
      <c r="AO179" s="1658"/>
      <c r="AP179" s="1658"/>
      <c r="AQ179" s="1658"/>
      <c r="AR179" s="1658"/>
      <c r="AS179" s="1658"/>
      <c r="AT179" s="1658"/>
      <c r="AU179" s="1658"/>
      <c r="AV179" s="1658"/>
      <c r="AW179" s="1658"/>
      <c r="AX179" s="1658"/>
      <c r="AY179" s="1658"/>
      <c r="AZ179" s="1658"/>
      <c r="BA179" s="1658"/>
      <c r="BB179" s="1658"/>
      <c r="BC179" s="1658"/>
      <c r="BD179" s="1658"/>
      <c r="BE179" s="1658"/>
      <c r="BF179" s="1658"/>
      <c r="BG179" s="1658"/>
      <c r="BH179" s="1658"/>
      <c r="BI179" s="1658"/>
      <c r="BJ179" s="1658"/>
      <c r="BK179" s="1658"/>
      <c r="BL179" s="1658"/>
      <c r="BM179" s="1658"/>
      <c r="BN179" s="1658"/>
      <c r="BO179" s="1658"/>
      <c r="BP179" s="1658"/>
      <c r="BQ179" s="1658"/>
      <c r="BR179" s="1658"/>
      <c r="BS179" s="1658"/>
      <c r="BT179" s="1658"/>
      <c r="BU179" s="1658"/>
      <c r="BV179" s="1658"/>
      <c r="BW179" s="1658"/>
      <c r="BX179" s="1658"/>
      <c r="BY179" s="1658"/>
      <c r="BZ179" s="1658"/>
      <c r="CA179" s="1658"/>
      <c r="CB179" s="1658"/>
      <c r="CC179" s="1658"/>
      <c r="CD179" s="1658"/>
      <c r="CE179" s="1658"/>
      <c r="CF179" s="1658"/>
      <c r="CG179" s="1658"/>
      <c r="CH179" s="1658"/>
      <c r="CI179" s="1658"/>
      <c r="CJ179" s="1658"/>
      <c r="CK179" s="1658"/>
      <c r="CL179" s="1658"/>
      <c r="CM179" s="1658"/>
      <c r="CN179" s="1658"/>
      <c r="CO179" s="1658"/>
      <c r="CP179" s="1658"/>
      <c r="CQ179" s="1658"/>
      <c r="CR179" s="1658"/>
      <c r="CS179" s="1658"/>
      <c r="CT179" s="1658"/>
      <c r="CU179" s="1658"/>
      <c r="CV179" s="1658"/>
      <c r="CW179" s="1658"/>
      <c r="CX179" s="1658"/>
      <c r="CY179" s="1658"/>
      <c r="CZ179" s="1658"/>
      <c r="DA179" s="1658"/>
      <c r="DB179" s="1658"/>
      <c r="DC179" s="1658"/>
      <c r="DD179" s="1658"/>
      <c r="DE179" s="1658"/>
      <c r="DF179" s="1658"/>
      <c r="DG179" s="1658"/>
      <c r="DH179" s="1658"/>
      <c r="DI179" s="1658"/>
      <c r="DJ179" s="1658"/>
      <c r="DK179" s="1658"/>
      <c r="DL179" s="1658"/>
      <c r="DM179" s="1658"/>
      <c r="DN179" s="1658"/>
      <c r="DO179" s="1658"/>
      <c r="DP179" s="1658"/>
      <c r="DQ179" s="1658"/>
      <c r="DR179" s="1658"/>
      <c r="DS179" s="1658"/>
      <c r="DT179" s="1658"/>
      <c r="DU179" s="1658"/>
      <c r="DV179" s="1658"/>
      <c r="DW179" s="1658"/>
      <c r="DX179" s="1658"/>
      <c r="DY179" s="1658"/>
      <c r="DZ179" s="1658"/>
      <c r="EA179" s="1658"/>
      <c r="EB179" s="1658"/>
      <c r="EC179" s="1658"/>
      <c r="ED179" s="1658"/>
      <c r="EE179" s="1658"/>
      <c r="EF179" s="1658"/>
      <c r="EG179" s="1658"/>
      <c r="EH179" s="1658"/>
      <c r="EI179" s="1658"/>
      <c r="EJ179" s="1658"/>
      <c r="EK179" s="1658"/>
      <c r="EL179" s="1658"/>
      <c r="EM179" s="1658"/>
      <c r="EN179" s="1658"/>
      <c r="EO179" s="1658"/>
      <c r="EP179" s="1658"/>
      <c r="EQ179" s="1658"/>
      <c r="ER179" s="1658"/>
      <c r="ES179" s="1658"/>
      <c r="ET179" s="1658"/>
      <c r="EU179" s="1658"/>
      <c r="EV179" s="1658"/>
      <c r="EW179" s="1658"/>
      <c r="EX179" s="1658"/>
      <c r="EY179" s="1658"/>
      <c r="EZ179" s="1658"/>
      <c r="FA179" s="1658"/>
      <c r="FB179" s="1658"/>
      <c r="FC179" s="1658"/>
      <c r="FD179" s="1658"/>
      <c r="FE179" s="1658"/>
      <c r="FF179" s="1658"/>
      <c r="FG179" s="1658"/>
      <c r="FH179" s="1658"/>
      <c r="FI179" s="1658"/>
      <c r="FJ179" s="1658"/>
      <c r="FK179" s="1658"/>
      <c r="FL179" s="1658"/>
      <c r="FM179" s="1658"/>
      <c r="FN179" s="1658"/>
      <c r="FO179" s="1658"/>
      <c r="FP179" s="1658"/>
      <c r="FQ179" s="1658"/>
      <c r="FR179" s="1658"/>
      <c r="FS179" s="1658"/>
      <c r="FT179" s="1658"/>
      <c r="FU179" s="1658"/>
      <c r="FV179" s="1658"/>
      <c r="FW179" s="1658"/>
      <c r="FX179" s="1658"/>
      <c r="FY179" s="1658"/>
      <c r="FZ179" s="1658"/>
      <c r="GA179" s="1658"/>
      <c r="GB179" s="1658"/>
      <c r="GC179" s="1658"/>
      <c r="GD179" s="1658"/>
      <c r="GE179" s="1658"/>
      <c r="GF179" s="1658"/>
      <c r="GG179" s="1658"/>
      <c r="GH179" s="1658"/>
      <c r="GI179" s="1658"/>
      <c r="GJ179" s="1658"/>
      <c r="GK179" s="1658"/>
      <c r="GL179" s="1658"/>
      <c r="GM179" s="1658"/>
      <c r="GN179" s="1658"/>
      <c r="GO179" s="1658"/>
      <c r="GP179" s="1658"/>
      <c r="GQ179" s="1658"/>
      <c r="GR179" s="1658"/>
      <c r="GS179" s="1658"/>
      <c r="GT179" s="1658"/>
      <c r="GU179" s="1658"/>
      <c r="GV179" s="1658"/>
      <c r="GW179" s="1658"/>
      <c r="GX179" s="1658"/>
      <c r="GY179" s="1658"/>
      <c r="GZ179" s="1658"/>
      <c r="HA179" s="1658"/>
      <c r="HB179" s="1658"/>
      <c r="HC179" s="1658"/>
      <c r="HD179" s="1658"/>
      <c r="HE179" s="1658"/>
      <c r="HF179" s="1658"/>
      <c r="HG179" s="1658"/>
      <c r="HH179" s="1658"/>
      <c r="HI179" s="1658"/>
      <c r="HJ179" s="1658"/>
      <c r="HK179" s="1658"/>
      <c r="HL179" s="1658"/>
      <c r="HM179" s="1658"/>
      <c r="HN179" s="1658"/>
      <c r="HO179" s="1658"/>
      <c r="HP179" s="1658"/>
      <c r="HQ179" s="1658"/>
      <c r="HR179" s="1658"/>
      <c r="HS179" s="1658"/>
      <c r="HT179" s="1658"/>
      <c r="HU179" s="1658"/>
      <c r="HV179" s="1658"/>
      <c r="HW179" s="1658"/>
      <c r="HX179" s="1658"/>
      <c r="HY179" s="1658"/>
      <c r="HZ179" s="1658"/>
      <c r="IA179" s="1658"/>
      <c r="IB179" s="1658"/>
      <c r="IC179" s="1658"/>
      <c r="ID179" s="1658"/>
      <c r="IE179" s="1658"/>
      <c r="IF179" s="1658"/>
      <c r="IG179" s="1658"/>
      <c r="IH179" s="1658"/>
      <c r="II179" s="1658"/>
      <c r="IJ179" s="1658"/>
      <c r="IK179" s="1658"/>
      <c r="IL179" s="1658"/>
      <c r="IM179" s="1658"/>
      <c r="IN179" s="1658"/>
      <c r="IO179" s="1658"/>
      <c r="IP179" s="1658"/>
      <c r="IQ179" s="1658"/>
      <c r="IR179" s="1658"/>
      <c r="IS179" s="1658"/>
      <c r="IT179" s="1658"/>
      <c r="IU179" s="1658"/>
      <c r="IV179" s="1658"/>
    </row>
    <row r="180" spans="1:256" s="647" customFormat="1" ht="13.5" customHeight="1">
      <c r="A180" s="807"/>
      <c r="B180" s="808"/>
      <c r="C180" s="809"/>
      <c r="D180" s="810" t="s">
        <v>193</v>
      </c>
      <c r="E180" s="811"/>
      <c r="F180" s="812"/>
      <c r="G180" s="881"/>
      <c r="H180" s="813"/>
      <c r="I180" s="814"/>
      <c r="J180" s="815"/>
      <c r="L180" s="612"/>
      <c r="M180" s="612"/>
      <c r="N180" s="612"/>
      <c r="O180" s="612"/>
      <c r="P180" s="612"/>
      <c r="Q180" s="612"/>
      <c r="R180" s="612"/>
      <c r="S180" s="788"/>
      <c r="T180" s="816"/>
      <c r="U180" s="816"/>
      <c r="V180" s="816"/>
      <c r="W180" s="816"/>
      <c r="X180" s="816"/>
      <c r="Y180" s="816"/>
      <c r="Z180" s="816"/>
      <c r="AA180" s="816"/>
      <c r="AB180" s="816"/>
      <c r="AC180" s="816"/>
      <c r="AD180" s="816"/>
      <c r="AE180" s="816"/>
      <c r="AF180" s="816"/>
      <c r="AG180" s="816"/>
      <c r="AH180" s="816"/>
      <c r="AI180" s="816"/>
      <c r="AJ180" s="816"/>
      <c r="AK180" s="816"/>
      <c r="AL180" s="816"/>
      <c r="AM180" s="816"/>
      <c r="AN180" s="816"/>
      <c r="AO180" s="816"/>
      <c r="AP180" s="816"/>
      <c r="AQ180" s="816"/>
      <c r="AR180" s="816"/>
      <c r="AS180" s="816"/>
      <c r="AT180" s="816"/>
      <c r="AU180" s="816"/>
      <c r="AV180" s="816"/>
      <c r="AW180" s="816"/>
      <c r="AX180" s="816"/>
      <c r="AY180" s="816"/>
      <c r="AZ180" s="816"/>
      <c r="BA180" s="816"/>
      <c r="BB180" s="816"/>
      <c r="BC180" s="816"/>
      <c r="BD180" s="816"/>
      <c r="BE180" s="816"/>
      <c r="BF180" s="816"/>
      <c r="BG180" s="816"/>
      <c r="BH180" s="816"/>
      <c r="BI180" s="816"/>
      <c r="BJ180" s="816"/>
      <c r="BK180" s="816"/>
      <c r="BL180" s="816"/>
      <c r="BM180" s="816"/>
      <c r="BN180" s="816"/>
      <c r="BO180" s="816"/>
      <c r="BP180" s="816"/>
      <c r="BQ180" s="816"/>
      <c r="BR180" s="816"/>
      <c r="BS180" s="816"/>
      <c r="BT180" s="816"/>
      <c r="BU180" s="816"/>
      <c r="BV180" s="816"/>
      <c r="BW180" s="816"/>
      <c r="BX180" s="816"/>
      <c r="BY180" s="816"/>
      <c r="BZ180" s="816"/>
      <c r="CA180" s="816"/>
      <c r="CB180" s="816"/>
      <c r="CC180" s="816"/>
      <c r="CD180" s="816"/>
      <c r="CE180" s="816"/>
      <c r="CF180" s="816"/>
      <c r="CG180" s="816"/>
      <c r="CH180" s="816"/>
      <c r="CI180" s="816"/>
      <c r="CJ180" s="816"/>
      <c r="CK180" s="816"/>
      <c r="CL180" s="816"/>
      <c r="CM180" s="816"/>
      <c r="CN180" s="816"/>
      <c r="CO180" s="816"/>
      <c r="CP180" s="816"/>
      <c r="CQ180" s="816"/>
      <c r="CR180" s="816"/>
      <c r="CS180" s="816"/>
      <c r="CT180" s="816"/>
      <c r="CU180" s="816"/>
      <c r="CV180" s="816"/>
      <c r="CW180" s="816"/>
      <c r="CX180" s="816"/>
      <c r="CY180" s="816"/>
      <c r="CZ180" s="816"/>
      <c r="DA180" s="816"/>
      <c r="DB180" s="816"/>
      <c r="DC180" s="816"/>
      <c r="DD180" s="816"/>
      <c r="DE180" s="816"/>
      <c r="DF180" s="816"/>
      <c r="DG180" s="816"/>
      <c r="DH180" s="816"/>
      <c r="DI180" s="816"/>
      <c r="DJ180" s="816"/>
      <c r="DK180" s="816"/>
      <c r="DL180" s="816"/>
      <c r="DM180" s="816"/>
      <c r="DN180" s="816"/>
      <c r="DO180" s="816"/>
      <c r="DP180" s="816"/>
      <c r="DQ180" s="816"/>
      <c r="DR180" s="816"/>
      <c r="DS180" s="816"/>
      <c r="DT180" s="816"/>
      <c r="DU180" s="816"/>
      <c r="DV180" s="816"/>
      <c r="DW180" s="816"/>
      <c r="DX180" s="816"/>
      <c r="DY180" s="816"/>
      <c r="DZ180" s="816"/>
      <c r="EA180" s="816"/>
      <c r="EB180" s="816"/>
      <c r="EC180" s="816"/>
      <c r="ED180" s="816"/>
      <c r="EE180" s="816"/>
      <c r="EF180" s="816"/>
      <c r="EG180" s="816"/>
      <c r="EH180" s="816"/>
      <c r="EI180" s="816"/>
      <c r="EJ180" s="816"/>
      <c r="EK180" s="816"/>
      <c r="EL180" s="816"/>
      <c r="EM180" s="816"/>
      <c r="EN180" s="816"/>
      <c r="EO180" s="816"/>
      <c r="EP180" s="816"/>
      <c r="EQ180" s="816"/>
      <c r="ER180" s="816"/>
      <c r="ES180" s="816"/>
      <c r="ET180" s="816"/>
      <c r="EU180" s="816"/>
      <c r="EV180" s="816"/>
      <c r="EW180" s="816"/>
      <c r="EX180" s="816"/>
      <c r="EY180" s="816"/>
      <c r="EZ180" s="816"/>
      <c r="FA180" s="816"/>
      <c r="FB180" s="816"/>
      <c r="FC180" s="816"/>
      <c r="FD180" s="816"/>
      <c r="FE180" s="816"/>
      <c r="FF180" s="816"/>
      <c r="FG180" s="816"/>
      <c r="FH180" s="816"/>
      <c r="FI180" s="816"/>
      <c r="FJ180" s="816"/>
      <c r="FK180" s="816"/>
      <c r="FL180" s="816"/>
      <c r="FM180" s="816"/>
      <c r="FN180" s="816"/>
      <c r="FO180" s="816"/>
      <c r="FP180" s="816"/>
      <c r="FQ180" s="816"/>
      <c r="FR180" s="816"/>
      <c r="FS180" s="816"/>
      <c r="FT180" s="816"/>
      <c r="FU180" s="816"/>
      <c r="FV180" s="816"/>
      <c r="FW180" s="816"/>
      <c r="FX180" s="816"/>
      <c r="FY180" s="816"/>
      <c r="FZ180" s="816"/>
      <c r="GA180" s="816"/>
      <c r="GB180" s="816"/>
      <c r="GC180" s="816"/>
      <c r="GD180" s="816"/>
      <c r="GE180" s="816"/>
      <c r="GF180" s="816"/>
      <c r="GG180" s="816"/>
      <c r="GH180" s="816"/>
      <c r="GI180" s="816"/>
      <c r="GJ180" s="816"/>
      <c r="GK180" s="816"/>
      <c r="GL180" s="816"/>
      <c r="GM180" s="816"/>
      <c r="GN180" s="816"/>
      <c r="GO180" s="816"/>
      <c r="GP180" s="816"/>
      <c r="GQ180" s="816"/>
      <c r="GR180" s="816"/>
      <c r="GS180" s="816"/>
      <c r="GT180" s="816"/>
      <c r="GU180" s="816"/>
      <c r="GV180" s="816"/>
      <c r="GW180" s="816"/>
      <c r="GX180" s="816"/>
      <c r="GY180" s="816"/>
      <c r="GZ180" s="816"/>
      <c r="HA180" s="816"/>
      <c r="HB180" s="816"/>
      <c r="HC180" s="816"/>
      <c r="HD180" s="816"/>
      <c r="HE180" s="816"/>
      <c r="HF180" s="816"/>
      <c r="HG180" s="816"/>
      <c r="HH180" s="816"/>
      <c r="HI180" s="816"/>
      <c r="HJ180" s="816"/>
      <c r="HK180" s="816"/>
      <c r="HL180" s="816"/>
      <c r="HM180" s="816"/>
      <c r="HN180" s="816"/>
      <c r="HO180" s="816"/>
      <c r="HP180" s="816"/>
      <c r="HQ180" s="816"/>
      <c r="HR180" s="816"/>
      <c r="HS180" s="816"/>
      <c r="HT180" s="816"/>
      <c r="HU180" s="816"/>
      <c r="HV180" s="816"/>
      <c r="HW180" s="816"/>
      <c r="HX180" s="816"/>
      <c r="HY180" s="816"/>
      <c r="HZ180" s="816"/>
      <c r="IA180" s="816"/>
      <c r="IB180" s="816"/>
      <c r="IC180" s="816"/>
      <c r="ID180" s="816"/>
      <c r="IE180" s="816"/>
      <c r="IF180" s="816"/>
      <c r="IG180" s="816"/>
      <c r="IH180" s="816"/>
      <c r="II180" s="816"/>
      <c r="IJ180" s="816"/>
      <c r="IK180" s="816"/>
      <c r="IL180" s="816"/>
      <c r="IM180" s="816"/>
      <c r="IN180" s="816"/>
      <c r="IO180" s="816"/>
      <c r="IP180" s="816"/>
      <c r="IQ180" s="816"/>
      <c r="IR180" s="816"/>
      <c r="IS180" s="816"/>
      <c r="IT180" s="816"/>
      <c r="IU180" s="816"/>
      <c r="IV180" s="816"/>
    </row>
    <row r="181" spans="1:256" s="1587" customFormat="1" ht="81" customHeight="1">
      <c r="A181" s="1602"/>
      <c r="B181" s="1603"/>
      <c r="C181" s="1604"/>
      <c r="D181" s="584" t="s">
        <v>2404</v>
      </c>
      <c r="E181" s="1605"/>
      <c r="F181" s="1606"/>
      <c r="G181" s="299"/>
      <c r="H181" s="1607"/>
      <c r="I181" s="1608"/>
      <c r="L181" s="1588"/>
      <c r="M181" s="1588"/>
      <c r="N181" s="1588"/>
      <c r="O181" s="1588"/>
      <c r="P181" s="1588"/>
      <c r="Q181" s="1588"/>
      <c r="R181" s="1588"/>
      <c r="S181" s="1588"/>
      <c r="T181" s="1588"/>
      <c r="U181" s="1588"/>
      <c r="V181" s="1588"/>
      <c r="W181" s="1588"/>
      <c r="X181" s="1588"/>
      <c r="Y181" s="1588"/>
      <c r="Z181" s="1588"/>
      <c r="AA181" s="1588"/>
      <c r="AB181" s="1588"/>
      <c r="AC181" s="1588"/>
      <c r="AD181" s="1588"/>
      <c r="AE181" s="1588"/>
      <c r="AF181" s="1588"/>
      <c r="AG181" s="1588"/>
      <c r="AH181" s="1588"/>
      <c r="AI181" s="1588"/>
      <c r="AJ181" s="1588"/>
      <c r="AK181" s="1588"/>
      <c r="AL181" s="1588"/>
      <c r="AM181" s="1588"/>
      <c r="AN181" s="1588"/>
      <c r="AO181" s="1588"/>
      <c r="AP181" s="1588"/>
      <c r="AQ181" s="1588"/>
      <c r="AR181" s="1588"/>
      <c r="AS181" s="1588"/>
      <c r="AT181" s="1588"/>
      <c r="AU181" s="1588"/>
      <c r="AV181" s="1588"/>
      <c r="AW181" s="1588"/>
      <c r="AX181" s="1588"/>
      <c r="AY181" s="1588"/>
      <c r="AZ181" s="1588"/>
      <c r="BA181" s="1588"/>
      <c r="BB181" s="1588"/>
      <c r="BC181" s="1588"/>
      <c r="BD181" s="1588"/>
      <c r="BE181" s="1588"/>
      <c r="BF181" s="1588"/>
      <c r="BG181" s="1588"/>
      <c r="BH181" s="1588"/>
      <c r="BI181" s="1588"/>
      <c r="BJ181" s="1588"/>
      <c r="BK181" s="1588"/>
      <c r="BL181" s="1588"/>
      <c r="BM181" s="1588"/>
      <c r="BN181" s="1588"/>
      <c r="BO181" s="1588"/>
      <c r="BP181" s="1588"/>
      <c r="BQ181" s="1588"/>
      <c r="BR181" s="1588"/>
      <c r="BS181" s="1588"/>
      <c r="BT181" s="1588"/>
      <c r="BU181" s="1588"/>
      <c r="BV181" s="1588"/>
      <c r="BW181" s="1588"/>
      <c r="BX181" s="1588"/>
      <c r="BY181" s="1588"/>
      <c r="BZ181" s="1588"/>
      <c r="CA181" s="1588"/>
      <c r="CB181" s="1588"/>
      <c r="CC181" s="1588"/>
      <c r="CD181" s="1588"/>
      <c r="CE181" s="1588"/>
      <c r="CF181" s="1588"/>
      <c r="CG181" s="1588"/>
      <c r="CH181" s="1588"/>
      <c r="CI181" s="1588"/>
      <c r="CJ181" s="1588"/>
      <c r="CK181" s="1588"/>
      <c r="CL181" s="1588"/>
      <c r="CM181" s="1588"/>
      <c r="CN181" s="1588"/>
      <c r="CO181" s="1588"/>
      <c r="CP181" s="1588"/>
      <c r="CQ181" s="1588"/>
      <c r="CR181" s="1588"/>
      <c r="CS181" s="1588"/>
      <c r="CT181" s="1588"/>
      <c r="CU181" s="1588"/>
      <c r="CV181" s="1588"/>
      <c r="CW181" s="1588"/>
      <c r="CX181" s="1588"/>
      <c r="CY181" s="1588"/>
      <c r="CZ181" s="1588"/>
      <c r="DA181" s="1588"/>
      <c r="DB181" s="1588"/>
      <c r="DC181" s="1588"/>
      <c r="DD181" s="1588"/>
      <c r="DE181" s="1588"/>
      <c r="DF181" s="1588"/>
      <c r="DG181" s="1588"/>
      <c r="DH181" s="1588"/>
      <c r="DI181" s="1588"/>
      <c r="DJ181" s="1588"/>
      <c r="DK181" s="1588"/>
      <c r="DL181" s="1588"/>
      <c r="DM181" s="1588"/>
      <c r="DN181" s="1588"/>
      <c r="DO181" s="1588"/>
      <c r="DP181" s="1588"/>
      <c r="DQ181" s="1588"/>
      <c r="DR181" s="1588"/>
      <c r="DS181" s="1588"/>
      <c r="DT181" s="1588"/>
      <c r="DU181" s="1588"/>
      <c r="DV181" s="1588"/>
      <c r="DW181" s="1588"/>
      <c r="DX181" s="1588"/>
      <c r="DY181" s="1588"/>
      <c r="DZ181" s="1588"/>
      <c r="EA181" s="1588"/>
      <c r="EB181" s="1588"/>
      <c r="EC181" s="1588"/>
      <c r="ED181" s="1588"/>
      <c r="EE181" s="1588"/>
      <c r="EF181" s="1588"/>
      <c r="EG181" s="1588"/>
      <c r="EH181" s="1588"/>
      <c r="EI181" s="1588"/>
      <c r="EJ181" s="1588"/>
      <c r="EK181" s="1588"/>
      <c r="EL181" s="1588"/>
      <c r="EM181" s="1588"/>
      <c r="EN181" s="1588"/>
      <c r="EO181" s="1588"/>
      <c r="EP181" s="1588"/>
      <c r="EQ181" s="1588"/>
      <c r="ER181" s="1588"/>
      <c r="ES181" s="1588"/>
      <c r="ET181" s="1588"/>
      <c r="EU181" s="1588"/>
      <c r="EV181" s="1588"/>
      <c r="EW181" s="1588"/>
      <c r="EX181" s="1588"/>
      <c r="EY181" s="1588"/>
      <c r="EZ181" s="1588"/>
      <c r="FA181" s="1588"/>
      <c r="FB181" s="1588"/>
      <c r="FC181" s="1588"/>
      <c r="FD181" s="1588"/>
      <c r="FE181" s="1588"/>
      <c r="FF181" s="1588"/>
      <c r="FG181" s="1588"/>
      <c r="FH181" s="1588"/>
      <c r="FI181" s="1588"/>
      <c r="FJ181" s="1588"/>
      <c r="FK181" s="1588"/>
      <c r="FL181" s="1588"/>
      <c r="FM181" s="1588"/>
      <c r="FN181" s="1588"/>
      <c r="FO181" s="1588"/>
      <c r="FP181" s="1588"/>
      <c r="FQ181" s="1588"/>
      <c r="FR181" s="1588"/>
      <c r="FS181" s="1588"/>
      <c r="FT181" s="1588"/>
      <c r="FU181" s="1588"/>
      <c r="FV181" s="1588"/>
      <c r="FW181" s="1588"/>
      <c r="FX181" s="1588"/>
      <c r="FY181" s="1588"/>
      <c r="FZ181" s="1588"/>
      <c r="GA181" s="1588"/>
      <c r="GB181" s="1588"/>
      <c r="GC181" s="1588"/>
      <c r="GD181" s="1588"/>
      <c r="GE181" s="1588"/>
      <c r="GF181" s="1588"/>
      <c r="GG181" s="1588"/>
      <c r="GH181" s="1588"/>
      <c r="GI181" s="1588"/>
      <c r="GJ181" s="1588"/>
      <c r="GK181" s="1588"/>
      <c r="GL181" s="1588"/>
      <c r="GM181" s="1588"/>
      <c r="GN181" s="1588"/>
      <c r="GO181" s="1588"/>
      <c r="GP181" s="1588"/>
      <c r="GQ181" s="1588"/>
      <c r="GR181" s="1588"/>
      <c r="GS181" s="1588"/>
      <c r="GT181" s="1588"/>
      <c r="GU181" s="1588"/>
      <c r="GV181" s="1588"/>
      <c r="GW181" s="1588"/>
      <c r="GX181" s="1588"/>
      <c r="GY181" s="1588"/>
      <c r="GZ181" s="1588"/>
      <c r="HA181" s="1588"/>
      <c r="HB181" s="1588"/>
      <c r="HC181" s="1588"/>
      <c r="HD181" s="1588"/>
      <c r="HE181" s="1588"/>
      <c r="HF181" s="1588"/>
      <c r="HG181" s="1588"/>
      <c r="HH181" s="1588"/>
      <c r="HI181" s="1588"/>
      <c r="HJ181" s="1588"/>
      <c r="HK181" s="1588"/>
      <c r="HL181" s="1588"/>
      <c r="HM181" s="1588"/>
      <c r="HN181" s="1588"/>
      <c r="HO181" s="1588"/>
      <c r="HP181" s="1588"/>
      <c r="HQ181" s="1588"/>
      <c r="HR181" s="1588"/>
      <c r="HS181" s="1588"/>
      <c r="HT181" s="1588"/>
      <c r="HU181" s="1588"/>
      <c r="HV181" s="1588"/>
      <c r="HW181" s="1588"/>
      <c r="HX181" s="1588"/>
      <c r="HY181" s="1588"/>
      <c r="HZ181" s="1588"/>
      <c r="IA181" s="1588"/>
      <c r="IB181" s="1588"/>
      <c r="IC181" s="1588"/>
      <c r="ID181" s="1588"/>
      <c r="IE181" s="1588"/>
      <c r="IF181" s="1588"/>
      <c r="IG181" s="1588"/>
      <c r="IH181" s="1588"/>
      <c r="II181" s="1588"/>
      <c r="IJ181" s="1588"/>
      <c r="IK181" s="1588"/>
      <c r="IL181" s="1588"/>
      <c r="IM181" s="1588"/>
      <c r="IN181" s="1588"/>
      <c r="IO181" s="1588"/>
      <c r="IP181" s="1588"/>
      <c r="IQ181" s="1588"/>
      <c r="IR181" s="1588"/>
      <c r="IS181" s="1588"/>
      <c r="IT181" s="1588"/>
      <c r="IU181" s="1588"/>
      <c r="IV181" s="1588"/>
    </row>
    <row r="182" spans="1:256" s="1248" customFormat="1" ht="13.5" customHeight="1">
      <c r="A182" s="1614">
        <v>42</v>
      </c>
      <c r="B182" s="1615">
        <v>946</v>
      </c>
      <c r="C182" s="1615">
        <v>469981111</v>
      </c>
      <c r="D182" s="1615" t="s">
        <v>5901</v>
      </c>
      <c r="E182" s="1615" t="s">
        <v>175</v>
      </c>
      <c r="F182" s="573">
        <f>ROUND(SUM(F183:F184),3)</f>
        <v>10.422000000000001</v>
      </c>
      <c r="G182" s="288"/>
      <c r="H182" s="568">
        <f>ROUND(F182*G182,2)</f>
        <v>0</v>
      </c>
      <c r="I182" s="613" t="s">
        <v>137</v>
      </c>
      <c r="J182" s="1612"/>
      <c r="BM182" s="1616"/>
      <c r="BN182" s="1616"/>
      <c r="BO182" s="1616"/>
      <c r="BP182" s="1616"/>
      <c r="BQ182" s="1616"/>
      <c r="BR182" s="1616"/>
      <c r="BS182" s="1616"/>
      <c r="BT182" s="1616"/>
      <c r="BU182" s="1616"/>
      <c r="BV182" s="1616"/>
      <c r="BW182" s="1616"/>
      <c r="BX182" s="1616"/>
      <c r="BY182" s="1616"/>
      <c r="BZ182" s="1616"/>
      <c r="CA182" s="1616"/>
      <c r="CB182" s="1616"/>
      <c r="CC182" s="1616"/>
      <c r="CD182" s="1616"/>
      <c r="CE182" s="1616"/>
      <c r="CF182" s="1616"/>
      <c r="CG182" s="1616"/>
      <c r="CH182" s="1616"/>
      <c r="CI182" s="1616"/>
      <c r="CJ182" s="1616"/>
      <c r="CK182" s="1616"/>
      <c r="CL182" s="1616"/>
      <c r="CM182" s="1616"/>
      <c r="CN182" s="1616"/>
      <c r="CO182" s="1616"/>
      <c r="CP182" s="1616"/>
      <c r="CQ182" s="1616"/>
      <c r="CR182" s="1616"/>
      <c r="CS182" s="1616"/>
      <c r="CT182" s="1616"/>
      <c r="CU182" s="1616"/>
      <c r="CV182" s="1616"/>
      <c r="CW182" s="1616"/>
      <c r="CX182" s="1616"/>
      <c r="CY182" s="1616"/>
      <c r="CZ182" s="1616"/>
      <c r="DA182" s="1616"/>
      <c r="DB182" s="1616"/>
      <c r="DC182" s="1616"/>
      <c r="DD182" s="1616"/>
      <c r="DE182" s="1616"/>
      <c r="DF182" s="1616"/>
      <c r="DG182" s="1616"/>
      <c r="DH182" s="1616"/>
      <c r="DI182" s="1616"/>
      <c r="DJ182" s="1616"/>
      <c r="DK182" s="1616"/>
      <c r="DL182" s="1616"/>
      <c r="DM182" s="1616"/>
      <c r="DN182" s="1616"/>
      <c r="DO182" s="1616"/>
      <c r="DP182" s="1616"/>
      <c r="DQ182" s="1616"/>
      <c r="DR182" s="1616"/>
      <c r="DS182" s="1616"/>
      <c r="DT182" s="1616"/>
      <c r="DU182" s="1616"/>
      <c r="DV182" s="1616"/>
      <c r="DW182" s="1616"/>
      <c r="DX182" s="1616"/>
      <c r="DY182" s="1616"/>
      <c r="DZ182" s="1616"/>
      <c r="EA182" s="1616"/>
      <c r="EB182" s="1616"/>
      <c r="EC182" s="1616"/>
      <c r="ED182" s="1616"/>
      <c r="EE182" s="1616"/>
      <c r="EF182" s="1616"/>
      <c r="EG182" s="1616"/>
      <c r="EH182" s="1616"/>
      <c r="EI182" s="1616"/>
      <c r="EJ182" s="1616"/>
      <c r="EK182" s="1616"/>
      <c r="EL182" s="1616"/>
      <c r="EM182" s="1616"/>
      <c r="EN182" s="1616"/>
      <c r="EO182" s="1616"/>
      <c r="EP182" s="1616"/>
      <c r="EQ182" s="1616"/>
      <c r="ER182" s="1616"/>
      <c r="ES182" s="1616"/>
      <c r="ET182" s="1616"/>
      <c r="EU182" s="1616"/>
      <c r="EV182" s="1616"/>
      <c r="EW182" s="1616"/>
      <c r="EX182" s="1616"/>
      <c r="EY182" s="1616"/>
      <c r="EZ182" s="1616"/>
      <c r="FA182" s="1616"/>
      <c r="FB182" s="1616"/>
      <c r="FC182" s="1616"/>
      <c r="FD182" s="1616"/>
      <c r="FE182" s="1616"/>
      <c r="FF182" s="1616"/>
      <c r="FG182" s="1616"/>
      <c r="FH182" s="1616"/>
      <c r="FI182" s="1616"/>
      <c r="FJ182" s="1616"/>
      <c r="FK182" s="1616"/>
      <c r="FL182" s="1616"/>
      <c r="FM182" s="1616"/>
      <c r="FN182" s="1616"/>
      <c r="FO182" s="1616"/>
      <c r="FP182" s="1616"/>
      <c r="FQ182" s="1616"/>
      <c r="FR182" s="1616"/>
      <c r="FS182" s="1616"/>
      <c r="FT182" s="1616"/>
      <c r="FU182" s="1616"/>
      <c r="FV182" s="1616"/>
      <c r="FW182" s="1616"/>
      <c r="FX182" s="1616"/>
      <c r="FY182" s="1616"/>
      <c r="FZ182" s="1616"/>
      <c r="GA182" s="1616"/>
      <c r="GB182" s="1616"/>
      <c r="GC182" s="1616"/>
      <c r="GD182" s="1616"/>
      <c r="GE182" s="1616"/>
      <c r="GF182" s="1616"/>
      <c r="GG182" s="1616"/>
      <c r="GH182" s="1616"/>
      <c r="GI182" s="1616"/>
      <c r="GJ182" s="1616"/>
      <c r="GK182" s="1616"/>
      <c r="GL182" s="1616"/>
      <c r="GM182" s="1616"/>
      <c r="GN182" s="1616"/>
      <c r="GO182" s="1616"/>
      <c r="GP182" s="1616"/>
      <c r="GQ182" s="1616"/>
      <c r="GR182" s="1616"/>
      <c r="GS182" s="1616"/>
      <c r="GT182" s="1616"/>
      <c r="GU182" s="1616"/>
      <c r="GV182" s="1616"/>
      <c r="GW182" s="1616"/>
      <c r="GX182" s="1616"/>
      <c r="GY182" s="1616"/>
      <c r="GZ182" s="1616"/>
      <c r="HA182" s="1616"/>
      <c r="HB182" s="1616"/>
      <c r="HC182" s="1616"/>
      <c r="HD182" s="1616"/>
      <c r="HE182" s="1616"/>
      <c r="HF182" s="1616"/>
      <c r="HG182" s="1616"/>
      <c r="HH182" s="1616"/>
      <c r="HI182" s="1616"/>
      <c r="HJ182" s="1616"/>
      <c r="HK182" s="1616"/>
      <c r="HL182" s="1616"/>
      <c r="HM182" s="1616"/>
      <c r="HN182" s="1616"/>
      <c r="HO182" s="1616"/>
      <c r="HP182" s="1616"/>
      <c r="HQ182" s="1616"/>
      <c r="HR182" s="1616"/>
      <c r="HS182" s="1616"/>
      <c r="HT182" s="1616"/>
      <c r="HU182" s="1616"/>
      <c r="HV182" s="1616"/>
      <c r="HW182" s="1616"/>
      <c r="HX182" s="1616"/>
      <c r="HY182" s="1616"/>
      <c r="HZ182" s="1616"/>
      <c r="IA182" s="1616"/>
      <c r="IB182" s="1616"/>
      <c r="IC182" s="1616"/>
      <c r="ID182" s="1616"/>
      <c r="IE182" s="1616"/>
      <c r="IF182" s="1616"/>
      <c r="IG182" s="1616"/>
      <c r="IH182" s="1616"/>
      <c r="II182" s="1616"/>
      <c r="IJ182" s="1616"/>
      <c r="IK182" s="1616"/>
      <c r="IL182" s="1616"/>
      <c r="IM182" s="1616"/>
      <c r="IN182" s="1616"/>
      <c r="IO182" s="1616"/>
      <c r="IP182" s="1616"/>
      <c r="IQ182" s="1616"/>
      <c r="IR182" s="1616"/>
      <c r="IS182" s="1616"/>
      <c r="IT182" s="1616"/>
      <c r="IU182" s="1616"/>
    </row>
    <row r="183" spans="1:256" s="604" customFormat="1" ht="13.5" customHeight="1">
      <c r="A183" s="595"/>
      <c r="B183" s="596"/>
      <c r="C183" s="597"/>
      <c r="D183" s="719" t="s">
        <v>6096</v>
      </c>
      <c r="E183" s="599"/>
      <c r="F183" s="600">
        <f>0.05</f>
        <v>0.05</v>
      </c>
      <c r="G183" s="289"/>
      <c r="H183" s="601"/>
      <c r="I183" s="602"/>
      <c r="J183" s="606"/>
      <c r="U183" s="605"/>
      <c r="W183" s="605"/>
    </row>
    <row r="184" spans="1:256" s="604" customFormat="1" ht="13.5" customHeight="1">
      <c r="A184" s="595"/>
      <c r="B184" s="596"/>
      <c r="C184" s="597"/>
      <c r="D184" s="719" t="s">
        <v>6097</v>
      </c>
      <c r="E184" s="599"/>
      <c r="F184" s="600">
        <f>10.372</f>
        <v>10.372</v>
      </c>
      <c r="G184" s="289"/>
      <c r="H184" s="601"/>
      <c r="I184" s="602"/>
      <c r="J184" s="606"/>
      <c r="U184" s="605"/>
      <c r="W184" s="605"/>
    </row>
    <row r="185" spans="1:256" s="612" customFormat="1" ht="13.5" customHeight="1">
      <c r="A185" s="608">
        <v>43</v>
      </c>
      <c r="B185" s="557" t="s">
        <v>362</v>
      </c>
      <c r="C185" s="557" t="s">
        <v>1802</v>
      </c>
      <c r="D185" s="557" t="s">
        <v>1803</v>
      </c>
      <c r="E185" s="557" t="s">
        <v>69</v>
      </c>
      <c r="F185" s="573">
        <f>ROUND(SUM(F186),3)</f>
        <v>5</v>
      </c>
      <c r="G185" s="288"/>
      <c r="H185" s="568">
        <f>ROUND(F185*G185,2)</f>
        <v>0</v>
      </c>
      <c r="I185" s="613" t="s">
        <v>137</v>
      </c>
      <c r="J185" s="408"/>
    </row>
    <row r="186" spans="1:256" s="604" customFormat="1" ht="27" customHeight="1">
      <c r="A186" s="595"/>
      <c r="B186" s="596"/>
      <c r="C186" s="597"/>
      <c r="D186" s="719" t="s">
        <v>5778</v>
      </c>
      <c r="E186" s="599"/>
      <c r="F186" s="600">
        <v>5</v>
      </c>
      <c r="G186" s="289"/>
      <c r="H186" s="601"/>
      <c r="I186" s="602"/>
      <c r="J186" s="606"/>
      <c r="U186" s="605"/>
      <c r="W186" s="605"/>
    </row>
    <row r="187" spans="1:256" ht="21" customHeight="1">
      <c r="A187" s="1659"/>
      <c r="B187" s="1660"/>
      <c r="C187" s="1660"/>
      <c r="D187" s="1660" t="s">
        <v>0</v>
      </c>
      <c r="E187" s="1660"/>
      <c r="F187" s="1661"/>
      <c r="G187" s="1662"/>
      <c r="H187" s="1662">
        <f>H9</f>
        <v>0</v>
      </c>
      <c r="I187" s="1248"/>
    </row>
    <row r="188" spans="1:256">
      <c r="A188" s="1663"/>
      <c r="B188" s="1663"/>
      <c r="C188" s="1664"/>
      <c r="D188" s="1664"/>
      <c r="E188" s="1665"/>
      <c r="F188" s="1666"/>
      <c r="G188" s="1667"/>
      <c r="H188" s="1667"/>
      <c r="I188" s="1668"/>
    </row>
    <row r="189" spans="1:256" ht="13.5" customHeight="1">
      <c r="A189" s="5243" t="s">
        <v>862</v>
      </c>
      <c r="B189" s="5244"/>
      <c r="C189" s="5245"/>
      <c r="D189" s="1669" t="s">
        <v>5988</v>
      </c>
      <c r="E189" s="1670"/>
      <c r="F189" s="1671"/>
      <c r="G189" s="1672"/>
      <c r="H189" s="1673">
        <f>H187</f>
        <v>0</v>
      </c>
      <c r="I189" s="1674"/>
    </row>
    <row r="190" spans="1:256" ht="13.5" customHeight="1">
      <c r="A190" s="1675"/>
      <c r="B190" s="1676"/>
      <c r="C190" s="1676"/>
      <c r="D190" s="1295"/>
      <c r="E190" s="1677"/>
      <c r="F190" s="1678"/>
      <c r="G190" s="1679"/>
      <c r="H190" s="1297"/>
      <c r="I190" s="1248"/>
    </row>
    <row r="191" spans="1:256" ht="13.5" customHeight="1">
      <c r="A191" s="689" t="s">
        <v>1</v>
      </c>
      <c r="B191" s="689"/>
      <c r="C191" s="689"/>
      <c r="D191" s="689"/>
      <c r="E191" s="689"/>
      <c r="F191" s="689"/>
      <c r="G191" s="689"/>
      <c r="H191" s="689"/>
      <c r="I191" s="689"/>
    </row>
    <row r="192" spans="1:256" ht="27" customHeight="1">
      <c r="A192" s="5159" t="s">
        <v>864</v>
      </c>
      <c r="B192" s="5159"/>
      <c r="C192" s="5159"/>
      <c r="D192" s="5159"/>
      <c r="E192" s="5159"/>
      <c r="F192" s="5159"/>
      <c r="G192" s="5159"/>
      <c r="H192" s="689"/>
      <c r="I192" s="1248"/>
    </row>
    <row r="193" spans="1:9" ht="93.75" customHeight="1">
      <c r="A193" s="5159" t="s">
        <v>104</v>
      </c>
      <c r="B193" s="5159"/>
      <c r="C193" s="5159"/>
      <c r="D193" s="5159"/>
      <c r="E193" s="5159"/>
      <c r="F193" s="5159"/>
      <c r="G193" s="5159"/>
      <c r="H193" s="689"/>
      <c r="I193" s="689"/>
    </row>
    <row r="194" spans="1:9" ht="13.5" customHeight="1">
      <c r="A194" s="5159" t="s">
        <v>105</v>
      </c>
      <c r="B194" s="5159"/>
      <c r="C194" s="5159"/>
      <c r="D194" s="5159"/>
      <c r="E194" s="5159"/>
      <c r="F194" s="5159"/>
      <c r="G194" s="5159"/>
      <c r="H194" s="691"/>
      <c r="I194" s="691"/>
    </row>
    <row r="195" spans="1:9" ht="13.5" customHeight="1">
      <c r="A195" s="5159" t="s">
        <v>106</v>
      </c>
      <c r="B195" s="5159"/>
      <c r="C195" s="5159"/>
      <c r="D195" s="5159"/>
      <c r="E195" s="5159"/>
      <c r="F195" s="5159"/>
      <c r="G195" s="5159"/>
      <c r="H195" s="691"/>
      <c r="I195" s="691"/>
    </row>
    <row r="196" spans="1:9" ht="40.5" customHeight="1">
      <c r="A196" s="5156" t="s">
        <v>865</v>
      </c>
      <c r="B196" s="5156"/>
      <c r="C196" s="5156"/>
      <c r="D196" s="5156"/>
      <c r="E196" s="5156"/>
      <c r="F196" s="5156"/>
      <c r="G196" s="5156"/>
      <c r="I196" s="1248"/>
    </row>
    <row r="197" spans="1:9" s="695" customFormat="1" ht="94.5" customHeight="1">
      <c r="A197" s="5156" t="s">
        <v>1013</v>
      </c>
      <c r="B197" s="5156"/>
      <c r="C197" s="5156"/>
      <c r="D197" s="5156"/>
      <c r="E197" s="5156"/>
      <c r="F197" s="5156"/>
      <c r="G197" s="5156"/>
      <c r="H197" s="693"/>
      <c r="I197" s="694"/>
    </row>
  </sheetData>
  <sheetProtection algorithmName="SHA-512" hashValue="p99/VDSvZQk4vfs1yMXD7XN+lSIDS/Vai6pt2T+Y++4D3dfVIgeS7U0SJ/RSY8gpG535O29hsikN3sYL3Pz8vw==" saltValue="pbJqLORgm8TWGQ+CCwzW0Q==" spinCount="100000" sheet="1" objects="1" scenarios="1"/>
  <mergeCells count="18">
    <mergeCell ref="A197:G197"/>
    <mergeCell ref="G91:H91"/>
    <mergeCell ref="G114:H114"/>
    <mergeCell ref="G118:H118"/>
    <mergeCell ref="G127:H127"/>
    <mergeCell ref="G135:H135"/>
    <mergeCell ref="A189:C189"/>
    <mergeCell ref="A192:G192"/>
    <mergeCell ref="A193:G193"/>
    <mergeCell ref="A194:G194"/>
    <mergeCell ref="A195:G195"/>
    <mergeCell ref="A196:G196"/>
    <mergeCell ref="G87:H87"/>
    <mergeCell ref="A2:I2"/>
    <mergeCell ref="A3:D3"/>
    <mergeCell ref="A4:D4"/>
    <mergeCell ref="E4:H4"/>
    <mergeCell ref="G75:H7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6DC-591D-4684-B15F-C93A082B4579}">
  <sheetPr>
    <tabColor rgb="FFFF00FF"/>
    <pageSetUpPr fitToPage="1"/>
  </sheetPr>
  <dimension ref="A1:IV165"/>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199" t="s">
        <v>4243</v>
      </c>
      <c r="B2" s="5242"/>
      <c r="C2" s="5242"/>
      <c r="D2" s="5242"/>
      <c r="E2" s="5242"/>
      <c r="F2" s="5242"/>
      <c r="G2" s="5242"/>
      <c r="H2" s="5242"/>
      <c r="I2" s="5242"/>
    </row>
    <row r="3" spans="1:19" ht="13.5" customHeight="1">
      <c r="A3" s="5228" t="s">
        <v>1797</v>
      </c>
      <c r="B3" s="5242"/>
      <c r="C3" s="5242"/>
      <c r="D3" s="5242"/>
      <c r="E3" s="1547"/>
      <c r="F3" s="1548"/>
      <c r="G3" s="1548"/>
      <c r="H3" s="1248"/>
      <c r="I3" s="1248"/>
    </row>
    <row r="4" spans="1:19" s="1550" customFormat="1" ht="13.5" customHeight="1">
      <c r="A4" s="5193" t="s">
        <v>6098</v>
      </c>
      <c r="B4" s="5242"/>
      <c r="C4" s="5242"/>
      <c r="D4" s="5242"/>
      <c r="E4" s="5193"/>
      <c r="F4" s="5242"/>
      <c r="G4" s="5242"/>
      <c r="H4" s="5242"/>
      <c r="I4" s="1549"/>
    </row>
    <row r="5" spans="1:19" ht="13.5" customHeight="1">
      <c r="A5" s="1547" t="s">
        <v>4246</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H10+H63</f>
        <v>0</v>
      </c>
      <c r="I9" s="625"/>
    </row>
    <row r="10" spans="1:19" s="612" customFormat="1" ht="13.5" customHeight="1">
      <c r="A10" s="608"/>
      <c r="B10" s="557"/>
      <c r="C10" s="616" t="s">
        <v>5742</v>
      </c>
      <c r="D10" s="616" t="s">
        <v>5743</v>
      </c>
      <c r="E10" s="616"/>
      <c r="F10" s="909"/>
      <c r="G10" s="828"/>
      <c r="H10" s="828">
        <f>SUM(H11:H62)</f>
        <v>0</v>
      </c>
      <c r="I10" s="613"/>
    </row>
    <row r="11" spans="1:19" s="1564" customFormat="1" ht="27" customHeight="1">
      <c r="A11" s="1559">
        <v>1</v>
      </c>
      <c r="B11" s="1560" t="s">
        <v>5744</v>
      </c>
      <c r="C11" s="400">
        <v>210220020</v>
      </c>
      <c r="D11" s="401" t="s">
        <v>5745</v>
      </c>
      <c r="E11" s="1561" t="s">
        <v>141</v>
      </c>
      <c r="F11" s="573">
        <f>ROUND(SUM(F13:F13),3)</f>
        <v>6.1</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5752</v>
      </c>
      <c r="E12" s="557"/>
      <c r="F12" s="1249"/>
      <c r="G12" s="288"/>
      <c r="H12" s="609"/>
      <c r="I12" s="613"/>
      <c r="J12" s="1565"/>
    </row>
    <row r="13" spans="1:19" s="612" customFormat="1" ht="27" customHeight="1">
      <c r="A13" s="608"/>
      <c r="B13" s="557"/>
      <c r="C13" s="557"/>
      <c r="D13" s="1255" t="s">
        <v>6099</v>
      </c>
      <c r="E13" s="557"/>
      <c r="F13" s="1249">
        <f>(6.1)</f>
        <v>6.1</v>
      </c>
      <c r="G13" s="288"/>
      <c r="H13" s="609"/>
      <c r="I13" s="613"/>
      <c r="J13" s="1565"/>
    </row>
    <row r="14" spans="1:19" s="612" customFormat="1" ht="13.5" customHeight="1">
      <c r="A14" s="608"/>
      <c r="B14" s="557"/>
      <c r="C14" s="557"/>
      <c r="D14" s="1255" t="s">
        <v>5749</v>
      </c>
      <c r="E14" s="557"/>
      <c r="F14" s="1249"/>
      <c r="G14" s="288"/>
      <c r="H14" s="609"/>
      <c r="I14" s="613"/>
      <c r="J14" s="1565"/>
    </row>
    <row r="15" spans="1:19" s="1567" customFormat="1" ht="13.5" customHeight="1">
      <c r="A15" s="729">
        <v>2</v>
      </c>
      <c r="B15" s="730" t="s">
        <v>5750</v>
      </c>
      <c r="C15" s="730">
        <v>35442062</v>
      </c>
      <c r="D15" s="730" t="s">
        <v>5751</v>
      </c>
      <c r="E15" s="730" t="s">
        <v>853</v>
      </c>
      <c r="F15" s="731">
        <f>ROUND(SUM(F17:F17),3)</f>
        <v>6.085</v>
      </c>
      <c r="G15" s="292"/>
      <c r="H15" s="733">
        <f>ROUND(F15*G15,2)</f>
        <v>0</v>
      </c>
      <c r="I15" s="734" t="s">
        <v>137</v>
      </c>
      <c r="J15" s="1566"/>
    </row>
    <row r="16" spans="1:19" s="1567" customFormat="1" ht="13.5" customHeight="1">
      <c r="A16" s="729"/>
      <c r="B16" s="730"/>
      <c r="C16" s="730"/>
      <c r="D16" s="1481" t="s">
        <v>5752</v>
      </c>
      <c r="E16" s="730"/>
      <c r="F16" s="1482"/>
      <c r="G16" s="292"/>
      <c r="H16" s="732"/>
      <c r="I16" s="734"/>
      <c r="J16" s="1566"/>
    </row>
    <row r="17" spans="1:27" s="1567" customFormat="1" ht="13.5" customHeight="1">
      <c r="A17" s="729"/>
      <c r="B17" s="730"/>
      <c r="C17" s="730"/>
      <c r="D17" s="1481" t="s">
        <v>6100</v>
      </c>
      <c r="E17" s="730"/>
      <c r="F17" s="1482">
        <f>((6.1)*0.95)*1.05</f>
        <v>6.0847499999999997</v>
      </c>
      <c r="G17" s="292"/>
      <c r="H17" s="732"/>
      <c r="I17" s="734"/>
      <c r="J17" s="1566"/>
    </row>
    <row r="18" spans="1:27" s="1567" customFormat="1" ht="13.5" customHeight="1">
      <c r="A18" s="729"/>
      <c r="B18" s="730"/>
      <c r="C18" s="730"/>
      <c r="D18" s="1481" t="s">
        <v>5755</v>
      </c>
      <c r="E18" s="730"/>
      <c r="F18" s="1482"/>
      <c r="G18" s="292"/>
      <c r="H18" s="732"/>
      <c r="I18" s="734"/>
      <c r="J18" s="1568"/>
    </row>
    <row r="19" spans="1:27" s="1564" customFormat="1" ht="27" customHeight="1">
      <c r="A19" s="1583" t="s">
        <v>127</v>
      </c>
      <c r="B19" s="1560" t="s">
        <v>5744</v>
      </c>
      <c r="C19" s="400">
        <v>210220022</v>
      </c>
      <c r="D19" s="401" t="s">
        <v>5996</v>
      </c>
      <c r="E19" s="1561" t="s">
        <v>141</v>
      </c>
      <c r="F19" s="573">
        <f>ROUND(SUM(F21:F21),3)</f>
        <v>1.5</v>
      </c>
      <c r="G19" s="1413"/>
      <c r="H19" s="568">
        <f>ROUND(F19*G19,2)</f>
        <v>0</v>
      </c>
      <c r="I19" s="613" t="s">
        <v>137</v>
      </c>
      <c r="J19" s="1562"/>
      <c r="K19" s="193"/>
      <c r="L19" s="1563"/>
      <c r="M19" s="1563"/>
      <c r="N19" s="1563"/>
      <c r="O19" s="1563"/>
      <c r="P19" s="1563"/>
      <c r="Q19" s="1563"/>
      <c r="R19" s="1563"/>
      <c r="S19" s="1562"/>
    </row>
    <row r="20" spans="1:27" s="612" customFormat="1" ht="27" customHeight="1">
      <c r="A20" s="1583"/>
      <c r="B20" s="557"/>
      <c r="C20" s="557"/>
      <c r="D20" s="1255" t="s">
        <v>6062</v>
      </c>
      <c r="E20" s="557"/>
      <c r="F20" s="1249"/>
      <c r="G20" s="288"/>
      <c r="H20" s="609"/>
      <c r="I20" s="613"/>
      <c r="J20" s="1565"/>
    </row>
    <row r="21" spans="1:27" s="612" customFormat="1" ht="13.5" customHeight="1">
      <c r="A21" s="1583"/>
      <c r="B21" s="557"/>
      <c r="C21" s="557"/>
      <c r="D21" s="1255" t="s">
        <v>6101</v>
      </c>
      <c r="E21" s="557"/>
      <c r="F21" s="1249">
        <f>1.5</f>
        <v>1.5</v>
      </c>
      <c r="G21" s="288"/>
      <c r="H21" s="609"/>
      <c r="I21" s="613"/>
      <c r="J21" s="2007"/>
    </row>
    <row r="22" spans="1:27" s="612" customFormat="1" ht="13.5" customHeight="1">
      <c r="A22" s="1583"/>
      <c r="B22" s="557"/>
      <c r="C22" s="557"/>
      <c r="D22" s="1255" t="s">
        <v>5749</v>
      </c>
      <c r="E22" s="557"/>
      <c r="F22" s="1249"/>
      <c r="G22" s="288"/>
      <c r="H22" s="609"/>
      <c r="I22" s="613"/>
      <c r="J22" s="1565"/>
    </row>
    <row r="23" spans="1:27" s="1567" customFormat="1" ht="13.5" customHeight="1">
      <c r="A23" s="2008" t="s">
        <v>128</v>
      </c>
      <c r="B23" s="730" t="s">
        <v>5750</v>
      </c>
      <c r="C23" s="730">
        <v>35441073</v>
      </c>
      <c r="D23" s="730" t="s">
        <v>5999</v>
      </c>
      <c r="E23" s="730" t="s">
        <v>853</v>
      </c>
      <c r="F23" s="731">
        <f>ROUND(SUM(F25:F25),3)</f>
        <v>0.97699999999999998</v>
      </c>
      <c r="G23" s="292"/>
      <c r="H23" s="733">
        <f>ROUND(F23*G23,2)</f>
        <v>0</v>
      </c>
      <c r="I23" s="734" t="s">
        <v>137</v>
      </c>
      <c r="J23" s="2009"/>
    </row>
    <row r="24" spans="1:27" s="1567" customFormat="1" ht="27" customHeight="1">
      <c r="A24" s="2008"/>
      <c r="B24" s="730"/>
      <c r="C24" s="730"/>
      <c r="D24" s="1481" t="s">
        <v>6062</v>
      </c>
      <c r="E24" s="730"/>
      <c r="F24" s="1482"/>
      <c r="G24" s="292"/>
      <c r="H24" s="732"/>
      <c r="I24" s="734"/>
      <c r="J24" s="1566"/>
    </row>
    <row r="25" spans="1:27" s="1567" customFormat="1" ht="13.5" customHeight="1">
      <c r="A25" s="2008"/>
      <c r="B25" s="730"/>
      <c r="C25" s="730"/>
      <c r="D25" s="1481" t="s">
        <v>6102</v>
      </c>
      <c r="E25" s="730"/>
      <c r="F25" s="1482">
        <f>((1.5)*0.62)*1.05</f>
        <v>0.97649999999999992</v>
      </c>
      <c r="G25" s="292"/>
      <c r="H25" s="732"/>
      <c r="I25" s="734"/>
      <c r="J25" s="1566"/>
    </row>
    <row r="26" spans="1:27" s="1567" customFormat="1" ht="13.5" customHeight="1">
      <c r="A26" s="2008"/>
      <c r="B26" s="730"/>
      <c r="C26" s="730"/>
      <c r="D26" s="1481" t="s">
        <v>6001</v>
      </c>
      <c r="E26" s="730"/>
      <c r="F26" s="1482"/>
      <c r="G26" s="292"/>
      <c r="H26" s="732"/>
      <c r="I26" s="734"/>
      <c r="J26" s="1568"/>
      <c r="K26" s="2010"/>
      <c r="L26" s="2011"/>
      <c r="M26" s="2011"/>
      <c r="N26" s="2011"/>
      <c r="O26" s="2011"/>
    </row>
    <row r="27" spans="1:27" s="612" customFormat="1" ht="13.5" customHeight="1">
      <c r="A27" s="608">
        <v>5</v>
      </c>
      <c r="B27" s="557" t="s">
        <v>5744</v>
      </c>
      <c r="C27" s="557" t="s">
        <v>5756</v>
      </c>
      <c r="D27" s="557" t="s">
        <v>5757</v>
      </c>
      <c r="E27" s="557" t="s">
        <v>205</v>
      </c>
      <c r="F27" s="573">
        <f>ROUND(SUM(F28),3)</f>
        <v>5</v>
      </c>
      <c r="G27" s="288"/>
      <c r="H27" s="568">
        <f>ROUND(F27*G27,2)</f>
        <v>0</v>
      </c>
      <c r="I27" s="613" t="s">
        <v>111</v>
      </c>
      <c r="J27" s="1565"/>
      <c r="U27" s="1569"/>
    </row>
    <row r="28" spans="1:27" s="1564" customFormat="1" ht="13.5" customHeight="1">
      <c r="A28" s="1570"/>
      <c r="B28" s="1560"/>
      <c r="C28" s="1245"/>
      <c r="D28" s="1255" t="s">
        <v>5758</v>
      </c>
      <c r="E28" s="402"/>
      <c r="F28" s="1249">
        <v>5</v>
      </c>
      <c r="G28" s="1413"/>
      <c r="H28" s="1261"/>
      <c r="I28" s="1280"/>
      <c r="J28" s="1566"/>
      <c r="K28" s="1567"/>
      <c r="L28" s="1571"/>
      <c r="M28" s="1571"/>
      <c r="N28" s="1571"/>
      <c r="O28" s="1571"/>
      <c r="Q28" s="1571"/>
      <c r="R28" s="1571"/>
      <c r="S28" s="1571"/>
      <c r="T28" s="1571"/>
      <c r="U28" s="1572"/>
      <c r="V28" s="193"/>
      <c r="W28" s="193"/>
      <c r="X28" s="193"/>
      <c r="Y28" s="193"/>
      <c r="Z28" s="193"/>
      <c r="AA28" s="193"/>
    </row>
    <row r="29" spans="1:27" s="1564" customFormat="1" ht="13.5" customHeight="1">
      <c r="A29" s="1570"/>
      <c r="B29" s="1560"/>
      <c r="C29" s="1245"/>
      <c r="D29" s="1255" t="s">
        <v>5759</v>
      </c>
      <c r="E29" s="402"/>
      <c r="F29" s="1249"/>
      <c r="G29" s="1413"/>
      <c r="H29" s="1261"/>
      <c r="I29" s="1280"/>
      <c r="J29" s="1566"/>
      <c r="K29" s="1567"/>
      <c r="L29" s="1571"/>
      <c r="M29" s="1571"/>
      <c r="N29" s="1571"/>
      <c r="O29" s="1571"/>
      <c r="P29" s="1571"/>
      <c r="Q29" s="1571"/>
      <c r="R29" s="1571"/>
      <c r="S29" s="1571"/>
      <c r="T29" s="1571"/>
      <c r="U29" s="1572"/>
      <c r="V29" s="193"/>
      <c r="W29" s="193"/>
      <c r="X29" s="193"/>
      <c r="Y29" s="193"/>
      <c r="Z29" s="193"/>
      <c r="AA29" s="193"/>
    </row>
    <row r="30" spans="1:27" s="247" customFormat="1" ht="13.5" customHeight="1">
      <c r="A30" s="1573">
        <v>6</v>
      </c>
      <c r="B30" s="1574">
        <v>921</v>
      </c>
      <c r="C30" s="557" t="s">
        <v>5760</v>
      </c>
      <c r="D30" s="403" t="s">
        <v>3903</v>
      </c>
      <c r="E30" s="1574" t="s">
        <v>49</v>
      </c>
      <c r="F30" s="573">
        <f>ROUND(SUM(F31),3)</f>
        <v>1</v>
      </c>
      <c r="G30" s="404"/>
      <c r="H30" s="568">
        <f>ROUND(F30*G30,2)</f>
        <v>0</v>
      </c>
      <c r="I30" s="613" t="s">
        <v>111</v>
      </c>
      <c r="J30" s="1575"/>
      <c r="L30" s="248"/>
      <c r="S30" s="1576"/>
    </row>
    <row r="31" spans="1:27" s="247" customFormat="1" ht="13.5" customHeight="1">
      <c r="A31" s="1573"/>
      <c r="B31" s="1574"/>
      <c r="C31" s="1574"/>
      <c r="D31" s="1577" t="s">
        <v>3904</v>
      </c>
      <c r="E31" s="1574"/>
      <c r="F31" s="1578">
        <v>1</v>
      </c>
      <c r="G31" s="404"/>
      <c r="H31" s="1253"/>
      <c r="I31" s="1579"/>
      <c r="J31" s="1305"/>
      <c r="R31" s="1569"/>
      <c r="S31" s="1576"/>
    </row>
    <row r="32" spans="1:27" s="247" customFormat="1" ht="40.5" customHeight="1">
      <c r="A32" s="1573"/>
      <c r="B32" s="1574"/>
      <c r="C32" s="1574"/>
      <c r="D32" s="1577" t="s">
        <v>5761</v>
      </c>
      <c r="E32" s="1574"/>
      <c r="F32" s="1578"/>
      <c r="G32" s="404"/>
      <c r="H32" s="1253"/>
      <c r="I32" s="1579"/>
      <c r="J32" s="1580"/>
      <c r="K32" s="1581"/>
      <c r="R32" s="1582"/>
      <c r="S32" s="1576"/>
      <c r="T32" s="406"/>
    </row>
    <row r="33" spans="1:256" s="612" customFormat="1" ht="13.5" customHeight="1">
      <c r="A33" s="608">
        <v>7</v>
      </c>
      <c r="B33" s="557" t="s">
        <v>5744</v>
      </c>
      <c r="C33" s="557" t="s">
        <v>5762</v>
      </c>
      <c r="D33" s="1584" t="s">
        <v>6002</v>
      </c>
      <c r="E33" s="557" t="s">
        <v>141</v>
      </c>
      <c r="F33" s="573">
        <f>ROUND(SUM(F35:F36),3)</f>
        <v>8.36</v>
      </c>
      <c r="G33" s="288"/>
      <c r="H33" s="568">
        <f>ROUND(F33*G33,2)</f>
        <v>0</v>
      </c>
      <c r="I33" s="613" t="s">
        <v>111</v>
      </c>
      <c r="J33" s="1580"/>
      <c r="K33" s="604"/>
      <c r="L33" s="604"/>
      <c r="M33" s="604"/>
      <c r="N33" s="604"/>
      <c r="O33" s="604"/>
      <c r="P33" s="604"/>
      <c r="Q33" s="604"/>
      <c r="R33" s="604"/>
      <c r="S33" s="604"/>
      <c r="T33" s="604"/>
      <c r="U33" s="605"/>
      <c r="V33" s="604"/>
      <c r="W33" s="605"/>
    </row>
    <row r="34" spans="1:256" s="604" customFormat="1" ht="13.5" customHeight="1">
      <c r="A34" s="1586"/>
      <c r="B34" s="596"/>
      <c r="C34" s="597"/>
      <c r="D34" s="1255" t="s">
        <v>6003</v>
      </c>
      <c r="E34" s="599"/>
      <c r="F34" s="600"/>
      <c r="G34" s="289"/>
      <c r="H34" s="601"/>
      <c r="I34" s="602"/>
      <c r="J34" s="1580"/>
      <c r="U34" s="605"/>
      <c r="W34" s="605"/>
    </row>
    <row r="35" spans="1:256" s="604" customFormat="1" ht="13.5" customHeight="1">
      <c r="A35" s="1586"/>
      <c r="B35" s="596"/>
      <c r="C35" s="597"/>
      <c r="D35" s="1255" t="s">
        <v>6103</v>
      </c>
      <c r="E35" s="599"/>
      <c r="F35" s="600">
        <f>(6.1)*1.1</f>
        <v>6.71</v>
      </c>
      <c r="G35" s="289"/>
      <c r="H35" s="601"/>
      <c r="I35" s="602"/>
      <c r="J35" s="1305"/>
      <c r="U35" s="605"/>
      <c r="W35" s="605"/>
    </row>
    <row r="36" spans="1:256" s="604" customFormat="1" ht="13.5" customHeight="1">
      <c r="A36" s="1586"/>
      <c r="B36" s="596"/>
      <c r="C36" s="597"/>
      <c r="D36" s="1255" t="s">
        <v>6104</v>
      </c>
      <c r="E36" s="599"/>
      <c r="F36" s="600">
        <f>(1.5)*1.1</f>
        <v>1.6500000000000001</v>
      </c>
      <c r="G36" s="289"/>
      <c r="H36" s="601"/>
      <c r="I36" s="602"/>
    </row>
    <row r="37" spans="1:256" s="604" customFormat="1" ht="27" customHeight="1">
      <c r="A37" s="1586"/>
      <c r="B37" s="596"/>
      <c r="C37" s="597"/>
      <c r="D37" s="597" t="s">
        <v>5787</v>
      </c>
      <c r="E37" s="597"/>
      <c r="F37" s="607"/>
      <c r="G37" s="289"/>
      <c r="H37" s="601"/>
      <c r="I37" s="1590"/>
      <c r="J37" s="606"/>
      <c r="U37" s="605"/>
      <c r="W37" s="605"/>
    </row>
    <row r="38" spans="1:256" s="612" customFormat="1" ht="13.5" customHeight="1">
      <c r="A38" s="608">
        <v>8</v>
      </c>
      <c r="B38" s="557" t="s">
        <v>5744</v>
      </c>
      <c r="C38" s="557" t="s">
        <v>6007</v>
      </c>
      <c r="D38" s="557" t="s">
        <v>5789</v>
      </c>
      <c r="E38" s="557" t="s">
        <v>205</v>
      </c>
      <c r="F38" s="573">
        <f>ROUND(SUM(F40:F40),3)</f>
        <v>1</v>
      </c>
      <c r="G38" s="288"/>
      <c r="H38" s="568">
        <f>ROUND(F38*G38,2)</f>
        <v>0</v>
      </c>
      <c r="I38" s="613" t="s">
        <v>111</v>
      </c>
      <c r="J38" s="409"/>
    </row>
    <row r="39" spans="1:256" s="604" customFormat="1" ht="13.5" customHeight="1">
      <c r="A39" s="1586"/>
      <c r="B39" s="596"/>
      <c r="C39" s="597"/>
      <c r="D39" s="1255" t="s">
        <v>5790</v>
      </c>
      <c r="E39" s="599"/>
      <c r="F39" s="600"/>
      <c r="G39" s="289"/>
      <c r="H39" s="601"/>
      <c r="I39" s="602"/>
      <c r="J39" s="1580"/>
      <c r="U39" s="605"/>
      <c r="W39" s="605"/>
    </row>
    <row r="40" spans="1:256" s="604" customFormat="1" ht="13.5" customHeight="1">
      <c r="A40" s="1586"/>
      <c r="B40" s="596"/>
      <c r="C40" s="597"/>
      <c r="D40" s="1255" t="s">
        <v>5952</v>
      </c>
      <c r="E40" s="599"/>
      <c r="F40" s="600">
        <v>1</v>
      </c>
      <c r="G40" s="289"/>
      <c r="H40" s="601"/>
      <c r="I40" s="602"/>
      <c r="J40" s="1580"/>
      <c r="U40" s="605"/>
      <c r="W40" s="605"/>
    </row>
    <row r="41" spans="1:256" s="604" customFormat="1" ht="27" customHeight="1">
      <c r="A41" s="1586"/>
      <c r="B41" s="596"/>
      <c r="C41" s="597"/>
      <c r="D41" s="597" t="s">
        <v>5792</v>
      </c>
      <c r="E41" s="597"/>
      <c r="F41" s="607"/>
      <c r="G41" s="289"/>
      <c r="H41" s="601"/>
      <c r="I41" s="602"/>
      <c r="J41" s="606"/>
      <c r="U41" s="605"/>
      <c r="W41" s="605"/>
    </row>
    <row r="42" spans="1:256" s="612" customFormat="1" ht="13.5" customHeight="1">
      <c r="A42" s="1583" t="s">
        <v>311</v>
      </c>
      <c r="B42" s="557" t="s">
        <v>5744</v>
      </c>
      <c r="C42" s="557" t="s">
        <v>5793</v>
      </c>
      <c r="D42" s="557" t="s">
        <v>5794</v>
      </c>
      <c r="E42" s="557" t="s">
        <v>49</v>
      </c>
      <c r="F42" s="573">
        <f>ROUND(SUM(F44),3)</f>
        <v>1</v>
      </c>
      <c r="G42" s="288"/>
      <c r="H42" s="568">
        <f>ROUND(F42*G42,2)</f>
        <v>0</v>
      </c>
      <c r="I42" s="613" t="s">
        <v>111</v>
      </c>
      <c r="J42" s="1591"/>
    </row>
    <row r="43" spans="1:256" s="612" customFormat="1" ht="13.5" customHeight="1">
      <c r="A43" s="1583"/>
      <c r="B43" s="557"/>
      <c r="C43" s="557"/>
      <c r="D43" s="1255" t="s">
        <v>5917</v>
      </c>
      <c r="E43" s="557"/>
      <c r="F43" s="615"/>
      <c r="G43" s="288"/>
      <c r="H43" s="609"/>
      <c r="I43" s="613"/>
      <c r="J43" s="1565"/>
    </row>
    <row r="44" spans="1:256" s="612" customFormat="1" ht="13.5" customHeight="1">
      <c r="A44" s="1583"/>
      <c r="B44" s="557"/>
      <c r="C44" s="557"/>
      <c r="D44" s="1255" t="s">
        <v>6105</v>
      </c>
      <c r="E44" s="557"/>
      <c r="F44" s="1249">
        <v>1</v>
      </c>
      <c r="G44" s="288"/>
      <c r="H44" s="609"/>
      <c r="I44" s="613"/>
      <c r="J44" s="1592"/>
    </row>
    <row r="45" spans="1:256" s="1600" customFormat="1" ht="54" customHeight="1">
      <c r="A45" s="1593"/>
      <c r="B45" s="1594"/>
      <c r="C45" s="1595"/>
      <c r="D45" s="584" t="s">
        <v>5797</v>
      </c>
      <c r="E45" s="1596"/>
      <c r="F45" s="1597"/>
      <c r="G45" s="407"/>
      <c r="H45" s="1598"/>
      <c r="I45" s="1599"/>
      <c r="J45" s="1592"/>
      <c r="L45" s="1601"/>
      <c r="M45" s="1601"/>
      <c r="N45" s="1601"/>
      <c r="O45" s="1611"/>
      <c r="P45" s="1601"/>
      <c r="Q45" s="1601"/>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c r="BH45" s="1601"/>
      <c r="BI45" s="1601"/>
      <c r="BJ45" s="1601"/>
      <c r="BK45" s="1601"/>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601"/>
      <c r="DI45" s="1601"/>
      <c r="DJ45" s="1601"/>
      <c r="DK45" s="1601"/>
      <c r="DL45" s="1601"/>
      <c r="DM45" s="1601"/>
      <c r="DN45" s="1601"/>
      <c r="DO45" s="1601"/>
      <c r="DP45" s="1601"/>
      <c r="DQ45" s="1601"/>
      <c r="DR45" s="1601"/>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1"/>
      <c r="ER45" s="1601"/>
      <c r="ES45" s="1601"/>
      <c r="ET45" s="1601"/>
      <c r="EU45" s="1601"/>
      <c r="EV45" s="1601"/>
      <c r="EW45" s="1601"/>
      <c r="EX45" s="1601"/>
      <c r="EY45" s="1601"/>
      <c r="EZ45" s="1601"/>
      <c r="FA45" s="1601"/>
      <c r="FB45" s="1601"/>
      <c r="FC45" s="1601"/>
      <c r="FD45" s="1601"/>
      <c r="FE45" s="1601"/>
      <c r="FF45" s="1601"/>
      <c r="FG45" s="1601"/>
      <c r="FH45" s="1601"/>
      <c r="FI45" s="1601"/>
      <c r="FJ45" s="1601"/>
      <c r="FK45" s="1601"/>
      <c r="FL45" s="1601"/>
      <c r="FM45" s="1601"/>
      <c r="FN45" s="1601"/>
      <c r="FO45" s="1601"/>
      <c r="FP45" s="1601"/>
      <c r="FQ45" s="1601"/>
      <c r="FR45" s="1601"/>
      <c r="FS45" s="1601"/>
      <c r="FT45" s="1601"/>
      <c r="FU45" s="1601"/>
      <c r="FV45" s="1601"/>
      <c r="FW45" s="1601"/>
      <c r="FX45" s="1601"/>
      <c r="FY45" s="1601"/>
      <c r="FZ45" s="1601"/>
      <c r="GA45" s="1601"/>
      <c r="GB45" s="1601"/>
      <c r="GC45" s="1601"/>
      <c r="GD45" s="1601"/>
      <c r="GE45" s="1601"/>
      <c r="GF45" s="1601"/>
      <c r="GG45" s="1601"/>
      <c r="GH45" s="1601"/>
      <c r="GI45" s="1601"/>
      <c r="GJ45" s="1601"/>
      <c r="GK45" s="1601"/>
      <c r="GL45" s="1601"/>
      <c r="GM45" s="1601"/>
      <c r="GN45" s="1601"/>
      <c r="GO45" s="1601"/>
      <c r="GP45" s="1601"/>
      <c r="GQ45" s="1601"/>
      <c r="GR45" s="1601"/>
      <c r="GS45" s="1601"/>
      <c r="GT45" s="1601"/>
      <c r="GU45" s="1601"/>
      <c r="GV45" s="1601"/>
      <c r="GW45" s="1601"/>
      <c r="GX45" s="1601"/>
      <c r="GY45" s="1601"/>
      <c r="GZ45" s="1601"/>
      <c r="HA45" s="1601"/>
      <c r="HB45" s="1601"/>
      <c r="HC45" s="1601"/>
      <c r="HD45" s="1601"/>
      <c r="HE45" s="1601"/>
      <c r="HF45" s="1601"/>
      <c r="HG45" s="1601"/>
      <c r="HH45" s="1601"/>
      <c r="HI45" s="1601"/>
      <c r="HJ45" s="1601"/>
      <c r="HK45" s="1601"/>
      <c r="HL45" s="1601"/>
      <c r="HM45" s="1601"/>
      <c r="HN45" s="1601"/>
      <c r="HO45" s="1601"/>
      <c r="HP45" s="1601"/>
      <c r="HQ45" s="1601"/>
      <c r="HR45" s="1601"/>
      <c r="HS45" s="1601"/>
      <c r="HT45" s="1601"/>
      <c r="HU45" s="1601"/>
      <c r="HV45" s="1601"/>
      <c r="HW45" s="1601"/>
      <c r="HX45" s="1601"/>
      <c r="HY45" s="1601"/>
      <c r="HZ45" s="1601"/>
      <c r="IA45" s="1601"/>
      <c r="IB45" s="1601"/>
      <c r="IC45" s="1601"/>
      <c r="ID45" s="1601"/>
      <c r="IE45" s="1601"/>
      <c r="IF45" s="1601"/>
      <c r="IG45" s="1601"/>
      <c r="IH45" s="1601"/>
      <c r="II45" s="1601"/>
      <c r="IJ45" s="1601"/>
      <c r="IK45" s="1601"/>
      <c r="IL45" s="1601"/>
      <c r="IM45" s="1601"/>
      <c r="IN45" s="1601"/>
      <c r="IO45" s="1601"/>
      <c r="IP45" s="1601"/>
      <c r="IQ45" s="1601"/>
      <c r="IR45" s="1601"/>
      <c r="IS45" s="1601"/>
      <c r="IT45" s="1601"/>
      <c r="IU45" s="1601"/>
      <c r="IV45" s="1601"/>
    </row>
    <row r="46" spans="1:256" s="612" customFormat="1" ht="13.5" customHeight="1">
      <c r="A46" s="1583" t="s">
        <v>6009</v>
      </c>
      <c r="B46" s="557" t="s">
        <v>5744</v>
      </c>
      <c r="C46" s="557" t="s">
        <v>5768</v>
      </c>
      <c r="D46" s="557" t="s">
        <v>6010</v>
      </c>
      <c r="E46" s="557" t="s">
        <v>49</v>
      </c>
      <c r="F46" s="573">
        <f>ROUND(SUM(F48),3)</f>
        <v>1</v>
      </c>
      <c r="G46" s="288"/>
      <c r="H46" s="568">
        <f>ROUND(F46*G46,2)</f>
        <v>0</v>
      </c>
      <c r="I46" s="613" t="s">
        <v>111</v>
      </c>
      <c r="J46" s="1591"/>
      <c r="K46" s="1592"/>
    </row>
    <row r="47" spans="1:256" s="612" customFormat="1" ht="13.5" customHeight="1">
      <c r="A47" s="1583"/>
      <c r="B47" s="557"/>
      <c r="C47" s="557"/>
      <c r="D47" s="1255" t="s">
        <v>6069</v>
      </c>
      <c r="E47" s="557"/>
      <c r="F47" s="615"/>
      <c r="G47" s="288"/>
      <c r="H47" s="609"/>
      <c r="I47" s="613"/>
      <c r="J47" s="1565"/>
    </row>
    <row r="48" spans="1:256" s="612" customFormat="1" ht="27" customHeight="1">
      <c r="A48" s="1583"/>
      <c r="B48" s="557"/>
      <c r="C48" s="557"/>
      <c r="D48" s="1255" t="s">
        <v>6106</v>
      </c>
      <c r="E48" s="557"/>
      <c r="F48" s="1249">
        <v>1</v>
      </c>
      <c r="G48" s="288"/>
      <c r="H48" s="609"/>
      <c r="I48" s="613"/>
      <c r="J48" s="1565"/>
    </row>
    <row r="49" spans="1:256" s="1600" customFormat="1" ht="54" customHeight="1">
      <c r="A49" s="1593"/>
      <c r="B49" s="1594"/>
      <c r="C49" s="1595"/>
      <c r="D49" s="584" t="s">
        <v>5772</v>
      </c>
      <c r="E49" s="1596"/>
      <c r="F49" s="1597"/>
      <c r="G49" s="407"/>
      <c r="H49" s="1598"/>
      <c r="I49" s="1599"/>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1"/>
      <c r="DI49" s="1601"/>
      <c r="DJ49" s="1601"/>
      <c r="DK49" s="1601"/>
      <c r="DL49" s="1601"/>
      <c r="DM49" s="1601"/>
      <c r="DN49" s="1601"/>
      <c r="DO49" s="1601"/>
      <c r="DP49" s="1601"/>
      <c r="DQ49" s="1601"/>
      <c r="DR49" s="1601"/>
      <c r="DS49" s="1601"/>
      <c r="DT49" s="1601"/>
      <c r="DU49" s="1601"/>
      <c r="DV49" s="1601"/>
      <c r="DW49" s="1601"/>
      <c r="DX49" s="1601"/>
      <c r="DY49" s="1601"/>
      <c r="DZ49" s="1601"/>
      <c r="EA49" s="1601"/>
      <c r="EB49" s="1601"/>
      <c r="EC49" s="1601"/>
      <c r="ED49" s="1601"/>
      <c r="EE49" s="1601"/>
      <c r="EF49" s="1601"/>
      <c r="EG49" s="1601"/>
      <c r="EH49" s="1601"/>
      <c r="EI49" s="1601"/>
      <c r="EJ49" s="1601"/>
      <c r="EK49" s="1601"/>
      <c r="EL49" s="1601"/>
      <c r="EM49" s="1601"/>
      <c r="EN49" s="1601"/>
      <c r="EO49" s="1601"/>
      <c r="EP49" s="1601"/>
      <c r="EQ49" s="1601"/>
      <c r="ER49" s="1601"/>
      <c r="ES49" s="1601"/>
      <c r="ET49" s="1601"/>
      <c r="EU49" s="1601"/>
      <c r="EV49" s="1601"/>
      <c r="EW49" s="1601"/>
      <c r="EX49" s="1601"/>
      <c r="EY49" s="1601"/>
      <c r="EZ49" s="1601"/>
      <c r="FA49" s="1601"/>
      <c r="FB49" s="1601"/>
      <c r="FC49" s="1601"/>
      <c r="FD49" s="1601"/>
      <c r="FE49" s="1601"/>
      <c r="FF49" s="1601"/>
      <c r="FG49" s="1601"/>
      <c r="FH49" s="1601"/>
      <c r="FI49" s="1601"/>
      <c r="FJ49" s="1601"/>
      <c r="FK49" s="1601"/>
      <c r="FL49" s="1601"/>
      <c r="FM49" s="1601"/>
      <c r="FN49" s="1601"/>
      <c r="FO49" s="1601"/>
      <c r="FP49" s="1601"/>
      <c r="FQ49" s="1601"/>
      <c r="FR49" s="1601"/>
      <c r="FS49" s="1601"/>
      <c r="FT49" s="1601"/>
      <c r="FU49" s="1601"/>
      <c r="FV49" s="1601"/>
      <c r="FW49" s="1601"/>
      <c r="FX49" s="1601"/>
      <c r="FY49" s="1601"/>
      <c r="FZ49" s="1601"/>
      <c r="GA49" s="1601"/>
      <c r="GB49" s="1601"/>
      <c r="GC49" s="1601"/>
      <c r="GD49" s="1601"/>
      <c r="GE49" s="1601"/>
      <c r="GF49" s="1601"/>
      <c r="GG49" s="1601"/>
      <c r="GH49" s="1601"/>
      <c r="GI49" s="1601"/>
      <c r="GJ49" s="1601"/>
      <c r="GK49" s="1601"/>
      <c r="GL49" s="1601"/>
      <c r="GM49" s="1601"/>
      <c r="GN49" s="1601"/>
      <c r="GO49" s="1601"/>
      <c r="GP49" s="1601"/>
      <c r="GQ49" s="1601"/>
      <c r="GR49" s="1601"/>
      <c r="GS49" s="1601"/>
      <c r="GT49" s="1601"/>
      <c r="GU49" s="1601"/>
      <c r="GV49" s="1601"/>
      <c r="GW49" s="1601"/>
      <c r="GX49" s="1601"/>
      <c r="GY49" s="1601"/>
      <c r="GZ49" s="1601"/>
      <c r="HA49" s="1601"/>
      <c r="HB49" s="1601"/>
      <c r="HC49" s="1601"/>
      <c r="HD49" s="1601"/>
      <c r="HE49" s="1601"/>
      <c r="HF49" s="1601"/>
      <c r="HG49" s="1601"/>
      <c r="HH49" s="1601"/>
      <c r="HI49" s="1601"/>
      <c r="HJ49" s="1601"/>
      <c r="HK49" s="1601"/>
      <c r="HL49" s="1601"/>
      <c r="HM49" s="1601"/>
      <c r="HN49" s="1601"/>
      <c r="HO49" s="1601"/>
      <c r="HP49" s="1601"/>
      <c r="HQ49" s="1601"/>
      <c r="HR49" s="1601"/>
      <c r="HS49" s="1601"/>
      <c r="HT49" s="1601"/>
      <c r="HU49" s="1601"/>
      <c r="HV49" s="1601"/>
      <c r="HW49" s="1601"/>
      <c r="HX49" s="1601"/>
      <c r="HY49" s="1601"/>
      <c r="HZ49" s="1601"/>
      <c r="IA49" s="1601"/>
      <c r="IB49" s="1601"/>
      <c r="IC49" s="1601"/>
      <c r="ID49" s="1601"/>
      <c r="IE49" s="1601"/>
      <c r="IF49" s="1601"/>
      <c r="IG49" s="1601"/>
      <c r="IH49" s="1601"/>
      <c r="II49" s="1601"/>
      <c r="IJ49" s="1601"/>
      <c r="IK49" s="1601"/>
      <c r="IL49" s="1601"/>
      <c r="IM49" s="1601"/>
      <c r="IN49" s="1601"/>
      <c r="IO49" s="1601"/>
      <c r="IP49" s="1601"/>
      <c r="IQ49" s="1601"/>
      <c r="IR49" s="1601"/>
      <c r="IS49" s="1601"/>
      <c r="IT49" s="1601"/>
      <c r="IU49" s="1601"/>
      <c r="IV49" s="1601"/>
    </row>
    <row r="50" spans="1:256" s="612" customFormat="1" ht="27" customHeight="1">
      <c r="A50" s="608">
        <v>11</v>
      </c>
      <c r="B50" s="557" t="s">
        <v>5744</v>
      </c>
      <c r="C50" s="557" t="s">
        <v>5773</v>
      </c>
      <c r="D50" s="557" t="s">
        <v>6013</v>
      </c>
      <c r="E50" s="557" t="s">
        <v>49</v>
      </c>
      <c r="F50" s="573">
        <f>ROUND(SUM(F52),3)</f>
        <v>1</v>
      </c>
      <c r="G50" s="288"/>
      <c r="H50" s="568">
        <f>ROUND(F50*G50,2)</f>
        <v>0</v>
      </c>
      <c r="I50" s="613" t="s">
        <v>111</v>
      </c>
      <c r="J50" s="1565"/>
    </row>
    <row r="51" spans="1:256" s="612" customFormat="1" ht="13.5" customHeight="1">
      <c r="A51" s="608"/>
      <c r="B51" s="557"/>
      <c r="C51" s="557"/>
      <c r="D51" s="1255" t="s">
        <v>6014</v>
      </c>
      <c r="E51" s="557"/>
      <c r="F51" s="615"/>
      <c r="G51" s="288"/>
      <c r="H51" s="609"/>
      <c r="I51" s="613"/>
      <c r="J51" s="1565"/>
    </row>
    <row r="52" spans="1:256" s="612" customFormat="1" ht="13.5" customHeight="1">
      <c r="A52" s="608"/>
      <c r="B52" s="557"/>
      <c r="C52" s="557"/>
      <c r="D52" s="1255" t="s">
        <v>5950</v>
      </c>
      <c r="E52" s="557"/>
      <c r="F52" s="1249">
        <v>1</v>
      </c>
      <c r="G52" s="288"/>
      <c r="H52" s="609"/>
      <c r="I52" s="613"/>
      <c r="J52" s="1565"/>
    </row>
    <row r="53" spans="1:256" s="1587" customFormat="1" ht="67.5" customHeight="1">
      <c r="A53" s="1602"/>
      <c r="B53" s="1603"/>
      <c r="C53" s="1604"/>
      <c r="D53" s="584" t="s">
        <v>5777</v>
      </c>
      <c r="E53" s="1605"/>
      <c r="F53" s="1606"/>
      <c r="G53" s="299"/>
      <c r="H53" s="1607"/>
      <c r="I53" s="160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1588"/>
      <c r="AM53" s="1588"/>
      <c r="AN53" s="1588"/>
      <c r="AO53" s="1588"/>
      <c r="AP53" s="1588"/>
      <c r="AQ53" s="1588"/>
      <c r="AR53" s="1588"/>
      <c r="AS53" s="1588"/>
      <c r="AT53" s="1588"/>
      <c r="AU53" s="1588"/>
      <c r="AV53" s="1588"/>
      <c r="AW53" s="1588"/>
      <c r="AX53" s="1588"/>
      <c r="AY53" s="1588"/>
      <c r="AZ53" s="1588"/>
      <c r="BA53" s="1588"/>
      <c r="BB53" s="1588"/>
      <c r="BC53" s="1588"/>
      <c r="BD53" s="1588"/>
      <c r="BE53" s="1588"/>
      <c r="BF53" s="1588"/>
      <c r="BG53" s="1588"/>
      <c r="BH53" s="1588"/>
      <c r="BI53" s="1588"/>
      <c r="BJ53" s="1588"/>
      <c r="BK53" s="1588"/>
      <c r="BL53" s="1588"/>
      <c r="BM53" s="1588"/>
      <c r="BN53" s="1588"/>
      <c r="BO53" s="1588"/>
      <c r="BP53" s="1588"/>
      <c r="BQ53" s="1588"/>
      <c r="BR53" s="1588"/>
      <c r="BS53" s="1588"/>
      <c r="BT53" s="1588"/>
      <c r="BU53" s="1588"/>
      <c r="BV53" s="1588"/>
      <c r="BW53" s="1588"/>
      <c r="BX53" s="1588"/>
      <c r="BY53" s="1588"/>
      <c r="BZ53" s="1588"/>
      <c r="CA53" s="1588"/>
      <c r="CB53" s="1588"/>
      <c r="CC53" s="1588"/>
      <c r="CD53" s="1588"/>
      <c r="CE53" s="1588"/>
      <c r="CF53" s="1588"/>
      <c r="CG53" s="1588"/>
      <c r="CH53" s="1588"/>
      <c r="CI53" s="1588"/>
      <c r="CJ53" s="1588"/>
      <c r="CK53" s="1588"/>
      <c r="CL53" s="1588"/>
      <c r="CM53" s="1588"/>
      <c r="CN53" s="1588"/>
      <c r="CO53" s="1588"/>
      <c r="CP53" s="1588"/>
      <c r="CQ53" s="1588"/>
      <c r="CR53" s="1588"/>
      <c r="CS53" s="1588"/>
      <c r="CT53" s="1588"/>
      <c r="CU53" s="1588"/>
      <c r="CV53" s="1588"/>
      <c r="CW53" s="1588"/>
      <c r="CX53" s="1588"/>
      <c r="CY53" s="1588"/>
      <c r="CZ53" s="1588"/>
      <c r="DA53" s="1588"/>
      <c r="DB53" s="1588"/>
      <c r="DC53" s="1588"/>
      <c r="DD53" s="1588"/>
      <c r="DE53" s="1588"/>
      <c r="DF53" s="1588"/>
      <c r="DG53" s="1588"/>
      <c r="DH53" s="1588"/>
      <c r="DI53" s="1588"/>
      <c r="DJ53" s="1588"/>
      <c r="DK53" s="1588"/>
      <c r="DL53" s="1588"/>
      <c r="DM53" s="1588"/>
      <c r="DN53" s="1588"/>
      <c r="DO53" s="1588"/>
      <c r="DP53" s="1588"/>
      <c r="DQ53" s="1588"/>
      <c r="DR53" s="1588"/>
      <c r="DS53" s="1588"/>
      <c r="DT53" s="1588"/>
      <c r="DU53" s="1588"/>
      <c r="DV53" s="1588"/>
      <c r="DW53" s="1588"/>
      <c r="DX53" s="1588"/>
      <c r="DY53" s="1588"/>
      <c r="DZ53" s="1588"/>
      <c r="EA53" s="1588"/>
      <c r="EB53" s="1588"/>
      <c r="EC53" s="1588"/>
      <c r="ED53" s="1588"/>
      <c r="EE53" s="1588"/>
      <c r="EF53" s="1588"/>
      <c r="EG53" s="1588"/>
      <c r="EH53" s="1588"/>
      <c r="EI53" s="1588"/>
      <c r="EJ53" s="1588"/>
      <c r="EK53" s="1588"/>
      <c r="EL53" s="1588"/>
      <c r="EM53" s="1588"/>
      <c r="EN53" s="1588"/>
      <c r="EO53" s="1588"/>
      <c r="EP53" s="1588"/>
      <c r="EQ53" s="1588"/>
      <c r="ER53" s="1588"/>
      <c r="ES53" s="1588"/>
      <c r="ET53" s="1588"/>
      <c r="EU53" s="1588"/>
      <c r="EV53" s="1588"/>
      <c r="EW53" s="1588"/>
      <c r="EX53" s="1588"/>
      <c r="EY53" s="1588"/>
      <c r="EZ53" s="1588"/>
      <c r="FA53" s="1588"/>
      <c r="FB53" s="1588"/>
      <c r="FC53" s="1588"/>
      <c r="FD53" s="1588"/>
      <c r="FE53" s="1588"/>
      <c r="FF53" s="1588"/>
      <c r="FG53" s="1588"/>
      <c r="FH53" s="1588"/>
      <c r="FI53" s="1588"/>
      <c r="FJ53" s="1588"/>
      <c r="FK53" s="1588"/>
      <c r="FL53" s="1588"/>
      <c r="FM53" s="1588"/>
      <c r="FN53" s="1588"/>
      <c r="FO53" s="1588"/>
      <c r="FP53" s="1588"/>
      <c r="FQ53" s="1588"/>
      <c r="FR53" s="1588"/>
      <c r="FS53" s="1588"/>
      <c r="FT53" s="1588"/>
      <c r="FU53" s="1588"/>
      <c r="FV53" s="1588"/>
      <c r="FW53" s="1588"/>
      <c r="FX53" s="1588"/>
      <c r="FY53" s="1588"/>
      <c r="FZ53" s="1588"/>
      <c r="GA53" s="1588"/>
      <c r="GB53" s="1588"/>
      <c r="GC53" s="1588"/>
      <c r="GD53" s="1588"/>
      <c r="GE53" s="1588"/>
      <c r="GF53" s="1588"/>
      <c r="GG53" s="1588"/>
      <c r="GH53" s="1588"/>
      <c r="GI53" s="1588"/>
      <c r="GJ53" s="1588"/>
      <c r="GK53" s="1588"/>
      <c r="GL53" s="1588"/>
      <c r="GM53" s="1588"/>
      <c r="GN53" s="1588"/>
      <c r="GO53" s="1588"/>
      <c r="GP53" s="1588"/>
      <c r="GQ53" s="1588"/>
      <c r="GR53" s="1588"/>
      <c r="GS53" s="1588"/>
      <c r="GT53" s="1588"/>
      <c r="GU53" s="1588"/>
      <c r="GV53" s="1588"/>
      <c r="GW53" s="1588"/>
      <c r="GX53" s="1588"/>
      <c r="GY53" s="1588"/>
      <c r="GZ53" s="1588"/>
      <c r="HA53" s="1588"/>
      <c r="HB53" s="1588"/>
      <c r="HC53" s="1588"/>
      <c r="HD53" s="1588"/>
      <c r="HE53" s="1588"/>
      <c r="HF53" s="1588"/>
      <c r="HG53" s="1588"/>
      <c r="HH53" s="1588"/>
      <c r="HI53" s="1588"/>
      <c r="HJ53" s="1588"/>
      <c r="HK53" s="1588"/>
      <c r="HL53" s="1588"/>
      <c r="HM53" s="1588"/>
      <c r="HN53" s="1588"/>
      <c r="HO53" s="1588"/>
      <c r="HP53" s="1588"/>
      <c r="HQ53" s="1588"/>
      <c r="HR53" s="1588"/>
      <c r="HS53" s="1588"/>
      <c r="HT53" s="1588"/>
      <c r="HU53" s="1588"/>
      <c r="HV53" s="1588"/>
      <c r="HW53" s="1588"/>
      <c r="HX53" s="1588"/>
      <c r="HY53" s="1588"/>
      <c r="HZ53" s="1588"/>
      <c r="IA53" s="1588"/>
      <c r="IB53" s="1588"/>
      <c r="IC53" s="1588"/>
      <c r="ID53" s="1588"/>
      <c r="IE53" s="1588"/>
      <c r="IF53" s="1588"/>
      <c r="IG53" s="1588"/>
      <c r="IH53" s="1588"/>
      <c r="II53" s="1588"/>
      <c r="IJ53" s="1588"/>
      <c r="IK53" s="1588"/>
      <c r="IL53" s="1588"/>
      <c r="IM53" s="1588"/>
      <c r="IN53" s="1588"/>
      <c r="IO53" s="1588"/>
      <c r="IP53" s="1588"/>
      <c r="IQ53" s="1588"/>
      <c r="IR53" s="1588"/>
      <c r="IS53" s="1588"/>
      <c r="IT53" s="1588"/>
      <c r="IU53" s="1588"/>
      <c r="IV53" s="1588"/>
    </row>
    <row r="54" spans="1:256" s="612" customFormat="1" ht="13.5" customHeight="1">
      <c r="A54" s="608">
        <v>12</v>
      </c>
      <c r="B54" s="557" t="s">
        <v>5744</v>
      </c>
      <c r="C54" s="557" t="s">
        <v>5773</v>
      </c>
      <c r="D54" s="557" t="s">
        <v>5799</v>
      </c>
      <c r="E54" s="557" t="s">
        <v>49</v>
      </c>
      <c r="F54" s="573">
        <f>ROUND(SUM(F55),3)</f>
        <v>1</v>
      </c>
      <c r="G54" s="288"/>
      <c r="H54" s="568">
        <f>ROUND(F54*G54,2)</f>
        <v>0</v>
      </c>
      <c r="I54" s="613" t="s">
        <v>111</v>
      </c>
      <c r="J54" s="408"/>
    </row>
    <row r="55" spans="1:256" s="1564" customFormat="1" ht="27" customHeight="1">
      <c r="A55" s="1570"/>
      <c r="B55" s="1560"/>
      <c r="C55" s="1245"/>
      <c r="D55" s="1255" t="s">
        <v>5800</v>
      </c>
      <c r="E55" s="402"/>
      <c r="F55" s="1249">
        <v>1</v>
      </c>
      <c r="G55" s="1413"/>
      <c r="H55" s="1261"/>
      <c r="I55" s="1280"/>
      <c r="K55" s="593"/>
    </row>
    <row r="56" spans="1:256" s="1564" customFormat="1" ht="13.5" customHeight="1">
      <c r="A56" s="1570"/>
      <c r="B56" s="1560"/>
      <c r="C56" s="1245"/>
      <c r="D56" s="1255" t="s">
        <v>278</v>
      </c>
      <c r="E56" s="402"/>
      <c r="F56" s="1249"/>
      <c r="G56" s="1413"/>
      <c r="H56" s="1261"/>
      <c r="I56" s="1280"/>
      <c r="K56" s="593"/>
    </row>
    <row r="57" spans="1:256" s="612" customFormat="1" ht="13.5" customHeight="1">
      <c r="A57" s="608">
        <v>13</v>
      </c>
      <c r="B57" s="557" t="s">
        <v>5744</v>
      </c>
      <c r="C57" s="557" t="s">
        <v>6015</v>
      </c>
      <c r="D57" s="557" t="s">
        <v>1618</v>
      </c>
      <c r="E57" s="557" t="s">
        <v>205</v>
      </c>
      <c r="F57" s="573">
        <f>ROUND(SUM(F58),3)</f>
        <v>1</v>
      </c>
      <c r="G57" s="288"/>
      <c r="H57" s="568">
        <f>ROUND(F57*G57,2)</f>
        <v>0</v>
      </c>
      <c r="I57" s="613" t="s">
        <v>111</v>
      </c>
      <c r="J57" s="408"/>
    </row>
    <row r="58" spans="1:256" s="1564" customFormat="1" ht="13.5" customHeight="1">
      <c r="A58" s="1570"/>
      <c r="B58" s="1560"/>
      <c r="C58" s="1245"/>
      <c r="D58" s="1255" t="s">
        <v>5802</v>
      </c>
      <c r="E58" s="402"/>
      <c r="F58" s="1249">
        <v>1</v>
      </c>
      <c r="G58" s="1413"/>
      <c r="H58" s="1261"/>
      <c r="I58" s="1280"/>
      <c r="K58" s="593"/>
    </row>
    <row r="59" spans="1:256" s="612" customFormat="1" ht="13.5" customHeight="1">
      <c r="A59" s="608">
        <v>14</v>
      </c>
      <c r="B59" s="557" t="s">
        <v>5744</v>
      </c>
      <c r="C59" s="557" t="s">
        <v>6016</v>
      </c>
      <c r="D59" s="557" t="s">
        <v>5804</v>
      </c>
      <c r="E59" s="557" t="s">
        <v>49</v>
      </c>
      <c r="F59" s="573">
        <f>ROUND(SUM(F60),3)</f>
        <v>1</v>
      </c>
      <c r="G59" s="288"/>
      <c r="H59" s="568">
        <f>ROUND(F59*G59,2)</f>
        <v>0</v>
      </c>
      <c r="I59" s="613" t="s">
        <v>111</v>
      </c>
      <c r="J59" s="408"/>
    </row>
    <row r="60" spans="1:256" s="1564" customFormat="1" ht="13.5" customHeight="1">
      <c r="A60" s="1570"/>
      <c r="B60" s="1560"/>
      <c r="C60" s="1245"/>
      <c r="D60" s="1255" t="s">
        <v>5805</v>
      </c>
      <c r="E60" s="402"/>
      <c r="F60" s="1249">
        <v>1</v>
      </c>
      <c r="G60" s="1413"/>
      <c r="H60" s="1261"/>
      <c r="I60" s="1280"/>
      <c r="K60" s="593"/>
    </row>
    <row r="61" spans="1:256" s="612" customFormat="1" ht="13.5" customHeight="1">
      <c r="A61" s="608">
        <v>15</v>
      </c>
      <c r="B61" s="557" t="s">
        <v>362</v>
      </c>
      <c r="C61" s="557" t="s">
        <v>1802</v>
      </c>
      <c r="D61" s="557" t="s">
        <v>1803</v>
      </c>
      <c r="E61" s="557" t="s">
        <v>69</v>
      </c>
      <c r="F61" s="573">
        <f>ROUND(SUM(F62),3)</f>
        <v>2</v>
      </c>
      <c r="G61" s="288"/>
      <c r="H61" s="568">
        <f>ROUND(F61*G61,2)</f>
        <v>0</v>
      </c>
      <c r="I61" s="613" t="s">
        <v>137</v>
      </c>
      <c r="J61" s="408"/>
    </row>
    <row r="62" spans="1:256" s="1564" customFormat="1" ht="27" customHeight="1">
      <c r="A62" s="1570"/>
      <c r="B62" s="1560"/>
      <c r="C62" s="1245"/>
      <c r="D62" s="1255" t="s">
        <v>5778</v>
      </c>
      <c r="E62" s="402"/>
      <c r="F62" s="1249">
        <v>2</v>
      </c>
      <c r="G62" s="1413"/>
      <c r="H62" s="1261"/>
      <c r="I62" s="1280"/>
      <c r="J62" s="612"/>
      <c r="K62" s="612"/>
      <c r="L62" s="612"/>
      <c r="M62" s="612"/>
      <c r="N62" s="612"/>
    </row>
    <row r="63" spans="1:256" s="612" customFormat="1" ht="13.5" customHeight="1">
      <c r="A63" s="608"/>
      <c r="B63" s="557"/>
      <c r="C63" s="616" t="s">
        <v>5806</v>
      </c>
      <c r="D63" s="616" t="s">
        <v>5807</v>
      </c>
      <c r="E63" s="616"/>
      <c r="F63" s="617"/>
      <c r="G63" s="303"/>
      <c r="H63" s="828">
        <f>SUM(H64:H121,H126:H132,H136:H142,H148:H154)</f>
        <v>0</v>
      </c>
      <c r="I63" s="613"/>
      <c r="J63" s="1612"/>
      <c r="K63" s="1248"/>
      <c r="L63" s="1613"/>
      <c r="M63" s="1613"/>
      <c r="N63" s="1613"/>
    </row>
    <row r="64" spans="1:256" s="1248" customFormat="1" ht="13.5" customHeight="1">
      <c r="A64" s="1614">
        <v>16</v>
      </c>
      <c r="B64" s="1615" t="s">
        <v>5808</v>
      </c>
      <c r="C64" s="1615">
        <v>460010024</v>
      </c>
      <c r="D64" s="1615" t="s">
        <v>5809</v>
      </c>
      <c r="E64" s="1615" t="s">
        <v>5810</v>
      </c>
      <c r="F64" s="573">
        <f>ROUND(SUM(F65),3)</f>
        <v>6.0000000000000001E-3</v>
      </c>
      <c r="G64" s="288"/>
      <c r="H64" s="568">
        <f>ROUND(F64*G64,2)</f>
        <v>0</v>
      </c>
      <c r="I64" s="613" t="s">
        <v>137</v>
      </c>
      <c r="J64" s="603"/>
      <c r="K64" s="604"/>
      <c r="L64" s="604"/>
      <c r="M64" s="604"/>
      <c r="N64" s="604"/>
      <c r="BQ64" s="1616"/>
      <c r="BR64" s="1616"/>
      <c r="BS64" s="1616"/>
      <c r="BT64" s="1616"/>
      <c r="BU64" s="1616"/>
      <c r="BV64" s="1616"/>
      <c r="BW64" s="1616"/>
      <c r="BX64" s="1616"/>
      <c r="BY64" s="1616"/>
      <c r="BZ64" s="1616"/>
      <c r="CA64" s="1616"/>
      <c r="CB64" s="1616"/>
      <c r="CC64" s="1616"/>
      <c r="CD64" s="1616"/>
      <c r="CE64" s="1616"/>
      <c r="CF64" s="1616"/>
      <c r="CG64" s="1616"/>
      <c r="CH64" s="1616"/>
      <c r="CI64" s="1616"/>
      <c r="CJ64" s="1616"/>
      <c r="CK64" s="1616"/>
      <c r="CL64" s="1616"/>
      <c r="CM64" s="1616"/>
      <c r="CN64" s="1616"/>
      <c r="CO64" s="1616"/>
      <c r="CP64" s="1616"/>
      <c r="CQ64" s="1616"/>
      <c r="CR64" s="1616"/>
      <c r="CS64" s="1616"/>
      <c r="CT64" s="1616"/>
      <c r="CU64" s="1616"/>
      <c r="CV64" s="1616"/>
      <c r="CW64" s="1616"/>
      <c r="CX64" s="1616"/>
      <c r="CY64" s="1616"/>
      <c r="CZ64" s="1616"/>
      <c r="DA64" s="1616"/>
      <c r="DB64" s="1616"/>
      <c r="DC64" s="1616"/>
      <c r="DD64" s="1616"/>
      <c r="DE64" s="1616"/>
      <c r="DF64" s="1616"/>
      <c r="DG64" s="1616"/>
      <c r="DH64" s="1616"/>
      <c r="DI64" s="1616"/>
      <c r="DJ64" s="1616"/>
      <c r="DK64" s="1616"/>
      <c r="DL64" s="1616"/>
      <c r="DM64" s="1616"/>
      <c r="DN64" s="1616"/>
      <c r="DO64" s="1616"/>
      <c r="DP64" s="1616"/>
      <c r="DQ64" s="1616"/>
      <c r="DR64" s="1616"/>
      <c r="DS64" s="1616"/>
      <c r="DT64" s="1616"/>
      <c r="DU64" s="1616"/>
      <c r="DV64" s="1616"/>
      <c r="DW64" s="1616"/>
      <c r="DX64" s="1616"/>
      <c r="DY64" s="1616"/>
      <c r="DZ64" s="1616"/>
      <c r="EA64" s="1616"/>
      <c r="EB64" s="1616"/>
      <c r="EC64" s="1616"/>
      <c r="ED64" s="1616"/>
      <c r="EE64" s="1616"/>
      <c r="EF64" s="1616"/>
      <c r="EG64" s="1616"/>
      <c r="EH64" s="1616"/>
      <c r="EI64" s="1616"/>
      <c r="EJ64" s="1616"/>
      <c r="EK64" s="1616"/>
      <c r="EL64" s="1616"/>
      <c r="EM64" s="1616"/>
      <c r="EN64" s="1616"/>
      <c r="EO64" s="1616"/>
      <c r="EP64" s="1616"/>
      <c r="EQ64" s="1616"/>
      <c r="ER64" s="1616"/>
      <c r="ES64" s="1616"/>
      <c r="ET64" s="1616"/>
      <c r="EU64" s="1616"/>
      <c r="EV64" s="1616"/>
      <c r="EW64" s="1616"/>
      <c r="EX64" s="1616"/>
      <c r="EY64" s="1616"/>
      <c r="EZ64" s="1616"/>
      <c r="FA64" s="1616"/>
      <c r="FB64" s="1616"/>
      <c r="FC64" s="1616"/>
      <c r="FD64" s="1616"/>
      <c r="FE64" s="1616"/>
      <c r="FF64" s="1616"/>
      <c r="FG64" s="1616"/>
      <c r="FH64" s="1616"/>
      <c r="FI64" s="1616"/>
      <c r="FJ64" s="1616"/>
      <c r="FK64" s="1616"/>
      <c r="FL64" s="1616"/>
      <c r="FM64" s="1616"/>
      <c r="FN64" s="1616"/>
      <c r="FO64" s="1616"/>
      <c r="FP64" s="1616"/>
      <c r="FQ64" s="1616"/>
      <c r="FR64" s="1616"/>
      <c r="FS64" s="1616"/>
      <c r="FT64" s="1616"/>
      <c r="FU64" s="1616"/>
      <c r="FV64" s="1616"/>
      <c r="FW64" s="1616"/>
      <c r="FX64" s="1616"/>
      <c r="FY64" s="1616"/>
      <c r="FZ64" s="1616"/>
      <c r="GA64" s="1616"/>
      <c r="GB64" s="1616"/>
      <c r="GC64" s="1616"/>
      <c r="GD64" s="1616"/>
      <c r="GE64" s="1616"/>
      <c r="GF64" s="1616"/>
      <c r="GG64" s="1616"/>
      <c r="GH64" s="1616"/>
      <c r="GI64" s="1616"/>
      <c r="GJ64" s="1616"/>
      <c r="GK64" s="1616"/>
      <c r="GL64" s="1616"/>
      <c r="GM64" s="1616"/>
      <c r="GN64" s="1616"/>
      <c r="GO64" s="1616"/>
      <c r="GP64" s="1616"/>
      <c r="GQ64" s="1616"/>
      <c r="GR64" s="1616"/>
      <c r="GS64" s="1616"/>
      <c r="GT64" s="1616"/>
      <c r="GU64" s="1616"/>
      <c r="GV64" s="1616"/>
      <c r="GW64" s="1616"/>
      <c r="GX64" s="1616"/>
      <c r="GY64" s="1616"/>
      <c r="GZ64" s="1616"/>
      <c r="HA64" s="1616"/>
      <c r="HB64" s="1616"/>
      <c r="HC64" s="1616"/>
      <c r="HD64" s="1616"/>
      <c r="HE64" s="1616"/>
      <c r="HF64" s="1616"/>
      <c r="HG64" s="1616"/>
      <c r="HH64" s="1616"/>
      <c r="HI64" s="1616"/>
      <c r="HJ64" s="1616"/>
      <c r="HK64" s="1616"/>
      <c r="HL64" s="1616"/>
      <c r="HM64" s="1616"/>
      <c r="HN64" s="1616"/>
      <c r="HO64" s="1616"/>
      <c r="HP64" s="1616"/>
      <c r="HQ64" s="1616"/>
      <c r="HR64" s="1616"/>
      <c r="HS64" s="1616"/>
      <c r="HT64" s="1616"/>
      <c r="HU64" s="1616"/>
      <c r="HV64" s="1616"/>
      <c r="HW64" s="1616"/>
      <c r="HX64" s="1616"/>
      <c r="HY64" s="1616"/>
      <c r="HZ64" s="1616"/>
      <c r="IA64" s="1616"/>
      <c r="IB64" s="1616"/>
      <c r="IC64" s="1616"/>
      <c r="ID64" s="1616"/>
      <c r="IE64" s="1616"/>
      <c r="IF64" s="1616"/>
      <c r="IG64" s="1616"/>
      <c r="IH64" s="1616"/>
      <c r="II64" s="1616"/>
      <c r="IJ64" s="1616"/>
      <c r="IK64" s="1616"/>
      <c r="IL64" s="1616"/>
      <c r="IM64" s="1616"/>
      <c r="IN64" s="1616"/>
      <c r="IO64" s="1616"/>
      <c r="IP64" s="1616"/>
      <c r="IQ64" s="1616"/>
      <c r="IR64" s="1616"/>
      <c r="IS64" s="1616"/>
      <c r="IT64" s="1616"/>
      <c r="IU64" s="1616"/>
    </row>
    <row r="65" spans="1:255" s="604" customFormat="1" ht="13.5" customHeight="1">
      <c r="A65" s="595"/>
      <c r="B65" s="596"/>
      <c r="C65" s="597"/>
      <c r="D65" s="719" t="s">
        <v>6107</v>
      </c>
      <c r="E65" s="599"/>
      <c r="F65" s="600">
        <f>(6.1)/1000</f>
        <v>6.0999999999999995E-3</v>
      </c>
      <c r="G65" s="289"/>
      <c r="H65" s="601"/>
      <c r="I65" s="602"/>
      <c r="J65" s="603"/>
      <c r="N65" s="1248"/>
      <c r="U65" s="605"/>
      <c r="W65" s="605"/>
    </row>
    <row r="66" spans="1:255" s="1248" customFormat="1" ht="13.5" customHeight="1">
      <c r="A66" s="1614">
        <v>17</v>
      </c>
      <c r="B66" s="1615" t="s">
        <v>5808</v>
      </c>
      <c r="C66" s="1615">
        <v>460041111</v>
      </c>
      <c r="D66" s="1615" t="s">
        <v>5812</v>
      </c>
      <c r="E66" s="1615" t="s">
        <v>69</v>
      </c>
      <c r="F66" s="573">
        <f>ROUND(SUM(F67),3)</f>
        <v>1</v>
      </c>
      <c r="G66" s="288"/>
      <c r="H66" s="568">
        <f>ROUND(F66*G66,2)</f>
        <v>0</v>
      </c>
      <c r="I66" s="613" t="s">
        <v>137</v>
      </c>
      <c r="J66" s="603"/>
      <c r="K66" s="604"/>
      <c r="L66" s="604"/>
      <c r="M66" s="604"/>
      <c r="N66" s="604"/>
      <c r="BQ66" s="1616"/>
      <c r="BR66" s="1616"/>
      <c r="BS66" s="1616"/>
      <c r="BT66" s="1616"/>
      <c r="BU66" s="1616"/>
      <c r="BV66" s="1616"/>
      <c r="BW66" s="1616"/>
      <c r="BX66" s="1616"/>
      <c r="BY66" s="1616"/>
      <c r="BZ66" s="1616"/>
      <c r="CA66" s="1616"/>
      <c r="CB66" s="1616"/>
      <c r="CC66" s="1616"/>
      <c r="CD66" s="1616"/>
      <c r="CE66" s="1616"/>
      <c r="CF66" s="1616"/>
      <c r="CG66" s="1616"/>
      <c r="CH66" s="1616"/>
      <c r="CI66" s="1616"/>
      <c r="CJ66" s="1616"/>
      <c r="CK66" s="1616"/>
      <c r="CL66" s="1616"/>
      <c r="CM66" s="1616"/>
      <c r="CN66" s="1616"/>
      <c r="CO66" s="1616"/>
      <c r="CP66" s="1616"/>
      <c r="CQ66" s="1616"/>
      <c r="CR66" s="1616"/>
      <c r="CS66" s="1616"/>
      <c r="CT66" s="1616"/>
      <c r="CU66" s="1616"/>
      <c r="CV66" s="1616"/>
      <c r="CW66" s="1616"/>
      <c r="CX66" s="1616"/>
      <c r="CY66" s="1616"/>
      <c r="CZ66" s="1616"/>
      <c r="DA66" s="1616"/>
      <c r="DB66" s="1616"/>
      <c r="DC66" s="1616"/>
      <c r="DD66" s="1616"/>
      <c r="DE66" s="1616"/>
      <c r="DF66" s="1616"/>
      <c r="DG66" s="1616"/>
      <c r="DH66" s="1616"/>
      <c r="DI66" s="1616"/>
      <c r="DJ66" s="1616"/>
      <c r="DK66" s="1616"/>
      <c r="DL66" s="1616"/>
      <c r="DM66" s="1616"/>
      <c r="DN66" s="1616"/>
      <c r="DO66" s="1616"/>
      <c r="DP66" s="1616"/>
      <c r="DQ66" s="1616"/>
      <c r="DR66" s="1616"/>
      <c r="DS66" s="1616"/>
      <c r="DT66" s="1616"/>
      <c r="DU66" s="1616"/>
      <c r="DV66" s="1616"/>
      <c r="DW66" s="1616"/>
      <c r="DX66" s="1616"/>
      <c r="DY66" s="1616"/>
      <c r="DZ66" s="1616"/>
      <c r="EA66" s="1616"/>
      <c r="EB66" s="1616"/>
      <c r="EC66" s="1616"/>
      <c r="ED66" s="1616"/>
      <c r="EE66" s="1616"/>
      <c r="EF66" s="1616"/>
      <c r="EG66" s="1616"/>
      <c r="EH66" s="1616"/>
      <c r="EI66" s="1616"/>
      <c r="EJ66" s="1616"/>
      <c r="EK66" s="1616"/>
      <c r="EL66" s="1616"/>
      <c r="EM66" s="1616"/>
      <c r="EN66" s="1616"/>
      <c r="EO66" s="1616"/>
      <c r="EP66" s="1616"/>
      <c r="EQ66" s="1616"/>
      <c r="ER66" s="1616"/>
      <c r="ES66" s="1616"/>
      <c r="ET66" s="1616"/>
      <c r="EU66" s="1616"/>
      <c r="EV66" s="1616"/>
      <c r="EW66" s="1616"/>
      <c r="EX66" s="1616"/>
      <c r="EY66" s="1616"/>
      <c r="EZ66" s="1616"/>
      <c r="FA66" s="1616"/>
      <c r="FB66" s="1616"/>
      <c r="FC66" s="1616"/>
      <c r="FD66" s="1616"/>
      <c r="FE66" s="1616"/>
      <c r="FF66" s="1616"/>
      <c r="FG66" s="1616"/>
      <c r="FH66" s="1616"/>
      <c r="FI66" s="1616"/>
      <c r="FJ66" s="1616"/>
      <c r="FK66" s="1616"/>
      <c r="FL66" s="1616"/>
      <c r="FM66" s="1616"/>
      <c r="FN66" s="1616"/>
      <c r="FO66" s="1616"/>
      <c r="FP66" s="1616"/>
      <c r="FQ66" s="1616"/>
      <c r="FR66" s="1616"/>
      <c r="FS66" s="1616"/>
      <c r="FT66" s="1616"/>
      <c r="FU66" s="1616"/>
      <c r="FV66" s="1616"/>
      <c r="FW66" s="1616"/>
      <c r="FX66" s="1616"/>
      <c r="FY66" s="1616"/>
      <c r="FZ66" s="1616"/>
      <c r="GA66" s="1616"/>
      <c r="GB66" s="1616"/>
      <c r="GC66" s="1616"/>
      <c r="GD66" s="1616"/>
      <c r="GE66" s="1616"/>
      <c r="GF66" s="1616"/>
      <c r="GG66" s="1616"/>
      <c r="GH66" s="1616"/>
      <c r="GI66" s="1616"/>
      <c r="GJ66" s="1616"/>
      <c r="GK66" s="1616"/>
      <c r="GL66" s="1616"/>
      <c r="GM66" s="1616"/>
      <c r="GN66" s="1616"/>
      <c r="GO66" s="1616"/>
      <c r="GP66" s="1616"/>
      <c r="GQ66" s="1616"/>
      <c r="GR66" s="1616"/>
      <c r="GS66" s="1616"/>
      <c r="GT66" s="1616"/>
      <c r="GU66" s="1616"/>
      <c r="GV66" s="1616"/>
      <c r="GW66" s="1616"/>
      <c r="GX66" s="1616"/>
      <c r="GY66" s="1616"/>
      <c r="GZ66" s="1616"/>
      <c r="HA66" s="1616"/>
      <c r="HB66" s="1616"/>
      <c r="HC66" s="1616"/>
      <c r="HD66" s="1616"/>
      <c r="HE66" s="1616"/>
      <c r="HF66" s="1616"/>
      <c r="HG66" s="1616"/>
      <c r="HH66" s="1616"/>
      <c r="HI66" s="1616"/>
      <c r="HJ66" s="1616"/>
      <c r="HK66" s="1616"/>
      <c r="HL66" s="1616"/>
      <c r="HM66" s="1616"/>
      <c r="HN66" s="1616"/>
      <c r="HO66" s="1616"/>
      <c r="HP66" s="1616"/>
      <c r="HQ66" s="1616"/>
      <c r="HR66" s="1616"/>
      <c r="HS66" s="1616"/>
      <c r="HT66" s="1616"/>
      <c r="HU66" s="1616"/>
      <c r="HV66" s="1616"/>
      <c r="HW66" s="1616"/>
      <c r="HX66" s="1616"/>
      <c r="HY66" s="1616"/>
      <c r="HZ66" s="1616"/>
      <c r="IA66" s="1616"/>
      <c r="IB66" s="1616"/>
      <c r="IC66" s="1616"/>
      <c r="ID66" s="1616"/>
      <c r="IE66" s="1616"/>
      <c r="IF66" s="1616"/>
      <c r="IG66" s="1616"/>
      <c r="IH66" s="1616"/>
      <c r="II66" s="1616"/>
      <c r="IJ66" s="1616"/>
      <c r="IK66" s="1616"/>
      <c r="IL66" s="1616"/>
      <c r="IM66" s="1616"/>
      <c r="IN66" s="1616"/>
      <c r="IO66" s="1616"/>
      <c r="IP66" s="1616"/>
      <c r="IQ66" s="1616"/>
      <c r="IR66" s="1616"/>
      <c r="IS66" s="1616"/>
      <c r="IT66" s="1616"/>
      <c r="IU66" s="1616"/>
    </row>
    <row r="67" spans="1:255" s="604" customFormat="1" ht="13.5" customHeight="1">
      <c r="A67" s="595"/>
      <c r="B67" s="596"/>
      <c r="C67" s="597"/>
      <c r="D67" s="719" t="s">
        <v>5813</v>
      </c>
      <c r="E67" s="599"/>
      <c r="F67" s="600">
        <v>1</v>
      </c>
      <c r="G67" s="289"/>
      <c r="H67" s="601"/>
      <c r="I67" s="602"/>
      <c r="J67" s="603"/>
      <c r="U67" s="605"/>
      <c r="W67" s="605"/>
    </row>
    <row r="68" spans="1:255" s="1248" customFormat="1" ht="13.5" customHeight="1">
      <c r="A68" s="1614">
        <v>18</v>
      </c>
      <c r="B68" s="1615" t="s">
        <v>5808</v>
      </c>
      <c r="C68" s="1615">
        <v>460161452</v>
      </c>
      <c r="D68" s="1615" t="s">
        <v>5814</v>
      </c>
      <c r="E68" s="1615" t="s">
        <v>141</v>
      </c>
      <c r="F68" s="573">
        <f>ROUND(SUM(F70),3)</f>
        <v>0.30499999999999999</v>
      </c>
      <c r="G68" s="288"/>
      <c r="H68" s="568">
        <f>ROUND(F68*G68,2)</f>
        <v>0</v>
      </c>
      <c r="I68" s="613" t="s">
        <v>137</v>
      </c>
      <c r="J68" s="1612"/>
      <c r="L68" s="1613"/>
      <c r="BQ68" s="1616"/>
      <c r="BR68" s="1616"/>
      <c r="BS68" s="1616"/>
      <c r="BT68" s="1616"/>
      <c r="BU68" s="1616"/>
      <c r="BV68" s="1616"/>
      <c r="BW68" s="1616"/>
      <c r="BX68" s="1616"/>
      <c r="BY68" s="1616"/>
      <c r="BZ68" s="1616"/>
      <c r="CA68" s="1616"/>
      <c r="CB68" s="1616"/>
      <c r="CC68" s="1616"/>
      <c r="CD68" s="1616"/>
      <c r="CE68" s="1616"/>
      <c r="CF68" s="1616"/>
      <c r="CG68" s="1616"/>
      <c r="CH68" s="1616"/>
      <c r="CI68" s="1616"/>
      <c r="CJ68" s="1616"/>
      <c r="CK68" s="1616"/>
      <c r="CL68" s="1616"/>
      <c r="CM68" s="1616"/>
      <c r="CN68" s="1616"/>
      <c r="CO68" s="1616"/>
      <c r="CP68" s="1616"/>
      <c r="CQ68" s="1616"/>
      <c r="CR68" s="1616"/>
      <c r="CS68" s="1616"/>
      <c r="CT68" s="1616"/>
      <c r="CU68" s="1616"/>
      <c r="CV68" s="1616"/>
      <c r="CW68" s="1616"/>
      <c r="CX68" s="1616"/>
      <c r="CY68" s="1616"/>
      <c r="CZ68" s="1616"/>
      <c r="DA68" s="1616"/>
      <c r="DB68" s="1616"/>
      <c r="DC68" s="1616"/>
      <c r="DD68" s="1616"/>
      <c r="DE68" s="1616"/>
      <c r="DF68" s="1616"/>
      <c r="DG68" s="1616"/>
      <c r="DH68" s="1616"/>
      <c r="DI68" s="1616"/>
      <c r="DJ68" s="1616"/>
      <c r="DK68" s="1616"/>
      <c r="DL68" s="1616"/>
      <c r="DM68" s="1616"/>
      <c r="DN68" s="1616"/>
      <c r="DO68" s="1616"/>
      <c r="DP68" s="1616"/>
      <c r="DQ68" s="1616"/>
      <c r="DR68" s="1616"/>
      <c r="DS68" s="1616"/>
      <c r="DT68" s="1616"/>
      <c r="DU68" s="1616"/>
      <c r="DV68" s="1616"/>
      <c r="DW68" s="1616"/>
      <c r="DX68" s="1616"/>
      <c r="DY68" s="1616"/>
      <c r="DZ68" s="1616"/>
      <c r="EA68" s="1616"/>
      <c r="EB68" s="1616"/>
      <c r="EC68" s="1616"/>
      <c r="ED68" s="1616"/>
      <c r="EE68" s="1616"/>
      <c r="EF68" s="1616"/>
      <c r="EG68" s="1616"/>
      <c r="EH68" s="1616"/>
      <c r="EI68" s="1616"/>
      <c r="EJ68" s="1616"/>
      <c r="EK68" s="1616"/>
      <c r="EL68" s="1616"/>
      <c r="EM68" s="1616"/>
      <c r="EN68" s="1616"/>
      <c r="EO68" s="1616"/>
      <c r="EP68" s="1616"/>
      <c r="EQ68" s="1616"/>
      <c r="ER68" s="1616"/>
      <c r="ES68" s="1616"/>
      <c r="ET68" s="1616"/>
      <c r="EU68" s="1616"/>
      <c r="EV68" s="1616"/>
      <c r="EW68" s="1616"/>
      <c r="EX68" s="1616"/>
      <c r="EY68" s="1616"/>
      <c r="EZ68" s="1616"/>
      <c r="FA68" s="1616"/>
      <c r="FB68" s="1616"/>
      <c r="FC68" s="1616"/>
      <c r="FD68" s="1616"/>
      <c r="FE68" s="1616"/>
      <c r="FF68" s="1616"/>
      <c r="FG68" s="1616"/>
      <c r="FH68" s="1616"/>
      <c r="FI68" s="1616"/>
      <c r="FJ68" s="1616"/>
      <c r="FK68" s="1616"/>
      <c r="FL68" s="1616"/>
      <c r="FM68" s="1616"/>
      <c r="FN68" s="1616"/>
      <c r="FO68" s="1616"/>
      <c r="FP68" s="1616"/>
      <c r="FQ68" s="1616"/>
      <c r="FR68" s="1616"/>
      <c r="FS68" s="1616"/>
      <c r="FT68" s="1616"/>
      <c r="FU68" s="1616"/>
      <c r="FV68" s="1616"/>
      <c r="FW68" s="1616"/>
      <c r="FX68" s="1616"/>
      <c r="FY68" s="1616"/>
      <c r="FZ68" s="1616"/>
      <c r="GA68" s="1616"/>
      <c r="GB68" s="1616"/>
      <c r="GC68" s="1616"/>
      <c r="GD68" s="1616"/>
      <c r="GE68" s="1616"/>
      <c r="GF68" s="1616"/>
      <c r="GG68" s="1616"/>
      <c r="GH68" s="1616"/>
      <c r="GI68" s="1616"/>
      <c r="GJ68" s="1616"/>
      <c r="GK68" s="1616"/>
      <c r="GL68" s="1616"/>
      <c r="GM68" s="1616"/>
      <c r="GN68" s="1616"/>
      <c r="GO68" s="1616"/>
      <c r="GP68" s="1616"/>
      <c r="GQ68" s="1616"/>
      <c r="GR68" s="1616"/>
      <c r="GS68" s="1616"/>
      <c r="GT68" s="1616"/>
      <c r="GU68" s="1616"/>
      <c r="GV68" s="1616"/>
      <c r="GW68" s="1616"/>
      <c r="GX68" s="1616"/>
      <c r="GY68" s="1616"/>
      <c r="GZ68" s="1616"/>
      <c r="HA68" s="1616"/>
      <c r="HB68" s="1616"/>
      <c r="HC68" s="1616"/>
      <c r="HD68" s="1616"/>
      <c r="HE68" s="1616"/>
      <c r="HF68" s="1616"/>
      <c r="HG68" s="1616"/>
      <c r="HH68" s="1616"/>
      <c r="HI68" s="1616"/>
      <c r="HJ68" s="1616"/>
      <c r="HK68" s="1616"/>
      <c r="HL68" s="1616"/>
      <c r="HM68" s="1616"/>
      <c r="HN68" s="1616"/>
      <c r="HO68" s="1616"/>
      <c r="HP68" s="1616"/>
      <c r="HQ68" s="1616"/>
      <c r="HR68" s="1616"/>
      <c r="HS68" s="1616"/>
      <c r="HT68" s="1616"/>
      <c r="HU68" s="1616"/>
      <c r="HV68" s="1616"/>
      <c r="HW68" s="1616"/>
      <c r="HX68" s="1616"/>
      <c r="HY68" s="1616"/>
      <c r="HZ68" s="1616"/>
      <c r="IA68" s="1616"/>
      <c r="IB68" s="1616"/>
      <c r="IC68" s="1616"/>
      <c r="ID68" s="1616"/>
      <c r="IE68" s="1616"/>
      <c r="IF68" s="1616"/>
      <c r="IG68" s="1616"/>
      <c r="IH68" s="1616"/>
      <c r="II68" s="1616"/>
      <c r="IJ68" s="1616"/>
      <c r="IK68" s="1616"/>
      <c r="IL68" s="1616"/>
      <c r="IM68" s="1616"/>
      <c r="IN68" s="1616"/>
      <c r="IO68" s="1616"/>
      <c r="IP68" s="1616"/>
      <c r="IQ68" s="1616"/>
      <c r="IR68" s="1616"/>
      <c r="IS68" s="1616"/>
      <c r="IT68" s="1616"/>
      <c r="IU68" s="1616"/>
    </row>
    <row r="69" spans="1:255" s="604" customFormat="1" ht="27" customHeight="1">
      <c r="A69" s="595"/>
      <c r="B69" s="596"/>
      <c r="C69" s="597"/>
      <c r="D69" s="1617" t="s">
        <v>6108</v>
      </c>
      <c r="E69" s="599"/>
      <c r="F69" s="600"/>
      <c r="G69" s="289"/>
      <c r="H69" s="601"/>
      <c r="I69" s="602"/>
      <c r="J69" s="603"/>
      <c r="U69" s="605"/>
      <c r="W69" s="605"/>
    </row>
    <row r="70" spans="1:255" s="604" customFormat="1" ht="13.5" customHeight="1">
      <c r="A70" s="595"/>
      <c r="B70" s="596"/>
      <c r="C70" s="597"/>
      <c r="D70" s="1618" t="s">
        <v>6109</v>
      </c>
      <c r="E70" s="599"/>
      <c r="F70" s="600">
        <f>(6.1)*0.05</f>
        <v>0.30499999999999999</v>
      </c>
      <c r="G70" s="289"/>
      <c r="H70" s="601"/>
      <c r="I70" s="602"/>
      <c r="J70" s="603"/>
      <c r="U70" s="605"/>
      <c r="W70" s="605"/>
    </row>
    <row r="71" spans="1:255" s="604" customFormat="1" ht="27" customHeight="1">
      <c r="A71" s="595"/>
      <c r="B71" s="596"/>
      <c r="C71" s="597"/>
      <c r="D71" s="1619" t="s">
        <v>4323</v>
      </c>
      <c r="E71" s="599"/>
      <c r="F71" s="600"/>
      <c r="G71" s="289"/>
      <c r="H71" s="601"/>
      <c r="I71" s="602"/>
      <c r="U71" s="605"/>
      <c r="W71" s="605"/>
    </row>
    <row r="72" spans="1:255" s="1248" customFormat="1" ht="13.5" customHeight="1">
      <c r="A72" s="1614">
        <v>19</v>
      </c>
      <c r="B72" s="1615" t="s">
        <v>5808</v>
      </c>
      <c r="C72" s="1615">
        <v>460171452</v>
      </c>
      <c r="D72" s="1615" t="s">
        <v>5820</v>
      </c>
      <c r="E72" s="1615" t="s">
        <v>141</v>
      </c>
      <c r="F72" s="573">
        <f>ROUND(SUM(F74),3)</f>
        <v>5.1849999999999996</v>
      </c>
      <c r="G72" s="288"/>
      <c r="H72" s="568">
        <f>ROUND(F72*G72,2)</f>
        <v>0</v>
      </c>
      <c r="I72" s="613" t="s">
        <v>137</v>
      </c>
      <c r="J72" s="1612"/>
      <c r="L72" s="1613"/>
      <c r="BQ72" s="1616"/>
      <c r="BR72" s="1616"/>
      <c r="BS72" s="1616"/>
      <c r="BT72" s="1616"/>
      <c r="BU72" s="1616"/>
      <c r="BV72" s="1616"/>
      <c r="BW72" s="1616"/>
      <c r="BX72" s="1616"/>
      <c r="BY72" s="1616"/>
      <c r="BZ72" s="1616"/>
      <c r="CA72" s="1616"/>
      <c r="CB72" s="1616"/>
      <c r="CC72" s="1616"/>
      <c r="CD72" s="1616"/>
      <c r="CE72" s="1616"/>
      <c r="CF72" s="1616"/>
      <c r="CG72" s="1616"/>
      <c r="CH72" s="1616"/>
      <c r="CI72" s="1616"/>
      <c r="CJ72" s="1616"/>
      <c r="CK72" s="1616"/>
      <c r="CL72" s="1616"/>
      <c r="CM72" s="1616"/>
      <c r="CN72" s="1616"/>
      <c r="CO72" s="1616"/>
      <c r="CP72" s="1616"/>
      <c r="CQ72" s="1616"/>
      <c r="CR72" s="1616"/>
      <c r="CS72" s="1616"/>
      <c r="CT72" s="1616"/>
      <c r="CU72" s="1616"/>
      <c r="CV72" s="1616"/>
      <c r="CW72" s="1616"/>
      <c r="CX72" s="1616"/>
      <c r="CY72" s="1616"/>
      <c r="CZ72" s="1616"/>
      <c r="DA72" s="1616"/>
      <c r="DB72" s="1616"/>
      <c r="DC72" s="1616"/>
      <c r="DD72" s="1616"/>
      <c r="DE72" s="1616"/>
      <c r="DF72" s="1616"/>
      <c r="DG72" s="1616"/>
      <c r="DH72" s="1616"/>
      <c r="DI72" s="1616"/>
      <c r="DJ72" s="1616"/>
      <c r="DK72" s="1616"/>
      <c r="DL72" s="1616"/>
      <c r="DM72" s="1616"/>
      <c r="DN72" s="1616"/>
      <c r="DO72" s="1616"/>
      <c r="DP72" s="1616"/>
      <c r="DQ72" s="1616"/>
      <c r="DR72" s="1616"/>
      <c r="DS72" s="1616"/>
      <c r="DT72" s="1616"/>
      <c r="DU72" s="1616"/>
      <c r="DV72" s="1616"/>
      <c r="DW72" s="1616"/>
      <c r="DX72" s="1616"/>
      <c r="DY72" s="1616"/>
      <c r="DZ72" s="1616"/>
      <c r="EA72" s="1616"/>
      <c r="EB72" s="1616"/>
      <c r="EC72" s="1616"/>
      <c r="ED72" s="1616"/>
      <c r="EE72" s="1616"/>
      <c r="EF72" s="1616"/>
      <c r="EG72" s="1616"/>
      <c r="EH72" s="1616"/>
      <c r="EI72" s="1616"/>
      <c r="EJ72" s="1616"/>
      <c r="EK72" s="1616"/>
      <c r="EL72" s="1616"/>
      <c r="EM72" s="1616"/>
      <c r="EN72" s="1616"/>
      <c r="EO72" s="1616"/>
      <c r="EP72" s="1616"/>
      <c r="EQ72" s="1616"/>
      <c r="ER72" s="1616"/>
      <c r="ES72" s="1616"/>
      <c r="ET72" s="1616"/>
      <c r="EU72" s="1616"/>
      <c r="EV72" s="1616"/>
      <c r="EW72" s="1616"/>
      <c r="EX72" s="1616"/>
      <c r="EY72" s="1616"/>
      <c r="EZ72" s="1616"/>
      <c r="FA72" s="1616"/>
      <c r="FB72" s="1616"/>
      <c r="FC72" s="1616"/>
      <c r="FD72" s="1616"/>
      <c r="FE72" s="1616"/>
      <c r="FF72" s="1616"/>
      <c r="FG72" s="1616"/>
      <c r="FH72" s="1616"/>
      <c r="FI72" s="1616"/>
      <c r="FJ72" s="1616"/>
      <c r="FK72" s="1616"/>
      <c r="FL72" s="1616"/>
      <c r="FM72" s="1616"/>
      <c r="FN72" s="1616"/>
      <c r="FO72" s="1616"/>
      <c r="FP72" s="1616"/>
      <c r="FQ72" s="1616"/>
      <c r="FR72" s="1616"/>
      <c r="FS72" s="1616"/>
      <c r="FT72" s="1616"/>
      <c r="FU72" s="1616"/>
      <c r="FV72" s="1616"/>
      <c r="FW72" s="1616"/>
      <c r="FX72" s="1616"/>
      <c r="FY72" s="1616"/>
      <c r="FZ72" s="1616"/>
      <c r="GA72" s="1616"/>
      <c r="GB72" s="1616"/>
      <c r="GC72" s="1616"/>
      <c r="GD72" s="1616"/>
      <c r="GE72" s="1616"/>
      <c r="GF72" s="1616"/>
      <c r="GG72" s="1616"/>
      <c r="GH72" s="1616"/>
      <c r="GI72" s="1616"/>
      <c r="GJ72" s="1616"/>
      <c r="GK72" s="1616"/>
      <c r="GL72" s="1616"/>
      <c r="GM72" s="1616"/>
      <c r="GN72" s="1616"/>
      <c r="GO72" s="1616"/>
      <c r="GP72" s="1616"/>
      <c r="GQ72" s="1616"/>
      <c r="GR72" s="1616"/>
      <c r="GS72" s="1616"/>
      <c r="GT72" s="1616"/>
      <c r="GU72" s="1616"/>
      <c r="GV72" s="1616"/>
      <c r="GW72" s="1616"/>
      <c r="GX72" s="1616"/>
      <c r="GY72" s="1616"/>
      <c r="GZ72" s="1616"/>
      <c r="HA72" s="1616"/>
      <c r="HB72" s="1616"/>
      <c r="HC72" s="1616"/>
      <c r="HD72" s="1616"/>
      <c r="HE72" s="1616"/>
      <c r="HF72" s="1616"/>
      <c r="HG72" s="1616"/>
      <c r="HH72" s="1616"/>
      <c r="HI72" s="1616"/>
      <c r="HJ72" s="1616"/>
      <c r="HK72" s="1616"/>
      <c r="HL72" s="1616"/>
      <c r="HM72" s="1616"/>
      <c r="HN72" s="1616"/>
      <c r="HO72" s="1616"/>
      <c r="HP72" s="1616"/>
      <c r="HQ72" s="1616"/>
      <c r="HR72" s="1616"/>
      <c r="HS72" s="1616"/>
      <c r="HT72" s="1616"/>
      <c r="HU72" s="1616"/>
      <c r="HV72" s="1616"/>
      <c r="HW72" s="1616"/>
      <c r="HX72" s="1616"/>
      <c r="HY72" s="1616"/>
      <c r="HZ72" s="1616"/>
      <c r="IA72" s="1616"/>
      <c r="IB72" s="1616"/>
      <c r="IC72" s="1616"/>
      <c r="ID72" s="1616"/>
      <c r="IE72" s="1616"/>
      <c r="IF72" s="1616"/>
      <c r="IG72" s="1616"/>
      <c r="IH72" s="1616"/>
      <c r="II72" s="1616"/>
      <c r="IJ72" s="1616"/>
      <c r="IK72" s="1616"/>
      <c r="IL72" s="1616"/>
      <c r="IM72" s="1616"/>
      <c r="IN72" s="1616"/>
      <c r="IO72" s="1616"/>
      <c r="IP72" s="1616"/>
      <c r="IQ72" s="1616"/>
      <c r="IR72" s="1616"/>
      <c r="IS72" s="1616"/>
      <c r="IT72" s="1616"/>
      <c r="IU72" s="1616"/>
    </row>
    <row r="73" spans="1:255" s="604" customFormat="1" ht="27" customHeight="1">
      <c r="A73" s="595"/>
      <c r="B73" s="596"/>
      <c r="C73" s="597"/>
      <c r="D73" s="1617" t="s">
        <v>6110</v>
      </c>
      <c r="E73" s="599"/>
      <c r="F73" s="600"/>
      <c r="G73" s="289"/>
      <c r="H73" s="601"/>
      <c r="I73" s="602"/>
      <c r="J73" s="603"/>
      <c r="U73" s="605"/>
      <c r="W73" s="605"/>
    </row>
    <row r="74" spans="1:255" s="604" customFormat="1" ht="13.5" customHeight="1">
      <c r="A74" s="595"/>
      <c r="B74" s="596"/>
      <c r="C74" s="597"/>
      <c r="D74" s="1618" t="s">
        <v>6111</v>
      </c>
      <c r="E74" s="599"/>
      <c r="F74" s="600">
        <f>(6.1)*0.85</f>
        <v>5.1849999999999996</v>
      </c>
      <c r="G74" s="289"/>
      <c r="H74" s="601"/>
      <c r="I74" s="602"/>
      <c r="J74" s="603"/>
      <c r="U74" s="605"/>
      <c r="W74" s="605"/>
    </row>
    <row r="75" spans="1:255" s="604" customFormat="1" ht="27" customHeight="1">
      <c r="A75" s="595"/>
      <c r="B75" s="596"/>
      <c r="C75" s="597"/>
      <c r="D75" s="1619" t="s">
        <v>4323</v>
      </c>
      <c r="E75" s="599"/>
      <c r="F75" s="600"/>
      <c r="G75" s="289"/>
      <c r="H75" s="601"/>
      <c r="I75" s="602"/>
      <c r="U75" s="605"/>
      <c r="W75" s="605"/>
    </row>
    <row r="76" spans="1:255" s="1248" customFormat="1" ht="13.5" customHeight="1">
      <c r="A76" s="1614">
        <v>20</v>
      </c>
      <c r="B76" s="1615" t="s">
        <v>5808</v>
      </c>
      <c r="C76" s="1615">
        <v>460171453</v>
      </c>
      <c r="D76" s="1615" t="s">
        <v>5823</v>
      </c>
      <c r="E76" s="1615" t="s">
        <v>141</v>
      </c>
      <c r="F76" s="573">
        <f>ROUND(SUM(F78),3)</f>
        <v>0.61</v>
      </c>
      <c r="G76" s="288"/>
      <c r="H76" s="568">
        <f>ROUND(F76*G76,2)</f>
        <v>0</v>
      </c>
      <c r="I76" s="613" t="s">
        <v>137</v>
      </c>
      <c r="J76" s="1612"/>
      <c r="L76" s="1613"/>
      <c r="BQ76" s="1616"/>
      <c r="BR76" s="1616"/>
      <c r="BS76" s="1616"/>
      <c r="BT76" s="1616"/>
      <c r="BU76" s="1616"/>
      <c r="BV76" s="1616"/>
      <c r="BW76" s="1616"/>
      <c r="BX76" s="1616"/>
      <c r="BY76" s="1616"/>
      <c r="BZ76" s="1616"/>
      <c r="CA76" s="1616"/>
      <c r="CB76" s="1616"/>
      <c r="CC76" s="1616"/>
      <c r="CD76" s="1616"/>
      <c r="CE76" s="1616"/>
      <c r="CF76" s="1616"/>
      <c r="CG76" s="1616"/>
      <c r="CH76" s="1616"/>
      <c r="CI76" s="1616"/>
      <c r="CJ76" s="1616"/>
      <c r="CK76" s="1616"/>
      <c r="CL76" s="1616"/>
      <c r="CM76" s="1616"/>
      <c r="CN76" s="1616"/>
      <c r="CO76" s="1616"/>
      <c r="CP76" s="1616"/>
      <c r="CQ76" s="1616"/>
      <c r="CR76" s="1616"/>
      <c r="CS76" s="1616"/>
      <c r="CT76" s="1616"/>
      <c r="CU76" s="1616"/>
      <c r="CV76" s="1616"/>
      <c r="CW76" s="1616"/>
      <c r="CX76" s="1616"/>
      <c r="CY76" s="1616"/>
      <c r="CZ76" s="1616"/>
      <c r="DA76" s="1616"/>
      <c r="DB76" s="1616"/>
      <c r="DC76" s="1616"/>
      <c r="DD76" s="1616"/>
      <c r="DE76" s="1616"/>
      <c r="DF76" s="1616"/>
      <c r="DG76" s="1616"/>
      <c r="DH76" s="1616"/>
      <c r="DI76" s="1616"/>
      <c r="DJ76" s="1616"/>
      <c r="DK76" s="1616"/>
      <c r="DL76" s="1616"/>
      <c r="DM76" s="1616"/>
      <c r="DN76" s="1616"/>
      <c r="DO76" s="1616"/>
      <c r="DP76" s="1616"/>
      <c r="DQ76" s="1616"/>
      <c r="DR76" s="1616"/>
      <c r="DS76" s="1616"/>
      <c r="DT76" s="1616"/>
      <c r="DU76" s="1616"/>
      <c r="DV76" s="1616"/>
      <c r="DW76" s="1616"/>
      <c r="DX76" s="1616"/>
      <c r="DY76" s="1616"/>
      <c r="DZ76" s="1616"/>
      <c r="EA76" s="1616"/>
      <c r="EB76" s="1616"/>
      <c r="EC76" s="1616"/>
      <c r="ED76" s="1616"/>
      <c r="EE76" s="1616"/>
      <c r="EF76" s="1616"/>
      <c r="EG76" s="1616"/>
      <c r="EH76" s="1616"/>
      <c r="EI76" s="1616"/>
      <c r="EJ76" s="1616"/>
      <c r="EK76" s="1616"/>
      <c r="EL76" s="1616"/>
      <c r="EM76" s="1616"/>
      <c r="EN76" s="1616"/>
      <c r="EO76" s="1616"/>
      <c r="EP76" s="1616"/>
      <c r="EQ76" s="1616"/>
      <c r="ER76" s="1616"/>
      <c r="ES76" s="1616"/>
      <c r="ET76" s="1616"/>
      <c r="EU76" s="1616"/>
      <c r="EV76" s="1616"/>
      <c r="EW76" s="1616"/>
      <c r="EX76" s="1616"/>
      <c r="EY76" s="1616"/>
      <c r="EZ76" s="1616"/>
      <c r="FA76" s="1616"/>
      <c r="FB76" s="1616"/>
      <c r="FC76" s="1616"/>
      <c r="FD76" s="1616"/>
      <c r="FE76" s="1616"/>
      <c r="FF76" s="1616"/>
      <c r="FG76" s="1616"/>
      <c r="FH76" s="1616"/>
      <c r="FI76" s="1616"/>
      <c r="FJ76" s="1616"/>
      <c r="FK76" s="1616"/>
      <c r="FL76" s="1616"/>
      <c r="FM76" s="1616"/>
      <c r="FN76" s="1616"/>
      <c r="FO76" s="1616"/>
      <c r="FP76" s="1616"/>
      <c r="FQ76" s="1616"/>
      <c r="FR76" s="1616"/>
      <c r="FS76" s="1616"/>
      <c r="FT76" s="1616"/>
      <c r="FU76" s="1616"/>
      <c r="FV76" s="1616"/>
      <c r="FW76" s="1616"/>
      <c r="FX76" s="1616"/>
      <c r="FY76" s="1616"/>
      <c r="FZ76" s="1616"/>
      <c r="GA76" s="1616"/>
      <c r="GB76" s="1616"/>
      <c r="GC76" s="1616"/>
      <c r="GD76" s="1616"/>
      <c r="GE76" s="1616"/>
      <c r="GF76" s="1616"/>
      <c r="GG76" s="1616"/>
      <c r="GH76" s="1616"/>
      <c r="GI76" s="1616"/>
      <c r="GJ76" s="1616"/>
      <c r="GK76" s="1616"/>
      <c r="GL76" s="1616"/>
      <c r="GM76" s="1616"/>
      <c r="GN76" s="1616"/>
      <c r="GO76" s="1616"/>
      <c r="GP76" s="1616"/>
      <c r="GQ76" s="1616"/>
      <c r="GR76" s="1616"/>
      <c r="GS76" s="1616"/>
      <c r="GT76" s="1616"/>
      <c r="GU76" s="1616"/>
      <c r="GV76" s="1616"/>
      <c r="GW76" s="1616"/>
      <c r="GX76" s="1616"/>
      <c r="GY76" s="1616"/>
      <c r="GZ76" s="1616"/>
      <c r="HA76" s="1616"/>
      <c r="HB76" s="1616"/>
      <c r="HC76" s="1616"/>
      <c r="HD76" s="1616"/>
      <c r="HE76" s="1616"/>
      <c r="HF76" s="1616"/>
      <c r="HG76" s="1616"/>
      <c r="HH76" s="1616"/>
      <c r="HI76" s="1616"/>
      <c r="HJ76" s="1616"/>
      <c r="HK76" s="1616"/>
      <c r="HL76" s="1616"/>
      <c r="HM76" s="1616"/>
      <c r="HN76" s="1616"/>
      <c r="HO76" s="1616"/>
      <c r="HP76" s="1616"/>
      <c r="HQ76" s="1616"/>
      <c r="HR76" s="1616"/>
      <c r="HS76" s="1616"/>
      <c r="HT76" s="1616"/>
      <c r="HU76" s="1616"/>
      <c r="HV76" s="1616"/>
      <c r="HW76" s="1616"/>
      <c r="HX76" s="1616"/>
      <c r="HY76" s="1616"/>
      <c r="HZ76" s="1616"/>
      <c r="IA76" s="1616"/>
      <c r="IB76" s="1616"/>
      <c r="IC76" s="1616"/>
      <c r="ID76" s="1616"/>
      <c r="IE76" s="1616"/>
      <c r="IF76" s="1616"/>
      <c r="IG76" s="1616"/>
      <c r="IH76" s="1616"/>
      <c r="II76" s="1616"/>
      <c r="IJ76" s="1616"/>
      <c r="IK76" s="1616"/>
      <c r="IL76" s="1616"/>
      <c r="IM76" s="1616"/>
      <c r="IN76" s="1616"/>
      <c r="IO76" s="1616"/>
      <c r="IP76" s="1616"/>
      <c r="IQ76" s="1616"/>
      <c r="IR76" s="1616"/>
      <c r="IS76" s="1616"/>
      <c r="IT76" s="1616"/>
      <c r="IU76" s="1616"/>
    </row>
    <row r="77" spans="1:255" s="604" customFormat="1" ht="27" customHeight="1">
      <c r="A77" s="595"/>
      <c r="B77" s="596"/>
      <c r="C77" s="597"/>
      <c r="D77" s="1617" t="s">
        <v>6112</v>
      </c>
      <c r="E77" s="599"/>
      <c r="F77" s="600"/>
      <c r="G77" s="289"/>
      <c r="H77" s="601"/>
      <c r="I77" s="602"/>
      <c r="J77" s="603"/>
      <c r="U77" s="605"/>
      <c r="W77" s="605"/>
    </row>
    <row r="78" spans="1:255" s="604" customFormat="1" ht="13.5" customHeight="1">
      <c r="A78" s="595"/>
      <c r="B78" s="596"/>
      <c r="C78" s="597"/>
      <c r="D78" s="1618" t="s">
        <v>6113</v>
      </c>
      <c r="E78" s="599"/>
      <c r="F78" s="600">
        <f>(6.1)*0.1</f>
        <v>0.61</v>
      </c>
      <c r="G78" s="289"/>
      <c r="H78" s="601"/>
      <c r="I78" s="602"/>
      <c r="J78" s="603"/>
      <c r="U78" s="605"/>
      <c r="W78" s="605"/>
    </row>
    <row r="79" spans="1:255" s="604" customFormat="1" ht="27" customHeight="1">
      <c r="A79" s="595"/>
      <c r="B79" s="596"/>
      <c r="C79" s="597"/>
      <c r="D79" s="1619" t="s">
        <v>4323</v>
      </c>
      <c r="E79" s="599"/>
      <c r="F79" s="600"/>
      <c r="G79" s="289"/>
      <c r="H79" s="601"/>
      <c r="I79" s="602"/>
      <c r="U79" s="605"/>
      <c r="W79" s="605"/>
    </row>
    <row r="80" spans="1:255" s="1248" customFormat="1" ht="13.5" customHeight="1">
      <c r="A80" s="1614">
        <v>21</v>
      </c>
      <c r="B80" s="1615" t="s">
        <v>5808</v>
      </c>
      <c r="C80" s="1615">
        <v>460241111</v>
      </c>
      <c r="D80" s="1615" t="s">
        <v>5832</v>
      </c>
      <c r="E80" s="1615" t="s">
        <v>146</v>
      </c>
      <c r="F80" s="573">
        <f>ROUND(SUM(F81),3)</f>
        <v>0.17799999999999999</v>
      </c>
      <c r="G80" s="288"/>
      <c r="H80" s="568">
        <f>ROUND(F80*G80,2)</f>
        <v>0</v>
      </c>
      <c r="I80" s="613" t="s">
        <v>137</v>
      </c>
      <c r="J80" s="1612"/>
      <c r="BQ80" s="1616"/>
      <c r="BR80" s="1616"/>
      <c r="BS80" s="1616"/>
      <c r="BT80" s="1616"/>
      <c r="BU80" s="1616"/>
      <c r="BV80" s="1616"/>
      <c r="BW80" s="1616"/>
      <c r="BX80" s="1616"/>
      <c r="BY80" s="1616"/>
      <c r="BZ80" s="1616"/>
      <c r="CA80" s="1616"/>
      <c r="CB80" s="1616"/>
      <c r="CC80" s="1616"/>
      <c r="CD80" s="1616"/>
      <c r="CE80" s="1616"/>
      <c r="CF80" s="1616"/>
      <c r="CG80" s="1616"/>
      <c r="CH80" s="1616"/>
      <c r="CI80" s="1616"/>
      <c r="CJ80" s="1616"/>
      <c r="CK80" s="1616"/>
      <c r="CL80" s="1616"/>
      <c r="CM80" s="1616"/>
      <c r="CN80" s="1616"/>
      <c r="CO80" s="1616"/>
      <c r="CP80" s="1616"/>
      <c r="CQ80" s="1616"/>
      <c r="CR80" s="1616"/>
      <c r="CS80" s="1616"/>
      <c r="CT80" s="1616"/>
      <c r="CU80" s="1616"/>
      <c r="CV80" s="1616"/>
      <c r="CW80" s="1616"/>
      <c r="CX80" s="1616"/>
      <c r="CY80" s="1616"/>
      <c r="CZ80" s="1616"/>
      <c r="DA80" s="1616"/>
      <c r="DB80" s="1616"/>
      <c r="DC80" s="1616"/>
      <c r="DD80" s="1616"/>
      <c r="DE80" s="1616"/>
      <c r="DF80" s="1616"/>
      <c r="DG80" s="1616"/>
      <c r="DH80" s="1616"/>
      <c r="DI80" s="1616"/>
      <c r="DJ80" s="1616"/>
      <c r="DK80" s="1616"/>
      <c r="DL80" s="1616"/>
      <c r="DM80" s="1616"/>
      <c r="DN80" s="1616"/>
      <c r="DO80" s="1616"/>
      <c r="DP80" s="1616"/>
      <c r="DQ80" s="1616"/>
      <c r="DR80" s="1616"/>
      <c r="DS80" s="1616"/>
      <c r="DT80" s="1616"/>
      <c r="DU80" s="1616"/>
      <c r="DV80" s="1616"/>
      <c r="DW80" s="1616"/>
      <c r="DX80" s="1616"/>
      <c r="DY80" s="1616"/>
      <c r="DZ80" s="1616"/>
      <c r="EA80" s="1616"/>
      <c r="EB80" s="1616"/>
      <c r="EC80" s="1616"/>
      <c r="ED80" s="1616"/>
      <c r="EE80" s="1616"/>
      <c r="EF80" s="1616"/>
      <c r="EG80" s="1616"/>
      <c r="EH80" s="1616"/>
      <c r="EI80" s="1616"/>
      <c r="EJ80" s="1616"/>
      <c r="EK80" s="1616"/>
      <c r="EL80" s="1616"/>
      <c r="EM80" s="1616"/>
      <c r="EN80" s="1616"/>
      <c r="EO80" s="1616"/>
      <c r="EP80" s="1616"/>
      <c r="EQ80" s="1616"/>
      <c r="ER80" s="1616"/>
      <c r="ES80" s="1616"/>
      <c r="ET80" s="1616"/>
      <c r="EU80" s="1616"/>
      <c r="EV80" s="1616"/>
      <c r="EW80" s="1616"/>
      <c r="EX80" s="1616"/>
      <c r="EY80" s="1616"/>
      <c r="EZ80" s="1616"/>
      <c r="FA80" s="1616"/>
      <c r="FB80" s="1616"/>
      <c r="FC80" s="1616"/>
      <c r="FD80" s="1616"/>
      <c r="FE80" s="1616"/>
      <c r="FF80" s="1616"/>
      <c r="FG80" s="1616"/>
      <c r="FH80" s="1616"/>
      <c r="FI80" s="1616"/>
      <c r="FJ80" s="1616"/>
      <c r="FK80" s="1616"/>
      <c r="FL80" s="1616"/>
      <c r="FM80" s="1616"/>
      <c r="FN80" s="1616"/>
      <c r="FO80" s="1616"/>
      <c r="FP80" s="1616"/>
      <c r="FQ80" s="1616"/>
      <c r="FR80" s="1616"/>
      <c r="FS80" s="1616"/>
      <c r="FT80" s="1616"/>
      <c r="FU80" s="1616"/>
      <c r="FV80" s="1616"/>
      <c r="FW80" s="1616"/>
      <c r="FX80" s="1616"/>
      <c r="FY80" s="1616"/>
      <c r="FZ80" s="1616"/>
      <c r="GA80" s="1616"/>
      <c r="GB80" s="1616"/>
      <c r="GC80" s="1616"/>
      <c r="GD80" s="1616"/>
      <c r="GE80" s="1616"/>
      <c r="GF80" s="1616"/>
      <c r="GG80" s="1616"/>
      <c r="GH80" s="1616"/>
      <c r="GI80" s="1616"/>
      <c r="GJ80" s="1616"/>
      <c r="GK80" s="1616"/>
      <c r="GL80" s="1616"/>
      <c r="GM80" s="1616"/>
      <c r="GN80" s="1616"/>
      <c r="GO80" s="1616"/>
      <c r="GP80" s="1616"/>
      <c r="GQ80" s="1616"/>
      <c r="GR80" s="1616"/>
      <c r="GS80" s="1616"/>
      <c r="GT80" s="1616"/>
      <c r="GU80" s="1616"/>
      <c r="GV80" s="1616"/>
      <c r="GW80" s="1616"/>
      <c r="GX80" s="1616"/>
      <c r="GY80" s="1616"/>
      <c r="GZ80" s="1616"/>
      <c r="HA80" s="1616"/>
      <c r="HB80" s="1616"/>
      <c r="HC80" s="1616"/>
      <c r="HD80" s="1616"/>
      <c r="HE80" s="1616"/>
      <c r="HF80" s="1616"/>
      <c r="HG80" s="1616"/>
      <c r="HH80" s="1616"/>
      <c r="HI80" s="1616"/>
      <c r="HJ80" s="1616"/>
      <c r="HK80" s="1616"/>
      <c r="HL80" s="1616"/>
      <c r="HM80" s="1616"/>
      <c r="HN80" s="1616"/>
      <c r="HO80" s="1616"/>
      <c r="HP80" s="1616"/>
      <c r="HQ80" s="1616"/>
      <c r="HR80" s="1616"/>
      <c r="HS80" s="1616"/>
      <c r="HT80" s="1616"/>
      <c r="HU80" s="1616"/>
      <c r="HV80" s="1616"/>
      <c r="HW80" s="1616"/>
      <c r="HX80" s="1616"/>
      <c r="HY80" s="1616"/>
      <c r="HZ80" s="1616"/>
      <c r="IA80" s="1616"/>
      <c r="IB80" s="1616"/>
      <c r="IC80" s="1616"/>
      <c r="ID80" s="1616"/>
      <c r="IE80" s="1616"/>
      <c r="IF80" s="1616"/>
      <c r="IG80" s="1616"/>
      <c r="IH80" s="1616"/>
      <c r="II80" s="1616"/>
      <c r="IJ80" s="1616"/>
      <c r="IK80" s="1616"/>
      <c r="IL80" s="1616"/>
      <c r="IM80" s="1616"/>
      <c r="IN80" s="1616"/>
      <c r="IO80" s="1616"/>
      <c r="IP80" s="1616"/>
      <c r="IQ80" s="1616"/>
      <c r="IR80" s="1616"/>
      <c r="IS80" s="1616"/>
      <c r="IT80" s="1616"/>
      <c r="IU80" s="1616"/>
    </row>
    <row r="81" spans="1:255" s="604" customFormat="1" ht="13.5" customHeight="1">
      <c r="A81" s="595"/>
      <c r="B81" s="596"/>
      <c r="C81" s="597"/>
      <c r="D81" s="719" t="s">
        <v>6114</v>
      </c>
      <c r="E81" s="599"/>
      <c r="F81" s="600">
        <f>(6.1*0.65*0.9)*0.05</f>
        <v>0.178425</v>
      </c>
      <c r="G81" s="289"/>
      <c r="H81" s="601"/>
      <c r="I81" s="602"/>
      <c r="J81" s="606"/>
      <c r="U81" s="605"/>
      <c r="W81" s="605"/>
    </row>
    <row r="82" spans="1:255" s="1248" customFormat="1" ht="13.5" customHeight="1">
      <c r="A82" s="1614">
        <v>22</v>
      </c>
      <c r="B82" s="1615" t="s">
        <v>5808</v>
      </c>
      <c r="C82" s="1615">
        <v>460242111</v>
      </c>
      <c r="D82" s="1615" t="s">
        <v>5834</v>
      </c>
      <c r="E82" s="1615" t="s">
        <v>205</v>
      </c>
      <c r="F82" s="573">
        <f>ROUND(SUM(F83),3)</f>
        <v>3</v>
      </c>
      <c r="G82" s="288"/>
      <c r="H82" s="568">
        <f>ROUND(F82*G82,2)</f>
        <v>0</v>
      </c>
      <c r="I82" s="613" t="s">
        <v>137</v>
      </c>
      <c r="J82" s="1612"/>
      <c r="BQ82" s="1616"/>
      <c r="BR82" s="1616"/>
      <c r="BS82" s="1616"/>
      <c r="BT82" s="1616"/>
      <c r="BU82" s="1616"/>
      <c r="BV82" s="1616"/>
      <c r="BW82" s="1616"/>
      <c r="BX82" s="1616"/>
      <c r="BY82" s="1616"/>
      <c r="BZ82" s="1616"/>
      <c r="CA82" s="1616"/>
      <c r="CB82" s="1616"/>
      <c r="CC82" s="1616"/>
      <c r="CD82" s="1616"/>
      <c r="CE82" s="1616"/>
      <c r="CF82" s="1616"/>
      <c r="CG82" s="1616"/>
      <c r="CH82" s="1616"/>
      <c r="CI82" s="1616"/>
      <c r="CJ82" s="1616"/>
      <c r="CK82" s="1616"/>
      <c r="CL82" s="1616"/>
      <c r="CM82" s="1616"/>
      <c r="CN82" s="1616"/>
      <c r="CO82" s="1616"/>
      <c r="CP82" s="1616"/>
      <c r="CQ82" s="1616"/>
      <c r="CR82" s="1616"/>
      <c r="CS82" s="1616"/>
      <c r="CT82" s="1616"/>
      <c r="CU82" s="1616"/>
      <c r="CV82" s="1616"/>
      <c r="CW82" s="1616"/>
      <c r="CX82" s="1616"/>
      <c r="CY82" s="1616"/>
      <c r="CZ82" s="1616"/>
      <c r="DA82" s="1616"/>
      <c r="DB82" s="1616"/>
      <c r="DC82" s="1616"/>
      <c r="DD82" s="1616"/>
      <c r="DE82" s="1616"/>
      <c r="DF82" s="1616"/>
      <c r="DG82" s="1616"/>
      <c r="DH82" s="1616"/>
      <c r="DI82" s="1616"/>
      <c r="DJ82" s="1616"/>
      <c r="DK82" s="1616"/>
      <c r="DL82" s="1616"/>
      <c r="DM82" s="1616"/>
      <c r="DN82" s="1616"/>
      <c r="DO82" s="1616"/>
      <c r="DP82" s="1616"/>
      <c r="DQ82" s="1616"/>
      <c r="DR82" s="1616"/>
      <c r="DS82" s="1616"/>
      <c r="DT82" s="1616"/>
      <c r="DU82" s="1616"/>
      <c r="DV82" s="1616"/>
      <c r="DW82" s="1616"/>
      <c r="DX82" s="1616"/>
      <c r="DY82" s="1616"/>
      <c r="DZ82" s="1616"/>
      <c r="EA82" s="1616"/>
      <c r="EB82" s="1616"/>
      <c r="EC82" s="1616"/>
      <c r="ED82" s="1616"/>
      <c r="EE82" s="1616"/>
      <c r="EF82" s="1616"/>
      <c r="EG82" s="1616"/>
      <c r="EH82" s="1616"/>
      <c r="EI82" s="1616"/>
      <c r="EJ82" s="1616"/>
      <c r="EK82" s="1616"/>
      <c r="EL82" s="1616"/>
      <c r="EM82" s="1616"/>
      <c r="EN82" s="1616"/>
      <c r="EO82" s="1616"/>
      <c r="EP82" s="1616"/>
      <c r="EQ82" s="1616"/>
      <c r="ER82" s="1616"/>
      <c r="ES82" s="1616"/>
      <c r="ET82" s="1616"/>
      <c r="EU82" s="1616"/>
      <c r="EV82" s="1616"/>
      <c r="EW82" s="1616"/>
      <c r="EX82" s="1616"/>
      <c r="EY82" s="1616"/>
      <c r="EZ82" s="1616"/>
      <c r="FA82" s="1616"/>
      <c r="FB82" s="1616"/>
      <c r="FC82" s="1616"/>
      <c r="FD82" s="1616"/>
      <c r="FE82" s="1616"/>
      <c r="FF82" s="1616"/>
      <c r="FG82" s="1616"/>
      <c r="FH82" s="1616"/>
      <c r="FI82" s="1616"/>
      <c r="FJ82" s="1616"/>
      <c r="FK82" s="1616"/>
      <c r="FL82" s="1616"/>
      <c r="FM82" s="1616"/>
      <c r="FN82" s="1616"/>
      <c r="FO82" s="1616"/>
      <c r="FP82" s="1616"/>
      <c r="FQ82" s="1616"/>
      <c r="FR82" s="1616"/>
      <c r="FS82" s="1616"/>
      <c r="FT82" s="1616"/>
      <c r="FU82" s="1616"/>
      <c r="FV82" s="1616"/>
      <c r="FW82" s="1616"/>
      <c r="FX82" s="1616"/>
      <c r="FY82" s="1616"/>
      <c r="FZ82" s="1616"/>
      <c r="GA82" s="1616"/>
      <c r="GB82" s="1616"/>
      <c r="GC82" s="1616"/>
      <c r="GD82" s="1616"/>
      <c r="GE82" s="1616"/>
      <c r="GF82" s="1616"/>
      <c r="GG82" s="1616"/>
      <c r="GH82" s="1616"/>
      <c r="GI82" s="1616"/>
      <c r="GJ82" s="1616"/>
      <c r="GK82" s="1616"/>
      <c r="GL82" s="1616"/>
      <c r="GM82" s="1616"/>
      <c r="GN82" s="1616"/>
      <c r="GO82" s="1616"/>
      <c r="GP82" s="1616"/>
      <c r="GQ82" s="1616"/>
      <c r="GR82" s="1616"/>
      <c r="GS82" s="1616"/>
      <c r="GT82" s="1616"/>
      <c r="GU82" s="1616"/>
      <c r="GV82" s="1616"/>
      <c r="GW82" s="1616"/>
      <c r="GX82" s="1616"/>
      <c r="GY82" s="1616"/>
      <c r="GZ82" s="1616"/>
      <c r="HA82" s="1616"/>
      <c r="HB82" s="1616"/>
      <c r="HC82" s="1616"/>
      <c r="HD82" s="1616"/>
      <c r="HE82" s="1616"/>
      <c r="HF82" s="1616"/>
      <c r="HG82" s="1616"/>
      <c r="HH82" s="1616"/>
      <c r="HI82" s="1616"/>
      <c r="HJ82" s="1616"/>
      <c r="HK82" s="1616"/>
      <c r="HL82" s="1616"/>
      <c r="HM82" s="1616"/>
      <c r="HN82" s="1616"/>
      <c r="HO82" s="1616"/>
      <c r="HP82" s="1616"/>
      <c r="HQ82" s="1616"/>
      <c r="HR82" s="1616"/>
      <c r="HS82" s="1616"/>
      <c r="HT82" s="1616"/>
      <c r="HU82" s="1616"/>
      <c r="HV82" s="1616"/>
      <c r="HW82" s="1616"/>
      <c r="HX82" s="1616"/>
      <c r="HY82" s="1616"/>
      <c r="HZ82" s="1616"/>
      <c r="IA82" s="1616"/>
      <c r="IB82" s="1616"/>
      <c r="IC82" s="1616"/>
      <c r="ID82" s="1616"/>
      <c r="IE82" s="1616"/>
      <c r="IF82" s="1616"/>
      <c r="IG82" s="1616"/>
      <c r="IH82" s="1616"/>
      <c r="II82" s="1616"/>
      <c r="IJ82" s="1616"/>
      <c r="IK82" s="1616"/>
      <c r="IL82" s="1616"/>
      <c r="IM82" s="1616"/>
      <c r="IN82" s="1616"/>
      <c r="IO82" s="1616"/>
      <c r="IP82" s="1616"/>
      <c r="IQ82" s="1616"/>
      <c r="IR82" s="1616"/>
      <c r="IS82" s="1616"/>
      <c r="IT82" s="1616"/>
      <c r="IU82" s="1616"/>
    </row>
    <row r="83" spans="1:255" s="604" customFormat="1" ht="13.5" customHeight="1">
      <c r="A83" s="595"/>
      <c r="B83" s="596"/>
      <c r="C83" s="597"/>
      <c r="D83" s="719" t="s">
        <v>5835</v>
      </c>
      <c r="E83" s="599"/>
      <c r="F83" s="600">
        <v>3</v>
      </c>
      <c r="G83" s="289"/>
      <c r="H83" s="601"/>
      <c r="I83" s="1620"/>
      <c r="J83" s="606"/>
      <c r="U83" s="605"/>
      <c r="W83" s="605"/>
    </row>
    <row r="84" spans="1:255" s="1248" customFormat="1" ht="13.5" customHeight="1">
      <c r="A84" s="1614">
        <v>23</v>
      </c>
      <c r="B84" s="1615" t="s">
        <v>5808</v>
      </c>
      <c r="C84" s="1615">
        <v>460242121</v>
      </c>
      <c r="D84" s="1615" t="s">
        <v>5836</v>
      </c>
      <c r="E84" s="1615" t="s">
        <v>141</v>
      </c>
      <c r="F84" s="573">
        <f>ROUND(SUM(F85),3)</f>
        <v>2</v>
      </c>
      <c r="G84" s="288"/>
      <c r="H84" s="568">
        <f>ROUND(F84*G84,2)</f>
        <v>0</v>
      </c>
      <c r="I84" s="613" t="s">
        <v>137</v>
      </c>
      <c r="J84" s="1612"/>
      <c r="BQ84" s="1616"/>
      <c r="BR84" s="1616"/>
      <c r="BS84" s="1616"/>
      <c r="BT84" s="1616"/>
      <c r="BU84" s="1616"/>
      <c r="BV84" s="1616"/>
      <c r="BW84" s="1616"/>
      <c r="BX84" s="1616"/>
      <c r="BY84" s="1616"/>
      <c r="BZ84" s="1616"/>
      <c r="CA84" s="1616"/>
      <c r="CB84" s="1616"/>
      <c r="CC84" s="1616"/>
      <c r="CD84" s="1616"/>
      <c r="CE84" s="1616"/>
      <c r="CF84" s="1616"/>
      <c r="CG84" s="1616"/>
      <c r="CH84" s="1616"/>
      <c r="CI84" s="1616"/>
      <c r="CJ84" s="1616"/>
      <c r="CK84" s="1616"/>
      <c r="CL84" s="1616"/>
      <c r="CM84" s="1616"/>
      <c r="CN84" s="1616"/>
      <c r="CO84" s="1616"/>
      <c r="CP84" s="1616"/>
      <c r="CQ84" s="1616"/>
      <c r="CR84" s="1616"/>
      <c r="CS84" s="1616"/>
      <c r="CT84" s="1616"/>
      <c r="CU84" s="1616"/>
      <c r="CV84" s="1616"/>
      <c r="CW84" s="1616"/>
      <c r="CX84" s="1616"/>
      <c r="CY84" s="1616"/>
      <c r="CZ84" s="1616"/>
      <c r="DA84" s="1616"/>
      <c r="DB84" s="1616"/>
      <c r="DC84" s="1616"/>
      <c r="DD84" s="1616"/>
      <c r="DE84" s="1616"/>
      <c r="DF84" s="1616"/>
      <c r="DG84" s="1616"/>
      <c r="DH84" s="1616"/>
      <c r="DI84" s="1616"/>
      <c r="DJ84" s="1616"/>
      <c r="DK84" s="1616"/>
      <c r="DL84" s="1616"/>
      <c r="DM84" s="1616"/>
      <c r="DN84" s="1616"/>
      <c r="DO84" s="1616"/>
      <c r="DP84" s="1616"/>
      <c r="DQ84" s="1616"/>
      <c r="DR84" s="1616"/>
      <c r="DS84" s="1616"/>
      <c r="DT84" s="1616"/>
      <c r="DU84" s="1616"/>
      <c r="DV84" s="1616"/>
      <c r="DW84" s="1616"/>
      <c r="DX84" s="1616"/>
      <c r="DY84" s="1616"/>
      <c r="DZ84" s="1616"/>
      <c r="EA84" s="1616"/>
      <c r="EB84" s="1616"/>
      <c r="EC84" s="1616"/>
      <c r="ED84" s="1616"/>
      <c r="EE84" s="1616"/>
      <c r="EF84" s="1616"/>
      <c r="EG84" s="1616"/>
      <c r="EH84" s="1616"/>
      <c r="EI84" s="1616"/>
      <c r="EJ84" s="1616"/>
      <c r="EK84" s="1616"/>
      <c r="EL84" s="1616"/>
      <c r="EM84" s="1616"/>
      <c r="EN84" s="1616"/>
      <c r="EO84" s="1616"/>
      <c r="EP84" s="1616"/>
      <c r="EQ84" s="1616"/>
      <c r="ER84" s="1616"/>
      <c r="ES84" s="1616"/>
      <c r="ET84" s="1616"/>
      <c r="EU84" s="1616"/>
      <c r="EV84" s="1616"/>
      <c r="EW84" s="1616"/>
      <c r="EX84" s="1616"/>
      <c r="EY84" s="1616"/>
      <c r="EZ84" s="1616"/>
      <c r="FA84" s="1616"/>
      <c r="FB84" s="1616"/>
      <c r="FC84" s="1616"/>
      <c r="FD84" s="1616"/>
      <c r="FE84" s="1616"/>
      <c r="FF84" s="1616"/>
      <c r="FG84" s="1616"/>
      <c r="FH84" s="1616"/>
      <c r="FI84" s="1616"/>
      <c r="FJ84" s="1616"/>
      <c r="FK84" s="1616"/>
      <c r="FL84" s="1616"/>
      <c r="FM84" s="1616"/>
      <c r="FN84" s="1616"/>
      <c r="FO84" s="1616"/>
      <c r="FP84" s="1616"/>
      <c r="FQ84" s="1616"/>
      <c r="FR84" s="1616"/>
      <c r="FS84" s="1616"/>
      <c r="FT84" s="1616"/>
      <c r="FU84" s="1616"/>
      <c r="FV84" s="1616"/>
      <c r="FW84" s="1616"/>
      <c r="FX84" s="1616"/>
      <c r="FY84" s="1616"/>
      <c r="FZ84" s="1616"/>
      <c r="GA84" s="1616"/>
      <c r="GB84" s="1616"/>
      <c r="GC84" s="1616"/>
      <c r="GD84" s="1616"/>
      <c r="GE84" s="1616"/>
      <c r="GF84" s="1616"/>
      <c r="GG84" s="1616"/>
      <c r="GH84" s="1616"/>
      <c r="GI84" s="1616"/>
      <c r="GJ84" s="1616"/>
      <c r="GK84" s="1616"/>
      <c r="GL84" s="1616"/>
      <c r="GM84" s="1616"/>
      <c r="GN84" s="1616"/>
      <c r="GO84" s="1616"/>
      <c r="GP84" s="1616"/>
      <c r="GQ84" s="1616"/>
      <c r="GR84" s="1616"/>
      <c r="GS84" s="1616"/>
      <c r="GT84" s="1616"/>
      <c r="GU84" s="1616"/>
      <c r="GV84" s="1616"/>
      <c r="GW84" s="1616"/>
      <c r="GX84" s="1616"/>
      <c r="GY84" s="1616"/>
      <c r="GZ84" s="1616"/>
      <c r="HA84" s="1616"/>
      <c r="HB84" s="1616"/>
      <c r="HC84" s="1616"/>
      <c r="HD84" s="1616"/>
      <c r="HE84" s="1616"/>
      <c r="HF84" s="1616"/>
      <c r="HG84" s="1616"/>
      <c r="HH84" s="1616"/>
      <c r="HI84" s="1616"/>
      <c r="HJ84" s="1616"/>
      <c r="HK84" s="1616"/>
      <c r="HL84" s="1616"/>
      <c r="HM84" s="1616"/>
      <c r="HN84" s="1616"/>
      <c r="HO84" s="1616"/>
      <c r="HP84" s="1616"/>
      <c r="HQ84" s="1616"/>
      <c r="HR84" s="1616"/>
      <c r="HS84" s="1616"/>
      <c r="HT84" s="1616"/>
      <c r="HU84" s="1616"/>
      <c r="HV84" s="1616"/>
      <c r="HW84" s="1616"/>
      <c r="HX84" s="1616"/>
      <c r="HY84" s="1616"/>
      <c r="HZ84" s="1616"/>
      <c r="IA84" s="1616"/>
      <c r="IB84" s="1616"/>
      <c r="IC84" s="1616"/>
      <c r="ID84" s="1616"/>
      <c r="IE84" s="1616"/>
      <c r="IF84" s="1616"/>
      <c r="IG84" s="1616"/>
      <c r="IH84" s="1616"/>
      <c r="II84" s="1616"/>
      <c r="IJ84" s="1616"/>
      <c r="IK84" s="1616"/>
      <c r="IL84" s="1616"/>
      <c r="IM84" s="1616"/>
      <c r="IN84" s="1616"/>
      <c r="IO84" s="1616"/>
      <c r="IP84" s="1616"/>
      <c r="IQ84" s="1616"/>
      <c r="IR84" s="1616"/>
      <c r="IS84" s="1616"/>
      <c r="IT84" s="1616"/>
      <c r="IU84" s="1616"/>
    </row>
    <row r="85" spans="1:255" s="604" customFormat="1" ht="13.5" customHeight="1">
      <c r="A85" s="595"/>
      <c r="B85" s="596"/>
      <c r="C85" s="597"/>
      <c r="D85" s="719" t="s">
        <v>5835</v>
      </c>
      <c r="E85" s="599"/>
      <c r="F85" s="600">
        <v>2</v>
      </c>
      <c r="G85" s="289"/>
      <c r="H85" s="601"/>
      <c r="I85" s="1620"/>
      <c r="J85" s="606"/>
      <c r="U85" s="605"/>
      <c r="W85" s="605"/>
    </row>
    <row r="86" spans="1:255" s="1248" customFormat="1" ht="13.5" customHeight="1">
      <c r="A86" s="1614">
        <v>24</v>
      </c>
      <c r="B86" s="1615" t="s">
        <v>5808</v>
      </c>
      <c r="C86" s="1615">
        <v>460242211</v>
      </c>
      <c r="D86" s="1615" t="s">
        <v>5837</v>
      </c>
      <c r="E86" s="1615" t="s">
        <v>205</v>
      </c>
      <c r="F86" s="573">
        <f>ROUND(SUM(F87),3)</f>
        <v>2</v>
      </c>
      <c r="G86" s="288"/>
      <c r="H86" s="568">
        <f>ROUND(F86*G86,2)</f>
        <v>0</v>
      </c>
      <c r="I86" s="613" t="s">
        <v>137</v>
      </c>
      <c r="J86" s="1612"/>
      <c r="BQ86" s="1616"/>
      <c r="BR86" s="1616"/>
      <c r="BS86" s="1616"/>
      <c r="BT86" s="1616"/>
      <c r="BU86" s="1616"/>
      <c r="BV86" s="1616"/>
      <c r="BW86" s="1616"/>
      <c r="BX86" s="1616"/>
      <c r="BY86" s="1616"/>
      <c r="BZ86" s="1616"/>
      <c r="CA86" s="1616"/>
      <c r="CB86" s="1616"/>
      <c r="CC86" s="1616"/>
      <c r="CD86" s="1616"/>
      <c r="CE86" s="1616"/>
      <c r="CF86" s="1616"/>
      <c r="CG86" s="1616"/>
      <c r="CH86" s="1616"/>
      <c r="CI86" s="1616"/>
      <c r="CJ86" s="1616"/>
      <c r="CK86" s="1616"/>
      <c r="CL86" s="1616"/>
      <c r="CM86" s="1616"/>
      <c r="CN86" s="1616"/>
      <c r="CO86" s="1616"/>
      <c r="CP86" s="1616"/>
      <c r="CQ86" s="1616"/>
      <c r="CR86" s="1616"/>
      <c r="CS86" s="1616"/>
      <c r="CT86" s="1616"/>
      <c r="CU86" s="1616"/>
      <c r="CV86" s="1616"/>
      <c r="CW86" s="1616"/>
      <c r="CX86" s="1616"/>
      <c r="CY86" s="1616"/>
      <c r="CZ86" s="1616"/>
      <c r="DA86" s="1616"/>
      <c r="DB86" s="1616"/>
      <c r="DC86" s="1616"/>
      <c r="DD86" s="1616"/>
      <c r="DE86" s="1616"/>
      <c r="DF86" s="1616"/>
      <c r="DG86" s="1616"/>
      <c r="DH86" s="1616"/>
      <c r="DI86" s="1616"/>
      <c r="DJ86" s="1616"/>
      <c r="DK86" s="1616"/>
      <c r="DL86" s="1616"/>
      <c r="DM86" s="1616"/>
      <c r="DN86" s="1616"/>
      <c r="DO86" s="1616"/>
      <c r="DP86" s="1616"/>
      <c r="DQ86" s="1616"/>
      <c r="DR86" s="1616"/>
      <c r="DS86" s="1616"/>
      <c r="DT86" s="1616"/>
      <c r="DU86" s="1616"/>
      <c r="DV86" s="1616"/>
      <c r="DW86" s="1616"/>
      <c r="DX86" s="1616"/>
      <c r="DY86" s="1616"/>
      <c r="DZ86" s="1616"/>
      <c r="EA86" s="1616"/>
      <c r="EB86" s="1616"/>
      <c r="EC86" s="1616"/>
      <c r="ED86" s="1616"/>
      <c r="EE86" s="1616"/>
      <c r="EF86" s="1616"/>
      <c r="EG86" s="1616"/>
      <c r="EH86" s="1616"/>
      <c r="EI86" s="1616"/>
      <c r="EJ86" s="1616"/>
      <c r="EK86" s="1616"/>
      <c r="EL86" s="1616"/>
      <c r="EM86" s="1616"/>
      <c r="EN86" s="1616"/>
      <c r="EO86" s="1616"/>
      <c r="EP86" s="1616"/>
      <c r="EQ86" s="1616"/>
      <c r="ER86" s="1616"/>
      <c r="ES86" s="1616"/>
      <c r="ET86" s="1616"/>
      <c r="EU86" s="1616"/>
      <c r="EV86" s="1616"/>
      <c r="EW86" s="1616"/>
      <c r="EX86" s="1616"/>
      <c r="EY86" s="1616"/>
      <c r="EZ86" s="1616"/>
      <c r="FA86" s="1616"/>
      <c r="FB86" s="1616"/>
      <c r="FC86" s="1616"/>
      <c r="FD86" s="1616"/>
      <c r="FE86" s="1616"/>
      <c r="FF86" s="1616"/>
      <c r="FG86" s="1616"/>
      <c r="FH86" s="1616"/>
      <c r="FI86" s="1616"/>
      <c r="FJ86" s="1616"/>
      <c r="FK86" s="1616"/>
      <c r="FL86" s="1616"/>
      <c r="FM86" s="1616"/>
      <c r="FN86" s="1616"/>
      <c r="FO86" s="1616"/>
      <c r="FP86" s="1616"/>
      <c r="FQ86" s="1616"/>
      <c r="FR86" s="1616"/>
      <c r="FS86" s="1616"/>
      <c r="FT86" s="1616"/>
      <c r="FU86" s="1616"/>
      <c r="FV86" s="1616"/>
      <c r="FW86" s="1616"/>
      <c r="FX86" s="1616"/>
      <c r="FY86" s="1616"/>
      <c r="FZ86" s="1616"/>
      <c r="GA86" s="1616"/>
      <c r="GB86" s="1616"/>
      <c r="GC86" s="1616"/>
      <c r="GD86" s="1616"/>
      <c r="GE86" s="1616"/>
      <c r="GF86" s="1616"/>
      <c r="GG86" s="1616"/>
      <c r="GH86" s="1616"/>
      <c r="GI86" s="1616"/>
      <c r="GJ86" s="1616"/>
      <c r="GK86" s="1616"/>
      <c r="GL86" s="1616"/>
      <c r="GM86" s="1616"/>
      <c r="GN86" s="1616"/>
      <c r="GO86" s="1616"/>
      <c r="GP86" s="1616"/>
      <c r="GQ86" s="1616"/>
      <c r="GR86" s="1616"/>
      <c r="GS86" s="1616"/>
      <c r="GT86" s="1616"/>
      <c r="GU86" s="1616"/>
      <c r="GV86" s="1616"/>
      <c r="GW86" s="1616"/>
      <c r="GX86" s="1616"/>
      <c r="GY86" s="1616"/>
      <c r="GZ86" s="1616"/>
      <c r="HA86" s="1616"/>
      <c r="HB86" s="1616"/>
      <c r="HC86" s="1616"/>
      <c r="HD86" s="1616"/>
      <c r="HE86" s="1616"/>
      <c r="HF86" s="1616"/>
      <c r="HG86" s="1616"/>
      <c r="HH86" s="1616"/>
      <c r="HI86" s="1616"/>
      <c r="HJ86" s="1616"/>
      <c r="HK86" s="1616"/>
      <c r="HL86" s="1616"/>
      <c r="HM86" s="1616"/>
      <c r="HN86" s="1616"/>
      <c r="HO86" s="1616"/>
      <c r="HP86" s="1616"/>
      <c r="HQ86" s="1616"/>
      <c r="HR86" s="1616"/>
      <c r="HS86" s="1616"/>
      <c r="HT86" s="1616"/>
      <c r="HU86" s="1616"/>
      <c r="HV86" s="1616"/>
      <c r="HW86" s="1616"/>
      <c r="HX86" s="1616"/>
      <c r="HY86" s="1616"/>
      <c r="HZ86" s="1616"/>
      <c r="IA86" s="1616"/>
      <c r="IB86" s="1616"/>
      <c r="IC86" s="1616"/>
      <c r="ID86" s="1616"/>
      <c r="IE86" s="1616"/>
      <c r="IF86" s="1616"/>
      <c r="IG86" s="1616"/>
      <c r="IH86" s="1616"/>
      <c r="II86" s="1616"/>
      <c r="IJ86" s="1616"/>
      <c r="IK86" s="1616"/>
      <c r="IL86" s="1616"/>
      <c r="IM86" s="1616"/>
      <c r="IN86" s="1616"/>
      <c r="IO86" s="1616"/>
      <c r="IP86" s="1616"/>
      <c r="IQ86" s="1616"/>
      <c r="IR86" s="1616"/>
      <c r="IS86" s="1616"/>
      <c r="IT86" s="1616"/>
      <c r="IU86" s="1616"/>
    </row>
    <row r="87" spans="1:255" s="604" customFormat="1" ht="13.5" customHeight="1">
      <c r="A87" s="595"/>
      <c r="B87" s="596"/>
      <c r="C87" s="597"/>
      <c r="D87" s="719" t="s">
        <v>5838</v>
      </c>
      <c r="E87" s="599"/>
      <c r="F87" s="600">
        <v>2</v>
      </c>
      <c r="G87" s="289"/>
      <c r="H87" s="601"/>
      <c r="I87" s="1620"/>
      <c r="J87" s="606"/>
      <c r="U87" s="605"/>
      <c r="W87" s="605"/>
    </row>
    <row r="88" spans="1:255" s="1248" customFormat="1" ht="13.5" customHeight="1">
      <c r="A88" s="1614">
        <v>25</v>
      </c>
      <c r="B88" s="1615" t="s">
        <v>5808</v>
      </c>
      <c r="C88" s="1615">
        <v>460242221</v>
      </c>
      <c r="D88" s="1615" t="s">
        <v>5839</v>
      </c>
      <c r="E88" s="1615" t="s">
        <v>141</v>
      </c>
      <c r="F88" s="573">
        <f>ROUND(SUM(F89),3)</f>
        <v>6</v>
      </c>
      <c r="G88" s="288"/>
      <c r="H88" s="568">
        <f>ROUND(F88*G88,2)</f>
        <v>0</v>
      </c>
      <c r="I88" s="613" t="s">
        <v>137</v>
      </c>
      <c r="J88" s="1612"/>
      <c r="BQ88" s="1616"/>
      <c r="BR88" s="1616"/>
      <c r="BS88" s="1616"/>
      <c r="BT88" s="1616"/>
      <c r="BU88" s="1616"/>
      <c r="BV88" s="1616"/>
      <c r="BW88" s="1616"/>
      <c r="BX88" s="1616"/>
      <c r="BY88" s="1616"/>
      <c r="BZ88" s="1616"/>
      <c r="CA88" s="1616"/>
      <c r="CB88" s="1616"/>
      <c r="CC88" s="1616"/>
      <c r="CD88" s="1616"/>
      <c r="CE88" s="1616"/>
      <c r="CF88" s="1616"/>
      <c r="CG88" s="1616"/>
      <c r="CH88" s="1616"/>
      <c r="CI88" s="1616"/>
      <c r="CJ88" s="1616"/>
      <c r="CK88" s="1616"/>
      <c r="CL88" s="1616"/>
      <c r="CM88" s="1616"/>
      <c r="CN88" s="1616"/>
      <c r="CO88" s="1616"/>
      <c r="CP88" s="1616"/>
      <c r="CQ88" s="1616"/>
      <c r="CR88" s="1616"/>
      <c r="CS88" s="1616"/>
      <c r="CT88" s="1616"/>
      <c r="CU88" s="1616"/>
      <c r="CV88" s="1616"/>
      <c r="CW88" s="1616"/>
      <c r="CX88" s="1616"/>
      <c r="CY88" s="1616"/>
      <c r="CZ88" s="1616"/>
      <c r="DA88" s="1616"/>
      <c r="DB88" s="1616"/>
      <c r="DC88" s="1616"/>
      <c r="DD88" s="1616"/>
      <c r="DE88" s="1616"/>
      <c r="DF88" s="1616"/>
      <c r="DG88" s="1616"/>
      <c r="DH88" s="1616"/>
      <c r="DI88" s="1616"/>
      <c r="DJ88" s="1616"/>
      <c r="DK88" s="1616"/>
      <c r="DL88" s="1616"/>
      <c r="DM88" s="1616"/>
      <c r="DN88" s="1616"/>
      <c r="DO88" s="1616"/>
      <c r="DP88" s="1616"/>
      <c r="DQ88" s="1616"/>
      <c r="DR88" s="1616"/>
      <c r="DS88" s="1616"/>
      <c r="DT88" s="1616"/>
      <c r="DU88" s="1616"/>
      <c r="DV88" s="1616"/>
      <c r="DW88" s="1616"/>
      <c r="DX88" s="1616"/>
      <c r="DY88" s="1616"/>
      <c r="DZ88" s="1616"/>
      <c r="EA88" s="1616"/>
      <c r="EB88" s="1616"/>
      <c r="EC88" s="1616"/>
      <c r="ED88" s="1616"/>
      <c r="EE88" s="1616"/>
      <c r="EF88" s="1616"/>
      <c r="EG88" s="1616"/>
      <c r="EH88" s="1616"/>
      <c r="EI88" s="1616"/>
      <c r="EJ88" s="1616"/>
      <c r="EK88" s="1616"/>
      <c r="EL88" s="1616"/>
      <c r="EM88" s="1616"/>
      <c r="EN88" s="1616"/>
      <c r="EO88" s="1616"/>
      <c r="EP88" s="1616"/>
      <c r="EQ88" s="1616"/>
      <c r="ER88" s="1616"/>
      <c r="ES88" s="1616"/>
      <c r="ET88" s="1616"/>
      <c r="EU88" s="1616"/>
      <c r="EV88" s="1616"/>
      <c r="EW88" s="1616"/>
      <c r="EX88" s="1616"/>
      <c r="EY88" s="1616"/>
      <c r="EZ88" s="1616"/>
      <c r="FA88" s="1616"/>
      <c r="FB88" s="1616"/>
      <c r="FC88" s="1616"/>
      <c r="FD88" s="1616"/>
      <c r="FE88" s="1616"/>
      <c r="FF88" s="1616"/>
      <c r="FG88" s="1616"/>
      <c r="FH88" s="1616"/>
      <c r="FI88" s="1616"/>
      <c r="FJ88" s="1616"/>
      <c r="FK88" s="1616"/>
      <c r="FL88" s="1616"/>
      <c r="FM88" s="1616"/>
      <c r="FN88" s="1616"/>
      <c r="FO88" s="1616"/>
      <c r="FP88" s="1616"/>
      <c r="FQ88" s="1616"/>
      <c r="FR88" s="1616"/>
      <c r="FS88" s="1616"/>
      <c r="FT88" s="1616"/>
      <c r="FU88" s="1616"/>
      <c r="FV88" s="1616"/>
      <c r="FW88" s="1616"/>
      <c r="FX88" s="1616"/>
      <c r="FY88" s="1616"/>
      <c r="FZ88" s="1616"/>
      <c r="GA88" s="1616"/>
      <c r="GB88" s="1616"/>
      <c r="GC88" s="1616"/>
      <c r="GD88" s="1616"/>
      <c r="GE88" s="1616"/>
      <c r="GF88" s="1616"/>
      <c r="GG88" s="1616"/>
      <c r="GH88" s="1616"/>
      <c r="GI88" s="1616"/>
      <c r="GJ88" s="1616"/>
      <c r="GK88" s="1616"/>
      <c r="GL88" s="1616"/>
      <c r="GM88" s="1616"/>
      <c r="GN88" s="1616"/>
      <c r="GO88" s="1616"/>
      <c r="GP88" s="1616"/>
      <c r="GQ88" s="1616"/>
      <c r="GR88" s="1616"/>
      <c r="GS88" s="1616"/>
      <c r="GT88" s="1616"/>
      <c r="GU88" s="1616"/>
      <c r="GV88" s="1616"/>
      <c r="GW88" s="1616"/>
      <c r="GX88" s="1616"/>
      <c r="GY88" s="1616"/>
      <c r="GZ88" s="1616"/>
      <c r="HA88" s="1616"/>
      <c r="HB88" s="1616"/>
      <c r="HC88" s="1616"/>
      <c r="HD88" s="1616"/>
      <c r="HE88" s="1616"/>
      <c r="HF88" s="1616"/>
      <c r="HG88" s="1616"/>
      <c r="HH88" s="1616"/>
      <c r="HI88" s="1616"/>
      <c r="HJ88" s="1616"/>
      <c r="HK88" s="1616"/>
      <c r="HL88" s="1616"/>
      <c r="HM88" s="1616"/>
      <c r="HN88" s="1616"/>
      <c r="HO88" s="1616"/>
      <c r="HP88" s="1616"/>
      <c r="HQ88" s="1616"/>
      <c r="HR88" s="1616"/>
      <c r="HS88" s="1616"/>
      <c r="HT88" s="1616"/>
      <c r="HU88" s="1616"/>
      <c r="HV88" s="1616"/>
      <c r="HW88" s="1616"/>
      <c r="HX88" s="1616"/>
      <c r="HY88" s="1616"/>
      <c r="HZ88" s="1616"/>
      <c r="IA88" s="1616"/>
      <c r="IB88" s="1616"/>
      <c r="IC88" s="1616"/>
      <c r="ID88" s="1616"/>
      <c r="IE88" s="1616"/>
      <c r="IF88" s="1616"/>
      <c r="IG88" s="1616"/>
      <c r="IH88" s="1616"/>
      <c r="II88" s="1616"/>
      <c r="IJ88" s="1616"/>
      <c r="IK88" s="1616"/>
      <c r="IL88" s="1616"/>
      <c r="IM88" s="1616"/>
      <c r="IN88" s="1616"/>
      <c r="IO88" s="1616"/>
      <c r="IP88" s="1616"/>
      <c r="IQ88" s="1616"/>
      <c r="IR88" s="1616"/>
      <c r="IS88" s="1616"/>
      <c r="IT88" s="1616"/>
      <c r="IU88" s="1616"/>
    </row>
    <row r="89" spans="1:255" s="604" customFormat="1" ht="13.5" customHeight="1">
      <c r="A89" s="595"/>
      <c r="B89" s="596"/>
      <c r="C89" s="597"/>
      <c r="D89" s="719" t="s">
        <v>5838</v>
      </c>
      <c r="E89" s="599"/>
      <c r="F89" s="600">
        <v>6</v>
      </c>
      <c r="G89" s="289"/>
      <c r="H89" s="601"/>
      <c r="I89" s="1620"/>
      <c r="J89" s="606"/>
      <c r="U89" s="605"/>
      <c r="W89" s="605"/>
    </row>
    <row r="90" spans="1:255" s="1248" customFormat="1" ht="13.5" customHeight="1">
      <c r="A90" s="1614">
        <v>26</v>
      </c>
      <c r="B90" s="1615" t="s">
        <v>5808</v>
      </c>
      <c r="C90" s="1615">
        <v>460451432</v>
      </c>
      <c r="D90" s="1615" t="s">
        <v>5840</v>
      </c>
      <c r="E90" s="1615" t="s">
        <v>141</v>
      </c>
      <c r="F90" s="573">
        <f>ROUND(SUM(F92),3)</f>
        <v>5.49</v>
      </c>
      <c r="G90" s="288"/>
      <c r="H90" s="568">
        <f>ROUND(F90*G90,2)</f>
        <v>0</v>
      </c>
      <c r="I90" s="613" t="s">
        <v>137</v>
      </c>
      <c r="J90" s="1621"/>
      <c r="BQ90" s="1616"/>
      <c r="BR90" s="1616"/>
      <c r="BS90" s="1616"/>
      <c r="BT90" s="1616"/>
      <c r="BU90" s="1616"/>
      <c r="BV90" s="1616"/>
      <c r="BW90" s="1616"/>
      <c r="BX90" s="1616"/>
      <c r="BY90" s="1616"/>
      <c r="BZ90" s="1616"/>
      <c r="CA90" s="1616"/>
      <c r="CB90" s="1616"/>
      <c r="CC90" s="1616"/>
      <c r="CD90" s="1616"/>
      <c r="CE90" s="1616"/>
      <c r="CF90" s="1616"/>
      <c r="CG90" s="1616"/>
      <c r="CH90" s="1616"/>
      <c r="CI90" s="1616"/>
      <c r="CJ90" s="1616"/>
      <c r="CK90" s="1616"/>
      <c r="CL90" s="1616"/>
      <c r="CM90" s="1616"/>
      <c r="CN90" s="1616"/>
      <c r="CO90" s="1616"/>
      <c r="CP90" s="1616"/>
      <c r="CQ90" s="1616"/>
      <c r="CR90" s="1616"/>
      <c r="CS90" s="1616"/>
      <c r="CT90" s="1616"/>
      <c r="CU90" s="1616"/>
      <c r="CV90" s="1616"/>
      <c r="CW90" s="1616"/>
      <c r="CX90" s="1616"/>
      <c r="CY90" s="1616"/>
      <c r="CZ90" s="1616"/>
      <c r="DA90" s="1616"/>
      <c r="DB90" s="1616"/>
      <c r="DC90" s="1616"/>
      <c r="DD90" s="1616"/>
      <c r="DE90" s="1616"/>
      <c r="DF90" s="1616"/>
      <c r="DG90" s="1616"/>
      <c r="DH90" s="1616"/>
      <c r="DI90" s="1616"/>
      <c r="DJ90" s="1616"/>
      <c r="DK90" s="1616"/>
      <c r="DL90" s="1616"/>
      <c r="DM90" s="1616"/>
      <c r="DN90" s="1616"/>
      <c r="DO90" s="1616"/>
      <c r="DP90" s="1616"/>
      <c r="DQ90" s="1616"/>
      <c r="DR90" s="1616"/>
      <c r="DS90" s="1616"/>
      <c r="DT90" s="1616"/>
      <c r="DU90" s="1616"/>
      <c r="DV90" s="1616"/>
      <c r="DW90" s="1616"/>
      <c r="DX90" s="1616"/>
      <c r="DY90" s="1616"/>
      <c r="DZ90" s="1616"/>
      <c r="EA90" s="1616"/>
      <c r="EB90" s="1616"/>
      <c r="EC90" s="1616"/>
      <c r="ED90" s="1616"/>
      <c r="EE90" s="1616"/>
      <c r="EF90" s="1616"/>
      <c r="EG90" s="1616"/>
      <c r="EH90" s="1616"/>
      <c r="EI90" s="1616"/>
      <c r="EJ90" s="1616"/>
      <c r="EK90" s="1616"/>
      <c r="EL90" s="1616"/>
      <c r="EM90" s="1616"/>
      <c r="EN90" s="1616"/>
      <c r="EO90" s="1616"/>
      <c r="EP90" s="1616"/>
      <c r="EQ90" s="1616"/>
      <c r="ER90" s="1616"/>
      <c r="ES90" s="1616"/>
      <c r="ET90" s="1616"/>
      <c r="EU90" s="1616"/>
      <c r="EV90" s="1616"/>
      <c r="EW90" s="1616"/>
      <c r="EX90" s="1616"/>
      <c r="EY90" s="1616"/>
      <c r="EZ90" s="1616"/>
      <c r="FA90" s="1616"/>
      <c r="FB90" s="1616"/>
      <c r="FC90" s="1616"/>
      <c r="FD90" s="1616"/>
      <c r="FE90" s="1616"/>
      <c r="FF90" s="1616"/>
      <c r="FG90" s="1616"/>
      <c r="FH90" s="1616"/>
      <c r="FI90" s="1616"/>
      <c r="FJ90" s="1616"/>
      <c r="FK90" s="1616"/>
      <c r="FL90" s="1616"/>
      <c r="FM90" s="1616"/>
      <c r="FN90" s="1616"/>
      <c r="FO90" s="1616"/>
      <c r="FP90" s="1616"/>
      <c r="FQ90" s="1616"/>
      <c r="FR90" s="1616"/>
      <c r="FS90" s="1616"/>
      <c r="FT90" s="1616"/>
      <c r="FU90" s="1616"/>
      <c r="FV90" s="1616"/>
      <c r="FW90" s="1616"/>
      <c r="FX90" s="1616"/>
      <c r="FY90" s="1616"/>
      <c r="FZ90" s="1616"/>
      <c r="GA90" s="1616"/>
      <c r="GB90" s="1616"/>
      <c r="GC90" s="1616"/>
      <c r="GD90" s="1616"/>
      <c r="GE90" s="1616"/>
      <c r="GF90" s="1616"/>
      <c r="GG90" s="1616"/>
      <c r="GH90" s="1616"/>
      <c r="GI90" s="1616"/>
      <c r="GJ90" s="1616"/>
      <c r="GK90" s="1616"/>
      <c r="GL90" s="1616"/>
      <c r="GM90" s="1616"/>
      <c r="GN90" s="1616"/>
      <c r="GO90" s="1616"/>
      <c r="GP90" s="1616"/>
      <c r="GQ90" s="1616"/>
      <c r="GR90" s="1616"/>
      <c r="GS90" s="1616"/>
      <c r="GT90" s="1616"/>
      <c r="GU90" s="1616"/>
      <c r="GV90" s="1616"/>
      <c r="GW90" s="1616"/>
      <c r="GX90" s="1616"/>
      <c r="GY90" s="1616"/>
      <c r="GZ90" s="1616"/>
      <c r="HA90" s="1616"/>
      <c r="HB90" s="1616"/>
      <c r="HC90" s="1616"/>
      <c r="HD90" s="1616"/>
      <c r="HE90" s="1616"/>
      <c r="HF90" s="1616"/>
      <c r="HG90" s="1616"/>
      <c r="HH90" s="1616"/>
      <c r="HI90" s="1616"/>
      <c r="HJ90" s="1616"/>
      <c r="HK90" s="1616"/>
      <c r="HL90" s="1616"/>
      <c r="HM90" s="1616"/>
      <c r="HN90" s="1616"/>
      <c r="HO90" s="1616"/>
      <c r="HP90" s="1616"/>
      <c r="HQ90" s="1616"/>
      <c r="HR90" s="1616"/>
      <c r="HS90" s="1616"/>
      <c r="HT90" s="1616"/>
      <c r="HU90" s="1616"/>
      <c r="HV90" s="1616"/>
      <c r="HW90" s="1616"/>
      <c r="HX90" s="1616"/>
      <c r="HY90" s="1616"/>
      <c r="HZ90" s="1616"/>
      <c r="IA90" s="1616"/>
      <c r="IB90" s="1616"/>
      <c r="IC90" s="1616"/>
      <c r="ID90" s="1616"/>
      <c r="IE90" s="1616"/>
      <c r="IF90" s="1616"/>
      <c r="IG90" s="1616"/>
      <c r="IH90" s="1616"/>
      <c r="II90" s="1616"/>
      <c r="IJ90" s="1616"/>
      <c r="IK90" s="1616"/>
      <c r="IL90" s="1616"/>
      <c r="IM90" s="1616"/>
      <c r="IN90" s="1616"/>
      <c r="IO90" s="1616"/>
      <c r="IP90" s="1616"/>
      <c r="IQ90" s="1616"/>
      <c r="IR90" s="1616"/>
      <c r="IS90" s="1616"/>
      <c r="IT90" s="1616"/>
      <c r="IU90" s="1616"/>
    </row>
    <row r="91" spans="1:255" s="1248" customFormat="1" ht="13.5" customHeight="1">
      <c r="A91" s="1614"/>
      <c r="B91" s="1615"/>
      <c r="C91" s="1615"/>
      <c r="D91" s="719" t="s">
        <v>6115</v>
      </c>
      <c r="E91" s="1615"/>
      <c r="F91" s="1444"/>
      <c r="G91" s="288"/>
      <c r="H91" s="609"/>
      <c r="I91" s="613"/>
      <c r="J91" s="1612"/>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1248" customFormat="1" ht="13.5" customHeight="1">
      <c r="A92" s="1614"/>
      <c r="B92" s="1615"/>
      <c r="C92" s="1615"/>
      <c r="D92" s="719" t="s">
        <v>6116</v>
      </c>
      <c r="E92" s="1615"/>
      <c r="F92" s="600">
        <f>(6.1)*(0.05+0.85)</f>
        <v>5.49</v>
      </c>
      <c r="G92" s="308"/>
      <c r="H92" s="609"/>
      <c r="I92" s="613"/>
      <c r="J92" s="1612"/>
      <c r="BQ92" s="1616"/>
      <c r="BR92" s="1616"/>
      <c r="BS92" s="1616"/>
      <c r="BT92" s="1616"/>
      <c r="BU92" s="1616"/>
      <c r="BV92" s="1616"/>
      <c r="BW92" s="1616"/>
      <c r="BX92" s="1616"/>
      <c r="BY92" s="1616"/>
      <c r="BZ92" s="1616"/>
      <c r="CA92" s="1616"/>
      <c r="CB92" s="1616"/>
      <c r="CC92" s="1616"/>
      <c r="CD92" s="1616"/>
      <c r="CE92" s="1616"/>
      <c r="CF92" s="1616"/>
      <c r="CG92" s="1616"/>
      <c r="CH92" s="1616"/>
      <c r="CI92" s="1616"/>
      <c r="CJ92" s="1616"/>
      <c r="CK92" s="1616"/>
      <c r="CL92" s="1616"/>
      <c r="CM92" s="1616"/>
      <c r="CN92" s="1616"/>
      <c r="CO92" s="1616"/>
      <c r="CP92" s="1616"/>
      <c r="CQ92" s="1616"/>
      <c r="CR92" s="1616"/>
      <c r="CS92" s="1616"/>
      <c r="CT92" s="1616"/>
      <c r="CU92" s="1616"/>
      <c r="CV92" s="1616"/>
      <c r="CW92" s="1616"/>
      <c r="CX92" s="1616"/>
      <c r="CY92" s="1616"/>
      <c r="CZ92" s="1616"/>
      <c r="DA92" s="1616"/>
      <c r="DB92" s="1616"/>
      <c r="DC92" s="1616"/>
      <c r="DD92" s="1616"/>
      <c r="DE92" s="1616"/>
      <c r="DF92" s="1616"/>
      <c r="DG92" s="1616"/>
      <c r="DH92" s="1616"/>
      <c r="DI92" s="1616"/>
      <c r="DJ92" s="1616"/>
      <c r="DK92" s="1616"/>
      <c r="DL92" s="1616"/>
      <c r="DM92" s="1616"/>
      <c r="DN92" s="1616"/>
      <c r="DO92" s="1616"/>
      <c r="DP92" s="1616"/>
      <c r="DQ92" s="1616"/>
      <c r="DR92" s="1616"/>
      <c r="DS92" s="1616"/>
      <c r="DT92" s="1616"/>
      <c r="DU92" s="1616"/>
      <c r="DV92" s="1616"/>
      <c r="DW92" s="1616"/>
      <c r="DX92" s="1616"/>
      <c r="DY92" s="1616"/>
      <c r="DZ92" s="1616"/>
      <c r="EA92" s="1616"/>
      <c r="EB92" s="1616"/>
      <c r="EC92" s="1616"/>
      <c r="ED92" s="1616"/>
      <c r="EE92" s="1616"/>
      <c r="EF92" s="1616"/>
      <c r="EG92" s="1616"/>
      <c r="EH92" s="1616"/>
      <c r="EI92" s="1616"/>
      <c r="EJ92" s="1616"/>
      <c r="EK92" s="1616"/>
      <c r="EL92" s="1616"/>
      <c r="EM92" s="1616"/>
      <c r="EN92" s="1616"/>
      <c r="EO92" s="1616"/>
      <c r="EP92" s="1616"/>
      <c r="EQ92" s="1616"/>
      <c r="ER92" s="1616"/>
      <c r="ES92" s="1616"/>
      <c r="ET92" s="1616"/>
      <c r="EU92" s="1616"/>
      <c r="EV92" s="1616"/>
      <c r="EW92" s="1616"/>
      <c r="EX92" s="1616"/>
      <c r="EY92" s="1616"/>
      <c r="EZ92" s="1616"/>
      <c r="FA92" s="1616"/>
      <c r="FB92" s="1616"/>
      <c r="FC92" s="1616"/>
      <c r="FD92" s="1616"/>
      <c r="FE92" s="1616"/>
      <c r="FF92" s="1616"/>
      <c r="FG92" s="1616"/>
      <c r="FH92" s="1616"/>
      <c r="FI92" s="1616"/>
      <c r="FJ92" s="1616"/>
      <c r="FK92" s="1616"/>
      <c r="FL92" s="1616"/>
      <c r="FM92" s="1616"/>
      <c r="FN92" s="1616"/>
      <c r="FO92" s="1616"/>
      <c r="FP92" s="1616"/>
      <c r="FQ92" s="1616"/>
      <c r="FR92" s="1616"/>
      <c r="FS92" s="1616"/>
      <c r="FT92" s="1616"/>
      <c r="FU92" s="1616"/>
      <c r="FV92" s="1616"/>
      <c r="FW92" s="1616"/>
      <c r="FX92" s="1616"/>
      <c r="FY92" s="1616"/>
      <c r="FZ92" s="1616"/>
      <c r="GA92" s="1616"/>
      <c r="GB92" s="1616"/>
      <c r="GC92" s="1616"/>
      <c r="GD92" s="1616"/>
      <c r="GE92" s="1616"/>
      <c r="GF92" s="1616"/>
      <c r="GG92" s="1616"/>
      <c r="GH92" s="1616"/>
      <c r="GI92" s="1616"/>
      <c r="GJ92" s="1616"/>
      <c r="GK92" s="1616"/>
      <c r="GL92" s="1616"/>
      <c r="GM92" s="1616"/>
      <c r="GN92" s="1616"/>
      <c r="GO92" s="1616"/>
      <c r="GP92" s="1616"/>
      <c r="GQ92" s="1616"/>
      <c r="GR92" s="1616"/>
      <c r="GS92" s="1616"/>
      <c r="GT92" s="1616"/>
      <c r="GU92" s="1616"/>
      <c r="GV92" s="1616"/>
      <c r="GW92" s="1616"/>
      <c r="GX92" s="1616"/>
      <c r="GY92" s="1616"/>
      <c r="GZ92" s="1616"/>
      <c r="HA92" s="1616"/>
      <c r="HB92" s="1616"/>
      <c r="HC92" s="1616"/>
      <c r="HD92" s="1616"/>
      <c r="HE92" s="1616"/>
      <c r="HF92" s="1616"/>
      <c r="HG92" s="1616"/>
      <c r="HH92" s="1616"/>
      <c r="HI92" s="1616"/>
      <c r="HJ92" s="1616"/>
      <c r="HK92" s="1616"/>
      <c r="HL92" s="1616"/>
      <c r="HM92" s="1616"/>
      <c r="HN92" s="1616"/>
      <c r="HO92" s="1616"/>
      <c r="HP92" s="1616"/>
      <c r="HQ92" s="1616"/>
      <c r="HR92" s="1616"/>
      <c r="HS92" s="1616"/>
      <c r="HT92" s="1616"/>
      <c r="HU92" s="1616"/>
      <c r="HV92" s="1616"/>
      <c r="HW92" s="1616"/>
      <c r="HX92" s="1616"/>
      <c r="HY92" s="1616"/>
      <c r="HZ92" s="1616"/>
      <c r="IA92" s="1616"/>
      <c r="IB92" s="1616"/>
      <c r="IC92" s="1616"/>
      <c r="ID92" s="1616"/>
      <c r="IE92" s="1616"/>
      <c r="IF92" s="1616"/>
      <c r="IG92" s="1616"/>
      <c r="IH92" s="1616"/>
      <c r="II92" s="1616"/>
      <c r="IJ92" s="1616"/>
      <c r="IK92" s="1616"/>
      <c r="IL92" s="1616"/>
      <c r="IM92" s="1616"/>
      <c r="IN92" s="1616"/>
      <c r="IO92" s="1616"/>
      <c r="IP92" s="1616"/>
      <c r="IQ92" s="1616"/>
      <c r="IR92" s="1616"/>
      <c r="IS92" s="1616"/>
      <c r="IT92" s="1616"/>
      <c r="IU92" s="1616"/>
    </row>
    <row r="93" spans="1:255" s="604" customFormat="1" ht="27" customHeight="1">
      <c r="A93" s="595"/>
      <c r="B93" s="596"/>
      <c r="C93" s="597"/>
      <c r="D93" s="719" t="s">
        <v>5843</v>
      </c>
      <c r="E93" s="599"/>
      <c r="F93" s="600"/>
      <c r="G93" s="289"/>
      <c r="H93" s="601"/>
      <c r="I93" s="602"/>
      <c r="J93" s="606"/>
      <c r="U93" s="605"/>
      <c r="W93" s="605"/>
    </row>
    <row r="94" spans="1:255" s="1248" customFormat="1" ht="13.5" customHeight="1">
      <c r="A94" s="1614">
        <v>27</v>
      </c>
      <c r="B94" s="1615" t="s">
        <v>5808</v>
      </c>
      <c r="C94" s="1615">
        <v>460451433</v>
      </c>
      <c r="D94" s="1615" t="s">
        <v>5844</v>
      </c>
      <c r="E94" s="1615" t="s">
        <v>141</v>
      </c>
      <c r="F94" s="573">
        <f>ROUND(SUM(F96),3)</f>
        <v>0.61</v>
      </c>
      <c r="G94" s="288"/>
      <c r="H94" s="568">
        <f>ROUND(F94*G94,2)</f>
        <v>0</v>
      </c>
      <c r="I94" s="613" t="s">
        <v>137</v>
      </c>
      <c r="J94" s="1621"/>
      <c r="BQ94" s="1616"/>
      <c r="BR94" s="1616"/>
      <c r="BS94" s="1616"/>
      <c r="BT94" s="1616"/>
      <c r="BU94" s="1616"/>
      <c r="BV94" s="1616"/>
      <c r="BW94" s="1616"/>
      <c r="BX94" s="1616"/>
      <c r="BY94" s="1616"/>
      <c r="BZ94" s="1616"/>
      <c r="CA94" s="1616"/>
      <c r="CB94" s="1616"/>
      <c r="CC94" s="1616"/>
      <c r="CD94" s="1616"/>
      <c r="CE94" s="1616"/>
      <c r="CF94" s="1616"/>
      <c r="CG94" s="1616"/>
      <c r="CH94" s="1616"/>
      <c r="CI94" s="1616"/>
      <c r="CJ94" s="1616"/>
      <c r="CK94" s="1616"/>
      <c r="CL94" s="1616"/>
      <c r="CM94" s="1616"/>
      <c r="CN94" s="1616"/>
      <c r="CO94" s="1616"/>
      <c r="CP94" s="1616"/>
      <c r="CQ94" s="1616"/>
      <c r="CR94" s="1616"/>
      <c r="CS94" s="1616"/>
      <c r="CT94" s="1616"/>
      <c r="CU94" s="1616"/>
      <c r="CV94" s="1616"/>
      <c r="CW94" s="1616"/>
      <c r="CX94" s="1616"/>
      <c r="CY94" s="1616"/>
      <c r="CZ94" s="1616"/>
      <c r="DA94" s="1616"/>
      <c r="DB94" s="1616"/>
      <c r="DC94" s="1616"/>
      <c r="DD94" s="1616"/>
      <c r="DE94" s="1616"/>
      <c r="DF94" s="1616"/>
      <c r="DG94" s="1616"/>
      <c r="DH94" s="1616"/>
      <c r="DI94" s="1616"/>
      <c r="DJ94" s="1616"/>
      <c r="DK94" s="1616"/>
      <c r="DL94" s="1616"/>
      <c r="DM94" s="1616"/>
      <c r="DN94" s="1616"/>
      <c r="DO94" s="1616"/>
      <c r="DP94" s="1616"/>
      <c r="DQ94" s="1616"/>
      <c r="DR94" s="1616"/>
      <c r="DS94" s="1616"/>
      <c r="DT94" s="1616"/>
      <c r="DU94" s="1616"/>
      <c r="DV94" s="1616"/>
      <c r="DW94" s="1616"/>
      <c r="DX94" s="1616"/>
      <c r="DY94" s="1616"/>
      <c r="DZ94" s="1616"/>
      <c r="EA94" s="1616"/>
      <c r="EB94" s="1616"/>
      <c r="EC94" s="1616"/>
      <c r="ED94" s="1616"/>
      <c r="EE94" s="1616"/>
      <c r="EF94" s="1616"/>
      <c r="EG94" s="1616"/>
      <c r="EH94" s="1616"/>
      <c r="EI94" s="1616"/>
      <c r="EJ94" s="1616"/>
      <c r="EK94" s="1616"/>
      <c r="EL94" s="1616"/>
      <c r="EM94" s="1616"/>
      <c r="EN94" s="1616"/>
      <c r="EO94" s="1616"/>
      <c r="EP94" s="1616"/>
      <c r="EQ94" s="1616"/>
      <c r="ER94" s="1616"/>
      <c r="ES94" s="1616"/>
      <c r="ET94" s="1616"/>
      <c r="EU94" s="1616"/>
      <c r="EV94" s="1616"/>
      <c r="EW94" s="1616"/>
      <c r="EX94" s="1616"/>
      <c r="EY94" s="1616"/>
      <c r="EZ94" s="1616"/>
      <c r="FA94" s="1616"/>
      <c r="FB94" s="1616"/>
      <c r="FC94" s="1616"/>
      <c r="FD94" s="1616"/>
      <c r="FE94" s="1616"/>
      <c r="FF94" s="1616"/>
      <c r="FG94" s="1616"/>
      <c r="FH94" s="1616"/>
      <c r="FI94" s="1616"/>
      <c r="FJ94" s="1616"/>
      <c r="FK94" s="1616"/>
      <c r="FL94" s="1616"/>
      <c r="FM94" s="1616"/>
      <c r="FN94" s="1616"/>
      <c r="FO94" s="1616"/>
      <c r="FP94" s="1616"/>
      <c r="FQ94" s="1616"/>
      <c r="FR94" s="1616"/>
      <c r="FS94" s="1616"/>
      <c r="FT94" s="1616"/>
      <c r="FU94" s="1616"/>
      <c r="FV94" s="1616"/>
      <c r="FW94" s="1616"/>
      <c r="FX94" s="1616"/>
      <c r="FY94" s="1616"/>
      <c r="FZ94" s="1616"/>
      <c r="GA94" s="1616"/>
      <c r="GB94" s="1616"/>
      <c r="GC94" s="1616"/>
      <c r="GD94" s="1616"/>
      <c r="GE94" s="1616"/>
      <c r="GF94" s="1616"/>
      <c r="GG94" s="1616"/>
      <c r="GH94" s="1616"/>
      <c r="GI94" s="1616"/>
      <c r="GJ94" s="1616"/>
      <c r="GK94" s="1616"/>
      <c r="GL94" s="1616"/>
      <c r="GM94" s="1616"/>
      <c r="GN94" s="1616"/>
      <c r="GO94" s="1616"/>
      <c r="GP94" s="1616"/>
      <c r="GQ94" s="1616"/>
      <c r="GR94" s="1616"/>
      <c r="GS94" s="1616"/>
      <c r="GT94" s="1616"/>
      <c r="GU94" s="1616"/>
      <c r="GV94" s="1616"/>
      <c r="GW94" s="1616"/>
      <c r="GX94" s="1616"/>
      <c r="GY94" s="1616"/>
      <c r="GZ94" s="1616"/>
      <c r="HA94" s="1616"/>
      <c r="HB94" s="1616"/>
      <c r="HC94" s="1616"/>
      <c r="HD94" s="1616"/>
      <c r="HE94" s="1616"/>
      <c r="HF94" s="1616"/>
      <c r="HG94" s="1616"/>
      <c r="HH94" s="1616"/>
      <c r="HI94" s="1616"/>
      <c r="HJ94" s="1616"/>
      <c r="HK94" s="1616"/>
      <c r="HL94" s="1616"/>
      <c r="HM94" s="1616"/>
      <c r="HN94" s="1616"/>
      <c r="HO94" s="1616"/>
      <c r="HP94" s="1616"/>
      <c r="HQ94" s="1616"/>
      <c r="HR94" s="1616"/>
      <c r="HS94" s="1616"/>
      <c r="HT94" s="1616"/>
      <c r="HU94" s="1616"/>
      <c r="HV94" s="1616"/>
      <c r="HW94" s="1616"/>
      <c r="HX94" s="1616"/>
      <c r="HY94" s="1616"/>
      <c r="HZ94" s="1616"/>
      <c r="IA94" s="1616"/>
      <c r="IB94" s="1616"/>
      <c r="IC94" s="1616"/>
      <c r="ID94" s="1616"/>
      <c r="IE94" s="1616"/>
      <c r="IF94" s="1616"/>
      <c r="IG94" s="1616"/>
      <c r="IH94" s="1616"/>
      <c r="II94" s="1616"/>
      <c r="IJ94" s="1616"/>
      <c r="IK94" s="1616"/>
      <c r="IL94" s="1616"/>
      <c r="IM94" s="1616"/>
      <c r="IN94" s="1616"/>
      <c r="IO94" s="1616"/>
      <c r="IP94" s="1616"/>
      <c r="IQ94" s="1616"/>
      <c r="IR94" s="1616"/>
      <c r="IS94" s="1616"/>
      <c r="IT94" s="1616"/>
      <c r="IU94" s="1616"/>
    </row>
    <row r="95" spans="1:255" s="1248" customFormat="1" ht="13.5" customHeight="1">
      <c r="A95" s="1614"/>
      <c r="B95" s="1615"/>
      <c r="C95" s="1615"/>
      <c r="D95" s="719" t="s">
        <v>6115</v>
      </c>
      <c r="E95" s="1615"/>
      <c r="F95" s="1444"/>
      <c r="G95" s="288"/>
      <c r="H95" s="609"/>
      <c r="I95" s="613"/>
      <c r="J95" s="1612"/>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6117</v>
      </c>
      <c r="E96" s="599"/>
      <c r="F96" s="600">
        <f>(6.1)*(0.1)</f>
        <v>0.61</v>
      </c>
      <c r="G96" s="289"/>
      <c r="H96" s="601"/>
      <c r="I96" s="602"/>
      <c r="J96" s="606"/>
      <c r="U96" s="605"/>
      <c r="W96" s="605"/>
    </row>
    <row r="97" spans="1:255" s="604" customFormat="1" ht="27" customHeight="1">
      <c r="A97" s="595"/>
      <c r="B97" s="596"/>
      <c r="C97" s="597"/>
      <c r="D97" s="719" t="s">
        <v>5843</v>
      </c>
      <c r="E97" s="599"/>
      <c r="F97" s="600"/>
      <c r="G97" s="289"/>
      <c r="H97" s="601"/>
      <c r="I97" s="602"/>
      <c r="J97" s="1623"/>
      <c r="U97" s="605"/>
      <c r="W97" s="605"/>
    </row>
    <row r="98" spans="1:255" s="1248" customFormat="1" ht="13.5" customHeight="1">
      <c r="A98" s="1614">
        <v>28</v>
      </c>
      <c r="B98" s="1615" t="s">
        <v>5808</v>
      </c>
      <c r="C98" s="1615">
        <v>460661113</v>
      </c>
      <c r="D98" s="1615" t="s">
        <v>5851</v>
      </c>
      <c r="E98" s="1615" t="s">
        <v>141</v>
      </c>
      <c r="F98" s="573">
        <f>ROUND(SUM(F100),3)</f>
        <v>12.2</v>
      </c>
      <c r="G98" s="288"/>
      <c r="H98" s="568">
        <f>ROUND(F98*G98,2)</f>
        <v>0</v>
      </c>
      <c r="I98" s="613" t="s">
        <v>137</v>
      </c>
      <c r="J98" s="1612"/>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1248" customFormat="1" ht="13.5" customHeight="1">
      <c r="A99" s="1614"/>
      <c r="B99" s="1615"/>
      <c r="C99" s="1615"/>
      <c r="D99" s="719" t="s">
        <v>6118</v>
      </c>
      <c r="E99" s="1615"/>
      <c r="F99" s="1444"/>
      <c r="G99" s="288"/>
      <c r="H99" s="609"/>
      <c r="I99" s="613"/>
      <c r="J99" s="1612"/>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6119</v>
      </c>
      <c r="E100" s="599"/>
      <c r="F100" s="600">
        <f>(6.1)*2</f>
        <v>12.2</v>
      </c>
      <c r="G100" s="289"/>
      <c r="H100" s="601"/>
      <c r="I100" s="602"/>
      <c r="J100" s="606"/>
      <c r="U100" s="605"/>
      <c r="W100" s="605"/>
    </row>
    <row r="101" spans="1:255" s="604" customFormat="1" ht="13.5" customHeight="1">
      <c r="A101" s="595"/>
      <c r="B101" s="596"/>
      <c r="C101" s="597"/>
      <c r="D101" s="719" t="s">
        <v>5854</v>
      </c>
      <c r="E101" s="599"/>
      <c r="F101" s="600"/>
      <c r="G101" s="289"/>
      <c r="H101" s="601"/>
      <c r="I101" s="602"/>
      <c r="J101" s="606"/>
      <c r="U101" s="605"/>
      <c r="W101" s="605"/>
    </row>
    <row r="102" spans="1:255" s="604" customFormat="1" ht="27" customHeight="1">
      <c r="A102" s="595"/>
      <c r="B102" s="596"/>
      <c r="C102" s="597"/>
      <c r="D102" s="719" t="s">
        <v>5855</v>
      </c>
      <c r="E102" s="599"/>
      <c r="F102" s="600"/>
      <c r="G102" s="289"/>
      <c r="H102" s="601"/>
      <c r="I102" s="602"/>
      <c r="J102" s="606"/>
      <c r="U102" s="605"/>
      <c r="W102" s="605"/>
    </row>
    <row r="103" spans="1:255" s="1248" customFormat="1" ht="13.5" customHeight="1">
      <c r="A103" s="1614">
        <v>29</v>
      </c>
      <c r="B103" s="1615" t="s">
        <v>5808</v>
      </c>
      <c r="C103" s="1615">
        <v>460671113</v>
      </c>
      <c r="D103" s="1615" t="s">
        <v>5859</v>
      </c>
      <c r="E103" s="1615" t="s">
        <v>141</v>
      </c>
      <c r="F103" s="573">
        <f>ROUND(SUM(F105),3)</f>
        <v>12.2</v>
      </c>
      <c r="G103" s="288"/>
      <c r="H103" s="568">
        <f>ROUND(F103*G103,2)</f>
        <v>0</v>
      </c>
      <c r="I103" s="613" t="s">
        <v>137</v>
      </c>
      <c r="J103" s="1612"/>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1248" customFormat="1" ht="13.5" customHeight="1">
      <c r="A104" s="1614"/>
      <c r="B104" s="1615"/>
      <c r="C104" s="1615"/>
      <c r="D104" s="719" t="s">
        <v>6120</v>
      </c>
      <c r="E104" s="1615"/>
      <c r="F104" s="1444"/>
      <c r="G104" s="288"/>
      <c r="H104" s="609"/>
      <c r="I104" s="613"/>
      <c r="J104" s="1612"/>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6121</v>
      </c>
      <c r="E105" s="599"/>
      <c r="F105" s="600">
        <f>(6.1)*2</f>
        <v>12.2</v>
      </c>
      <c r="G105" s="289"/>
      <c r="H105" s="601"/>
      <c r="I105" s="602"/>
      <c r="J105" s="606"/>
      <c r="U105" s="605"/>
      <c r="W105" s="605"/>
    </row>
    <row r="106" spans="1:255" s="1248" customFormat="1" ht="13.5" customHeight="1">
      <c r="A106" s="1624" t="s">
        <v>5552</v>
      </c>
      <c r="B106" s="1615" t="s">
        <v>5808</v>
      </c>
      <c r="C106" s="1615" t="s">
        <v>5865</v>
      </c>
      <c r="D106" s="1615" t="s">
        <v>6045</v>
      </c>
      <c r="E106" s="1615" t="s">
        <v>141</v>
      </c>
      <c r="F106" s="573">
        <f>ROUND(SUM(F108:F108),3)</f>
        <v>1.65</v>
      </c>
      <c r="G106" s="288"/>
      <c r="H106" s="568">
        <f>ROUND(F106*G106,2)</f>
        <v>0</v>
      </c>
      <c r="I106" s="1014" t="s">
        <v>111</v>
      </c>
      <c r="J106" s="1565"/>
      <c r="K106" s="612"/>
      <c r="U106" s="1569"/>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631" customFormat="1" ht="13.5" customHeight="1">
      <c r="A107" s="1625"/>
      <c r="B107" s="1626"/>
      <c r="C107" s="1627"/>
      <c r="D107" s="1628" t="s">
        <v>6046</v>
      </c>
      <c r="E107" s="599"/>
      <c r="F107" s="600"/>
      <c r="G107" s="410"/>
      <c r="H107" s="1629"/>
      <c r="I107" s="1630"/>
      <c r="J107" s="1566"/>
      <c r="K107" s="1567"/>
      <c r="L107" s="604"/>
      <c r="M107" s="604"/>
      <c r="N107" s="604"/>
      <c r="O107" s="604"/>
      <c r="P107" s="604"/>
      <c r="Q107" s="604"/>
      <c r="R107" s="604"/>
      <c r="S107" s="604"/>
      <c r="T107" s="604"/>
      <c r="U107" s="1572"/>
      <c r="W107" s="1632"/>
    </row>
    <row r="108" spans="1:255" s="1631" customFormat="1" ht="13.5" customHeight="1">
      <c r="A108" s="1625"/>
      <c r="B108" s="1626"/>
      <c r="C108" s="1627"/>
      <c r="D108" s="1628" t="s">
        <v>6122</v>
      </c>
      <c r="E108" s="599"/>
      <c r="F108" s="600">
        <f>(1.5)*1.1</f>
        <v>1.6500000000000001</v>
      </c>
      <c r="G108" s="410"/>
      <c r="H108" s="1629"/>
      <c r="I108" s="1630"/>
      <c r="J108" s="1639"/>
      <c r="U108" s="1632"/>
      <c r="W108" s="1632"/>
    </row>
    <row r="109" spans="1:255" s="1631" customFormat="1" ht="13.5" customHeight="1">
      <c r="A109" s="1625"/>
      <c r="B109" s="1626"/>
      <c r="C109" s="1627"/>
      <c r="D109" s="1634" t="s">
        <v>5869</v>
      </c>
      <c r="E109" s="599"/>
      <c r="F109" s="600"/>
      <c r="G109" s="410"/>
      <c r="H109" s="1629"/>
      <c r="I109" s="1630"/>
      <c r="J109" s="1635"/>
      <c r="P109" s="1636"/>
      <c r="U109" s="1632"/>
      <c r="W109" s="1632"/>
    </row>
    <row r="110" spans="1:255" s="1631" customFormat="1" ht="13.5" customHeight="1">
      <c r="A110" s="1625"/>
      <c r="B110" s="1626"/>
      <c r="C110" s="1627"/>
      <c r="D110" s="1634" t="s">
        <v>5870</v>
      </c>
      <c r="E110" s="599"/>
      <c r="F110" s="600"/>
      <c r="G110" s="410"/>
      <c r="H110" s="1629"/>
      <c r="I110" s="1630"/>
      <c r="J110" s="1637"/>
      <c r="U110" s="1632"/>
      <c r="W110" s="1632"/>
    </row>
    <row r="111" spans="1:255" s="1248" customFormat="1" ht="13.5" customHeight="1">
      <c r="A111" s="1624" t="s">
        <v>5452</v>
      </c>
      <c r="B111" s="1615" t="s">
        <v>5808</v>
      </c>
      <c r="C111" s="1615" t="s">
        <v>5871</v>
      </c>
      <c r="D111" s="1615" t="s">
        <v>6048</v>
      </c>
      <c r="E111" s="1615" t="s">
        <v>141</v>
      </c>
      <c r="F111" s="573">
        <f>ROUND(SUM(F113),3)</f>
        <v>6.71</v>
      </c>
      <c r="G111" s="288"/>
      <c r="H111" s="568">
        <f>ROUND(F111*G111,2)</f>
        <v>0</v>
      </c>
      <c r="I111" s="1014" t="s">
        <v>111</v>
      </c>
      <c r="J111" s="1565"/>
      <c r="K111" s="612"/>
      <c r="U111" s="1569"/>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1631" customFormat="1" ht="13.5" customHeight="1">
      <c r="A112" s="1625"/>
      <c r="B112" s="1626"/>
      <c r="C112" s="1627"/>
      <c r="D112" s="1628" t="s">
        <v>6049</v>
      </c>
      <c r="E112" s="599"/>
      <c r="F112" s="600"/>
      <c r="G112" s="410"/>
      <c r="H112" s="1629"/>
      <c r="I112" s="1630"/>
      <c r="J112" s="1566"/>
      <c r="K112" s="1567"/>
      <c r="L112" s="604"/>
      <c r="M112" s="604"/>
      <c r="N112" s="604"/>
      <c r="O112" s="604"/>
      <c r="P112" s="604"/>
      <c r="Q112" s="604"/>
      <c r="R112" s="604"/>
      <c r="S112" s="604"/>
      <c r="T112" s="604"/>
      <c r="U112" s="1572"/>
    </row>
    <row r="113" spans="1:256" s="1631" customFormat="1" ht="13.5" customHeight="1">
      <c r="A113" s="1625"/>
      <c r="B113" s="1626"/>
      <c r="C113" s="1627"/>
      <c r="D113" s="1628" t="s">
        <v>6123</v>
      </c>
      <c r="E113" s="599"/>
      <c r="F113" s="600">
        <f>(6.1)*1.1</f>
        <v>6.71</v>
      </c>
      <c r="G113" s="410"/>
      <c r="H113" s="1629"/>
      <c r="I113" s="1630"/>
      <c r="J113" s="1566"/>
      <c r="K113" s="1567"/>
      <c r="U113" s="1572"/>
      <c r="W113" s="1638"/>
    </row>
    <row r="114" spans="1:256" s="1631" customFormat="1" ht="13.5" customHeight="1">
      <c r="A114" s="1625"/>
      <c r="B114" s="1626"/>
      <c r="C114" s="1627"/>
      <c r="D114" s="1634" t="s">
        <v>5869</v>
      </c>
      <c r="E114" s="599"/>
      <c r="F114" s="600"/>
      <c r="G114" s="410"/>
      <c r="H114" s="1629"/>
      <c r="I114" s="1630"/>
      <c r="J114" s="1639"/>
      <c r="U114" s="1632"/>
      <c r="W114" s="1632"/>
    </row>
    <row r="115" spans="1:256" s="1631" customFormat="1" ht="13.5" customHeight="1">
      <c r="A115" s="1625"/>
      <c r="B115" s="1626"/>
      <c r="C115" s="1627"/>
      <c r="D115" s="1634" t="s">
        <v>5870</v>
      </c>
      <c r="E115" s="599"/>
      <c r="F115" s="600"/>
      <c r="G115" s="410"/>
      <c r="H115" s="1629"/>
      <c r="I115" s="1630"/>
      <c r="J115" s="1637"/>
      <c r="N115" s="1635"/>
      <c r="U115" s="1632"/>
      <c r="W115" s="1632"/>
    </row>
    <row r="116" spans="1:256" s="1248" customFormat="1" ht="27" customHeight="1">
      <c r="A116" s="1614">
        <v>32</v>
      </c>
      <c r="B116" s="1252">
        <v>946</v>
      </c>
      <c r="C116" s="1245" t="s">
        <v>5875</v>
      </c>
      <c r="D116" s="1245" t="s">
        <v>5876</v>
      </c>
      <c r="E116" s="1245" t="s">
        <v>146</v>
      </c>
      <c r="F116" s="1640">
        <f>ROUND(SUM(F118,F120),3)</f>
        <v>1.9830000000000001</v>
      </c>
      <c r="G116" s="1641">
        <f>ROUND(SUM(H122:H125)/F116,2)</f>
        <v>0</v>
      </c>
      <c r="H116" s="568">
        <f>ROUND(F116*G116,2)</f>
        <v>0</v>
      </c>
      <c r="I116" s="1280" t="s">
        <v>111</v>
      </c>
    </row>
    <row r="117" spans="1:256" s="1248" customFormat="1" ht="13.5" customHeight="1">
      <c r="A117" s="1244"/>
      <c r="B117" s="1252"/>
      <c r="C117" s="1245"/>
      <c r="D117" s="1255" t="s">
        <v>4784</v>
      </c>
      <c r="E117" s="1245"/>
      <c r="F117" s="1246"/>
      <c r="G117" s="404"/>
      <c r="H117" s="1247"/>
      <c r="I117" s="1280"/>
      <c r="J117" s="1642"/>
      <c r="K117" s="1643"/>
      <c r="L117" s="1643"/>
      <c r="M117" s="1642"/>
      <c r="N117" s="1644"/>
    </row>
    <row r="118" spans="1:256" s="593" customFormat="1" ht="13.5" customHeight="1">
      <c r="A118" s="789"/>
      <c r="B118" s="790"/>
      <c r="C118" s="1245"/>
      <c r="D118" s="756" t="s">
        <v>182</v>
      </c>
      <c r="E118" s="1260"/>
      <c r="F118" s="758">
        <f>SUM(F119)</f>
        <v>1.7842499999999999</v>
      </c>
      <c r="G118" s="879"/>
      <c r="H118" s="587"/>
      <c r="I118" s="1014"/>
      <c r="J118" s="1262"/>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row>
    <row r="119" spans="1:256" s="1248" customFormat="1" ht="27" customHeight="1">
      <c r="A119" s="1524"/>
      <c r="B119" s="1525"/>
      <c r="C119" s="1645"/>
      <c r="D119" s="1255" t="s">
        <v>6124</v>
      </c>
      <c r="E119" s="1255"/>
      <c r="F119" s="1249">
        <f>(6.1*0.65*0.5)*(0.85+0.05)</f>
        <v>1.7842499999999999</v>
      </c>
      <c r="G119" s="404"/>
      <c r="H119" s="1247"/>
      <c r="I119" s="1492"/>
      <c r="J119" s="1523"/>
    </row>
    <row r="120" spans="1:256" s="593" customFormat="1" ht="13.5" customHeight="1">
      <c r="A120" s="789"/>
      <c r="B120" s="790"/>
      <c r="C120" s="1245"/>
      <c r="D120" s="756" t="s">
        <v>185</v>
      </c>
      <c r="E120" s="1260"/>
      <c r="F120" s="758">
        <f>SUM(F121)</f>
        <v>0.19825000000000001</v>
      </c>
      <c r="G120" s="879"/>
      <c r="H120" s="587"/>
      <c r="I120" s="1014"/>
      <c r="J120" s="1262"/>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c r="HF120" s="213"/>
      <c r="HG120" s="213"/>
      <c r="HH120" s="213"/>
      <c r="HI120" s="213"/>
      <c r="HJ120" s="213"/>
      <c r="HK120" s="213"/>
      <c r="HL120" s="213"/>
      <c r="HM120" s="213"/>
      <c r="HN120" s="213"/>
      <c r="HO120" s="213"/>
      <c r="HP120" s="213"/>
      <c r="HQ120" s="213"/>
      <c r="HR120" s="213"/>
      <c r="HS120" s="213"/>
      <c r="HT120" s="213"/>
      <c r="HU120" s="213"/>
      <c r="HV120" s="213"/>
      <c r="HW120" s="213"/>
      <c r="HX120" s="213"/>
      <c r="HY120" s="213"/>
      <c r="HZ120" s="213"/>
      <c r="IA120" s="213"/>
      <c r="IB120" s="213"/>
      <c r="IC120" s="213"/>
      <c r="ID120" s="213"/>
      <c r="IE120" s="213"/>
      <c r="IF120" s="213"/>
      <c r="IG120" s="213"/>
      <c r="IH120" s="213"/>
      <c r="II120" s="213"/>
      <c r="IJ120" s="213"/>
      <c r="IK120" s="213"/>
      <c r="IL120" s="213"/>
      <c r="IM120" s="213"/>
      <c r="IN120" s="213"/>
      <c r="IO120" s="213"/>
      <c r="IP120" s="213"/>
      <c r="IQ120" s="213"/>
      <c r="IR120" s="213"/>
      <c r="IS120" s="213"/>
      <c r="IT120" s="213"/>
      <c r="IU120" s="213"/>
      <c r="IV120" s="213"/>
    </row>
    <row r="121" spans="1:256" s="1248" customFormat="1" ht="27" customHeight="1">
      <c r="A121" s="1524"/>
      <c r="B121" s="1525"/>
      <c r="C121" s="1645"/>
      <c r="D121" s="1255" t="s">
        <v>6125</v>
      </c>
      <c r="E121" s="1255"/>
      <c r="F121" s="1249">
        <f>(6.1*0.65*0.5)*(0.1)</f>
        <v>0.19825000000000001</v>
      </c>
      <c r="G121" s="404"/>
      <c r="H121" s="1247"/>
      <c r="I121" s="1492"/>
      <c r="J121" s="1523"/>
    </row>
    <row r="122" spans="1:256" s="1248" customFormat="1" ht="13.5" customHeight="1">
      <c r="A122" s="1518" t="s">
        <v>5579</v>
      </c>
      <c r="B122" s="1245"/>
      <c r="C122" s="777">
        <v>460371121</v>
      </c>
      <c r="D122" s="1255" t="s">
        <v>5880</v>
      </c>
      <c r="E122" s="1259" t="s">
        <v>146</v>
      </c>
      <c r="F122" s="1249">
        <f>F118</f>
        <v>1.7842499999999999</v>
      </c>
      <c r="G122" s="415"/>
      <c r="H122" s="803">
        <f t="shared" ref="H122:H125" si="0">ROUND(F122*G122,2)</f>
        <v>0</v>
      </c>
      <c r="I122" s="781" t="s">
        <v>137</v>
      </c>
      <c r="J122" s="647"/>
      <c r="K122" s="647"/>
      <c r="L122" s="612"/>
      <c r="M122" s="612"/>
      <c r="N122" s="612"/>
      <c r="O122" s="612"/>
      <c r="P122" s="612"/>
      <c r="Q122" s="612"/>
      <c r="R122" s="612"/>
      <c r="S122" s="788"/>
      <c r="V122" s="1646"/>
    </row>
    <row r="123" spans="1:256" s="1248" customFormat="1" ht="13.5" customHeight="1">
      <c r="A123" s="1518" t="s">
        <v>5582</v>
      </c>
      <c r="B123" s="1245"/>
      <c r="C123" s="777">
        <v>460371123</v>
      </c>
      <c r="D123" s="1255" t="s">
        <v>5882</v>
      </c>
      <c r="E123" s="1259" t="s">
        <v>146</v>
      </c>
      <c r="F123" s="1249">
        <f>F120</f>
        <v>0.19825000000000001</v>
      </c>
      <c r="G123" s="415"/>
      <c r="H123" s="803">
        <f t="shared" si="0"/>
        <v>0</v>
      </c>
      <c r="I123" s="781" t="s">
        <v>137</v>
      </c>
      <c r="J123" s="647"/>
      <c r="K123" s="647"/>
      <c r="L123" s="612"/>
      <c r="M123" s="612"/>
      <c r="N123" s="612"/>
      <c r="O123" s="612"/>
      <c r="P123" s="612"/>
      <c r="Q123" s="612"/>
      <c r="R123" s="612"/>
      <c r="S123" s="788"/>
      <c r="V123" s="1646"/>
    </row>
    <row r="124" spans="1:256" s="1248" customFormat="1" ht="27" customHeight="1">
      <c r="A124" s="1518" t="s">
        <v>5972</v>
      </c>
      <c r="B124" s="1245"/>
      <c r="C124" s="777">
        <v>460341112</v>
      </c>
      <c r="D124" s="1255" t="s">
        <v>5884</v>
      </c>
      <c r="E124" s="1259" t="s">
        <v>146</v>
      </c>
      <c r="F124" s="1249">
        <f>F116</f>
        <v>1.9830000000000001</v>
      </c>
      <c r="G124" s="415"/>
      <c r="H124" s="803">
        <f t="shared" si="0"/>
        <v>0</v>
      </c>
      <c r="I124" s="781" t="s">
        <v>137</v>
      </c>
      <c r="J124" s="647"/>
      <c r="K124" s="647"/>
      <c r="L124" s="612"/>
      <c r="M124" s="612"/>
      <c r="N124" s="612"/>
      <c r="O124" s="612"/>
      <c r="P124" s="612"/>
      <c r="Q124" s="612"/>
      <c r="R124" s="612"/>
      <c r="S124" s="788"/>
      <c r="V124" s="1646"/>
    </row>
    <row r="125" spans="1:256" s="1248" customFormat="1" ht="13.5" customHeight="1">
      <c r="A125" s="1518" t="s">
        <v>5973</v>
      </c>
      <c r="B125" s="1245"/>
      <c r="C125" s="777">
        <v>171251201</v>
      </c>
      <c r="D125" s="1255" t="s">
        <v>4795</v>
      </c>
      <c r="E125" s="1259" t="s">
        <v>146</v>
      </c>
      <c r="F125" s="1249">
        <f>F116</f>
        <v>1.9830000000000001</v>
      </c>
      <c r="G125" s="415"/>
      <c r="H125" s="803">
        <f t="shared" si="0"/>
        <v>0</v>
      </c>
      <c r="I125" s="781" t="s">
        <v>137</v>
      </c>
      <c r="J125" s="647"/>
      <c r="K125" s="647"/>
      <c r="L125" s="612"/>
      <c r="M125" s="612"/>
      <c r="N125" s="612"/>
      <c r="O125" s="612"/>
      <c r="P125" s="612"/>
      <c r="Q125" s="612"/>
      <c r="R125" s="612"/>
      <c r="S125" s="788"/>
      <c r="V125" s="1646"/>
    </row>
    <row r="126" spans="1:256" s="1248" customFormat="1" ht="13.5" customHeight="1">
      <c r="A126" s="1518"/>
      <c r="B126" s="1245"/>
      <c r="C126" s="777"/>
      <c r="D126" s="1255" t="s">
        <v>4796</v>
      </c>
      <c r="E126" s="1259"/>
      <c r="F126" s="1249"/>
      <c r="G126" s="416"/>
      <c r="H126" s="1267"/>
      <c r="I126" s="781"/>
      <c r="J126" s="647"/>
      <c r="K126" s="647"/>
      <c r="L126" s="612"/>
      <c r="M126" s="612"/>
      <c r="N126" s="612"/>
      <c r="O126" s="612"/>
      <c r="P126" s="612"/>
      <c r="Q126" s="612"/>
      <c r="R126" s="612"/>
      <c r="S126" s="788"/>
      <c r="V126" s="1646"/>
    </row>
    <row r="127" spans="1:256" s="1248" customFormat="1" ht="27" customHeight="1">
      <c r="A127" s="1244">
        <v>33</v>
      </c>
      <c r="B127" s="1252">
        <v>946</v>
      </c>
      <c r="C127" s="1245" t="s">
        <v>5886</v>
      </c>
      <c r="D127" s="1245" t="s">
        <v>5887</v>
      </c>
      <c r="E127" s="1245" t="s">
        <v>146</v>
      </c>
      <c r="F127" s="1640">
        <f>ROUND(SUM(F129,F131),3)</f>
        <v>1.9830000000000001</v>
      </c>
      <c r="G127" s="1641">
        <f>ROUND(SUM(H133:H135)/F127,2)</f>
        <v>0</v>
      </c>
      <c r="H127" s="568">
        <f>ROUND(F127*G127,2)</f>
        <v>0</v>
      </c>
      <c r="I127" s="1280" t="s">
        <v>111</v>
      </c>
    </row>
    <row r="128" spans="1:256" s="1248" customFormat="1" ht="13.5" customHeight="1">
      <c r="A128" s="1518"/>
      <c r="B128" s="1245"/>
      <c r="C128" s="777"/>
      <c r="D128" s="1255" t="s">
        <v>4799</v>
      </c>
      <c r="E128" s="1259"/>
      <c r="F128" s="1249"/>
      <c r="G128" s="416"/>
      <c r="H128" s="1267"/>
      <c r="I128" s="781"/>
      <c r="J128" s="647"/>
      <c r="K128" s="647"/>
      <c r="L128" s="612"/>
      <c r="M128" s="612"/>
      <c r="N128" s="612"/>
      <c r="O128" s="612"/>
      <c r="P128" s="612"/>
      <c r="Q128" s="612"/>
      <c r="R128" s="612"/>
      <c r="S128" s="788"/>
      <c r="V128" s="1646"/>
    </row>
    <row r="129" spans="1:256" s="593" customFormat="1" ht="13.5" customHeight="1">
      <c r="A129" s="789"/>
      <c r="B129" s="790"/>
      <c r="C129" s="1245"/>
      <c r="D129" s="756" t="s">
        <v>4800</v>
      </c>
      <c r="E129" s="1260"/>
      <c r="F129" s="758">
        <f>SUM(F130)</f>
        <v>1.7842499999999999</v>
      </c>
      <c r="G129" s="879"/>
      <c r="H129" s="587"/>
      <c r="I129" s="1014"/>
      <c r="J129" s="1262"/>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3"/>
      <c r="EA129" s="213"/>
      <c r="EB129" s="213"/>
      <c r="EC129" s="213"/>
      <c r="ED129" s="213"/>
      <c r="EE129" s="213"/>
      <c r="EF129" s="213"/>
      <c r="EG129" s="213"/>
      <c r="EH129" s="213"/>
      <c r="EI129" s="213"/>
      <c r="EJ129" s="213"/>
      <c r="EK129" s="213"/>
      <c r="EL129" s="213"/>
      <c r="EM129" s="213"/>
      <c r="EN129" s="213"/>
      <c r="EO129" s="213"/>
      <c r="EP129" s="213"/>
      <c r="EQ129" s="213"/>
      <c r="ER129" s="213"/>
      <c r="ES129" s="213"/>
      <c r="ET129" s="213"/>
      <c r="EU129" s="213"/>
      <c r="EV129" s="213"/>
      <c r="EW129" s="213"/>
      <c r="EX129" s="213"/>
      <c r="EY129" s="213"/>
      <c r="EZ129" s="213"/>
      <c r="FA129" s="213"/>
      <c r="FB129" s="213"/>
      <c r="FC129" s="213"/>
      <c r="FD129" s="213"/>
      <c r="FE129" s="213"/>
      <c r="FF129" s="213"/>
      <c r="FG129" s="213"/>
      <c r="FH129" s="213"/>
      <c r="FI129" s="213"/>
      <c r="FJ129" s="213"/>
      <c r="FK129" s="213"/>
      <c r="FL129" s="213"/>
      <c r="FM129" s="213"/>
      <c r="FN129" s="213"/>
      <c r="FO129" s="213"/>
      <c r="FP129" s="213"/>
      <c r="FQ129" s="213"/>
      <c r="FR129" s="213"/>
      <c r="FS129" s="213"/>
      <c r="FT129" s="213"/>
      <c r="FU129" s="213"/>
      <c r="FV129" s="213"/>
      <c r="FW129" s="213"/>
      <c r="FX129" s="213"/>
      <c r="FY129" s="213"/>
      <c r="FZ129" s="213"/>
      <c r="GA129" s="213"/>
      <c r="GB129" s="213"/>
      <c r="GC129" s="213"/>
      <c r="GD129" s="213"/>
      <c r="GE129" s="213"/>
      <c r="GF129" s="213"/>
      <c r="GG129" s="213"/>
      <c r="GH129" s="213"/>
      <c r="GI129" s="213"/>
      <c r="GJ129" s="213"/>
      <c r="GK129" s="213"/>
      <c r="GL129" s="213"/>
      <c r="GM129" s="213"/>
      <c r="GN129" s="213"/>
      <c r="GO129" s="213"/>
      <c r="GP129" s="213"/>
      <c r="GQ129" s="213"/>
      <c r="GR129" s="213"/>
      <c r="GS129" s="213"/>
      <c r="GT129" s="213"/>
      <c r="GU129" s="213"/>
      <c r="GV129" s="213"/>
      <c r="GW129" s="213"/>
      <c r="GX129" s="213"/>
      <c r="GY129" s="213"/>
      <c r="GZ129" s="213"/>
      <c r="HA129" s="213"/>
      <c r="HB129" s="213"/>
      <c r="HC129" s="213"/>
      <c r="HD129" s="213"/>
      <c r="HE129" s="213"/>
      <c r="HF129" s="213"/>
      <c r="HG129" s="213"/>
      <c r="HH129" s="213"/>
      <c r="HI129" s="213"/>
      <c r="HJ129" s="213"/>
      <c r="HK129" s="213"/>
      <c r="HL129" s="213"/>
      <c r="HM129" s="213"/>
      <c r="HN129" s="213"/>
      <c r="HO129" s="213"/>
      <c r="HP129" s="213"/>
      <c r="HQ129" s="213"/>
      <c r="HR129" s="213"/>
      <c r="HS129" s="213"/>
      <c r="HT129" s="213"/>
      <c r="HU129" s="213"/>
      <c r="HV129" s="213"/>
      <c r="HW129" s="213"/>
      <c r="HX129" s="213"/>
      <c r="HY129" s="213"/>
      <c r="HZ129" s="213"/>
      <c r="IA129" s="213"/>
      <c r="IB129" s="213"/>
      <c r="IC129" s="213"/>
      <c r="ID129" s="213"/>
      <c r="IE129" s="213"/>
      <c r="IF129" s="213"/>
      <c r="IG129" s="213"/>
      <c r="IH129" s="213"/>
      <c r="II129" s="213"/>
      <c r="IJ129" s="213"/>
      <c r="IK129" s="213"/>
      <c r="IL129" s="213"/>
      <c r="IM129" s="213"/>
      <c r="IN129" s="213"/>
      <c r="IO129" s="213"/>
      <c r="IP129" s="213"/>
      <c r="IQ129" s="213"/>
      <c r="IR129" s="213"/>
      <c r="IS129" s="213"/>
      <c r="IT129" s="213"/>
      <c r="IU129" s="213"/>
      <c r="IV129" s="213"/>
    </row>
    <row r="130" spans="1:256" s="1248" customFormat="1" ht="27" customHeight="1">
      <c r="A130" s="1524"/>
      <c r="B130" s="1525"/>
      <c r="C130" s="1645"/>
      <c r="D130" s="1255" t="s">
        <v>6126</v>
      </c>
      <c r="E130" s="1255"/>
      <c r="F130" s="1249">
        <f>(6.1*0.65*0.5)*(0.85+0.05)</f>
        <v>1.7842499999999999</v>
      </c>
      <c r="G130" s="404"/>
      <c r="H130" s="1247"/>
      <c r="I130" s="1492"/>
      <c r="J130" s="1523"/>
    </row>
    <row r="131" spans="1:256" s="593" customFormat="1" ht="13.5" customHeight="1">
      <c r="A131" s="789"/>
      <c r="B131" s="790"/>
      <c r="C131" s="1245"/>
      <c r="D131" s="756" t="s">
        <v>4802</v>
      </c>
      <c r="E131" s="1260"/>
      <c r="F131" s="758">
        <f>SUM(F132)</f>
        <v>0.19825000000000001</v>
      </c>
      <c r="G131" s="879"/>
      <c r="H131" s="587"/>
      <c r="I131" s="1014"/>
      <c r="J131" s="1262"/>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213"/>
      <c r="EV131" s="213"/>
      <c r="EW131" s="213"/>
      <c r="EX131" s="213"/>
      <c r="EY131" s="213"/>
      <c r="EZ131" s="213"/>
      <c r="FA131" s="213"/>
      <c r="FB131" s="213"/>
      <c r="FC131" s="213"/>
      <c r="FD131" s="213"/>
      <c r="FE131" s="213"/>
      <c r="FF131" s="213"/>
      <c r="FG131" s="213"/>
      <c r="FH131" s="213"/>
      <c r="FI131" s="213"/>
      <c r="FJ131" s="213"/>
      <c r="FK131" s="213"/>
      <c r="FL131" s="213"/>
      <c r="FM131" s="213"/>
      <c r="FN131" s="213"/>
      <c r="FO131" s="213"/>
      <c r="FP131" s="213"/>
      <c r="FQ131" s="213"/>
      <c r="FR131" s="213"/>
      <c r="FS131" s="213"/>
      <c r="FT131" s="213"/>
      <c r="FU131" s="213"/>
      <c r="FV131" s="213"/>
      <c r="FW131" s="213"/>
      <c r="FX131" s="213"/>
      <c r="FY131" s="213"/>
      <c r="FZ131" s="213"/>
      <c r="GA131" s="213"/>
      <c r="GB131" s="213"/>
      <c r="GC131" s="213"/>
      <c r="GD131" s="213"/>
      <c r="GE131" s="213"/>
      <c r="GF131" s="213"/>
      <c r="GG131" s="213"/>
      <c r="GH131" s="213"/>
      <c r="GI131" s="213"/>
      <c r="GJ131" s="213"/>
      <c r="GK131" s="213"/>
      <c r="GL131" s="213"/>
      <c r="GM131" s="213"/>
      <c r="GN131" s="213"/>
      <c r="GO131" s="213"/>
      <c r="GP131" s="213"/>
      <c r="GQ131" s="213"/>
      <c r="GR131" s="213"/>
      <c r="GS131" s="213"/>
      <c r="GT131" s="213"/>
      <c r="GU131" s="213"/>
      <c r="GV131" s="213"/>
      <c r="GW131" s="213"/>
      <c r="GX131" s="213"/>
      <c r="GY131" s="213"/>
      <c r="GZ131" s="213"/>
      <c r="HA131" s="213"/>
      <c r="HB131" s="213"/>
      <c r="HC131" s="213"/>
      <c r="HD131" s="213"/>
      <c r="HE131" s="213"/>
      <c r="HF131" s="213"/>
      <c r="HG131" s="213"/>
      <c r="HH131" s="213"/>
      <c r="HI131" s="213"/>
      <c r="HJ131" s="213"/>
      <c r="HK131" s="213"/>
      <c r="HL131" s="213"/>
      <c r="HM131" s="213"/>
      <c r="HN131" s="213"/>
      <c r="HO131" s="213"/>
      <c r="HP131" s="213"/>
      <c r="HQ131" s="213"/>
      <c r="HR131" s="213"/>
      <c r="HS131" s="213"/>
      <c r="HT131" s="213"/>
      <c r="HU131" s="213"/>
      <c r="HV131" s="213"/>
      <c r="HW131" s="213"/>
      <c r="HX131" s="213"/>
      <c r="HY131" s="213"/>
      <c r="HZ131" s="213"/>
      <c r="IA131" s="213"/>
      <c r="IB131" s="213"/>
      <c r="IC131" s="213"/>
      <c r="ID131" s="213"/>
      <c r="IE131" s="213"/>
      <c r="IF131" s="213"/>
      <c r="IG131" s="213"/>
      <c r="IH131" s="213"/>
      <c r="II131" s="213"/>
      <c r="IJ131" s="213"/>
      <c r="IK131" s="213"/>
      <c r="IL131" s="213"/>
      <c r="IM131" s="213"/>
      <c r="IN131" s="213"/>
      <c r="IO131" s="213"/>
      <c r="IP131" s="213"/>
      <c r="IQ131" s="213"/>
      <c r="IR131" s="213"/>
      <c r="IS131" s="213"/>
      <c r="IT131" s="213"/>
      <c r="IU131" s="213"/>
      <c r="IV131" s="213"/>
    </row>
    <row r="132" spans="1:256" s="1248" customFormat="1" ht="27" customHeight="1">
      <c r="A132" s="1524"/>
      <c r="B132" s="1525"/>
      <c r="C132" s="1645"/>
      <c r="D132" s="1255" t="s">
        <v>6127</v>
      </c>
      <c r="E132" s="1255"/>
      <c r="F132" s="1249">
        <f>(6.1*0.65*0.5)*(0.1)</f>
        <v>0.19825000000000001</v>
      </c>
      <c r="G132" s="404"/>
      <c r="H132" s="1247"/>
      <c r="I132" s="1492"/>
      <c r="J132" s="1523"/>
    </row>
    <row r="133" spans="1:256" s="1248" customFormat="1" ht="13.5" customHeight="1">
      <c r="A133" s="1518" t="s">
        <v>5587</v>
      </c>
      <c r="B133" s="1245"/>
      <c r="C133" s="777">
        <v>460371121</v>
      </c>
      <c r="D133" s="1255" t="s">
        <v>5880</v>
      </c>
      <c r="E133" s="1259" t="s">
        <v>146</v>
      </c>
      <c r="F133" s="1249">
        <f>F130</f>
        <v>1.7842499999999999</v>
      </c>
      <c r="G133" s="415"/>
      <c r="H133" s="803">
        <f t="shared" ref="H133:H135" si="1">ROUND(F133*G133,2)</f>
        <v>0</v>
      </c>
      <c r="I133" s="781" t="s">
        <v>137</v>
      </c>
      <c r="J133" s="647"/>
      <c r="K133" s="647"/>
      <c r="L133" s="612"/>
      <c r="M133" s="612"/>
      <c r="N133" s="612"/>
      <c r="O133" s="612"/>
      <c r="P133" s="612"/>
      <c r="Q133" s="612"/>
      <c r="R133" s="612"/>
      <c r="S133" s="788"/>
      <c r="V133" s="1646"/>
    </row>
    <row r="134" spans="1:256" s="1248" customFormat="1" ht="13.5" customHeight="1">
      <c r="A134" s="1518" t="s">
        <v>5976</v>
      </c>
      <c r="B134" s="1245"/>
      <c r="C134" s="777">
        <v>460371123</v>
      </c>
      <c r="D134" s="1255" t="s">
        <v>5882</v>
      </c>
      <c r="E134" s="1259" t="s">
        <v>146</v>
      </c>
      <c r="F134" s="1249">
        <f>F132</f>
        <v>0.19825000000000001</v>
      </c>
      <c r="G134" s="415"/>
      <c r="H134" s="803">
        <f t="shared" si="1"/>
        <v>0</v>
      </c>
      <c r="I134" s="781" t="s">
        <v>137</v>
      </c>
      <c r="J134" s="647"/>
      <c r="K134" s="647"/>
      <c r="L134" s="612"/>
      <c r="M134" s="612"/>
      <c r="N134" s="612"/>
      <c r="O134" s="612"/>
      <c r="P134" s="612"/>
      <c r="Q134" s="612"/>
      <c r="R134" s="612"/>
      <c r="S134" s="788"/>
      <c r="V134" s="1646"/>
    </row>
    <row r="135" spans="1:256" s="1248" customFormat="1" ht="27" customHeight="1">
      <c r="A135" s="1518" t="s">
        <v>5977</v>
      </c>
      <c r="B135" s="1245"/>
      <c r="C135" s="777">
        <v>460341112</v>
      </c>
      <c r="D135" s="1255" t="s">
        <v>5884</v>
      </c>
      <c r="E135" s="1259" t="s">
        <v>146</v>
      </c>
      <c r="F135" s="1249">
        <f>F127</f>
        <v>1.9830000000000001</v>
      </c>
      <c r="G135" s="415"/>
      <c r="H135" s="803">
        <f t="shared" si="1"/>
        <v>0</v>
      </c>
      <c r="I135" s="781" t="s">
        <v>137</v>
      </c>
      <c r="J135" s="647"/>
      <c r="K135" s="647"/>
      <c r="L135" s="612"/>
      <c r="M135" s="612"/>
      <c r="N135" s="612"/>
      <c r="O135" s="612"/>
      <c r="P135" s="612"/>
      <c r="Q135" s="612"/>
      <c r="R135" s="612"/>
      <c r="S135" s="788"/>
      <c r="V135" s="1646"/>
    </row>
    <row r="136" spans="1:256" s="1248" customFormat="1" ht="27" customHeight="1">
      <c r="A136" s="1518"/>
      <c r="B136" s="1245"/>
      <c r="C136" s="777"/>
      <c r="D136" s="1255" t="s">
        <v>5893</v>
      </c>
      <c r="E136" s="1259"/>
      <c r="F136" s="1249"/>
      <c r="G136" s="416"/>
      <c r="H136" s="1267"/>
      <c r="I136" s="781"/>
      <c r="J136" s="647"/>
      <c r="K136" s="647"/>
      <c r="L136" s="612"/>
      <c r="M136" s="612"/>
      <c r="N136" s="612"/>
      <c r="O136" s="612"/>
      <c r="P136" s="612"/>
      <c r="Q136" s="612"/>
      <c r="R136" s="612"/>
      <c r="S136" s="788"/>
      <c r="V136" s="1646"/>
    </row>
    <row r="137" spans="1:256" s="593" customFormat="1" ht="27" customHeight="1">
      <c r="A137" s="789">
        <v>34</v>
      </c>
      <c r="B137" s="790" t="s">
        <v>5808</v>
      </c>
      <c r="C137" s="1245" t="s">
        <v>5894</v>
      </c>
      <c r="D137" s="776" t="s">
        <v>6326</v>
      </c>
      <c r="E137" s="776" t="s">
        <v>146</v>
      </c>
      <c r="F137" s="1640">
        <f>ROUND(SUM(F139,F141),3)</f>
        <v>1.5860000000000001</v>
      </c>
      <c r="G137" s="1641">
        <f>ROUND(SUM(H143:H147)/F137,2)</f>
        <v>0</v>
      </c>
      <c r="H137" s="568">
        <f>ROUND(F137*G137,2)</f>
        <v>0</v>
      </c>
      <c r="I137" s="1280" t="s">
        <v>111</v>
      </c>
      <c r="J137" s="1647"/>
      <c r="K137" s="1248"/>
      <c r="L137" s="1248"/>
      <c r="M137" s="1248"/>
      <c r="N137" s="1248"/>
      <c r="O137" s="1248"/>
      <c r="P137" s="1248"/>
      <c r="Q137" s="1248"/>
      <c r="R137" s="1248"/>
      <c r="S137" s="1248"/>
      <c r="T137" s="1248"/>
      <c r="U137" s="1248"/>
      <c r="V137" s="1248"/>
      <c r="W137" s="1248"/>
      <c r="X137" s="1248"/>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213"/>
      <c r="EV137" s="213"/>
      <c r="EW137" s="213"/>
      <c r="EX137" s="213"/>
      <c r="EY137" s="213"/>
      <c r="EZ137" s="213"/>
      <c r="FA137" s="213"/>
      <c r="FB137" s="213"/>
      <c r="FC137" s="213"/>
      <c r="FD137" s="213"/>
      <c r="FE137" s="213"/>
      <c r="FF137" s="213"/>
      <c r="FG137" s="213"/>
      <c r="FH137" s="213"/>
      <c r="FI137" s="213"/>
      <c r="FJ137" s="213"/>
      <c r="FK137" s="213"/>
      <c r="FL137" s="213"/>
      <c r="FM137" s="213"/>
      <c r="FN137" s="213"/>
      <c r="FO137" s="213"/>
      <c r="FP137" s="213"/>
      <c r="FQ137" s="213"/>
      <c r="FR137" s="213"/>
      <c r="FS137" s="213"/>
      <c r="FT137" s="213"/>
      <c r="FU137" s="213"/>
      <c r="FV137" s="213"/>
      <c r="FW137" s="213"/>
      <c r="FX137" s="213"/>
      <c r="FY137" s="213"/>
      <c r="FZ137" s="213"/>
      <c r="GA137" s="213"/>
      <c r="GB137" s="213"/>
      <c r="GC137" s="213"/>
      <c r="GD137" s="213"/>
      <c r="GE137" s="213"/>
      <c r="GF137" s="213"/>
      <c r="GG137" s="213"/>
      <c r="GH137" s="213"/>
      <c r="GI137" s="213"/>
      <c r="GJ137" s="213"/>
      <c r="GK137" s="213"/>
      <c r="GL137" s="213"/>
      <c r="GM137" s="213"/>
      <c r="GN137" s="213"/>
      <c r="GO137" s="213"/>
      <c r="GP137" s="213"/>
      <c r="GQ137" s="213"/>
      <c r="GR137" s="213"/>
      <c r="GS137" s="213"/>
      <c r="GT137" s="213"/>
      <c r="GU137" s="213"/>
      <c r="GV137" s="213"/>
      <c r="GW137" s="213"/>
      <c r="GX137" s="213"/>
      <c r="GY137" s="213"/>
      <c r="GZ137" s="213"/>
      <c r="HA137" s="213"/>
      <c r="HB137" s="213"/>
      <c r="HC137" s="213"/>
      <c r="HD137" s="213"/>
      <c r="HE137" s="213"/>
      <c r="HF137" s="213"/>
      <c r="HG137" s="213"/>
      <c r="HH137" s="213"/>
      <c r="HI137" s="213"/>
      <c r="HJ137" s="213"/>
      <c r="HK137" s="213"/>
      <c r="HL137" s="213"/>
      <c r="HM137" s="213"/>
      <c r="HN137" s="213"/>
      <c r="HO137" s="213"/>
      <c r="HP137" s="213"/>
      <c r="HQ137" s="213"/>
      <c r="HR137" s="213"/>
      <c r="HS137" s="213"/>
      <c r="HT137" s="213"/>
      <c r="HU137" s="213"/>
      <c r="HV137" s="213"/>
      <c r="HW137" s="213"/>
      <c r="HX137" s="213"/>
      <c r="HY137" s="213"/>
      <c r="HZ137" s="213"/>
      <c r="IA137" s="213"/>
      <c r="IB137" s="213"/>
      <c r="IC137" s="213"/>
      <c r="ID137" s="213"/>
      <c r="IE137" s="213"/>
      <c r="IF137" s="213"/>
      <c r="IG137" s="213"/>
      <c r="IH137" s="213"/>
      <c r="II137" s="213"/>
      <c r="IJ137" s="213"/>
      <c r="IK137" s="213"/>
      <c r="IL137" s="213"/>
      <c r="IM137" s="213"/>
      <c r="IN137" s="213"/>
      <c r="IO137" s="213"/>
      <c r="IP137" s="213"/>
      <c r="IQ137" s="213"/>
      <c r="IR137" s="213"/>
      <c r="IS137" s="213"/>
      <c r="IT137" s="213"/>
      <c r="IU137" s="213"/>
      <c r="IV137" s="213"/>
    </row>
    <row r="138" spans="1:256" s="796" customFormat="1" ht="13.5" customHeight="1">
      <c r="A138" s="1015"/>
      <c r="B138" s="1016"/>
      <c r="C138" s="1648"/>
      <c r="D138" s="1036" t="s">
        <v>5895</v>
      </c>
      <c r="E138" s="1648"/>
      <c r="F138" s="1649"/>
      <c r="G138" s="298"/>
      <c r="H138" s="1038"/>
      <c r="I138" s="1019"/>
      <c r="J138" s="1650"/>
      <c r="L138" s="797"/>
      <c r="M138" s="797"/>
      <c r="N138" s="797"/>
      <c r="O138" s="797"/>
      <c r="P138" s="797"/>
      <c r="Q138" s="797"/>
      <c r="R138" s="797"/>
      <c r="S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797"/>
      <c r="BF138" s="797"/>
      <c r="BG138" s="797"/>
      <c r="BH138" s="797"/>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7"/>
      <c r="CF138" s="797"/>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7"/>
      <c r="DD138" s="797"/>
      <c r="DE138" s="797"/>
      <c r="DF138" s="797"/>
      <c r="DG138" s="797"/>
      <c r="DH138" s="797"/>
      <c r="DI138" s="797"/>
      <c r="DJ138" s="797"/>
      <c r="DK138" s="797"/>
      <c r="DL138" s="797"/>
      <c r="DM138" s="797"/>
      <c r="DN138" s="797"/>
      <c r="DO138" s="797"/>
      <c r="DP138" s="797"/>
      <c r="DQ138" s="797"/>
      <c r="DR138" s="797"/>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row>
    <row r="139" spans="1:256" s="753" customFormat="1" ht="13.5" customHeight="1">
      <c r="A139" s="745"/>
      <c r="B139" s="746"/>
      <c r="C139" s="1245"/>
      <c r="D139" s="756" t="s">
        <v>182</v>
      </c>
      <c r="E139" s="757"/>
      <c r="F139" s="758">
        <f>SUM(F140)</f>
        <v>1.4274</v>
      </c>
      <c r="G139" s="374"/>
      <c r="H139" s="759"/>
      <c r="I139" s="751"/>
      <c r="J139" s="760"/>
      <c r="K139" s="593"/>
      <c r="L139" s="213"/>
      <c r="M139" s="213"/>
      <c r="N139" s="213"/>
      <c r="O139" s="213"/>
      <c r="P139" s="213"/>
      <c r="Q139" s="213"/>
      <c r="R139" s="213"/>
      <c r="S139" s="213"/>
      <c r="T139" s="213"/>
      <c r="U139" s="213"/>
      <c r="V139" s="213"/>
      <c r="W139" s="213"/>
      <c r="X139" s="213"/>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4"/>
      <c r="CT139" s="754"/>
      <c r="CU139" s="754"/>
      <c r="CV139" s="754"/>
      <c r="CW139" s="754"/>
      <c r="CX139" s="754"/>
      <c r="CY139" s="754"/>
      <c r="CZ139" s="754"/>
      <c r="DA139" s="754"/>
      <c r="DB139" s="754"/>
      <c r="DC139" s="754"/>
      <c r="DD139" s="754"/>
      <c r="DE139" s="754"/>
      <c r="DF139" s="754"/>
      <c r="DG139" s="754"/>
      <c r="DH139" s="754"/>
      <c r="DI139" s="754"/>
      <c r="DJ139" s="754"/>
      <c r="DK139" s="754"/>
      <c r="DL139" s="754"/>
      <c r="DM139" s="754"/>
      <c r="DN139" s="754"/>
      <c r="DO139" s="754"/>
      <c r="DP139" s="754"/>
      <c r="DQ139" s="754"/>
      <c r="DR139" s="754"/>
      <c r="DS139" s="754"/>
      <c r="DT139" s="754"/>
      <c r="DU139" s="754"/>
      <c r="DV139" s="754"/>
      <c r="DW139" s="754"/>
      <c r="DX139" s="754"/>
      <c r="DY139" s="754"/>
      <c r="DZ139" s="754"/>
      <c r="EA139" s="754"/>
      <c r="EB139" s="754"/>
      <c r="EC139" s="754"/>
      <c r="ED139" s="754"/>
      <c r="EE139" s="754"/>
      <c r="EF139" s="754"/>
      <c r="EG139" s="754"/>
      <c r="EH139" s="754"/>
      <c r="EI139" s="754"/>
      <c r="EJ139" s="754"/>
      <c r="EK139" s="754"/>
      <c r="EL139" s="754"/>
      <c r="EM139" s="754"/>
      <c r="EN139" s="754"/>
      <c r="EO139" s="754"/>
      <c r="EP139" s="754"/>
      <c r="EQ139" s="754"/>
      <c r="ER139" s="754"/>
      <c r="ES139" s="754"/>
      <c r="ET139" s="754"/>
      <c r="EU139" s="754"/>
      <c r="EV139" s="754"/>
      <c r="EW139" s="754"/>
      <c r="EX139" s="754"/>
      <c r="EY139" s="754"/>
      <c r="EZ139" s="754"/>
      <c r="FA139" s="754"/>
      <c r="FB139" s="754"/>
      <c r="FC139" s="754"/>
      <c r="FD139" s="754"/>
      <c r="FE139" s="754"/>
      <c r="FF139" s="754"/>
      <c r="FG139" s="754"/>
      <c r="FH139" s="754"/>
      <c r="FI139" s="754"/>
      <c r="FJ139" s="754"/>
      <c r="FK139" s="754"/>
      <c r="FL139" s="754"/>
      <c r="FM139" s="754"/>
      <c r="FN139" s="754"/>
      <c r="FO139" s="754"/>
      <c r="FP139" s="754"/>
      <c r="FQ139" s="754"/>
      <c r="FR139" s="754"/>
      <c r="FS139" s="754"/>
      <c r="FT139" s="754"/>
      <c r="FU139" s="754"/>
      <c r="FV139" s="754"/>
      <c r="FW139" s="754"/>
      <c r="FX139" s="754"/>
      <c r="FY139" s="754"/>
      <c r="FZ139" s="754"/>
      <c r="GA139" s="754"/>
      <c r="GB139" s="754"/>
      <c r="GC139" s="754"/>
      <c r="GD139" s="754"/>
      <c r="GE139" s="754"/>
      <c r="GF139" s="754"/>
      <c r="GG139" s="754"/>
      <c r="GH139" s="754"/>
      <c r="GI139" s="754"/>
      <c r="GJ139" s="754"/>
      <c r="GK139" s="754"/>
      <c r="GL139" s="754"/>
      <c r="GM139" s="754"/>
      <c r="GN139" s="754"/>
      <c r="GO139" s="754"/>
      <c r="GP139" s="754"/>
      <c r="GQ139" s="754"/>
      <c r="GR139" s="754"/>
      <c r="GS139" s="754"/>
      <c r="GT139" s="754"/>
      <c r="GU139" s="754"/>
      <c r="GV139" s="754"/>
      <c r="GW139" s="754"/>
      <c r="GX139" s="754"/>
      <c r="GY139" s="754"/>
      <c r="GZ139" s="754"/>
      <c r="HA139" s="754"/>
      <c r="HB139" s="754"/>
      <c r="HC139" s="754"/>
      <c r="HD139" s="754"/>
      <c r="HE139" s="754"/>
      <c r="HF139" s="754"/>
      <c r="HG139" s="754"/>
      <c r="HH139" s="754"/>
      <c r="HI139" s="754"/>
      <c r="HJ139" s="754"/>
      <c r="HK139" s="754"/>
      <c r="HL139" s="754"/>
      <c r="HM139" s="754"/>
      <c r="HN139" s="754"/>
      <c r="HO139" s="754"/>
      <c r="HP139" s="754"/>
      <c r="HQ139" s="754"/>
      <c r="HR139" s="754"/>
      <c r="HS139" s="754"/>
      <c r="HT139" s="754"/>
      <c r="HU139" s="754"/>
      <c r="HV139" s="754"/>
      <c r="HW139" s="754"/>
      <c r="HX139" s="754"/>
      <c r="HY139" s="754"/>
      <c r="HZ139" s="754"/>
      <c r="IA139" s="754"/>
      <c r="IB139" s="754"/>
      <c r="IC139" s="754"/>
      <c r="ID139" s="754"/>
      <c r="IE139" s="754"/>
      <c r="IF139" s="754"/>
      <c r="IG139" s="754"/>
      <c r="IH139" s="754"/>
      <c r="II139" s="754"/>
      <c r="IJ139" s="754"/>
      <c r="IK139" s="754"/>
      <c r="IL139" s="754"/>
      <c r="IM139" s="754"/>
      <c r="IN139" s="754"/>
      <c r="IO139" s="754"/>
      <c r="IP139" s="754"/>
      <c r="IQ139" s="754"/>
      <c r="IR139" s="754"/>
      <c r="IS139" s="754"/>
      <c r="IT139" s="754"/>
      <c r="IU139" s="754"/>
      <c r="IV139" s="754"/>
    </row>
    <row r="140" spans="1:256" s="593" customFormat="1" ht="27" customHeight="1">
      <c r="A140" s="761"/>
      <c r="B140" s="582"/>
      <c r="C140" s="583"/>
      <c r="D140" s="585" t="s">
        <v>6128</v>
      </c>
      <c r="E140" s="585"/>
      <c r="F140" s="762">
        <f>(6.1*0.65*(0.9-0.5))*(0.85+0.05)</f>
        <v>1.4274</v>
      </c>
      <c r="G140" s="879"/>
      <c r="H140" s="587"/>
      <c r="I140" s="588"/>
      <c r="J140" s="1651"/>
      <c r="K140" s="753"/>
      <c r="L140" s="754"/>
      <c r="M140" s="754"/>
      <c r="N140" s="754"/>
      <c r="O140" s="754"/>
      <c r="P140" s="754"/>
      <c r="Q140" s="754"/>
      <c r="R140" s="754"/>
      <c r="S140" s="754"/>
      <c r="T140" s="754"/>
      <c r="U140" s="754"/>
      <c r="V140" s="754"/>
      <c r="W140" s="754"/>
      <c r="X140" s="754"/>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c r="HZ140" s="213"/>
      <c r="IA140" s="213"/>
      <c r="IB140" s="213"/>
      <c r="IC140" s="213"/>
      <c r="ID140" s="213"/>
      <c r="IE140" s="213"/>
      <c r="IF140" s="213"/>
      <c r="IG140" s="213"/>
      <c r="IH140" s="213"/>
      <c r="II140" s="213"/>
      <c r="IJ140" s="213"/>
      <c r="IK140" s="213"/>
      <c r="IL140" s="213"/>
      <c r="IM140" s="213"/>
      <c r="IN140" s="213"/>
      <c r="IO140" s="213"/>
      <c r="IP140" s="213"/>
      <c r="IQ140" s="213"/>
      <c r="IR140" s="213"/>
      <c r="IS140" s="213"/>
      <c r="IT140" s="213"/>
      <c r="IU140" s="213"/>
      <c r="IV140" s="213"/>
    </row>
    <row r="141" spans="1:256" s="753" customFormat="1" ht="13.5" customHeight="1">
      <c r="A141" s="745"/>
      <c r="B141" s="746"/>
      <c r="C141" s="1245"/>
      <c r="D141" s="756" t="s">
        <v>185</v>
      </c>
      <c r="E141" s="757"/>
      <c r="F141" s="758">
        <f>SUM(F142)</f>
        <v>0.15860000000000002</v>
      </c>
      <c r="G141" s="374"/>
      <c r="H141" s="759"/>
      <c r="I141" s="751"/>
      <c r="J141" s="1652"/>
      <c r="K141" s="1653"/>
      <c r="L141" s="375"/>
      <c r="M141" s="375"/>
      <c r="N141" s="375"/>
      <c r="O141" s="375"/>
      <c r="P141" s="213"/>
      <c r="Q141" s="213"/>
      <c r="R141" s="213"/>
      <c r="S141" s="213"/>
      <c r="T141" s="213"/>
      <c r="U141" s="213"/>
      <c r="V141" s="213"/>
      <c r="W141" s="213"/>
      <c r="X141" s="213"/>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c r="CB141" s="754"/>
      <c r="CC141" s="754"/>
      <c r="CD141" s="754"/>
      <c r="CE141" s="754"/>
      <c r="CF141" s="754"/>
      <c r="CG141" s="754"/>
      <c r="CH141" s="754"/>
      <c r="CI141" s="754"/>
      <c r="CJ141" s="754"/>
      <c r="CK141" s="754"/>
      <c r="CL141" s="754"/>
      <c r="CM141" s="754"/>
      <c r="CN141" s="754"/>
      <c r="CO141" s="754"/>
      <c r="CP141" s="754"/>
      <c r="CQ141" s="754"/>
      <c r="CR141" s="754"/>
      <c r="CS141" s="754"/>
      <c r="CT141" s="754"/>
      <c r="CU141" s="754"/>
      <c r="CV141" s="754"/>
      <c r="CW141" s="754"/>
      <c r="CX141" s="754"/>
      <c r="CY141" s="754"/>
      <c r="CZ141" s="754"/>
      <c r="DA141" s="754"/>
      <c r="DB141" s="754"/>
      <c r="DC141" s="754"/>
      <c r="DD141" s="754"/>
      <c r="DE141" s="754"/>
      <c r="DF141" s="754"/>
      <c r="DG141" s="754"/>
      <c r="DH141" s="754"/>
      <c r="DI141" s="754"/>
      <c r="DJ141" s="754"/>
      <c r="DK141" s="754"/>
      <c r="DL141" s="754"/>
      <c r="DM141" s="754"/>
      <c r="DN141" s="754"/>
      <c r="DO141" s="754"/>
      <c r="DP141" s="754"/>
      <c r="DQ141" s="754"/>
      <c r="DR141" s="754"/>
      <c r="DS141" s="754"/>
      <c r="DT141" s="754"/>
      <c r="DU141" s="754"/>
      <c r="DV141" s="754"/>
      <c r="DW141" s="754"/>
      <c r="DX141" s="754"/>
      <c r="DY141" s="754"/>
      <c r="DZ141" s="754"/>
      <c r="EA141" s="754"/>
      <c r="EB141" s="754"/>
      <c r="EC141" s="754"/>
      <c r="ED141" s="754"/>
      <c r="EE141" s="754"/>
      <c r="EF141" s="754"/>
      <c r="EG141" s="754"/>
      <c r="EH141" s="754"/>
      <c r="EI141" s="754"/>
      <c r="EJ141" s="754"/>
      <c r="EK141" s="754"/>
      <c r="EL141" s="754"/>
      <c r="EM141" s="754"/>
      <c r="EN141" s="754"/>
      <c r="EO141" s="754"/>
      <c r="EP141" s="754"/>
      <c r="EQ141" s="754"/>
      <c r="ER141" s="754"/>
      <c r="ES141" s="754"/>
      <c r="ET141" s="754"/>
      <c r="EU141" s="754"/>
      <c r="EV141" s="754"/>
      <c r="EW141" s="754"/>
      <c r="EX141" s="754"/>
      <c r="EY141" s="754"/>
      <c r="EZ141" s="754"/>
      <c r="FA141" s="754"/>
      <c r="FB141" s="754"/>
      <c r="FC141" s="754"/>
      <c r="FD141" s="754"/>
      <c r="FE141" s="754"/>
      <c r="FF141" s="754"/>
      <c r="FG141" s="754"/>
      <c r="FH141" s="754"/>
      <c r="FI141" s="754"/>
      <c r="FJ141" s="754"/>
      <c r="FK141" s="754"/>
      <c r="FL141" s="754"/>
      <c r="FM141" s="754"/>
      <c r="FN141" s="754"/>
      <c r="FO141" s="754"/>
      <c r="FP141" s="754"/>
      <c r="FQ141" s="754"/>
      <c r="FR141" s="754"/>
      <c r="FS141" s="754"/>
      <c r="FT141" s="754"/>
      <c r="FU141" s="754"/>
      <c r="FV141" s="754"/>
      <c r="FW141" s="754"/>
      <c r="FX141" s="754"/>
      <c r="FY141" s="754"/>
      <c r="FZ141" s="754"/>
      <c r="GA141" s="754"/>
      <c r="GB141" s="754"/>
      <c r="GC141" s="754"/>
      <c r="GD141" s="754"/>
      <c r="GE141" s="754"/>
      <c r="GF141" s="754"/>
      <c r="GG141" s="754"/>
      <c r="GH141" s="754"/>
      <c r="GI141" s="754"/>
      <c r="GJ141" s="754"/>
      <c r="GK141" s="754"/>
      <c r="GL141" s="754"/>
      <c r="GM141" s="754"/>
      <c r="GN141" s="754"/>
      <c r="GO141" s="754"/>
      <c r="GP141" s="754"/>
      <c r="GQ141" s="754"/>
      <c r="GR141" s="754"/>
      <c r="GS141" s="754"/>
      <c r="GT141" s="754"/>
      <c r="GU141" s="754"/>
      <c r="GV141" s="754"/>
      <c r="GW141" s="754"/>
      <c r="GX141" s="754"/>
      <c r="GY141" s="754"/>
      <c r="GZ141" s="754"/>
      <c r="HA141" s="754"/>
      <c r="HB141" s="754"/>
      <c r="HC141" s="754"/>
      <c r="HD141" s="754"/>
      <c r="HE141" s="754"/>
      <c r="HF141" s="754"/>
      <c r="HG141" s="754"/>
      <c r="HH141" s="754"/>
      <c r="HI141" s="754"/>
      <c r="HJ141" s="754"/>
      <c r="HK141" s="754"/>
      <c r="HL141" s="754"/>
      <c r="HM141" s="754"/>
      <c r="HN141" s="754"/>
      <c r="HO141" s="754"/>
      <c r="HP141" s="754"/>
      <c r="HQ141" s="754"/>
      <c r="HR141" s="754"/>
      <c r="HS141" s="754"/>
      <c r="HT141" s="754"/>
      <c r="HU141" s="754"/>
      <c r="HV141" s="754"/>
      <c r="HW141" s="754"/>
      <c r="HX141" s="754"/>
      <c r="HY141" s="754"/>
      <c r="HZ141" s="754"/>
      <c r="IA141" s="754"/>
      <c r="IB141" s="754"/>
      <c r="IC141" s="754"/>
      <c r="ID141" s="754"/>
      <c r="IE141" s="754"/>
      <c r="IF141" s="754"/>
      <c r="IG141" s="754"/>
      <c r="IH141" s="754"/>
      <c r="II141" s="754"/>
      <c r="IJ141" s="754"/>
      <c r="IK141" s="754"/>
      <c r="IL141" s="754"/>
      <c r="IM141" s="754"/>
      <c r="IN141" s="754"/>
      <c r="IO141" s="754"/>
      <c r="IP141" s="754"/>
      <c r="IQ141" s="754"/>
      <c r="IR141" s="754"/>
      <c r="IS141" s="754"/>
      <c r="IT141" s="754"/>
      <c r="IU141" s="754"/>
      <c r="IV141" s="754"/>
    </row>
    <row r="142" spans="1:256" s="593" customFormat="1" ht="13.5" customHeight="1">
      <c r="A142" s="761"/>
      <c r="B142" s="582"/>
      <c r="C142" s="583"/>
      <c r="D142" s="585" t="s">
        <v>6129</v>
      </c>
      <c r="E142" s="585"/>
      <c r="F142" s="762">
        <f>(6.1*0.65*(0.9-0.5))*(0.1)</f>
        <v>0.15860000000000002</v>
      </c>
      <c r="G142" s="879"/>
      <c r="H142" s="587"/>
      <c r="I142" s="588"/>
      <c r="J142" s="767"/>
      <c r="K142" s="766"/>
      <c r="L142" s="375"/>
      <c r="M142" s="375"/>
      <c r="N142" s="375"/>
      <c r="O142" s="375"/>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3"/>
      <c r="FU142" s="213"/>
      <c r="FV142" s="213"/>
      <c r="FW142" s="213"/>
      <c r="FX142" s="213"/>
      <c r="FY142" s="213"/>
      <c r="FZ142" s="213"/>
      <c r="GA142" s="213"/>
      <c r="GB142" s="213"/>
      <c r="GC142" s="213"/>
      <c r="GD142" s="213"/>
      <c r="GE142" s="213"/>
      <c r="GF142" s="213"/>
      <c r="GG142" s="213"/>
      <c r="GH142" s="213"/>
      <c r="GI142" s="213"/>
      <c r="GJ142" s="213"/>
      <c r="GK142" s="213"/>
      <c r="GL142" s="213"/>
      <c r="GM142" s="213"/>
      <c r="GN142" s="213"/>
      <c r="GO142" s="213"/>
      <c r="GP142" s="213"/>
      <c r="GQ142" s="213"/>
      <c r="GR142" s="213"/>
      <c r="GS142" s="213"/>
      <c r="GT142" s="213"/>
      <c r="GU142" s="213"/>
      <c r="GV142" s="213"/>
      <c r="GW142" s="213"/>
      <c r="GX142" s="213"/>
      <c r="GY142" s="213"/>
      <c r="GZ142" s="213"/>
      <c r="HA142" s="213"/>
      <c r="HB142" s="213"/>
      <c r="HC142" s="213"/>
      <c r="HD142" s="213"/>
      <c r="HE142" s="213"/>
      <c r="HF142" s="213"/>
      <c r="HG142" s="213"/>
      <c r="HH142" s="213"/>
      <c r="HI142" s="213"/>
      <c r="HJ142" s="213"/>
      <c r="HK142" s="213"/>
      <c r="HL142" s="213"/>
      <c r="HM142" s="213"/>
      <c r="HN142" s="213"/>
      <c r="HO142" s="213"/>
      <c r="HP142" s="213"/>
      <c r="HQ142" s="213"/>
      <c r="HR142" s="213"/>
      <c r="HS142" s="213"/>
      <c r="HT142" s="213"/>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213"/>
      <c r="IR142" s="213"/>
      <c r="IS142" s="213"/>
      <c r="IT142" s="213"/>
      <c r="IU142" s="213"/>
      <c r="IV142" s="213"/>
    </row>
    <row r="143" spans="1:256" s="1248" customFormat="1" ht="13.5" customHeight="1">
      <c r="A143" s="1518" t="s">
        <v>5592</v>
      </c>
      <c r="B143" s="1245"/>
      <c r="C143" s="777">
        <v>460371121</v>
      </c>
      <c r="D143" s="1255" t="s">
        <v>5880</v>
      </c>
      <c r="E143" s="1259" t="s">
        <v>146</v>
      </c>
      <c r="F143" s="1249">
        <f>F139</f>
        <v>1.4274</v>
      </c>
      <c r="G143" s="415"/>
      <c r="H143" s="803">
        <f t="shared" ref="H143:H147" si="2">ROUND(F143*G143,2)</f>
        <v>0</v>
      </c>
      <c r="I143" s="781" t="s">
        <v>137</v>
      </c>
      <c r="J143" s="647"/>
      <c r="K143" s="647"/>
      <c r="L143" s="612"/>
      <c r="M143" s="612"/>
      <c r="N143" s="612"/>
      <c r="O143" s="612"/>
      <c r="P143" s="612"/>
      <c r="Q143" s="612"/>
      <c r="R143" s="612"/>
      <c r="S143" s="788"/>
      <c r="V143" s="1646"/>
    </row>
    <row r="144" spans="1:256" s="1248" customFormat="1" ht="13.5" customHeight="1">
      <c r="A144" s="1518" t="s">
        <v>5980</v>
      </c>
      <c r="B144" s="1245"/>
      <c r="C144" s="777">
        <v>460371123</v>
      </c>
      <c r="D144" s="1255" t="s">
        <v>5882</v>
      </c>
      <c r="E144" s="1259" t="s">
        <v>146</v>
      </c>
      <c r="F144" s="1249">
        <f>F141</f>
        <v>0.15860000000000002</v>
      </c>
      <c r="G144" s="415"/>
      <c r="H144" s="803">
        <f t="shared" si="2"/>
        <v>0</v>
      </c>
      <c r="I144" s="781" t="s">
        <v>137</v>
      </c>
      <c r="J144" s="647"/>
      <c r="K144" s="647"/>
      <c r="L144" s="612"/>
      <c r="M144" s="612"/>
      <c r="N144" s="612"/>
      <c r="O144" s="612"/>
      <c r="P144" s="612"/>
      <c r="Q144" s="612"/>
      <c r="R144" s="612"/>
      <c r="S144" s="788"/>
      <c r="V144" s="1646"/>
    </row>
    <row r="145" spans="1:256" s="593" customFormat="1" ht="27" customHeight="1">
      <c r="A145" s="775" t="s">
        <v>5981</v>
      </c>
      <c r="B145" s="776"/>
      <c r="C145" s="777" t="s">
        <v>6327</v>
      </c>
      <c r="D145" s="585" t="s">
        <v>6333</v>
      </c>
      <c r="E145" s="778" t="s">
        <v>146</v>
      </c>
      <c r="F145" s="779">
        <f>F137</f>
        <v>1.5860000000000001</v>
      </c>
      <c r="G145" s="880"/>
      <c r="H145" s="803">
        <f t="shared" si="2"/>
        <v>0</v>
      </c>
      <c r="I145" s="781" t="s">
        <v>112</v>
      </c>
      <c r="J145" s="782"/>
      <c r="K145" s="783"/>
      <c r="L145" s="621"/>
      <c r="M145" s="621"/>
      <c r="N145" s="621"/>
      <c r="O145" s="621"/>
      <c r="P145" s="621"/>
      <c r="Q145" s="621"/>
      <c r="R145" s="621"/>
      <c r="S145" s="784"/>
      <c r="T145" s="78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c r="FX145" s="213"/>
      <c r="FY145" s="213"/>
      <c r="FZ145" s="213"/>
      <c r="GA145" s="213"/>
      <c r="GB145" s="213"/>
      <c r="GC145" s="213"/>
      <c r="GD145" s="213"/>
      <c r="GE145" s="213"/>
      <c r="GF145" s="213"/>
      <c r="GG145" s="213"/>
      <c r="GH145" s="213"/>
      <c r="GI145" s="213"/>
      <c r="GJ145" s="213"/>
      <c r="GK145" s="213"/>
      <c r="GL145" s="213"/>
      <c r="GM145" s="213"/>
      <c r="GN145" s="213"/>
      <c r="GO145" s="213"/>
      <c r="GP145" s="213"/>
      <c r="GQ145" s="213"/>
      <c r="GR145" s="213"/>
      <c r="GS145" s="213"/>
      <c r="GT145" s="213"/>
      <c r="GU145" s="213"/>
      <c r="GV145" s="213"/>
      <c r="GW145" s="213"/>
      <c r="GX145" s="213"/>
      <c r="GY145" s="213"/>
      <c r="GZ145" s="213"/>
      <c r="HA145" s="213"/>
      <c r="HB145" s="213"/>
      <c r="HC145" s="213"/>
      <c r="HD145" s="213"/>
      <c r="HE145" s="213"/>
      <c r="HF145" s="213"/>
      <c r="HG145" s="213"/>
      <c r="HH145" s="213"/>
      <c r="HI145" s="213"/>
      <c r="HJ145" s="213"/>
      <c r="HK145" s="213"/>
      <c r="HL145" s="213"/>
      <c r="HM145" s="213"/>
      <c r="HN145" s="213"/>
      <c r="HO145" s="213"/>
      <c r="HP145" s="213"/>
      <c r="HQ145" s="213"/>
      <c r="HR145" s="213"/>
      <c r="HS145" s="213"/>
      <c r="HT145" s="213"/>
      <c r="HU145" s="213"/>
      <c r="HV145" s="213"/>
      <c r="HW145" s="213"/>
      <c r="HX145" s="213"/>
      <c r="HY145" s="213"/>
      <c r="HZ145" s="213"/>
      <c r="IA145" s="213"/>
      <c r="IB145" s="213"/>
      <c r="IC145" s="213"/>
      <c r="ID145" s="213"/>
      <c r="IE145" s="213"/>
      <c r="IF145" s="213"/>
      <c r="IG145" s="213"/>
      <c r="IH145" s="213"/>
      <c r="II145" s="213"/>
      <c r="IJ145" s="213"/>
      <c r="IK145" s="213"/>
      <c r="IL145" s="213"/>
      <c r="IM145" s="213"/>
      <c r="IN145" s="213"/>
      <c r="IO145" s="213"/>
      <c r="IP145" s="213"/>
      <c r="IQ145" s="213"/>
      <c r="IR145" s="213"/>
      <c r="IS145" s="213"/>
      <c r="IT145" s="213"/>
      <c r="IU145" s="213"/>
      <c r="IV145" s="213"/>
    </row>
    <row r="146" spans="1:256" s="593" customFormat="1" ht="27" customHeight="1">
      <c r="A146" s="775" t="s">
        <v>5982</v>
      </c>
      <c r="B146" s="776"/>
      <c r="C146" s="777">
        <v>171251101</v>
      </c>
      <c r="D146" s="585" t="s">
        <v>192</v>
      </c>
      <c r="E146" s="778" t="s">
        <v>146</v>
      </c>
      <c r="F146" s="779">
        <f>F137</f>
        <v>1.5860000000000001</v>
      </c>
      <c r="G146" s="880"/>
      <c r="H146" s="803">
        <f t="shared" si="2"/>
        <v>0</v>
      </c>
      <c r="I146" s="781" t="s">
        <v>137</v>
      </c>
      <c r="J146" s="647"/>
      <c r="K146" s="647"/>
      <c r="L146" s="612"/>
      <c r="M146" s="612"/>
      <c r="N146" s="612"/>
      <c r="O146" s="612"/>
      <c r="P146" s="637"/>
      <c r="Q146" s="612"/>
      <c r="R146" s="612"/>
      <c r="S146" s="788"/>
      <c r="T146" s="612"/>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c r="FX146" s="213"/>
      <c r="FY146" s="213"/>
      <c r="FZ146" s="213"/>
      <c r="GA146" s="213"/>
      <c r="GB146" s="213"/>
      <c r="GC146" s="213"/>
      <c r="GD146" s="213"/>
      <c r="GE146" s="213"/>
      <c r="GF146" s="213"/>
      <c r="GG146" s="213"/>
      <c r="GH146" s="213"/>
      <c r="GI146" s="213"/>
      <c r="GJ146" s="213"/>
      <c r="GK146" s="213"/>
      <c r="GL146" s="213"/>
      <c r="GM146" s="213"/>
      <c r="GN146" s="213"/>
      <c r="GO146" s="213"/>
      <c r="GP146" s="213"/>
      <c r="GQ146" s="213"/>
      <c r="GR146" s="213"/>
      <c r="GS146" s="213"/>
      <c r="GT146" s="213"/>
      <c r="GU146" s="213"/>
      <c r="GV146" s="213"/>
      <c r="GW146" s="213"/>
      <c r="GX146" s="213"/>
      <c r="GY146" s="213"/>
      <c r="GZ146" s="213"/>
      <c r="HA146" s="213"/>
      <c r="HB146" s="213"/>
      <c r="HC146" s="213"/>
      <c r="HD146" s="213"/>
      <c r="HE146" s="213"/>
      <c r="HF146" s="213"/>
      <c r="HG146" s="213"/>
      <c r="HH146" s="213"/>
      <c r="HI146" s="213"/>
      <c r="HJ146" s="213"/>
      <c r="HK146" s="213"/>
      <c r="HL146" s="213"/>
      <c r="HM146" s="213"/>
      <c r="HN146" s="213"/>
      <c r="HO146" s="213"/>
      <c r="HP146" s="213"/>
      <c r="HQ146" s="213"/>
      <c r="HR146" s="213"/>
      <c r="HS146" s="213"/>
      <c r="HT146" s="213"/>
      <c r="HU146" s="213"/>
      <c r="HV146" s="213"/>
      <c r="HW146" s="213"/>
      <c r="HX146" s="213"/>
      <c r="HY146" s="213"/>
      <c r="HZ146" s="213"/>
      <c r="IA146" s="213"/>
      <c r="IB146" s="213"/>
      <c r="IC146" s="213"/>
      <c r="ID146" s="213"/>
      <c r="IE146" s="213"/>
      <c r="IF146" s="213"/>
      <c r="IG146" s="213"/>
      <c r="IH146" s="213"/>
      <c r="II146" s="213"/>
      <c r="IJ146" s="213"/>
      <c r="IK146" s="213"/>
      <c r="IL146" s="213"/>
      <c r="IM146" s="213"/>
      <c r="IN146" s="213"/>
      <c r="IO146" s="213"/>
      <c r="IP146" s="213"/>
      <c r="IQ146" s="213"/>
      <c r="IR146" s="213"/>
      <c r="IS146" s="213"/>
      <c r="IT146" s="213"/>
      <c r="IU146" s="213"/>
      <c r="IV146" s="213"/>
    </row>
    <row r="147" spans="1:256" s="593" customFormat="1" ht="27" customHeight="1">
      <c r="A147" s="1654" t="s">
        <v>5983</v>
      </c>
      <c r="B147" s="1655"/>
      <c r="C147" s="777" t="s">
        <v>6328</v>
      </c>
      <c r="D147" s="810" t="s">
        <v>6329</v>
      </c>
      <c r="E147" s="1656" t="s">
        <v>175</v>
      </c>
      <c r="F147" s="802">
        <f>F137*2</f>
        <v>3.1720000000000002</v>
      </c>
      <c r="G147" s="414"/>
      <c r="H147" s="803">
        <f t="shared" si="2"/>
        <v>0</v>
      </c>
      <c r="I147" s="781" t="s">
        <v>112</v>
      </c>
      <c r="J147" s="647"/>
      <c r="K147" s="647"/>
      <c r="L147" s="612"/>
      <c r="M147" s="612"/>
      <c r="N147" s="612"/>
      <c r="O147" s="612"/>
      <c r="P147" s="612"/>
      <c r="Q147" s="612"/>
      <c r="R147" s="612"/>
      <c r="S147" s="788"/>
      <c r="T147" s="1657"/>
      <c r="U147" s="213"/>
      <c r="V147" s="213"/>
      <c r="W147" s="213"/>
      <c r="X147" s="213"/>
      <c r="Y147" s="1658"/>
      <c r="Z147" s="1658"/>
      <c r="AA147" s="1658"/>
      <c r="AB147" s="1658"/>
      <c r="AC147" s="1658"/>
      <c r="AD147" s="1658"/>
      <c r="AE147" s="1658"/>
      <c r="AF147" s="1658"/>
      <c r="AG147" s="1658"/>
      <c r="AH147" s="1658"/>
      <c r="AI147" s="1658"/>
      <c r="AJ147" s="1658"/>
      <c r="AK147" s="1658"/>
      <c r="AL147" s="1658"/>
      <c r="AM147" s="1658"/>
      <c r="AN147" s="1658"/>
      <c r="AO147" s="1658"/>
      <c r="AP147" s="1658"/>
      <c r="AQ147" s="1658"/>
      <c r="AR147" s="1658"/>
      <c r="AS147" s="1658"/>
      <c r="AT147" s="1658"/>
      <c r="AU147" s="1658"/>
      <c r="AV147" s="1658"/>
      <c r="AW147" s="1658"/>
      <c r="AX147" s="1658"/>
      <c r="AY147" s="1658"/>
      <c r="AZ147" s="1658"/>
      <c r="BA147" s="1658"/>
      <c r="BB147" s="1658"/>
      <c r="BC147" s="1658"/>
      <c r="BD147" s="1658"/>
      <c r="BE147" s="1658"/>
      <c r="BF147" s="1658"/>
      <c r="BG147" s="1658"/>
      <c r="BH147" s="1658"/>
      <c r="BI147" s="1658"/>
      <c r="BJ147" s="1658"/>
      <c r="BK147" s="1658"/>
      <c r="BL147" s="1658"/>
      <c r="BM147" s="1658"/>
      <c r="BN147" s="1658"/>
      <c r="BO147" s="1658"/>
      <c r="BP147" s="1658"/>
      <c r="BQ147" s="1658"/>
      <c r="BR147" s="1658"/>
      <c r="BS147" s="1658"/>
      <c r="BT147" s="1658"/>
      <c r="BU147" s="1658"/>
      <c r="BV147" s="1658"/>
      <c r="BW147" s="1658"/>
      <c r="BX147" s="1658"/>
      <c r="BY147" s="1658"/>
      <c r="BZ147" s="1658"/>
      <c r="CA147" s="1658"/>
      <c r="CB147" s="1658"/>
      <c r="CC147" s="1658"/>
      <c r="CD147" s="1658"/>
      <c r="CE147" s="1658"/>
      <c r="CF147" s="1658"/>
      <c r="CG147" s="1658"/>
      <c r="CH147" s="1658"/>
      <c r="CI147" s="1658"/>
      <c r="CJ147" s="1658"/>
      <c r="CK147" s="1658"/>
      <c r="CL147" s="1658"/>
      <c r="CM147" s="1658"/>
      <c r="CN147" s="1658"/>
      <c r="CO147" s="1658"/>
      <c r="CP147" s="1658"/>
      <c r="CQ147" s="1658"/>
      <c r="CR147" s="1658"/>
      <c r="CS147" s="1658"/>
      <c r="CT147" s="1658"/>
      <c r="CU147" s="1658"/>
      <c r="CV147" s="1658"/>
      <c r="CW147" s="1658"/>
      <c r="CX147" s="1658"/>
      <c r="CY147" s="1658"/>
      <c r="CZ147" s="1658"/>
      <c r="DA147" s="1658"/>
      <c r="DB147" s="1658"/>
      <c r="DC147" s="1658"/>
      <c r="DD147" s="1658"/>
      <c r="DE147" s="1658"/>
      <c r="DF147" s="1658"/>
      <c r="DG147" s="1658"/>
      <c r="DH147" s="1658"/>
      <c r="DI147" s="1658"/>
      <c r="DJ147" s="1658"/>
      <c r="DK147" s="1658"/>
      <c r="DL147" s="1658"/>
      <c r="DM147" s="1658"/>
      <c r="DN147" s="1658"/>
      <c r="DO147" s="1658"/>
      <c r="DP147" s="1658"/>
      <c r="DQ147" s="1658"/>
      <c r="DR147" s="1658"/>
      <c r="DS147" s="1658"/>
      <c r="DT147" s="1658"/>
      <c r="DU147" s="1658"/>
      <c r="DV147" s="1658"/>
      <c r="DW147" s="1658"/>
      <c r="DX147" s="1658"/>
      <c r="DY147" s="1658"/>
      <c r="DZ147" s="1658"/>
      <c r="EA147" s="1658"/>
      <c r="EB147" s="1658"/>
      <c r="EC147" s="1658"/>
      <c r="ED147" s="1658"/>
      <c r="EE147" s="1658"/>
      <c r="EF147" s="1658"/>
      <c r="EG147" s="1658"/>
      <c r="EH147" s="1658"/>
      <c r="EI147" s="1658"/>
      <c r="EJ147" s="1658"/>
      <c r="EK147" s="1658"/>
      <c r="EL147" s="1658"/>
      <c r="EM147" s="1658"/>
      <c r="EN147" s="1658"/>
      <c r="EO147" s="1658"/>
      <c r="EP147" s="1658"/>
      <c r="EQ147" s="1658"/>
      <c r="ER147" s="1658"/>
      <c r="ES147" s="1658"/>
      <c r="ET147" s="1658"/>
      <c r="EU147" s="1658"/>
      <c r="EV147" s="1658"/>
      <c r="EW147" s="1658"/>
      <c r="EX147" s="1658"/>
      <c r="EY147" s="1658"/>
      <c r="EZ147" s="1658"/>
      <c r="FA147" s="1658"/>
      <c r="FB147" s="1658"/>
      <c r="FC147" s="1658"/>
      <c r="FD147" s="1658"/>
      <c r="FE147" s="1658"/>
      <c r="FF147" s="1658"/>
      <c r="FG147" s="1658"/>
      <c r="FH147" s="1658"/>
      <c r="FI147" s="1658"/>
      <c r="FJ147" s="1658"/>
      <c r="FK147" s="1658"/>
      <c r="FL147" s="1658"/>
      <c r="FM147" s="1658"/>
      <c r="FN147" s="1658"/>
      <c r="FO147" s="1658"/>
      <c r="FP147" s="1658"/>
      <c r="FQ147" s="1658"/>
      <c r="FR147" s="1658"/>
      <c r="FS147" s="1658"/>
      <c r="FT147" s="1658"/>
      <c r="FU147" s="1658"/>
      <c r="FV147" s="1658"/>
      <c r="FW147" s="1658"/>
      <c r="FX147" s="1658"/>
      <c r="FY147" s="1658"/>
      <c r="FZ147" s="1658"/>
      <c r="GA147" s="1658"/>
      <c r="GB147" s="1658"/>
      <c r="GC147" s="1658"/>
      <c r="GD147" s="1658"/>
      <c r="GE147" s="1658"/>
      <c r="GF147" s="1658"/>
      <c r="GG147" s="1658"/>
      <c r="GH147" s="1658"/>
      <c r="GI147" s="1658"/>
      <c r="GJ147" s="1658"/>
      <c r="GK147" s="1658"/>
      <c r="GL147" s="1658"/>
      <c r="GM147" s="1658"/>
      <c r="GN147" s="1658"/>
      <c r="GO147" s="1658"/>
      <c r="GP147" s="1658"/>
      <c r="GQ147" s="1658"/>
      <c r="GR147" s="1658"/>
      <c r="GS147" s="1658"/>
      <c r="GT147" s="1658"/>
      <c r="GU147" s="1658"/>
      <c r="GV147" s="1658"/>
      <c r="GW147" s="1658"/>
      <c r="GX147" s="1658"/>
      <c r="GY147" s="1658"/>
      <c r="GZ147" s="1658"/>
      <c r="HA147" s="1658"/>
      <c r="HB147" s="1658"/>
      <c r="HC147" s="1658"/>
      <c r="HD147" s="1658"/>
      <c r="HE147" s="1658"/>
      <c r="HF147" s="1658"/>
      <c r="HG147" s="1658"/>
      <c r="HH147" s="1658"/>
      <c r="HI147" s="1658"/>
      <c r="HJ147" s="1658"/>
      <c r="HK147" s="1658"/>
      <c r="HL147" s="1658"/>
      <c r="HM147" s="1658"/>
      <c r="HN147" s="1658"/>
      <c r="HO147" s="1658"/>
      <c r="HP147" s="1658"/>
      <c r="HQ147" s="1658"/>
      <c r="HR147" s="1658"/>
      <c r="HS147" s="1658"/>
      <c r="HT147" s="1658"/>
      <c r="HU147" s="1658"/>
      <c r="HV147" s="1658"/>
      <c r="HW147" s="1658"/>
      <c r="HX147" s="1658"/>
      <c r="HY147" s="1658"/>
      <c r="HZ147" s="1658"/>
      <c r="IA147" s="1658"/>
      <c r="IB147" s="1658"/>
      <c r="IC147" s="1658"/>
      <c r="ID147" s="1658"/>
      <c r="IE147" s="1658"/>
      <c r="IF147" s="1658"/>
      <c r="IG147" s="1658"/>
      <c r="IH147" s="1658"/>
      <c r="II147" s="1658"/>
      <c r="IJ147" s="1658"/>
      <c r="IK147" s="1658"/>
      <c r="IL147" s="1658"/>
      <c r="IM147" s="1658"/>
      <c r="IN147" s="1658"/>
      <c r="IO147" s="1658"/>
      <c r="IP147" s="1658"/>
      <c r="IQ147" s="1658"/>
      <c r="IR147" s="1658"/>
      <c r="IS147" s="1658"/>
      <c r="IT147" s="1658"/>
      <c r="IU147" s="1658"/>
      <c r="IV147" s="1658"/>
    </row>
    <row r="148" spans="1:256" s="647" customFormat="1" ht="13.5" customHeight="1">
      <c r="A148" s="807"/>
      <c r="B148" s="808"/>
      <c r="C148" s="809"/>
      <c r="D148" s="810" t="s">
        <v>193</v>
      </c>
      <c r="E148" s="811"/>
      <c r="F148" s="812"/>
      <c r="G148" s="881"/>
      <c r="H148" s="813"/>
      <c r="I148" s="814"/>
      <c r="J148" s="815"/>
      <c r="L148" s="612"/>
      <c r="M148" s="612"/>
      <c r="N148" s="612"/>
      <c r="O148" s="612"/>
      <c r="P148" s="612"/>
      <c r="Q148" s="612"/>
      <c r="R148" s="612"/>
      <c r="S148" s="788"/>
      <c r="T148" s="816"/>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816"/>
      <c r="BH148" s="816"/>
      <c r="BI148" s="816"/>
      <c r="BJ148" s="816"/>
      <c r="BK148" s="816"/>
      <c r="BL148" s="816"/>
      <c r="BM148" s="816"/>
      <c r="BN148" s="816"/>
      <c r="BO148" s="816"/>
      <c r="BP148" s="816"/>
      <c r="BQ148" s="816"/>
      <c r="BR148" s="816"/>
      <c r="BS148" s="816"/>
      <c r="BT148" s="816"/>
      <c r="BU148" s="816"/>
      <c r="BV148" s="816"/>
      <c r="BW148" s="816"/>
      <c r="BX148" s="816"/>
      <c r="BY148" s="816"/>
      <c r="BZ148" s="816"/>
      <c r="CA148" s="816"/>
      <c r="CB148" s="816"/>
      <c r="CC148" s="816"/>
      <c r="CD148" s="816"/>
      <c r="CE148" s="816"/>
      <c r="CF148" s="816"/>
      <c r="CG148" s="816"/>
      <c r="CH148" s="816"/>
      <c r="CI148" s="816"/>
      <c r="CJ148" s="816"/>
      <c r="CK148" s="816"/>
      <c r="CL148" s="816"/>
      <c r="CM148" s="816"/>
      <c r="CN148" s="816"/>
      <c r="CO148" s="816"/>
      <c r="CP148" s="816"/>
      <c r="CQ148" s="816"/>
      <c r="CR148" s="816"/>
      <c r="CS148" s="816"/>
      <c r="CT148" s="816"/>
      <c r="CU148" s="816"/>
      <c r="CV148" s="816"/>
      <c r="CW148" s="816"/>
      <c r="CX148" s="816"/>
      <c r="CY148" s="816"/>
      <c r="CZ148" s="816"/>
      <c r="DA148" s="816"/>
      <c r="DB148" s="816"/>
      <c r="DC148" s="816"/>
      <c r="DD148" s="816"/>
      <c r="DE148" s="816"/>
      <c r="DF148" s="816"/>
      <c r="DG148" s="816"/>
      <c r="DH148" s="816"/>
      <c r="DI148" s="816"/>
      <c r="DJ148" s="816"/>
      <c r="DK148" s="816"/>
      <c r="DL148" s="816"/>
      <c r="DM148" s="816"/>
      <c r="DN148" s="816"/>
      <c r="DO148" s="816"/>
      <c r="DP148" s="816"/>
      <c r="DQ148" s="816"/>
      <c r="DR148" s="816"/>
      <c r="DS148" s="816"/>
      <c r="DT148" s="816"/>
      <c r="DU148" s="816"/>
      <c r="DV148" s="816"/>
      <c r="DW148" s="816"/>
      <c r="DX148" s="816"/>
      <c r="DY148" s="816"/>
      <c r="DZ148" s="816"/>
      <c r="EA148" s="816"/>
      <c r="EB148" s="816"/>
      <c r="EC148" s="816"/>
      <c r="ED148" s="816"/>
      <c r="EE148" s="816"/>
      <c r="EF148" s="816"/>
      <c r="EG148" s="816"/>
      <c r="EH148" s="816"/>
      <c r="EI148" s="816"/>
      <c r="EJ148" s="816"/>
      <c r="EK148" s="816"/>
      <c r="EL148" s="816"/>
      <c r="EM148" s="816"/>
      <c r="EN148" s="816"/>
      <c r="EO148" s="816"/>
      <c r="EP148" s="816"/>
      <c r="EQ148" s="816"/>
      <c r="ER148" s="816"/>
      <c r="ES148" s="816"/>
      <c r="ET148" s="816"/>
      <c r="EU148" s="816"/>
      <c r="EV148" s="816"/>
      <c r="EW148" s="816"/>
      <c r="EX148" s="816"/>
      <c r="EY148" s="816"/>
      <c r="EZ148" s="816"/>
      <c r="FA148" s="816"/>
      <c r="FB148" s="816"/>
      <c r="FC148" s="816"/>
      <c r="FD148" s="816"/>
      <c r="FE148" s="816"/>
      <c r="FF148" s="816"/>
      <c r="FG148" s="816"/>
      <c r="FH148" s="816"/>
      <c r="FI148" s="816"/>
      <c r="FJ148" s="816"/>
      <c r="FK148" s="816"/>
      <c r="FL148" s="816"/>
      <c r="FM148" s="816"/>
      <c r="FN148" s="816"/>
      <c r="FO148" s="816"/>
      <c r="FP148" s="816"/>
      <c r="FQ148" s="816"/>
      <c r="FR148" s="816"/>
      <c r="FS148" s="816"/>
      <c r="FT148" s="816"/>
      <c r="FU148" s="816"/>
      <c r="FV148" s="816"/>
      <c r="FW148" s="816"/>
      <c r="FX148" s="816"/>
      <c r="FY148" s="816"/>
      <c r="FZ148" s="816"/>
      <c r="GA148" s="816"/>
      <c r="GB148" s="816"/>
      <c r="GC148" s="816"/>
      <c r="GD148" s="816"/>
      <c r="GE148" s="816"/>
      <c r="GF148" s="816"/>
      <c r="GG148" s="816"/>
      <c r="GH148" s="816"/>
      <c r="GI148" s="816"/>
      <c r="GJ148" s="816"/>
      <c r="GK148" s="816"/>
      <c r="GL148" s="816"/>
      <c r="GM148" s="816"/>
      <c r="GN148" s="816"/>
      <c r="GO148" s="816"/>
      <c r="GP148" s="816"/>
      <c r="GQ148" s="816"/>
      <c r="GR148" s="816"/>
      <c r="GS148" s="816"/>
      <c r="GT148" s="816"/>
      <c r="GU148" s="816"/>
      <c r="GV148" s="816"/>
      <c r="GW148" s="816"/>
      <c r="GX148" s="816"/>
      <c r="GY148" s="816"/>
      <c r="GZ148" s="816"/>
      <c r="HA148" s="816"/>
      <c r="HB148" s="816"/>
      <c r="HC148" s="816"/>
      <c r="HD148" s="816"/>
      <c r="HE148" s="816"/>
      <c r="HF148" s="816"/>
      <c r="HG148" s="816"/>
      <c r="HH148" s="816"/>
      <c r="HI148" s="816"/>
      <c r="HJ148" s="816"/>
      <c r="HK148" s="816"/>
      <c r="HL148" s="816"/>
      <c r="HM148" s="816"/>
      <c r="HN148" s="816"/>
      <c r="HO148" s="816"/>
      <c r="HP148" s="816"/>
      <c r="HQ148" s="816"/>
      <c r="HR148" s="816"/>
      <c r="HS148" s="816"/>
      <c r="HT148" s="816"/>
      <c r="HU148" s="816"/>
      <c r="HV148" s="816"/>
      <c r="HW148" s="816"/>
      <c r="HX148" s="816"/>
      <c r="HY148" s="816"/>
      <c r="HZ148" s="816"/>
      <c r="IA148" s="816"/>
      <c r="IB148" s="816"/>
      <c r="IC148" s="816"/>
      <c r="ID148" s="816"/>
      <c r="IE148" s="816"/>
      <c r="IF148" s="816"/>
      <c r="IG148" s="816"/>
      <c r="IH148" s="816"/>
      <c r="II148" s="816"/>
      <c r="IJ148" s="816"/>
      <c r="IK148" s="816"/>
      <c r="IL148" s="816"/>
      <c r="IM148" s="816"/>
      <c r="IN148" s="816"/>
      <c r="IO148" s="816"/>
      <c r="IP148" s="816"/>
      <c r="IQ148" s="816"/>
      <c r="IR148" s="816"/>
      <c r="IS148" s="816"/>
      <c r="IT148" s="816"/>
      <c r="IU148" s="816"/>
      <c r="IV148" s="816"/>
    </row>
    <row r="149" spans="1:256" s="1587" customFormat="1" ht="81" customHeight="1">
      <c r="A149" s="1602"/>
      <c r="B149" s="1603"/>
      <c r="C149" s="1604"/>
      <c r="D149" s="584" t="s">
        <v>2404</v>
      </c>
      <c r="E149" s="1605"/>
      <c r="F149" s="1606"/>
      <c r="G149" s="299"/>
      <c r="H149" s="1607"/>
      <c r="I149" s="160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c r="BS149" s="1588"/>
      <c r="BT149" s="1588"/>
      <c r="BU149" s="1588"/>
      <c r="BV149" s="1588"/>
      <c r="BW149" s="1588"/>
      <c r="BX149" s="1588"/>
      <c r="BY149" s="1588"/>
      <c r="BZ149" s="1588"/>
      <c r="CA149" s="1588"/>
      <c r="CB149" s="1588"/>
      <c r="CC149" s="1588"/>
      <c r="CD149" s="1588"/>
      <c r="CE149" s="1588"/>
      <c r="CF149" s="1588"/>
      <c r="CG149" s="1588"/>
      <c r="CH149" s="1588"/>
      <c r="CI149" s="1588"/>
      <c r="CJ149" s="1588"/>
      <c r="CK149" s="1588"/>
      <c r="CL149" s="1588"/>
      <c r="CM149" s="1588"/>
      <c r="CN149" s="1588"/>
      <c r="CO149" s="1588"/>
      <c r="CP149" s="1588"/>
      <c r="CQ149" s="1588"/>
      <c r="CR149" s="1588"/>
      <c r="CS149" s="1588"/>
      <c r="CT149" s="1588"/>
      <c r="CU149" s="1588"/>
      <c r="CV149" s="1588"/>
      <c r="CW149" s="1588"/>
      <c r="CX149" s="1588"/>
      <c r="CY149" s="1588"/>
      <c r="CZ149" s="1588"/>
      <c r="DA149" s="1588"/>
      <c r="DB149" s="1588"/>
      <c r="DC149" s="1588"/>
      <c r="DD149" s="1588"/>
      <c r="DE149" s="1588"/>
      <c r="DF149" s="1588"/>
      <c r="DG149" s="1588"/>
      <c r="DH149" s="1588"/>
      <c r="DI149" s="1588"/>
      <c r="DJ149" s="1588"/>
      <c r="DK149" s="1588"/>
      <c r="DL149" s="1588"/>
      <c r="DM149" s="1588"/>
      <c r="DN149" s="1588"/>
      <c r="DO149" s="1588"/>
      <c r="DP149" s="1588"/>
      <c r="DQ149" s="1588"/>
      <c r="DR149" s="1588"/>
      <c r="DS149" s="1588"/>
      <c r="DT149" s="1588"/>
      <c r="DU149" s="1588"/>
      <c r="DV149" s="1588"/>
      <c r="DW149" s="1588"/>
      <c r="DX149" s="1588"/>
      <c r="DY149" s="1588"/>
      <c r="DZ149" s="1588"/>
      <c r="EA149" s="1588"/>
      <c r="EB149" s="1588"/>
      <c r="EC149" s="1588"/>
      <c r="ED149" s="1588"/>
      <c r="EE149" s="1588"/>
      <c r="EF149" s="1588"/>
      <c r="EG149" s="1588"/>
      <c r="EH149" s="1588"/>
      <c r="EI149" s="1588"/>
      <c r="EJ149" s="1588"/>
      <c r="EK149" s="1588"/>
      <c r="EL149" s="1588"/>
      <c r="EM149" s="1588"/>
      <c r="EN149" s="1588"/>
      <c r="EO149" s="1588"/>
      <c r="EP149" s="1588"/>
      <c r="EQ149" s="1588"/>
      <c r="ER149" s="1588"/>
      <c r="ES149" s="1588"/>
      <c r="ET149" s="1588"/>
      <c r="EU149" s="1588"/>
      <c r="EV149" s="1588"/>
      <c r="EW149" s="1588"/>
      <c r="EX149" s="1588"/>
      <c r="EY149" s="1588"/>
      <c r="EZ149" s="1588"/>
      <c r="FA149" s="1588"/>
      <c r="FB149" s="1588"/>
      <c r="FC149" s="1588"/>
      <c r="FD149" s="1588"/>
      <c r="FE149" s="1588"/>
      <c r="FF149" s="1588"/>
      <c r="FG149" s="1588"/>
      <c r="FH149" s="1588"/>
      <c r="FI149" s="1588"/>
      <c r="FJ149" s="1588"/>
      <c r="FK149" s="1588"/>
      <c r="FL149" s="1588"/>
      <c r="FM149" s="1588"/>
      <c r="FN149" s="1588"/>
      <c r="FO149" s="1588"/>
      <c r="FP149" s="1588"/>
      <c r="FQ149" s="1588"/>
      <c r="FR149" s="1588"/>
      <c r="FS149" s="1588"/>
      <c r="FT149" s="1588"/>
      <c r="FU149" s="1588"/>
      <c r="FV149" s="1588"/>
      <c r="FW149" s="1588"/>
      <c r="FX149" s="1588"/>
      <c r="FY149" s="1588"/>
      <c r="FZ149" s="1588"/>
      <c r="GA149" s="1588"/>
      <c r="GB149" s="1588"/>
      <c r="GC149" s="1588"/>
      <c r="GD149" s="1588"/>
      <c r="GE149" s="1588"/>
      <c r="GF149" s="1588"/>
      <c r="GG149" s="1588"/>
      <c r="GH149" s="1588"/>
      <c r="GI149" s="1588"/>
      <c r="GJ149" s="1588"/>
      <c r="GK149" s="1588"/>
      <c r="GL149" s="1588"/>
      <c r="GM149" s="1588"/>
      <c r="GN149" s="1588"/>
      <c r="GO149" s="1588"/>
      <c r="GP149" s="1588"/>
      <c r="GQ149" s="1588"/>
      <c r="GR149" s="1588"/>
      <c r="GS149" s="1588"/>
      <c r="GT149" s="1588"/>
      <c r="GU149" s="1588"/>
      <c r="GV149" s="1588"/>
      <c r="GW149" s="1588"/>
      <c r="GX149" s="1588"/>
      <c r="GY149" s="1588"/>
      <c r="GZ149" s="1588"/>
      <c r="HA149" s="1588"/>
      <c r="HB149" s="1588"/>
      <c r="HC149" s="1588"/>
      <c r="HD149" s="1588"/>
      <c r="HE149" s="1588"/>
      <c r="HF149" s="1588"/>
      <c r="HG149" s="1588"/>
      <c r="HH149" s="1588"/>
      <c r="HI149" s="1588"/>
      <c r="HJ149" s="1588"/>
      <c r="HK149" s="1588"/>
      <c r="HL149" s="1588"/>
      <c r="HM149" s="1588"/>
      <c r="HN149" s="1588"/>
      <c r="HO149" s="1588"/>
      <c r="HP149" s="1588"/>
      <c r="HQ149" s="1588"/>
      <c r="HR149" s="1588"/>
      <c r="HS149" s="1588"/>
      <c r="HT149" s="1588"/>
      <c r="HU149" s="1588"/>
      <c r="HV149" s="1588"/>
      <c r="HW149" s="1588"/>
      <c r="HX149" s="1588"/>
      <c r="HY149" s="1588"/>
      <c r="HZ149" s="1588"/>
      <c r="IA149" s="1588"/>
      <c r="IB149" s="1588"/>
      <c r="IC149" s="1588"/>
      <c r="ID149" s="1588"/>
      <c r="IE149" s="1588"/>
      <c r="IF149" s="1588"/>
      <c r="IG149" s="1588"/>
      <c r="IH149" s="1588"/>
      <c r="II149" s="1588"/>
      <c r="IJ149" s="1588"/>
      <c r="IK149" s="1588"/>
      <c r="IL149" s="1588"/>
      <c r="IM149" s="1588"/>
      <c r="IN149" s="1588"/>
      <c r="IO149" s="1588"/>
      <c r="IP149" s="1588"/>
      <c r="IQ149" s="1588"/>
      <c r="IR149" s="1588"/>
      <c r="IS149" s="1588"/>
      <c r="IT149" s="1588"/>
      <c r="IU149" s="1588"/>
      <c r="IV149" s="1588"/>
    </row>
    <row r="150" spans="1:256" s="1248" customFormat="1" ht="13.5" customHeight="1">
      <c r="A150" s="1614">
        <v>35</v>
      </c>
      <c r="B150" s="1615">
        <v>946</v>
      </c>
      <c r="C150" s="1615">
        <v>469981111</v>
      </c>
      <c r="D150" s="1615" t="s">
        <v>5901</v>
      </c>
      <c r="E150" s="1615" t="s">
        <v>175</v>
      </c>
      <c r="F150" s="573">
        <f>ROUND(SUM(F151:F152),3)</f>
        <v>3.2309999999999999</v>
      </c>
      <c r="G150" s="288"/>
      <c r="H150" s="568">
        <f>ROUND(F150*G150,2)</f>
        <v>0</v>
      </c>
      <c r="I150" s="613" t="s">
        <v>137</v>
      </c>
      <c r="J150" s="1612"/>
      <c r="BQ150" s="1616"/>
      <c r="BR150" s="1616"/>
      <c r="BS150" s="1616"/>
      <c r="BT150" s="1616"/>
      <c r="BU150" s="1616"/>
      <c r="BV150" s="1616"/>
      <c r="BW150" s="1616"/>
      <c r="BX150" s="1616"/>
      <c r="BY150" s="1616"/>
      <c r="BZ150" s="1616"/>
      <c r="CA150" s="1616"/>
      <c r="CB150" s="1616"/>
      <c r="CC150" s="1616"/>
      <c r="CD150" s="1616"/>
      <c r="CE150" s="1616"/>
      <c r="CF150" s="1616"/>
      <c r="CG150" s="1616"/>
      <c r="CH150" s="1616"/>
      <c r="CI150" s="1616"/>
      <c r="CJ150" s="1616"/>
      <c r="CK150" s="1616"/>
      <c r="CL150" s="1616"/>
      <c r="CM150" s="1616"/>
      <c r="CN150" s="1616"/>
      <c r="CO150" s="1616"/>
      <c r="CP150" s="1616"/>
      <c r="CQ150" s="1616"/>
      <c r="CR150" s="1616"/>
      <c r="CS150" s="1616"/>
      <c r="CT150" s="1616"/>
      <c r="CU150" s="1616"/>
      <c r="CV150" s="1616"/>
      <c r="CW150" s="1616"/>
      <c r="CX150" s="1616"/>
      <c r="CY150" s="1616"/>
      <c r="CZ150" s="1616"/>
      <c r="DA150" s="1616"/>
      <c r="DB150" s="1616"/>
      <c r="DC150" s="1616"/>
      <c r="DD150" s="1616"/>
      <c r="DE150" s="1616"/>
      <c r="DF150" s="1616"/>
      <c r="DG150" s="1616"/>
      <c r="DH150" s="1616"/>
      <c r="DI150" s="1616"/>
      <c r="DJ150" s="1616"/>
      <c r="DK150" s="1616"/>
      <c r="DL150" s="1616"/>
      <c r="DM150" s="1616"/>
      <c r="DN150" s="1616"/>
      <c r="DO150" s="1616"/>
      <c r="DP150" s="1616"/>
      <c r="DQ150" s="1616"/>
      <c r="DR150" s="1616"/>
      <c r="DS150" s="1616"/>
      <c r="DT150" s="1616"/>
      <c r="DU150" s="1616"/>
      <c r="DV150" s="1616"/>
      <c r="DW150" s="1616"/>
      <c r="DX150" s="1616"/>
      <c r="DY150" s="1616"/>
      <c r="DZ150" s="1616"/>
      <c r="EA150" s="1616"/>
      <c r="EB150" s="1616"/>
      <c r="EC150" s="1616"/>
      <c r="ED150" s="1616"/>
      <c r="EE150" s="1616"/>
      <c r="EF150" s="1616"/>
      <c r="EG150" s="1616"/>
      <c r="EH150" s="1616"/>
      <c r="EI150" s="1616"/>
      <c r="EJ150" s="1616"/>
      <c r="EK150" s="1616"/>
      <c r="EL150" s="1616"/>
      <c r="EM150" s="1616"/>
      <c r="EN150" s="1616"/>
      <c r="EO150" s="1616"/>
      <c r="EP150" s="1616"/>
      <c r="EQ150" s="1616"/>
      <c r="ER150" s="1616"/>
      <c r="ES150" s="1616"/>
      <c r="ET150" s="1616"/>
      <c r="EU150" s="1616"/>
      <c r="EV150" s="1616"/>
      <c r="EW150" s="1616"/>
      <c r="EX150" s="1616"/>
      <c r="EY150" s="1616"/>
      <c r="EZ150" s="1616"/>
      <c r="FA150" s="1616"/>
      <c r="FB150" s="1616"/>
      <c r="FC150" s="1616"/>
      <c r="FD150" s="1616"/>
      <c r="FE150" s="1616"/>
      <c r="FF150" s="1616"/>
      <c r="FG150" s="1616"/>
      <c r="FH150" s="1616"/>
      <c r="FI150" s="1616"/>
      <c r="FJ150" s="1616"/>
      <c r="FK150" s="1616"/>
      <c r="FL150" s="1616"/>
      <c r="FM150" s="1616"/>
      <c r="FN150" s="1616"/>
      <c r="FO150" s="1616"/>
      <c r="FP150" s="1616"/>
      <c r="FQ150" s="1616"/>
      <c r="FR150" s="1616"/>
      <c r="FS150" s="1616"/>
      <c r="FT150" s="1616"/>
      <c r="FU150" s="1616"/>
      <c r="FV150" s="1616"/>
      <c r="FW150" s="1616"/>
      <c r="FX150" s="1616"/>
      <c r="FY150" s="1616"/>
      <c r="FZ150" s="1616"/>
      <c r="GA150" s="1616"/>
      <c r="GB150" s="1616"/>
      <c r="GC150" s="1616"/>
      <c r="GD150" s="1616"/>
      <c r="GE150" s="1616"/>
      <c r="GF150" s="1616"/>
      <c r="GG150" s="1616"/>
      <c r="GH150" s="1616"/>
      <c r="GI150" s="1616"/>
      <c r="GJ150" s="1616"/>
      <c r="GK150" s="1616"/>
      <c r="GL150" s="1616"/>
      <c r="GM150" s="1616"/>
      <c r="GN150" s="1616"/>
      <c r="GO150" s="1616"/>
      <c r="GP150" s="1616"/>
      <c r="GQ150" s="1616"/>
      <c r="GR150" s="1616"/>
      <c r="GS150" s="1616"/>
      <c r="GT150" s="1616"/>
      <c r="GU150" s="1616"/>
      <c r="GV150" s="1616"/>
      <c r="GW150" s="1616"/>
      <c r="GX150" s="1616"/>
      <c r="GY150" s="1616"/>
      <c r="GZ150" s="1616"/>
      <c r="HA150" s="1616"/>
      <c r="HB150" s="1616"/>
      <c r="HC150" s="1616"/>
      <c r="HD150" s="1616"/>
      <c r="HE150" s="1616"/>
      <c r="HF150" s="1616"/>
      <c r="HG150" s="1616"/>
      <c r="HH150" s="1616"/>
      <c r="HI150" s="1616"/>
      <c r="HJ150" s="1616"/>
      <c r="HK150" s="1616"/>
      <c r="HL150" s="1616"/>
      <c r="HM150" s="1616"/>
      <c r="HN150" s="1616"/>
      <c r="HO150" s="1616"/>
      <c r="HP150" s="1616"/>
      <c r="HQ150" s="1616"/>
      <c r="HR150" s="1616"/>
      <c r="HS150" s="1616"/>
      <c r="HT150" s="1616"/>
      <c r="HU150" s="1616"/>
      <c r="HV150" s="1616"/>
      <c r="HW150" s="1616"/>
      <c r="HX150" s="1616"/>
      <c r="HY150" s="1616"/>
      <c r="HZ150" s="1616"/>
      <c r="IA150" s="1616"/>
      <c r="IB150" s="1616"/>
      <c r="IC150" s="1616"/>
      <c r="ID150" s="1616"/>
      <c r="IE150" s="1616"/>
      <c r="IF150" s="1616"/>
      <c r="IG150" s="1616"/>
      <c r="IH150" s="1616"/>
      <c r="II150" s="1616"/>
      <c r="IJ150" s="1616"/>
      <c r="IK150" s="1616"/>
      <c r="IL150" s="1616"/>
      <c r="IM150" s="1616"/>
      <c r="IN150" s="1616"/>
      <c r="IO150" s="1616"/>
      <c r="IP150" s="1616"/>
      <c r="IQ150" s="1616"/>
      <c r="IR150" s="1616"/>
      <c r="IS150" s="1616"/>
      <c r="IT150" s="1616"/>
      <c r="IU150" s="1616"/>
    </row>
    <row r="151" spans="1:256" s="604" customFormat="1" ht="13.5" customHeight="1">
      <c r="A151" s="595"/>
      <c r="B151" s="596"/>
      <c r="C151" s="597"/>
      <c r="D151" s="719" t="s">
        <v>6130</v>
      </c>
      <c r="E151" s="599"/>
      <c r="F151" s="600">
        <f>0.01</f>
        <v>0.01</v>
      </c>
      <c r="G151" s="289"/>
      <c r="H151" s="601"/>
      <c r="I151" s="602"/>
      <c r="J151" s="606"/>
      <c r="U151" s="605"/>
      <c r="W151" s="605"/>
    </row>
    <row r="152" spans="1:256" s="604" customFormat="1" ht="13.5" customHeight="1">
      <c r="A152" s="595"/>
      <c r="B152" s="596"/>
      <c r="C152" s="597"/>
      <c r="D152" s="719" t="s">
        <v>6131</v>
      </c>
      <c r="E152" s="599"/>
      <c r="F152" s="600">
        <f>3.221</f>
        <v>3.2210000000000001</v>
      </c>
      <c r="G152" s="289"/>
      <c r="H152" s="601"/>
      <c r="I152" s="602"/>
      <c r="J152" s="606"/>
      <c r="U152" s="605"/>
      <c r="W152" s="605"/>
    </row>
    <row r="153" spans="1:256" s="612" customFormat="1" ht="13.5" customHeight="1">
      <c r="A153" s="608">
        <v>36</v>
      </c>
      <c r="B153" s="557" t="s">
        <v>362</v>
      </c>
      <c r="C153" s="557" t="s">
        <v>1802</v>
      </c>
      <c r="D153" s="557" t="s">
        <v>1803</v>
      </c>
      <c r="E153" s="557" t="s">
        <v>69</v>
      </c>
      <c r="F153" s="573">
        <f>ROUND(SUM(F154),3)</f>
        <v>2</v>
      </c>
      <c r="G153" s="288"/>
      <c r="H153" s="568">
        <f>ROUND(F153*G153,2)</f>
        <v>0</v>
      </c>
      <c r="I153" s="613" t="s">
        <v>137</v>
      </c>
      <c r="J153" s="408"/>
    </row>
    <row r="154" spans="1:256" s="604" customFormat="1" ht="27" customHeight="1">
      <c r="A154" s="595"/>
      <c r="B154" s="596"/>
      <c r="C154" s="597"/>
      <c r="D154" s="719" t="s">
        <v>5778</v>
      </c>
      <c r="E154" s="599"/>
      <c r="F154" s="600">
        <v>2</v>
      </c>
      <c r="G154" s="289"/>
      <c r="H154" s="601"/>
      <c r="I154" s="602"/>
      <c r="J154" s="606"/>
      <c r="U154" s="605"/>
      <c r="W154" s="605"/>
    </row>
    <row r="155" spans="1:256" ht="21" customHeight="1">
      <c r="A155" s="1659"/>
      <c r="B155" s="1660"/>
      <c r="C155" s="1660"/>
      <c r="D155" s="1660" t="s">
        <v>0</v>
      </c>
      <c r="E155" s="1660"/>
      <c r="F155" s="1661"/>
      <c r="G155" s="1662"/>
      <c r="H155" s="1662">
        <f>H9</f>
        <v>0</v>
      </c>
      <c r="I155" s="1248"/>
    </row>
    <row r="156" spans="1:256">
      <c r="A156" s="1663"/>
      <c r="B156" s="1663"/>
      <c r="C156" s="1664"/>
      <c r="D156" s="1664"/>
      <c r="E156" s="1665"/>
      <c r="F156" s="1666"/>
      <c r="G156" s="1667"/>
      <c r="H156" s="1667"/>
      <c r="I156" s="1668"/>
    </row>
    <row r="157" spans="1:256" ht="13.5" customHeight="1">
      <c r="A157" s="5243" t="s">
        <v>862</v>
      </c>
      <c r="B157" s="5244"/>
      <c r="C157" s="5245"/>
      <c r="D157" s="1669" t="s">
        <v>5989</v>
      </c>
      <c r="E157" s="1670"/>
      <c r="F157" s="1671"/>
      <c r="G157" s="1672"/>
      <c r="H157" s="1673">
        <f>H155</f>
        <v>0</v>
      </c>
      <c r="I157" s="1674"/>
    </row>
    <row r="158" spans="1:256" ht="13.5" customHeight="1">
      <c r="A158" s="1675"/>
      <c r="B158" s="1676"/>
      <c r="C158" s="1676"/>
      <c r="D158" s="1295"/>
      <c r="E158" s="1677"/>
      <c r="F158" s="1678"/>
      <c r="G158" s="1679"/>
      <c r="H158" s="1297"/>
      <c r="I158" s="1248"/>
    </row>
    <row r="159" spans="1:256" ht="13.5" customHeight="1">
      <c r="A159" s="689" t="s">
        <v>1</v>
      </c>
      <c r="B159" s="689"/>
      <c r="C159" s="689"/>
      <c r="D159" s="689"/>
      <c r="E159" s="689"/>
      <c r="F159" s="689"/>
      <c r="G159" s="689"/>
      <c r="H159" s="689"/>
      <c r="I159" s="689"/>
    </row>
    <row r="160" spans="1:256" ht="27" customHeight="1">
      <c r="A160" s="5159" t="s">
        <v>864</v>
      </c>
      <c r="B160" s="5159"/>
      <c r="C160" s="5159"/>
      <c r="D160" s="5159"/>
      <c r="E160" s="5159"/>
      <c r="F160" s="5159"/>
      <c r="G160" s="5159"/>
      <c r="H160" s="689"/>
      <c r="I160" s="1248"/>
    </row>
    <row r="161" spans="1:9" ht="93.75" customHeight="1">
      <c r="A161" s="5159" t="s">
        <v>104</v>
      </c>
      <c r="B161" s="5159"/>
      <c r="C161" s="5159"/>
      <c r="D161" s="5159"/>
      <c r="E161" s="5159"/>
      <c r="F161" s="5159"/>
      <c r="G161" s="5159"/>
      <c r="H161" s="689"/>
      <c r="I161" s="689"/>
    </row>
    <row r="162" spans="1:9" ht="13.5" customHeight="1">
      <c r="A162" s="5159" t="s">
        <v>105</v>
      </c>
      <c r="B162" s="5159"/>
      <c r="C162" s="5159"/>
      <c r="D162" s="5159"/>
      <c r="E162" s="5159"/>
      <c r="F162" s="5159"/>
      <c r="G162" s="5159"/>
      <c r="H162" s="691"/>
      <c r="I162" s="691"/>
    </row>
    <row r="163" spans="1:9" ht="13.5" customHeight="1">
      <c r="A163" s="5159" t="s">
        <v>106</v>
      </c>
      <c r="B163" s="5159"/>
      <c r="C163" s="5159"/>
      <c r="D163" s="5159"/>
      <c r="E163" s="5159"/>
      <c r="F163" s="5159"/>
      <c r="G163" s="5159"/>
      <c r="H163" s="691"/>
      <c r="I163" s="691"/>
    </row>
    <row r="164" spans="1:9" ht="40.5" customHeight="1">
      <c r="A164" s="5156" t="s">
        <v>865</v>
      </c>
      <c r="B164" s="5156"/>
      <c r="C164" s="5156"/>
      <c r="D164" s="5156"/>
      <c r="E164" s="5156"/>
      <c r="F164" s="5156"/>
      <c r="G164" s="5156"/>
      <c r="I164" s="1248"/>
    </row>
    <row r="165" spans="1:9" s="695" customFormat="1" ht="94.5" customHeight="1">
      <c r="A165" s="5156" t="s">
        <v>1013</v>
      </c>
      <c r="B165" s="5156"/>
      <c r="C165" s="5156"/>
      <c r="D165" s="5156"/>
      <c r="E165" s="5156"/>
      <c r="F165" s="5156"/>
      <c r="G165" s="5156"/>
      <c r="H165" s="693"/>
      <c r="I165" s="694"/>
    </row>
  </sheetData>
  <sheetProtection algorithmName="SHA-512" hashValue="4QHxPcyP8PERMsHo8H2DNrc0DDw6cCWUdDRzmill0d7p4LNidtPvdNxyhUQb16DXiIgdP7M6B6yiz98dckD9LQ==" saltValue="e08WaF8LunXa4QlxiD33zA==" spinCount="100000" sheet="1" objects="1" scenarios="1"/>
  <mergeCells count="11">
    <mergeCell ref="A161:G161"/>
    <mergeCell ref="A162:G162"/>
    <mergeCell ref="A163:G163"/>
    <mergeCell ref="A164:G164"/>
    <mergeCell ref="A165:G165"/>
    <mergeCell ref="A160:G160"/>
    <mergeCell ref="A2:I2"/>
    <mergeCell ref="A3:D3"/>
    <mergeCell ref="A4:D4"/>
    <mergeCell ref="E4:H4"/>
    <mergeCell ref="A157:C1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E1A2-E232-4D3D-B8F1-281C2458F109}">
  <sheetPr>
    <tabColor rgb="FFFF66FF"/>
    <pageSetUpPr fitToPage="1"/>
  </sheetPr>
  <dimension ref="A1:IV327"/>
  <sheetViews>
    <sheetView zoomScaleNormal="100" workbookViewId="0"/>
  </sheetViews>
  <sheetFormatPr defaultRowHeight="10.5"/>
  <cols>
    <col min="1" max="1" width="4.83203125" style="1757" customWidth="1"/>
    <col min="2" max="2" width="4.83203125" style="1989" customWidth="1"/>
    <col min="3" max="3" width="16.83203125" style="1757" customWidth="1"/>
    <col min="4" max="4" width="75.83203125" style="1757" customWidth="1"/>
    <col min="5" max="5" width="7.83203125" style="1757" customWidth="1"/>
    <col min="6" max="6" width="11.83203125" style="1990" customWidth="1"/>
    <col min="7" max="7" width="14.33203125" style="1758" customWidth="1"/>
    <col min="8" max="8" width="18.33203125" style="1758" customWidth="1"/>
    <col min="9" max="9" width="19.83203125" style="1757" customWidth="1"/>
    <col min="10" max="10" width="21" style="1757" customWidth="1"/>
    <col min="11" max="11" width="12.6640625" style="1757" customWidth="1"/>
    <col min="12" max="12" width="20" style="1757" customWidth="1"/>
    <col min="13" max="13" width="9.33203125" style="1757"/>
    <col min="14" max="14" width="13.33203125" style="1757" customWidth="1"/>
    <col min="15" max="15" width="11.83203125" style="1757" customWidth="1"/>
    <col min="16" max="16" width="12.5" style="1757" customWidth="1"/>
    <col min="17" max="17" width="11" style="1757" customWidth="1"/>
    <col min="18" max="20" width="9.33203125" style="1757"/>
    <col min="21" max="21" width="12.33203125" style="1757" customWidth="1"/>
    <col min="22" max="16384" width="9.33203125" style="1757"/>
  </cols>
  <sheetData>
    <row r="1" spans="1:20" s="111" customFormat="1" ht="20.25" customHeight="1">
      <c r="A1" s="1" t="s">
        <v>2760</v>
      </c>
      <c r="B1" s="1754"/>
      <c r="C1" s="28"/>
      <c r="D1" s="28"/>
      <c r="F1" s="252"/>
    </row>
    <row r="2" spans="1:20" s="122" customFormat="1" ht="13.5" customHeight="1">
      <c r="A2" s="5228" t="s">
        <v>115</v>
      </c>
      <c r="B2" s="5239"/>
      <c r="C2" s="5239"/>
      <c r="D2" s="5239"/>
      <c r="E2" s="5239"/>
      <c r="F2" s="5239"/>
      <c r="G2" s="5239"/>
      <c r="H2" s="5239"/>
      <c r="I2" s="5239"/>
      <c r="J2" s="512"/>
    </row>
    <row r="3" spans="1:20" s="122" customFormat="1" ht="13.5" customHeight="1">
      <c r="A3" s="5193" t="s">
        <v>1929</v>
      </c>
      <c r="B3" s="5193"/>
      <c r="C3" s="5193"/>
      <c r="D3" s="5193"/>
      <c r="E3" s="5193"/>
      <c r="F3" s="5193"/>
      <c r="G3" s="5193"/>
      <c r="H3" s="5193"/>
      <c r="I3" s="5193"/>
    </row>
    <row r="5" spans="1:20" s="111" customFormat="1" ht="13.5" customHeight="1">
      <c r="A5" s="112"/>
      <c r="B5" s="113"/>
      <c r="C5" s="113"/>
      <c r="D5" s="113"/>
      <c r="E5" s="113"/>
      <c r="F5" s="131"/>
      <c r="G5" s="132"/>
      <c r="H5" s="1755"/>
      <c r="I5" s="251"/>
      <c r="K5" s="251"/>
      <c r="L5" s="251"/>
      <c r="M5" s="251"/>
      <c r="N5" s="251"/>
      <c r="O5" s="1756"/>
    </row>
    <row r="6" spans="1:20" ht="24.75" customHeight="1">
      <c r="A6" s="115" t="s">
        <v>118</v>
      </c>
      <c r="B6" s="116" t="s">
        <v>119</v>
      </c>
      <c r="C6" s="115" t="s">
        <v>120</v>
      </c>
      <c r="D6" s="115" t="s">
        <v>1798</v>
      </c>
      <c r="E6" s="115" t="s">
        <v>122</v>
      </c>
      <c r="F6" s="133" t="s">
        <v>123</v>
      </c>
      <c r="G6" s="134" t="s">
        <v>124</v>
      </c>
      <c r="H6" s="134" t="s">
        <v>2</v>
      </c>
      <c r="I6" s="115" t="s">
        <v>46</v>
      </c>
      <c r="J6" s="482"/>
      <c r="L6" s="1758"/>
    </row>
    <row r="7" spans="1:20" ht="12.75" customHeight="1">
      <c r="A7" s="115" t="s">
        <v>125</v>
      </c>
      <c r="B7" s="116" t="s">
        <v>126</v>
      </c>
      <c r="C7" s="115" t="s">
        <v>127</v>
      </c>
      <c r="D7" s="115" t="s">
        <v>128</v>
      </c>
      <c r="E7" s="115" t="s">
        <v>129</v>
      </c>
      <c r="F7" s="133" t="s">
        <v>130</v>
      </c>
      <c r="G7" s="134" t="s">
        <v>131</v>
      </c>
      <c r="H7" s="115">
        <v>8</v>
      </c>
      <c r="I7" s="115">
        <v>9</v>
      </c>
    </row>
    <row r="8" spans="1:20" s="251" customFormat="1" ht="21" customHeight="1">
      <c r="A8" s="1759"/>
      <c r="B8" s="1760"/>
      <c r="C8" s="1761" t="s">
        <v>366</v>
      </c>
      <c r="D8" s="1762" t="s">
        <v>367</v>
      </c>
      <c r="E8" s="1761"/>
      <c r="F8" s="1763"/>
      <c r="G8" s="1764"/>
      <c r="H8" s="1764">
        <f>H9+H44+H84+H130+H159+H189+H215+H242+H272</f>
        <v>0</v>
      </c>
    </row>
    <row r="9" spans="1:20" s="1771" customFormat="1" ht="13.5" customHeight="1">
      <c r="A9" s="1765"/>
      <c r="B9" s="1766"/>
      <c r="C9" s="1766">
        <v>742</v>
      </c>
      <c r="D9" s="1766" t="s">
        <v>3950</v>
      </c>
      <c r="E9" s="1766"/>
      <c r="F9" s="1767"/>
      <c r="G9" s="1768"/>
      <c r="H9" s="1769">
        <f>SUM(H10:H43)</f>
        <v>0</v>
      </c>
      <c r="I9" s="1770"/>
      <c r="K9" s="1772"/>
      <c r="L9" s="1772"/>
      <c r="M9" s="1772"/>
      <c r="N9" s="1772"/>
      <c r="O9" s="1772"/>
      <c r="P9" s="1772"/>
    </row>
    <row r="10" spans="1:20" s="251" customFormat="1" ht="13.5" customHeight="1">
      <c r="A10" s="253">
        <v>1</v>
      </c>
      <c r="B10" s="1773" t="s">
        <v>3951</v>
      </c>
      <c r="C10" s="1773" t="s">
        <v>1930</v>
      </c>
      <c r="D10" s="1773" t="s">
        <v>3952</v>
      </c>
      <c r="E10" s="1773" t="s">
        <v>205</v>
      </c>
      <c r="F10" s="1774">
        <f>ROUND(SUM(F12),3)</f>
        <v>1</v>
      </c>
      <c r="G10" s="1991"/>
      <c r="H10" s="1775">
        <f t="shared" ref="H10" si="0">ROUND(F10*G10,2)</f>
        <v>0</v>
      </c>
      <c r="I10" s="1776" t="s">
        <v>111</v>
      </c>
      <c r="J10" s="1771"/>
      <c r="K10" s="1772"/>
      <c r="L10" s="1772"/>
      <c r="M10" s="1772"/>
      <c r="N10" s="1772"/>
      <c r="O10" s="1772"/>
      <c r="P10" s="1772"/>
      <c r="Q10" s="1771"/>
      <c r="R10" s="1771"/>
    </row>
    <row r="11" spans="1:20" s="251" customFormat="1" ht="13.5" customHeight="1">
      <c r="A11" s="1777"/>
      <c r="B11" s="1778"/>
      <c r="C11" s="1779"/>
      <c r="D11" s="1780" t="s">
        <v>3953</v>
      </c>
      <c r="E11" s="1779"/>
      <c r="F11" s="1781"/>
      <c r="G11" s="1992"/>
      <c r="H11" s="1783"/>
      <c r="I11" s="1784"/>
      <c r="J11" s="1785"/>
      <c r="R11" s="481"/>
    </row>
    <row r="12" spans="1:20" s="251" customFormat="1" ht="13.5" customHeight="1">
      <c r="A12" s="1777"/>
      <c r="B12" s="1778"/>
      <c r="C12" s="1779"/>
      <c r="D12" s="1780" t="s">
        <v>1222</v>
      </c>
      <c r="E12" s="1779"/>
      <c r="F12" s="1781">
        <v>1</v>
      </c>
      <c r="G12" s="1992"/>
      <c r="H12" s="1783"/>
      <c r="I12" s="1784"/>
      <c r="J12" s="1785"/>
    </row>
    <row r="13" spans="1:20" s="251" customFormat="1" ht="27" customHeight="1">
      <c r="A13" s="1777"/>
      <c r="B13" s="1778"/>
      <c r="C13" s="1779"/>
      <c r="D13" s="1780" t="s">
        <v>3954</v>
      </c>
      <c r="E13" s="1779"/>
      <c r="F13" s="1781"/>
      <c r="G13" s="1992"/>
      <c r="H13" s="1783"/>
      <c r="I13" s="1784"/>
      <c r="J13" s="1785"/>
    </row>
    <row r="14" spans="1:20" s="251" customFormat="1" ht="13.5" customHeight="1">
      <c r="A14" s="485">
        <v>2</v>
      </c>
      <c r="B14" s="1786" t="s">
        <v>3951</v>
      </c>
      <c r="C14" s="1786" t="s">
        <v>3955</v>
      </c>
      <c r="D14" s="1786" t="s">
        <v>3956</v>
      </c>
      <c r="E14" s="1786" t="s">
        <v>205</v>
      </c>
      <c r="F14" s="1787">
        <f>ROUND(SUM(F16:F18),3)</f>
        <v>97</v>
      </c>
      <c r="G14" s="1992"/>
      <c r="H14" s="1788">
        <f t="shared" ref="H14" si="1">ROUND(F14*G14,2)</f>
        <v>0</v>
      </c>
      <c r="I14" s="1789" t="s">
        <v>111</v>
      </c>
      <c r="J14" s="1790"/>
      <c r="M14" s="1771"/>
      <c r="N14" s="1771"/>
      <c r="O14" s="1791"/>
      <c r="P14" s="1771"/>
      <c r="Q14" s="1771"/>
      <c r="R14" s="481"/>
      <c r="S14" s="1792"/>
      <c r="T14" s="1771"/>
    </row>
    <row r="15" spans="1:20" s="251" customFormat="1" ht="13.5" customHeight="1">
      <c r="A15" s="1777"/>
      <c r="B15" s="1778"/>
      <c r="C15" s="1779"/>
      <c r="D15" s="1780" t="s">
        <v>3957</v>
      </c>
      <c r="E15" s="1779"/>
      <c r="F15" s="1781"/>
      <c r="G15" s="1992"/>
      <c r="H15" s="1783"/>
      <c r="I15" s="1784"/>
      <c r="J15" s="1790"/>
      <c r="R15" s="481"/>
    </row>
    <row r="16" spans="1:20" s="251" customFormat="1" ht="13.5" customHeight="1">
      <c r="A16" s="1777"/>
      <c r="B16" s="1778"/>
      <c r="C16" s="1779"/>
      <c r="D16" s="1780" t="s">
        <v>1221</v>
      </c>
      <c r="E16" s="1779"/>
      <c r="F16" s="1781">
        <v>6</v>
      </c>
      <c r="G16" s="1992"/>
      <c r="H16" s="1783"/>
      <c r="I16" s="1784"/>
      <c r="J16" s="1793"/>
      <c r="R16" s="481"/>
      <c r="S16" s="1794"/>
    </row>
    <row r="17" spans="1:20" s="251" customFormat="1" ht="13.5" customHeight="1">
      <c r="A17" s="1777"/>
      <c r="B17" s="1778"/>
      <c r="C17" s="1779"/>
      <c r="D17" s="1780" t="s">
        <v>1169</v>
      </c>
      <c r="E17" s="1779"/>
      <c r="F17" s="1781">
        <v>32</v>
      </c>
      <c r="G17" s="1992"/>
      <c r="H17" s="1783"/>
      <c r="I17" s="1784"/>
    </row>
    <row r="18" spans="1:20" s="251" customFormat="1" ht="13.5" customHeight="1">
      <c r="A18" s="1777"/>
      <c r="B18" s="1778"/>
      <c r="C18" s="1779"/>
      <c r="D18" s="1780" t="s">
        <v>1222</v>
      </c>
      <c r="E18" s="1779"/>
      <c r="F18" s="1781">
        <v>59</v>
      </c>
      <c r="G18" s="1992"/>
      <c r="H18" s="1783"/>
      <c r="I18" s="1784"/>
      <c r="J18" s="1757"/>
      <c r="S18" s="1791"/>
    </row>
    <row r="19" spans="1:20" s="251" customFormat="1" ht="27" customHeight="1">
      <c r="A19" s="1777"/>
      <c r="B19" s="1778"/>
      <c r="C19" s="1779"/>
      <c r="D19" s="1780" t="s">
        <v>3958</v>
      </c>
      <c r="E19" s="1779"/>
      <c r="F19" s="1781"/>
      <c r="G19" s="1992"/>
      <c r="H19" s="1783"/>
      <c r="I19" s="1784"/>
      <c r="J19" s="1757"/>
    </row>
    <row r="20" spans="1:20" s="251" customFormat="1" ht="13.5" customHeight="1">
      <c r="A20" s="485">
        <v>3</v>
      </c>
      <c r="B20" s="1786" t="s">
        <v>3951</v>
      </c>
      <c r="C20" s="1786" t="s">
        <v>3959</v>
      </c>
      <c r="D20" s="1786" t="s">
        <v>3960</v>
      </c>
      <c r="E20" s="1786" t="s">
        <v>205</v>
      </c>
      <c r="F20" s="1787">
        <f>ROUND(SUM(F22),3)</f>
        <v>3</v>
      </c>
      <c r="G20" s="1992"/>
      <c r="H20" s="1788">
        <f t="shared" ref="H20" si="2">ROUND(F20*G20,2)</f>
        <v>0</v>
      </c>
      <c r="I20" s="1789" t="s">
        <v>111</v>
      </c>
      <c r="J20" s="1790"/>
      <c r="M20" s="1771"/>
      <c r="N20" s="1771"/>
      <c r="O20" s="1791"/>
      <c r="P20" s="1771"/>
      <c r="Q20" s="1771"/>
      <c r="R20" s="481"/>
      <c r="S20" s="1792"/>
      <c r="T20" s="1771"/>
    </row>
    <row r="21" spans="1:20" s="251" customFormat="1" ht="13.5" customHeight="1">
      <c r="A21" s="1777"/>
      <c r="B21" s="1778"/>
      <c r="C21" s="1779"/>
      <c r="D21" s="1780" t="s">
        <v>3961</v>
      </c>
      <c r="E21" s="1779"/>
      <c r="F21" s="1781"/>
      <c r="G21" s="1992"/>
      <c r="H21" s="1783"/>
      <c r="I21" s="1784"/>
      <c r="J21" s="1790"/>
      <c r="R21" s="481"/>
    </row>
    <row r="22" spans="1:20" s="251" customFormat="1" ht="13.5" customHeight="1">
      <c r="A22" s="1777"/>
      <c r="B22" s="1778"/>
      <c r="C22" s="1779"/>
      <c r="D22" s="1780" t="s">
        <v>1169</v>
      </c>
      <c r="E22" s="1779"/>
      <c r="F22" s="1781">
        <v>3</v>
      </c>
      <c r="G22" s="1992"/>
      <c r="H22" s="1783"/>
      <c r="I22" s="1784"/>
      <c r="J22" s="1793"/>
      <c r="R22" s="481"/>
      <c r="S22" s="1794"/>
    </row>
    <row r="23" spans="1:20" s="251" customFormat="1" ht="27" customHeight="1">
      <c r="A23" s="1777"/>
      <c r="B23" s="1778"/>
      <c r="C23" s="1779"/>
      <c r="D23" s="1780" t="s">
        <v>3958</v>
      </c>
      <c r="E23" s="1779"/>
      <c r="F23" s="1781"/>
      <c r="G23" s="1992"/>
      <c r="H23" s="1783"/>
      <c r="I23" s="1784"/>
      <c r="J23" s="1757"/>
    </row>
    <row r="24" spans="1:20" s="122" customFormat="1" ht="13.5" customHeight="1">
      <c r="A24" s="485">
        <v>4</v>
      </c>
      <c r="B24" s="486">
        <v>742</v>
      </c>
      <c r="C24" s="1786" t="s">
        <v>3962</v>
      </c>
      <c r="D24" s="1786" t="s">
        <v>3963</v>
      </c>
      <c r="E24" s="487" t="s">
        <v>141</v>
      </c>
      <c r="F24" s="1787">
        <f>ROUND(SUM(F25),3)</f>
        <v>80</v>
      </c>
      <c r="G24" s="1993"/>
      <c r="H24" s="1788">
        <f t="shared" ref="H24" si="3">ROUND(F24*G24,2)</f>
        <v>0</v>
      </c>
      <c r="I24" s="1789" t="s">
        <v>111</v>
      </c>
      <c r="J24" s="513"/>
      <c r="K24" s="1796"/>
      <c r="L24" s="1797"/>
      <c r="M24" s="1797"/>
      <c r="N24" s="1797"/>
      <c r="O24" s="1797"/>
      <c r="P24" s="1798"/>
      <c r="Q24" s="1798"/>
      <c r="R24" s="481"/>
      <c r="S24" s="1756"/>
    </row>
    <row r="25" spans="1:20" s="1798" customFormat="1" ht="13.5" customHeight="1">
      <c r="A25" s="1799"/>
      <c r="B25" s="1800"/>
      <c r="C25" s="1801"/>
      <c r="D25" s="488" t="s">
        <v>3964</v>
      </c>
      <c r="E25" s="487"/>
      <c r="F25" s="1781">
        <v>80</v>
      </c>
      <c r="G25" s="1993"/>
      <c r="H25" s="1783"/>
      <c r="I25" s="1789"/>
      <c r="J25" s="513"/>
      <c r="K25" s="1796"/>
      <c r="L25" s="1797"/>
      <c r="M25" s="1797"/>
      <c r="N25" s="1797"/>
      <c r="O25" s="1797"/>
      <c r="R25" s="481"/>
    </row>
    <row r="26" spans="1:20" s="1798" customFormat="1" ht="27" customHeight="1">
      <c r="A26" s="1799"/>
      <c r="B26" s="1800"/>
      <c r="C26" s="1801"/>
      <c r="D26" s="1780" t="s">
        <v>3965</v>
      </c>
      <c r="E26" s="487"/>
      <c r="F26" s="1781"/>
      <c r="G26" s="1993"/>
      <c r="H26" s="1783"/>
      <c r="I26" s="1789"/>
      <c r="J26" s="1802"/>
      <c r="K26" s="1803"/>
      <c r="L26" s="1797"/>
      <c r="M26" s="1797"/>
      <c r="N26" s="1797"/>
      <c r="O26" s="1797"/>
    </row>
    <row r="27" spans="1:20" s="122" customFormat="1" ht="13.5" customHeight="1">
      <c r="A27" s="1804">
        <v>5</v>
      </c>
      <c r="B27" s="486">
        <v>742</v>
      </c>
      <c r="C27" s="1786" t="s">
        <v>1932</v>
      </c>
      <c r="D27" s="1786" t="s">
        <v>1933</v>
      </c>
      <c r="E27" s="1786" t="s">
        <v>49</v>
      </c>
      <c r="F27" s="1805">
        <f>ROUND(SUM(F28),3)</f>
        <v>1</v>
      </c>
      <c r="G27" s="5176" t="s">
        <v>3512</v>
      </c>
      <c r="H27" s="5177"/>
      <c r="I27" s="1789" t="s">
        <v>111</v>
      </c>
      <c r="J27" s="251"/>
      <c r="K27" s="251"/>
      <c r="L27" s="1806"/>
      <c r="M27" s="1807"/>
      <c r="N27" s="1808"/>
      <c r="O27" s="1809"/>
      <c r="P27" s="251"/>
      <c r="Q27" s="1809"/>
      <c r="R27" s="1756"/>
      <c r="S27" s="1756"/>
    </row>
    <row r="28" spans="1:20" s="1817" customFormat="1" ht="13.5" customHeight="1">
      <c r="A28" s="1810"/>
      <c r="B28" s="1811"/>
      <c r="C28" s="1801"/>
      <c r="D28" s="1812" t="s">
        <v>1934</v>
      </c>
      <c r="E28" s="1813"/>
      <c r="F28" s="1814">
        <v>1</v>
      </c>
      <c r="G28" s="250"/>
      <c r="H28" s="1815"/>
      <c r="I28" s="1816"/>
      <c r="J28" s="251"/>
      <c r="K28" s="251"/>
      <c r="L28" s="1806"/>
      <c r="M28" s="1807"/>
      <c r="N28" s="1808"/>
      <c r="O28" s="1055"/>
      <c r="Q28" s="1807"/>
    </row>
    <row r="29" spans="1:20" s="1817" customFormat="1" ht="27" customHeight="1">
      <c r="A29" s="1810"/>
      <c r="B29" s="1811"/>
      <c r="C29" s="1801"/>
      <c r="D29" s="1812" t="s">
        <v>1935</v>
      </c>
      <c r="E29" s="1813"/>
      <c r="F29" s="1818"/>
      <c r="G29" s="250"/>
      <c r="H29" s="1815"/>
      <c r="I29" s="1816"/>
      <c r="J29" s="251"/>
      <c r="K29" s="251"/>
      <c r="L29" s="1806"/>
      <c r="M29" s="1807"/>
      <c r="N29" s="1808"/>
      <c r="O29" s="251"/>
      <c r="P29" s="1819"/>
      <c r="Q29" s="1807"/>
    </row>
    <row r="30" spans="1:20" s="1771" customFormat="1" ht="13.5" customHeight="1">
      <c r="A30" s="1820" t="s">
        <v>1153</v>
      </c>
      <c r="B30" s="1821" t="s">
        <v>3951</v>
      </c>
      <c r="C30" s="1821" t="s">
        <v>6418</v>
      </c>
      <c r="D30" s="489" t="s">
        <v>6416</v>
      </c>
      <c r="E30" s="490" t="s">
        <v>141</v>
      </c>
      <c r="F30" s="1822">
        <f>ROUND(SUM(F31),3)</f>
        <v>5500</v>
      </c>
      <c r="G30" s="1994"/>
      <c r="H30" s="491">
        <f>F30*G30</f>
        <v>0</v>
      </c>
      <c r="I30" s="1823" t="s">
        <v>111</v>
      </c>
      <c r="J30" s="513"/>
      <c r="K30" s="1796"/>
      <c r="L30" s="1824"/>
      <c r="M30" s="1824"/>
      <c r="N30" s="1824"/>
      <c r="O30" s="1824"/>
      <c r="P30" s="1825"/>
      <c r="Q30" s="1825"/>
      <c r="R30" s="481"/>
    </row>
    <row r="31" spans="1:20" s="1771" customFormat="1" ht="13.5" customHeight="1">
      <c r="A31" s="1826"/>
      <c r="B31" s="1821"/>
      <c r="C31" s="1821"/>
      <c r="D31" s="490" t="s">
        <v>6417</v>
      </c>
      <c r="E31" s="490"/>
      <c r="F31" s="1827">
        <v>5500</v>
      </c>
      <c r="G31" s="1995"/>
      <c r="H31" s="1828"/>
      <c r="I31" s="1829"/>
      <c r="J31" s="513"/>
      <c r="K31" s="1796"/>
      <c r="L31" s="1824"/>
      <c r="M31" s="1824"/>
      <c r="N31" s="1824"/>
      <c r="O31" s="1824"/>
      <c r="P31" s="1825"/>
      <c r="Q31" s="1825"/>
      <c r="R31" s="481"/>
    </row>
    <row r="32" spans="1:20" s="1771" customFormat="1" ht="27" customHeight="1">
      <c r="A32" s="1830"/>
      <c r="B32" s="492"/>
      <c r="C32" s="492"/>
      <c r="D32" s="1831" t="s">
        <v>3965</v>
      </c>
      <c r="E32" s="490"/>
      <c r="F32" s="1832"/>
      <c r="G32" s="1994"/>
      <c r="H32" s="491"/>
      <c r="I32" s="1829"/>
      <c r="J32" s="1757"/>
      <c r="K32" s="270"/>
      <c r="L32" s="1785"/>
      <c r="M32" s="1785"/>
      <c r="N32" s="1785"/>
      <c r="O32" s="1833"/>
      <c r="Q32" s="480"/>
    </row>
    <row r="33" spans="1:24" s="1836" customFormat="1" ht="13.5" customHeight="1">
      <c r="A33" s="485">
        <v>6</v>
      </c>
      <c r="B33" s="486">
        <v>742</v>
      </c>
      <c r="C33" s="1786" t="s">
        <v>1936</v>
      </c>
      <c r="D33" s="246" t="s">
        <v>1824</v>
      </c>
      <c r="E33" s="1834" t="s">
        <v>49</v>
      </c>
      <c r="F33" s="1787">
        <f>ROUND(SUM(F34),3)</f>
        <v>1</v>
      </c>
      <c r="G33" s="1992"/>
      <c r="H33" s="1788">
        <f t="shared" ref="H33" si="4">ROUND(F33*G33,2)</f>
        <v>0</v>
      </c>
      <c r="I33" s="1789" t="s">
        <v>111</v>
      </c>
      <c r="J33" s="251"/>
      <c r="K33" s="1835"/>
      <c r="L33" s="251"/>
      <c r="Q33" s="1576"/>
      <c r="R33" s="1576"/>
      <c r="S33" s="1576"/>
      <c r="T33" s="1576"/>
      <c r="U33" s="1576"/>
    </row>
    <row r="34" spans="1:24" s="1836" customFormat="1" ht="13.5" customHeight="1">
      <c r="A34" s="1837"/>
      <c r="B34" s="1834"/>
      <c r="C34" s="1834"/>
      <c r="D34" s="493" t="s">
        <v>1937</v>
      </c>
      <c r="E34" s="1834"/>
      <c r="F34" s="1838">
        <v>1</v>
      </c>
      <c r="G34" s="1996"/>
      <c r="H34" s="1840"/>
      <c r="I34" s="1841"/>
      <c r="J34" s="251"/>
      <c r="K34" s="1842"/>
      <c r="Q34" s="1576"/>
      <c r="R34" s="1576"/>
      <c r="S34" s="1576"/>
      <c r="T34" s="1576"/>
      <c r="U34" s="1576"/>
    </row>
    <row r="35" spans="1:24" s="1836" customFormat="1" ht="40.5" customHeight="1">
      <c r="A35" s="1837"/>
      <c r="B35" s="1834"/>
      <c r="C35" s="1834"/>
      <c r="D35" s="493" t="s">
        <v>1938</v>
      </c>
      <c r="E35" s="1834"/>
      <c r="F35" s="1843"/>
      <c r="G35" s="1996"/>
      <c r="H35" s="1840"/>
      <c r="I35" s="1841"/>
      <c r="J35" s="251"/>
      <c r="K35" s="1575"/>
    </row>
    <row r="36" spans="1:24" s="1836" customFormat="1" ht="13.5" customHeight="1">
      <c r="A36" s="485">
        <v>7</v>
      </c>
      <c r="B36" s="486">
        <v>742</v>
      </c>
      <c r="C36" s="1786" t="s">
        <v>1939</v>
      </c>
      <c r="D36" s="246" t="s">
        <v>1828</v>
      </c>
      <c r="E36" s="1834" t="s">
        <v>49</v>
      </c>
      <c r="F36" s="1787">
        <f>ROUND(SUM(F37),3)</f>
        <v>1</v>
      </c>
      <c r="G36" s="1992"/>
      <c r="H36" s="1788">
        <f t="shared" ref="H36" si="5">ROUND(F36*G36,2)</f>
        <v>0</v>
      </c>
      <c r="I36" s="1789" t="s">
        <v>111</v>
      </c>
      <c r="J36" s="251"/>
      <c r="K36" s="1835"/>
      <c r="L36" s="251"/>
      <c r="Q36" s="1576"/>
      <c r="R36" s="1576"/>
      <c r="S36" s="1576"/>
      <c r="T36" s="1576"/>
      <c r="U36" s="1576"/>
    </row>
    <row r="37" spans="1:24" s="1836" customFormat="1" ht="27" customHeight="1">
      <c r="A37" s="1837"/>
      <c r="B37" s="1834"/>
      <c r="C37" s="1834"/>
      <c r="D37" s="493" t="s">
        <v>1940</v>
      </c>
      <c r="E37" s="1834"/>
      <c r="F37" s="1838">
        <v>1</v>
      </c>
      <c r="G37" s="1996"/>
      <c r="H37" s="1840"/>
      <c r="I37" s="1841"/>
      <c r="J37" s="251"/>
      <c r="K37" s="1835"/>
      <c r="Q37" s="1576"/>
      <c r="R37" s="1576"/>
      <c r="S37" s="1576"/>
      <c r="T37" s="1576"/>
      <c r="U37" s="1576"/>
    </row>
    <row r="38" spans="1:24" s="1836" customFormat="1" ht="40.5" customHeight="1">
      <c r="A38" s="1837"/>
      <c r="B38" s="1834"/>
      <c r="C38" s="1834"/>
      <c r="D38" s="493" t="s">
        <v>1826</v>
      </c>
      <c r="E38" s="1834"/>
      <c r="F38" s="1843"/>
      <c r="G38" s="1996"/>
      <c r="H38" s="1840"/>
      <c r="I38" s="1841"/>
      <c r="J38" s="251"/>
      <c r="K38" s="1575"/>
    </row>
    <row r="39" spans="1:24" s="251" customFormat="1" ht="13.5" customHeight="1">
      <c r="A39" s="485">
        <v>8</v>
      </c>
      <c r="B39" s="486">
        <v>742</v>
      </c>
      <c r="C39" s="1786" t="s">
        <v>3966</v>
      </c>
      <c r="D39" s="1786" t="s">
        <v>1840</v>
      </c>
      <c r="E39" s="1844" t="s">
        <v>49</v>
      </c>
      <c r="F39" s="1787">
        <v>1</v>
      </c>
      <c r="G39" s="1992"/>
      <c r="H39" s="1815">
        <f>ROUND(F39*G39,2)</f>
        <v>0</v>
      </c>
      <c r="I39" s="1789" t="s">
        <v>111</v>
      </c>
    </row>
    <row r="40" spans="1:24" s="1850" customFormat="1" ht="13.5" customHeight="1">
      <c r="A40" s="485">
        <v>9</v>
      </c>
      <c r="B40" s="1845">
        <v>742</v>
      </c>
      <c r="C40" s="1811">
        <v>998742312</v>
      </c>
      <c r="D40" s="1846" t="s">
        <v>3967</v>
      </c>
      <c r="E40" s="1846" t="s">
        <v>10</v>
      </c>
      <c r="F40" s="1847">
        <v>0.89</v>
      </c>
      <c r="G40" s="250"/>
      <c r="H40" s="1788">
        <f t="shared" ref="H40:H41" si="6">ROUND(F40*G40,2)</f>
        <v>0</v>
      </c>
      <c r="I40" s="1848" t="s">
        <v>137</v>
      </c>
      <c r="J40" s="1807"/>
      <c r="K40" s="1806"/>
      <c r="L40" s="1806"/>
      <c r="M40" s="1807"/>
      <c r="N40" s="1808"/>
      <c r="O40" s="1849"/>
      <c r="Q40" s="1807"/>
    </row>
    <row r="41" spans="1:24" s="1817" customFormat="1" ht="13.5" customHeight="1">
      <c r="A41" s="485">
        <v>10</v>
      </c>
      <c r="B41" s="1786" t="s">
        <v>362</v>
      </c>
      <c r="C41" s="1786" t="s">
        <v>1802</v>
      </c>
      <c r="D41" s="1786" t="s">
        <v>1803</v>
      </c>
      <c r="E41" s="1811" t="s">
        <v>69</v>
      </c>
      <c r="F41" s="1787">
        <f>ROUND(SUM(F42),3)</f>
        <v>10</v>
      </c>
      <c r="G41" s="1993"/>
      <c r="H41" s="1788">
        <f t="shared" si="6"/>
        <v>0</v>
      </c>
      <c r="I41" s="1848" t="s">
        <v>137</v>
      </c>
      <c r="J41" s="1807"/>
      <c r="K41" s="1806"/>
      <c r="L41" s="1806"/>
      <c r="M41" s="1807"/>
      <c r="N41" s="1808"/>
      <c r="O41" s="251"/>
      <c r="Q41" s="1807"/>
    </row>
    <row r="42" spans="1:24" s="1817" customFormat="1" ht="13.5" customHeight="1">
      <c r="A42" s="1810"/>
      <c r="B42" s="1811"/>
      <c r="C42" s="1801"/>
      <c r="D42" s="1812" t="s">
        <v>1941</v>
      </c>
      <c r="E42" s="1813"/>
      <c r="F42" s="1814">
        <v>10</v>
      </c>
      <c r="G42" s="250"/>
      <c r="H42" s="1815"/>
      <c r="I42" s="1816"/>
      <c r="J42" s="1807"/>
      <c r="K42" s="1806"/>
      <c r="L42" s="1806"/>
      <c r="M42" s="1807"/>
      <c r="N42" s="1808"/>
      <c r="O42" s="467"/>
      <c r="Q42" s="1807"/>
    </row>
    <row r="43" spans="1:24" s="1817" customFormat="1" ht="13.5" customHeight="1">
      <c r="A43" s="1810"/>
      <c r="B43" s="1811"/>
      <c r="C43" s="1801"/>
      <c r="D43" s="1812" t="s">
        <v>1942</v>
      </c>
      <c r="E43" s="1813"/>
      <c r="F43" s="1814"/>
      <c r="G43" s="250"/>
      <c r="H43" s="1815"/>
      <c r="I43" s="1816"/>
      <c r="J43" s="1807"/>
      <c r="K43" s="1806"/>
      <c r="L43" s="1806"/>
      <c r="M43" s="1807"/>
      <c r="N43" s="1808"/>
      <c r="O43" s="467"/>
      <c r="Q43" s="1807"/>
    </row>
    <row r="44" spans="1:24" s="1771" customFormat="1" ht="13.5" customHeight="1">
      <c r="A44" s="1777"/>
      <c r="B44" s="1779"/>
      <c r="C44" s="1779">
        <v>742</v>
      </c>
      <c r="D44" s="1779" t="s">
        <v>1943</v>
      </c>
      <c r="E44" s="1779"/>
      <c r="F44" s="1851"/>
      <c r="G44" s="1997"/>
      <c r="H44" s="1769">
        <f>SUM(H45:H83)</f>
        <v>0</v>
      </c>
      <c r="I44" s="1784"/>
      <c r="J44" s="1852"/>
    </row>
    <row r="45" spans="1:24" s="1771" customFormat="1" ht="13.5" customHeight="1">
      <c r="A45" s="485">
        <v>11</v>
      </c>
      <c r="B45" s="486">
        <v>742</v>
      </c>
      <c r="C45" s="1786" t="s">
        <v>1944</v>
      </c>
      <c r="D45" s="494" t="s">
        <v>3968</v>
      </c>
      <c r="E45" s="494" t="s">
        <v>205</v>
      </c>
      <c r="F45" s="1787">
        <f>SUM(F46:F47)</f>
        <v>4</v>
      </c>
      <c r="G45" s="1998"/>
      <c r="H45" s="1788">
        <f t="shared" ref="H45" si="7">ROUND(F45*G45,2)</f>
        <v>0</v>
      </c>
      <c r="I45" s="1789" t="s">
        <v>111</v>
      </c>
      <c r="J45" s="513"/>
      <c r="K45" s="514"/>
      <c r="L45" s="251"/>
      <c r="P45" s="1833"/>
      <c r="Q45" s="515"/>
      <c r="X45" s="516"/>
    </row>
    <row r="46" spans="1:24" s="1771" customFormat="1" ht="13.5" customHeight="1">
      <c r="A46" s="1853"/>
      <c r="B46" s="1786"/>
      <c r="C46" s="1786"/>
      <c r="D46" s="1780" t="s">
        <v>3969</v>
      </c>
      <c r="E46" s="1786"/>
      <c r="F46" s="1854"/>
      <c r="G46" s="1992"/>
      <c r="H46" s="1783"/>
      <c r="I46" s="1789"/>
    </row>
    <row r="47" spans="1:24" s="1771" customFormat="1" ht="13.5" customHeight="1">
      <c r="A47" s="1853"/>
      <c r="B47" s="1786"/>
      <c r="C47" s="1786"/>
      <c r="D47" s="1780" t="s">
        <v>1027</v>
      </c>
      <c r="E47" s="1786"/>
      <c r="F47" s="1854">
        <v>4</v>
      </c>
      <c r="G47" s="1992"/>
      <c r="H47" s="1783"/>
      <c r="I47" s="1789"/>
      <c r="J47" s="1852"/>
      <c r="Q47" s="515"/>
    </row>
    <row r="48" spans="1:24" s="1771" customFormat="1" ht="13.5" customHeight="1">
      <c r="A48" s="1853"/>
      <c r="B48" s="1786"/>
      <c r="C48" s="1786"/>
      <c r="D48" s="1855" t="s">
        <v>3970</v>
      </c>
      <c r="E48" s="1786"/>
      <c r="F48" s="1856"/>
      <c r="G48" s="1992"/>
      <c r="H48" s="1783"/>
      <c r="I48" s="1789"/>
    </row>
    <row r="49" spans="1:23" s="1771" customFormat="1" ht="13.5" customHeight="1">
      <c r="A49" s="485">
        <v>12</v>
      </c>
      <c r="B49" s="1786" t="s">
        <v>3951</v>
      </c>
      <c r="C49" s="1786" t="s">
        <v>3971</v>
      </c>
      <c r="D49" s="1786" t="s">
        <v>3972</v>
      </c>
      <c r="E49" s="487" t="s">
        <v>49</v>
      </c>
      <c r="F49" s="1787">
        <f>ROUND(SUM(F51),3)</f>
        <v>1</v>
      </c>
      <c r="G49" s="1993"/>
      <c r="H49" s="1788">
        <f t="shared" ref="H49" si="8">ROUND(F49*G49,2)</f>
        <v>0</v>
      </c>
      <c r="I49" s="1789" t="s">
        <v>111</v>
      </c>
      <c r="M49" s="1857"/>
    </row>
    <row r="50" spans="1:23" s="1771" customFormat="1" ht="13.5" customHeight="1">
      <c r="A50" s="1853"/>
      <c r="B50" s="1786"/>
      <c r="C50" s="1786"/>
      <c r="D50" s="1780" t="s">
        <v>3973</v>
      </c>
      <c r="E50" s="487"/>
      <c r="F50" s="1858"/>
      <c r="G50" s="1993"/>
      <c r="H50" s="1783"/>
      <c r="I50" s="1789"/>
      <c r="M50" s="1857"/>
    </row>
    <row r="51" spans="1:23" s="1771" customFormat="1" ht="13.5" customHeight="1">
      <c r="A51" s="1859"/>
      <c r="B51" s="1786"/>
      <c r="C51" s="1786"/>
      <c r="D51" s="1780" t="s">
        <v>3974</v>
      </c>
      <c r="E51" s="1786"/>
      <c r="F51" s="1854">
        <v>1</v>
      </c>
      <c r="G51" s="1993"/>
      <c r="H51" s="1783"/>
      <c r="I51" s="1789"/>
      <c r="K51" s="1860"/>
      <c r="M51" s="1857"/>
    </row>
    <row r="52" spans="1:23" s="467" customFormat="1" ht="40.5" customHeight="1">
      <c r="A52" s="1861"/>
      <c r="B52" s="1862"/>
      <c r="C52" s="1863"/>
      <c r="D52" s="1864" t="s">
        <v>3975</v>
      </c>
      <c r="E52" s="1865"/>
      <c r="F52" s="1866"/>
      <c r="G52" s="1999"/>
      <c r="H52" s="1867"/>
      <c r="I52" s="1868"/>
      <c r="J52" s="1501"/>
      <c r="K52" s="1502"/>
      <c r="L52" s="1054"/>
      <c r="M52" s="979"/>
      <c r="N52" s="1503"/>
      <c r="O52" s="1503"/>
      <c r="P52" s="1055"/>
      <c r="Q52" s="1127"/>
      <c r="R52" s="1057"/>
      <c r="S52" s="1058"/>
      <c r="T52" s="1058"/>
      <c r="U52" s="1059"/>
      <c r="W52" s="1060"/>
    </row>
    <row r="53" spans="1:23" s="1869" customFormat="1" ht="13.5" customHeight="1">
      <c r="A53" s="485">
        <v>13</v>
      </c>
      <c r="B53" s="486">
        <v>742</v>
      </c>
      <c r="C53" s="1786" t="s">
        <v>3976</v>
      </c>
      <c r="D53" s="495" t="s">
        <v>3977</v>
      </c>
      <c r="E53" s="495" t="s">
        <v>205</v>
      </c>
      <c r="F53" s="1787">
        <f>ROUND(SUM(F55),3)</f>
        <v>3</v>
      </c>
      <c r="G53" s="1998"/>
      <c r="H53" s="1788">
        <f t="shared" ref="H53" si="9">ROUND(F53*G53,2)</f>
        <v>0</v>
      </c>
      <c r="I53" s="1789" t="s">
        <v>111</v>
      </c>
      <c r="J53" s="513"/>
      <c r="K53" s="514"/>
      <c r="L53" s="122"/>
      <c r="M53" s="122"/>
      <c r="N53" s="515"/>
      <c r="O53" s="513"/>
      <c r="P53" s="1771"/>
      <c r="Q53" s="515"/>
      <c r="R53" s="1771"/>
    </row>
    <row r="54" spans="1:23" s="1869" customFormat="1" ht="13.5" customHeight="1">
      <c r="A54" s="485"/>
      <c r="B54" s="486"/>
      <c r="C54" s="1786"/>
      <c r="D54" s="1780" t="s">
        <v>3978</v>
      </c>
      <c r="E54" s="495"/>
      <c r="F54" s="496"/>
      <c r="G54" s="2000"/>
      <c r="H54" s="497"/>
      <c r="I54" s="1870"/>
      <c r="J54" s="1852"/>
      <c r="K54" s="1771"/>
      <c r="L54" s="1771"/>
      <c r="M54" s="1771"/>
      <c r="N54" s="1771"/>
      <c r="O54" s="1771"/>
      <c r="P54" s="1771"/>
      <c r="Q54" s="1771"/>
      <c r="R54" s="516"/>
    </row>
    <row r="55" spans="1:23" s="1869" customFormat="1" ht="13.5" customHeight="1">
      <c r="A55" s="1853"/>
      <c r="B55" s="1871"/>
      <c r="C55" s="1871"/>
      <c r="D55" s="1780" t="s">
        <v>1027</v>
      </c>
      <c r="E55" s="495"/>
      <c r="F55" s="1854">
        <v>3</v>
      </c>
      <c r="G55" s="2000"/>
      <c r="H55" s="497"/>
      <c r="I55" s="1870"/>
      <c r="J55" s="1852"/>
      <c r="K55" s="1771"/>
      <c r="L55" s="1771"/>
      <c r="M55" s="1771"/>
      <c r="N55" s="1771"/>
      <c r="O55" s="1771"/>
      <c r="P55" s="1771"/>
      <c r="Q55" s="515"/>
      <c r="R55" s="516"/>
    </row>
    <row r="56" spans="1:23" s="1869" customFormat="1" ht="27" customHeight="1">
      <c r="A56" s="1853"/>
      <c r="B56" s="1871"/>
      <c r="C56" s="1871"/>
      <c r="D56" s="498" t="s">
        <v>3979</v>
      </c>
      <c r="E56" s="495"/>
      <c r="F56" s="496"/>
      <c r="G56" s="2000"/>
      <c r="H56" s="497"/>
      <c r="I56" s="1870"/>
    </row>
    <row r="57" spans="1:23" s="122" customFormat="1" ht="13.5" customHeight="1">
      <c r="A57" s="485">
        <v>14</v>
      </c>
      <c r="B57" s="486">
        <v>742</v>
      </c>
      <c r="C57" s="1786" t="s">
        <v>3980</v>
      </c>
      <c r="D57" s="1786" t="s">
        <v>3981</v>
      </c>
      <c r="E57" s="1786" t="s">
        <v>205</v>
      </c>
      <c r="F57" s="1787">
        <f>ROUND(SUM(F59),3)</f>
        <v>2</v>
      </c>
      <c r="G57" s="1993"/>
      <c r="H57" s="1788">
        <f t="shared" ref="H57" si="10">ROUND(F57*G57,2)</f>
        <v>0</v>
      </c>
      <c r="I57" s="1789" t="s">
        <v>111</v>
      </c>
      <c r="J57" s="1872"/>
      <c r="K57" s="1785"/>
      <c r="L57" s="1785"/>
      <c r="M57" s="251"/>
      <c r="O57" s="482"/>
      <c r="P57" s="251"/>
      <c r="Q57" s="515"/>
      <c r="R57" s="1756"/>
      <c r="S57" s="1756"/>
    </row>
    <row r="58" spans="1:23" s="122" customFormat="1" ht="13.5" customHeight="1">
      <c r="A58" s="1804"/>
      <c r="B58" s="486"/>
      <c r="C58" s="1786"/>
      <c r="D58" s="1780" t="s">
        <v>3982</v>
      </c>
      <c r="E58" s="495"/>
      <c r="F58" s="496"/>
      <c r="G58" s="1993"/>
      <c r="H58" s="497"/>
      <c r="I58" s="1789"/>
      <c r="J58" s="1872"/>
      <c r="K58" s="1785"/>
      <c r="L58" s="251"/>
      <c r="M58" s="251"/>
      <c r="N58" s="251"/>
      <c r="O58" s="482"/>
      <c r="P58" s="251"/>
      <c r="Q58" s="515"/>
      <c r="R58" s="1756"/>
      <c r="S58" s="1756"/>
    </row>
    <row r="59" spans="1:23" s="122" customFormat="1" ht="13.5" customHeight="1">
      <c r="A59" s="1804"/>
      <c r="B59" s="486"/>
      <c r="C59" s="1786"/>
      <c r="D59" s="1780" t="s">
        <v>1027</v>
      </c>
      <c r="E59" s="495"/>
      <c r="F59" s="1854">
        <v>2</v>
      </c>
      <c r="G59" s="1993"/>
      <c r="H59" s="1873"/>
      <c r="I59" s="1789"/>
      <c r="J59" s="1874"/>
      <c r="K59" s="251"/>
      <c r="L59" s="251"/>
      <c r="M59" s="251"/>
      <c r="N59" s="251"/>
      <c r="O59" s="251"/>
      <c r="P59" s="251"/>
      <c r="Q59" s="251"/>
      <c r="R59" s="1756"/>
      <c r="S59" s="1756"/>
    </row>
    <row r="60" spans="1:23" s="122" customFormat="1" ht="27" customHeight="1">
      <c r="A60" s="1804"/>
      <c r="B60" s="486"/>
      <c r="C60" s="1786"/>
      <c r="D60" s="498" t="s">
        <v>3979</v>
      </c>
      <c r="E60" s="495"/>
      <c r="F60" s="496"/>
      <c r="G60" s="1993"/>
      <c r="H60" s="1873"/>
      <c r="I60" s="1789"/>
      <c r="J60" s="1875"/>
      <c r="K60" s="251"/>
      <c r="L60" s="251"/>
      <c r="M60" s="251"/>
      <c r="N60" s="251"/>
      <c r="O60" s="251"/>
      <c r="P60" s="251"/>
      <c r="Q60" s="251"/>
      <c r="R60" s="1756"/>
      <c r="S60" s="1756"/>
    </row>
    <row r="61" spans="1:23" s="1771" customFormat="1" ht="13.5" customHeight="1">
      <c r="A61" s="485">
        <v>15</v>
      </c>
      <c r="B61" s="486">
        <v>742</v>
      </c>
      <c r="C61" s="1786" t="s">
        <v>3983</v>
      </c>
      <c r="D61" s="1786" t="s">
        <v>3984</v>
      </c>
      <c r="E61" s="1786" t="s">
        <v>205</v>
      </c>
      <c r="F61" s="244">
        <f>SUM(F62)</f>
        <v>1</v>
      </c>
      <c r="G61" s="1993"/>
      <c r="H61" s="1788">
        <f t="shared" ref="H61" si="11">ROUND(F61*G61,2)</f>
        <v>0</v>
      </c>
      <c r="I61" s="1789" t="s">
        <v>111</v>
      </c>
      <c r="J61" s="1872"/>
      <c r="K61" s="1785"/>
      <c r="L61" s="1772"/>
      <c r="M61" s="1772"/>
      <c r="N61" s="1772"/>
      <c r="O61" s="1772"/>
      <c r="P61" s="515"/>
      <c r="R61" s="482"/>
      <c r="U61" s="1876"/>
      <c r="V61" s="1876"/>
    </row>
    <row r="62" spans="1:23" s="1771" customFormat="1" ht="13.5" customHeight="1">
      <c r="A62" s="1801"/>
      <c r="B62" s="1779"/>
      <c r="C62" s="1779"/>
      <c r="D62" s="488" t="s">
        <v>3985</v>
      </c>
      <c r="E62" s="1877"/>
      <c r="F62" s="1878">
        <v>1</v>
      </c>
      <c r="G62" s="1993"/>
      <c r="H62" s="1873"/>
      <c r="I62" s="1784"/>
      <c r="J62" s="1872"/>
      <c r="K62" s="1785"/>
      <c r="L62" s="1772"/>
      <c r="M62" s="1772"/>
      <c r="N62" s="1772"/>
      <c r="O62" s="1772"/>
      <c r="P62" s="515"/>
      <c r="U62" s="1876"/>
    </row>
    <row r="63" spans="1:23" s="1771" customFormat="1" ht="25.5" customHeight="1">
      <c r="A63" s="1801"/>
      <c r="B63" s="1779"/>
      <c r="C63" s="1779"/>
      <c r="D63" s="493" t="s">
        <v>3986</v>
      </c>
      <c r="E63" s="1877"/>
      <c r="F63" s="1879"/>
      <c r="G63" s="1993"/>
      <c r="H63" s="1873"/>
      <c r="I63" s="1784"/>
      <c r="J63" s="1501"/>
      <c r="K63" s="1872"/>
      <c r="L63" s="1785"/>
      <c r="M63" s="1772"/>
      <c r="N63" s="1772"/>
      <c r="O63" s="1772"/>
      <c r="P63" s="1772"/>
      <c r="Q63" s="482"/>
      <c r="U63" s="1876"/>
    </row>
    <row r="64" spans="1:23" s="1771" customFormat="1" ht="13.5" customHeight="1">
      <c r="A64" s="485">
        <v>16</v>
      </c>
      <c r="B64" s="486">
        <v>742</v>
      </c>
      <c r="C64" s="1786" t="s">
        <v>3987</v>
      </c>
      <c r="D64" s="1786" t="s">
        <v>3988</v>
      </c>
      <c r="E64" s="1786" t="s">
        <v>205</v>
      </c>
      <c r="F64" s="244">
        <f>SUM(F65)</f>
        <v>1</v>
      </c>
      <c r="G64" s="1993"/>
      <c r="H64" s="1788">
        <f t="shared" ref="H64" si="12">ROUND(F64*G64,2)</f>
        <v>0</v>
      </c>
      <c r="I64" s="1789" t="s">
        <v>111</v>
      </c>
      <c r="J64" s="1872"/>
      <c r="K64" s="1785"/>
      <c r="L64" s="1785"/>
      <c r="M64" s="1785"/>
      <c r="N64" s="1833"/>
      <c r="O64" s="1833"/>
      <c r="P64" s="515"/>
      <c r="Q64" s="482"/>
      <c r="R64" s="482"/>
      <c r="U64" s="1876"/>
      <c r="V64" s="1876"/>
    </row>
    <row r="65" spans="1:21" s="1771" customFormat="1" ht="13.5" customHeight="1">
      <c r="A65" s="1801"/>
      <c r="B65" s="1779"/>
      <c r="C65" s="1779"/>
      <c r="D65" s="488" t="s">
        <v>3989</v>
      </c>
      <c r="E65" s="1877"/>
      <c r="F65" s="1878">
        <v>1</v>
      </c>
      <c r="G65" s="1993"/>
      <c r="H65" s="1873"/>
      <c r="I65" s="1784"/>
      <c r="J65" s="1872"/>
      <c r="K65" s="1785"/>
      <c r="L65" s="1785"/>
      <c r="M65" s="1772"/>
      <c r="N65" s="1772"/>
      <c r="O65" s="1772"/>
      <c r="P65" s="515"/>
      <c r="Q65" s="482"/>
      <c r="U65" s="1876"/>
    </row>
    <row r="66" spans="1:21" s="1771" customFormat="1" ht="13.5" customHeight="1">
      <c r="A66" s="1801"/>
      <c r="B66" s="1779"/>
      <c r="C66" s="1779"/>
      <c r="D66" s="493" t="s">
        <v>3990</v>
      </c>
      <c r="E66" s="1877"/>
      <c r="F66" s="1879"/>
      <c r="G66" s="1993"/>
      <c r="H66" s="1873"/>
      <c r="I66" s="1784"/>
      <c r="J66" s="1501"/>
      <c r="K66" s="1872"/>
      <c r="L66" s="1785"/>
      <c r="M66" s="1772"/>
      <c r="N66" s="1772"/>
      <c r="O66" s="1772"/>
      <c r="P66" s="1772"/>
      <c r="Q66" s="482"/>
      <c r="U66" s="1876"/>
    </row>
    <row r="67" spans="1:21" s="122" customFormat="1" ht="13.5" customHeight="1">
      <c r="A67" s="1804">
        <v>17</v>
      </c>
      <c r="B67" s="486">
        <v>742</v>
      </c>
      <c r="C67" s="1786" t="s">
        <v>1945</v>
      </c>
      <c r="D67" s="1786" t="s">
        <v>1946</v>
      </c>
      <c r="E67" s="1786" t="s">
        <v>49</v>
      </c>
      <c r="F67" s="1805">
        <f>ROUND(SUM(F68),3)</f>
        <v>1</v>
      </c>
      <c r="G67" s="5176" t="s">
        <v>3512</v>
      </c>
      <c r="H67" s="5177"/>
      <c r="I67" s="1789" t="s">
        <v>111</v>
      </c>
      <c r="J67" s="1807"/>
      <c r="K67" s="1806"/>
      <c r="L67" s="1806"/>
      <c r="M67" s="1807"/>
      <c r="N67" s="1808"/>
      <c r="O67" s="1809"/>
      <c r="P67" s="251"/>
      <c r="Q67" s="1809"/>
      <c r="R67" s="1756"/>
      <c r="S67" s="1756"/>
    </row>
    <row r="68" spans="1:21" s="1817" customFormat="1" ht="13.5" customHeight="1">
      <c r="A68" s="1810"/>
      <c r="B68" s="1811"/>
      <c r="C68" s="1801"/>
      <c r="D68" s="1812" t="s">
        <v>1947</v>
      </c>
      <c r="E68" s="1813"/>
      <c r="F68" s="1814">
        <v>1</v>
      </c>
      <c r="G68" s="250"/>
      <c r="H68" s="1815"/>
      <c r="I68" s="1816"/>
      <c r="J68" s="1807"/>
      <c r="K68" s="1806"/>
      <c r="L68" s="1806"/>
      <c r="M68" s="1807"/>
      <c r="N68" s="1808"/>
      <c r="O68" s="251"/>
      <c r="Q68" s="1807"/>
    </row>
    <row r="69" spans="1:21" s="1817" customFormat="1" ht="27" customHeight="1">
      <c r="A69" s="1810"/>
      <c r="B69" s="1811"/>
      <c r="C69" s="1801"/>
      <c r="D69" s="1812" t="s">
        <v>1935</v>
      </c>
      <c r="E69" s="1813"/>
      <c r="F69" s="1818"/>
      <c r="G69" s="250"/>
      <c r="H69" s="1815"/>
      <c r="I69" s="1816"/>
      <c r="J69" s="1807"/>
      <c r="K69" s="1806"/>
      <c r="L69" s="1806"/>
      <c r="M69" s="1807"/>
      <c r="N69" s="1808"/>
      <c r="O69" s="251"/>
      <c r="P69" s="1819"/>
      <c r="Q69" s="1807"/>
    </row>
    <row r="70" spans="1:21" s="1771" customFormat="1" ht="13.5" customHeight="1">
      <c r="A70" s="1820" t="s">
        <v>5688</v>
      </c>
      <c r="B70" s="1821" t="s">
        <v>3951</v>
      </c>
      <c r="C70" s="1821" t="s">
        <v>6419</v>
      </c>
      <c r="D70" s="489" t="s">
        <v>6415</v>
      </c>
      <c r="E70" s="490" t="s">
        <v>141</v>
      </c>
      <c r="F70" s="1822">
        <f>ROUND(SUM(F71),3)</f>
        <v>650</v>
      </c>
      <c r="G70" s="1994"/>
      <c r="H70" s="491">
        <f>F70*G70</f>
        <v>0</v>
      </c>
      <c r="I70" s="1823" t="s">
        <v>111</v>
      </c>
      <c r="J70" s="513"/>
      <c r="K70" s="1796"/>
      <c r="L70" s="1824"/>
      <c r="M70" s="1824"/>
      <c r="N70" s="1824"/>
      <c r="O70" s="1824"/>
      <c r="P70" s="1825"/>
      <c r="Q70" s="1825"/>
      <c r="R70" s="481"/>
    </row>
    <row r="71" spans="1:21" s="1771" customFormat="1" ht="13.5" customHeight="1">
      <c r="A71" s="1826"/>
      <c r="B71" s="1821"/>
      <c r="C71" s="1821"/>
      <c r="D71" s="490" t="s">
        <v>6420</v>
      </c>
      <c r="E71" s="490"/>
      <c r="F71" s="1827">
        <v>650</v>
      </c>
      <c r="G71" s="1995"/>
      <c r="H71" s="1828"/>
      <c r="I71" s="1829"/>
      <c r="J71" s="513"/>
      <c r="K71" s="1796"/>
      <c r="L71" s="1824"/>
      <c r="M71" s="1824"/>
      <c r="N71" s="1824"/>
      <c r="O71" s="1824"/>
      <c r="P71" s="1825"/>
      <c r="Q71" s="1825"/>
      <c r="R71" s="481"/>
    </row>
    <row r="72" spans="1:21" s="1771" customFormat="1" ht="27" customHeight="1">
      <c r="A72" s="1830"/>
      <c r="B72" s="492"/>
      <c r="C72" s="492"/>
      <c r="D72" s="1831" t="s">
        <v>3965</v>
      </c>
      <c r="E72" s="490"/>
      <c r="F72" s="1832"/>
      <c r="G72" s="1994"/>
      <c r="H72" s="491"/>
      <c r="I72" s="1829"/>
      <c r="J72" s="513"/>
      <c r="K72" s="1796"/>
      <c r="L72" s="1824"/>
      <c r="M72" s="1824"/>
      <c r="N72" s="1824"/>
      <c r="O72" s="1824"/>
      <c r="P72" s="1825"/>
      <c r="Q72" s="1825"/>
      <c r="R72" s="481"/>
    </row>
    <row r="73" spans="1:21" s="1836" customFormat="1" ht="13.5" customHeight="1">
      <c r="A73" s="485">
        <v>18</v>
      </c>
      <c r="B73" s="486">
        <v>742</v>
      </c>
      <c r="C73" s="1786" t="s">
        <v>1948</v>
      </c>
      <c r="D73" s="246" t="s">
        <v>1824</v>
      </c>
      <c r="E73" s="1834" t="s">
        <v>49</v>
      </c>
      <c r="F73" s="1787">
        <f>ROUND(SUM(F74),3)</f>
        <v>1</v>
      </c>
      <c r="G73" s="1992"/>
      <c r="H73" s="1788">
        <f t="shared" ref="H73" si="13">ROUND(F73*G73,2)</f>
        <v>0</v>
      </c>
      <c r="I73" s="1789" t="s">
        <v>111</v>
      </c>
      <c r="J73" s="251"/>
      <c r="K73" s="1835"/>
      <c r="L73" s="251"/>
      <c r="Q73" s="1576"/>
      <c r="R73" s="1576"/>
      <c r="S73" s="1576"/>
      <c r="T73" s="1576"/>
      <c r="U73" s="1576"/>
    </row>
    <row r="74" spans="1:21" s="1836" customFormat="1" ht="13.5" customHeight="1">
      <c r="A74" s="1837"/>
      <c r="B74" s="1834"/>
      <c r="C74" s="1834"/>
      <c r="D74" s="493" t="s">
        <v>1937</v>
      </c>
      <c r="E74" s="1834"/>
      <c r="F74" s="1838">
        <v>1</v>
      </c>
      <c r="G74" s="1996"/>
      <c r="H74" s="1840"/>
      <c r="I74" s="1841"/>
      <c r="J74" s="251"/>
      <c r="K74" s="1842"/>
      <c r="Q74" s="1576"/>
      <c r="R74" s="1576"/>
      <c r="S74" s="1576"/>
      <c r="T74" s="1576"/>
      <c r="U74" s="1576"/>
    </row>
    <row r="75" spans="1:21" s="1836" customFormat="1" ht="40.5" customHeight="1">
      <c r="A75" s="1837"/>
      <c r="B75" s="1834"/>
      <c r="C75" s="1834"/>
      <c r="D75" s="493" t="s">
        <v>1938</v>
      </c>
      <c r="E75" s="1834"/>
      <c r="F75" s="1843"/>
      <c r="G75" s="1996"/>
      <c r="H75" s="1840"/>
      <c r="I75" s="1841"/>
      <c r="J75" s="251"/>
      <c r="K75" s="1575"/>
    </row>
    <row r="76" spans="1:21" s="1836" customFormat="1" ht="13.5" customHeight="1">
      <c r="A76" s="485">
        <v>19</v>
      </c>
      <c r="B76" s="486">
        <v>742</v>
      </c>
      <c r="C76" s="1786" t="s">
        <v>1949</v>
      </c>
      <c r="D76" s="246" t="s">
        <v>1828</v>
      </c>
      <c r="E76" s="1834" t="s">
        <v>49</v>
      </c>
      <c r="F76" s="1787">
        <f>ROUND(SUM(F77),3)</f>
        <v>1</v>
      </c>
      <c r="G76" s="1992"/>
      <c r="H76" s="1788">
        <f t="shared" ref="H76" si="14">ROUND(F76*G76,2)</f>
        <v>0</v>
      </c>
      <c r="I76" s="1789" t="s">
        <v>111</v>
      </c>
      <c r="J76" s="251"/>
      <c r="K76" s="1835"/>
      <c r="L76" s="251"/>
      <c r="Q76" s="1576"/>
      <c r="R76" s="1576"/>
      <c r="S76" s="1576"/>
      <c r="T76" s="1576"/>
      <c r="U76" s="1576"/>
    </row>
    <row r="77" spans="1:21" s="1836" customFormat="1" ht="27" customHeight="1">
      <c r="A77" s="1837"/>
      <c r="B77" s="1834"/>
      <c r="C77" s="1834"/>
      <c r="D77" s="493" t="s">
        <v>1940</v>
      </c>
      <c r="E77" s="1834"/>
      <c r="F77" s="1838">
        <v>1</v>
      </c>
      <c r="G77" s="1996"/>
      <c r="H77" s="1840"/>
      <c r="I77" s="1841"/>
      <c r="J77" s="251"/>
      <c r="K77" s="1835"/>
      <c r="Q77" s="1576"/>
      <c r="R77" s="1576"/>
      <c r="S77" s="1576"/>
      <c r="T77" s="1576"/>
      <c r="U77" s="1576"/>
    </row>
    <row r="78" spans="1:21" s="1836" customFormat="1" ht="40.5" customHeight="1">
      <c r="A78" s="1837"/>
      <c r="B78" s="1834"/>
      <c r="C78" s="1834"/>
      <c r="D78" s="493" t="s">
        <v>1826</v>
      </c>
      <c r="E78" s="1834"/>
      <c r="F78" s="1843"/>
      <c r="G78" s="1996"/>
      <c r="H78" s="1840"/>
      <c r="I78" s="1841"/>
      <c r="J78" s="251"/>
      <c r="K78" s="1575"/>
    </row>
    <row r="79" spans="1:21" s="251" customFormat="1" ht="13.5" customHeight="1">
      <c r="A79" s="485">
        <v>20</v>
      </c>
      <c r="B79" s="486">
        <v>742</v>
      </c>
      <c r="C79" s="1786" t="s">
        <v>3991</v>
      </c>
      <c r="D79" s="1786" t="s">
        <v>1840</v>
      </c>
      <c r="E79" s="1844" t="s">
        <v>49</v>
      </c>
      <c r="F79" s="1787">
        <v>1</v>
      </c>
      <c r="G79" s="1992"/>
      <c r="H79" s="1815">
        <f>ROUND(F79*G79,2)</f>
        <v>0</v>
      </c>
      <c r="I79" s="1789" t="s">
        <v>111</v>
      </c>
    </row>
    <row r="80" spans="1:21" s="1850" customFormat="1" ht="13.5" customHeight="1">
      <c r="A80" s="485">
        <v>21</v>
      </c>
      <c r="B80" s="1845">
        <v>742</v>
      </c>
      <c r="C80" s="1811">
        <v>998742312</v>
      </c>
      <c r="D80" s="1846" t="s">
        <v>3967</v>
      </c>
      <c r="E80" s="1846" t="s">
        <v>10</v>
      </c>
      <c r="F80" s="1847">
        <v>0.89</v>
      </c>
      <c r="G80" s="250"/>
      <c r="H80" s="1788">
        <f t="shared" ref="H80:H81" si="15">ROUND(F80*G80,2)</f>
        <v>0</v>
      </c>
      <c r="I80" s="1848" t="s">
        <v>137</v>
      </c>
      <c r="J80" s="1807"/>
      <c r="K80" s="1806"/>
      <c r="L80" s="1806"/>
      <c r="M80" s="1807"/>
      <c r="N80" s="1808"/>
      <c r="O80" s="1849"/>
      <c r="Q80" s="1807"/>
    </row>
    <row r="81" spans="1:19" s="1798" customFormat="1" ht="13.5" customHeight="1">
      <c r="A81" s="485">
        <v>22</v>
      </c>
      <c r="B81" s="1786" t="s">
        <v>362</v>
      </c>
      <c r="C81" s="1786" t="s">
        <v>1802</v>
      </c>
      <c r="D81" s="1786" t="s">
        <v>1803</v>
      </c>
      <c r="E81" s="1800" t="s">
        <v>69</v>
      </c>
      <c r="F81" s="1787">
        <f>ROUND(SUM(F82),3)</f>
        <v>30</v>
      </c>
      <c r="G81" s="1993"/>
      <c r="H81" s="1788">
        <f t="shared" si="15"/>
        <v>0</v>
      </c>
      <c r="I81" s="1880" t="s">
        <v>137</v>
      </c>
      <c r="J81" s="1881"/>
      <c r="K81" s="1882"/>
      <c r="L81" s="1883"/>
      <c r="M81" s="1884"/>
      <c r="N81" s="1884"/>
      <c r="O81" s="1884"/>
    </row>
    <row r="82" spans="1:19" s="1798" customFormat="1" ht="13.5" customHeight="1">
      <c r="A82" s="1799"/>
      <c r="B82" s="1800"/>
      <c r="C82" s="1801"/>
      <c r="D82" s="1885" t="s">
        <v>1941</v>
      </c>
      <c r="E82" s="1886"/>
      <c r="F82" s="1887">
        <v>30</v>
      </c>
      <c r="G82" s="250"/>
      <c r="H82" s="1888"/>
      <c r="I82" s="1889"/>
      <c r="J82" s="1890"/>
      <c r="K82" s="1891"/>
      <c r="L82" s="251"/>
      <c r="M82" s="1892"/>
      <c r="N82" s="1893"/>
      <c r="O82" s="1771"/>
      <c r="P82" s="1771"/>
      <c r="Q82" s="1771"/>
      <c r="R82" s="1771"/>
      <c r="S82" s="1771"/>
    </row>
    <row r="83" spans="1:19" s="1798" customFormat="1" ht="13.5" customHeight="1">
      <c r="A83" s="1799"/>
      <c r="B83" s="1800"/>
      <c r="C83" s="1801"/>
      <c r="D83" s="1885" t="s">
        <v>1942</v>
      </c>
      <c r="E83" s="1886"/>
      <c r="F83" s="1887"/>
      <c r="G83" s="250"/>
      <c r="H83" s="1888"/>
      <c r="I83" s="1889"/>
      <c r="J83" s="1793"/>
      <c r="K83" s="251"/>
      <c r="L83" s="251"/>
      <c r="M83" s="251"/>
      <c r="N83" s="251"/>
      <c r="O83" s="251"/>
      <c r="P83" s="515"/>
      <c r="Q83" s="251"/>
      <c r="R83" s="251"/>
      <c r="S83" s="251"/>
    </row>
    <row r="84" spans="1:19" s="1817" customFormat="1" ht="13.5" customHeight="1">
      <c r="A84" s="1810"/>
      <c r="B84" s="1811"/>
      <c r="C84" s="1894">
        <v>742</v>
      </c>
      <c r="D84" s="1894" t="s">
        <v>3992</v>
      </c>
      <c r="E84" s="1894"/>
      <c r="F84" s="1895"/>
      <c r="G84" s="499"/>
      <c r="H84" s="1896">
        <f>SUM(H85:H129)</f>
        <v>0</v>
      </c>
      <c r="I84" s="1816"/>
    </row>
    <row r="85" spans="1:19" s="1771" customFormat="1" ht="13.5" customHeight="1">
      <c r="A85" s="485">
        <v>23</v>
      </c>
      <c r="B85" s="1786" t="s">
        <v>3951</v>
      </c>
      <c r="C85" s="1786" t="s">
        <v>1951</v>
      </c>
      <c r="D85" s="1786" t="s">
        <v>3993</v>
      </c>
      <c r="E85" s="487" t="s">
        <v>205</v>
      </c>
      <c r="F85" s="1787">
        <f>ROUND(SUM(F87),3)</f>
        <v>1</v>
      </c>
      <c r="G85" s="1993"/>
      <c r="H85" s="1788">
        <f t="shared" ref="H85" si="16">ROUND(F85*G85,2)</f>
        <v>0</v>
      </c>
      <c r="I85" s="1789" t="s">
        <v>111</v>
      </c>
      <c r="J85" s="513"/>
      <c r="K85" s="1796"/>
      <c r="M85" s="1857"/>
      <c r="P85" s="481"/>
    </row>
    <row r="86" spans="1:19" s="1771" customFormat="1" ht="13.5" customHeight="1">
      <c r="A86" s="1853"/>
      <c r="B86" s="1786"/>
      <c r="C86" s="1786"/>
      <c r="D86" s="1780" t="s">
        <v>3994</v>
      </c>
      <c r="E86" s="487"/>
      <c r="F86" s="1781"/>
      <c r="G86" s="1993"/>
      <c r="H86" s="1783"/>
      <c r="I86" s="1789"/>
      <c r="J86" s="513"/>
      <c r="K86" s="1796"/>
      <c r="M86" s="1857"/>
      <c r="P86" s="481"/>
    </row>
    <row r="87" spans="1:19" s="1771" customFormat="1" ht="13.5" customHeight="1">
      <c r="A87" s="1859"/>
      <c r="B87" s="1786"/>
      <c r="C87" s="1786"/>
      <c r="D87" s="1780" t="s">
        <v>1058</v>
      </c>
      <c r="E87" s="1786"/>
      <c r="F87" s="1781">
        <v>1</v>
      </c>
      <c r="G87" s="1993"/>
      <c r="H87" s="1783"/>
      <c r="I87" s="1789"/>
      <c r="K87" s="1860"/>
      <c r="M87" s="1857"/>
    </row>
    <row r="88" spans="1:19" s="1771" customFormat="1" ht="27" customHeight="1">
      <c r="A88" s="1859"/>
      <c r="B88" s="1786"/>
      <c r="C88" s="1786"/>
      <c r="D88" s="1780" t="s">
        <v>3995</v>
      </c>
      <c r="E88" s="1786"/>
      <c r="F88" s="1781"/>
      <c r="G88" s="1993"/>
      <c r="H88" s="1783"/>
      <c r="I88" s="1789"/>
      <c r="K88" s="1860"/>
      <c r="M88" s="1857"/>
    </row>
    <row r="89" spans="1:19" s="1771" customFormat="1" ht="13.5" customHeight="1">
      <c r="A89" s="485">
        <v>24</v>
      </c>
      <c r="B89" s="1786" t="s">
        <v>3951</v>
      </c>
      <c r="C89" s="1786" t="s">
        <v>3996</v>
      </c>
      <c r="D89" s="1786" t="s">
        <v>3997</v>
      </c>
      <c r="E89" s="487" t="s">
        <v>205</v>
      </c>
      <c r="F89" s="244">
        <f>SUM(F91:F91)</f>
        <v>2</v>
      </c>
      <c r="G89" s="1993"/>
      <c r="H89" s="1788">
        <f t="shared" ref="H89" si="17">ROUND(F89*G89,2)</f>
        <v>0</v>
      </c>
      <c r="I89" s="1789" t="s">
        <v>111</v>
      </c>
      <c r="J89" s="513"/>
      <c r="K89" s="1796"/>
      <c r="M89" s="1857"/>
      <c r="P89" s="481"/>
    </row>
    <row r="90" spans="1:19" s="1771" customFormat="1" ht="13.5" customHeight="1">
      <c r="A90" s="1853"/>
      <c r="B90" s="1786"/>
      <c r="C90" s="1786"/>
      <c r="D90" s="1780" t="s">
        <v>3998</v>
      </c>
      <c r="E90" s="487"/>
      <c r="F90" s="1781"/>
      <c r="G90" s="1993"/>
      <c r="H90" s="1783"/>
      <c r="I90" s="1789"/>
      <c r="J90" s="513"/>
      <c r="K90" s="1796"/>
      <c r="M90" s="1857"/>
      <c r="P90" s="481"/>
    </row>
    <row r="91" spans="1:19" s="1771" customFormat="1" ht="13.5" customHeight="1">
      <c r="A91" s="1859"/>
      <c r="B91" s="1786"/>
      <c r="C91" s="1786"/>
      <c r="D91" s="1780" t="s">
        <v>1027</v>
      </c>
      <c r="E91" s="1786"/>
      <c r="F91" s="1781">
        <v>2</v>
      </c>
      <c r="G91" s="1993"/>
      <c r="H91" s="1783"/>
      <c r="I91" s="1789"/>
      <c r="K91" s="1860"/>
      <c r="M91" s="1857"/>
    </row>
    <row r="92" spans="1:19" s="1771" customFormat="1" ht="13.5" customHeight="1">
      <c r="A92" s="1859"/>
      <c r="B92" s="1786"/>
      <c r="C92" s="1786"/>
      <c r="D92" s="1780" t="s">
        <v>3999</v>
      </c>
      <c r="E92" s="1786"/>
      <c r="F92" s="1781"/>
      <c r="G92" s="1993"/>
      <c r="H92" s="1783"/>
      <c r="I92" s="1789"/>
      <c r="K92" s="1860"/>
      <c r="M92" s="1857"/>
    </row>
    <row r="93" spans="1:19" s="1771" customFormat="1" ht="13.5" customHeight="1">
      <c r="A93" s="485">
        <v>25</v>
      </c>
      <c r="B93" s="1786" t="s">
        <v>3951</v>
      </c>
      <c r="C93" s="1786" t="s">
        <v>4000</v>
      </c>
      <c r="D93" s="1786" t="s">
        <v>4001</v>
      </c>
      <c r="E93" s="487" t="s">
        <v>205</v>
      </c>
      <c r="F93" s="244">
        <f>SUM(F95:F97)</f>
        <v>72</v>
      </c>
      <c r="G93" s="1993"/>
      <c r="H93" s="1788">
        <f t="shared" ref="H93" si="18">ROUND(F93*G93,2)</f>
        <v>0</v>
      </c>
      <c r="I93" s="1789" t="s">
        <v>111</v>
      </c>
      <c r="J93" s="513"/>
      <c r="K93" s="1796"/>
      <c r="M93" s="1857"/>
      <c r="P93" s="481"/>
    </row>
    <row r="94" spans="1:19" s="1771" customFormat="1" ht="13.5" customHeight="1">
      <c r="A94" s="1853"/>
      <c r="B94" s="1786"/>
      <c r="C94" s="1786"/>
      <c r="D94" s="1780" t="s">
        <v>4002</v>
      </c>
      <c r="E94" s="487"/>
      <c r="F94" s="1781"/>
      <c r="G94" s="1993"/>
      <c r="H94" s="1783"/>
      <c r="I94" s="1789"/>
      <c r="J94" s="513"/>
      <c r="K94" s="1796"/>
      <c r="M94" s="1857"/>
      <c r="P94" s="481"/>
    </row>
    <row r="95" spans="1:19" s="1771" customFormat="1" ht="13.5" customHeight="1">
      <c r="A95" s="1859"/>
      <c r="B95" s="1786"/>
      <c r="C95" s="1786"/>
      <c r="D95" s="1780" t="s">
        <v>1019</v>
      </c>
      <c r="E95" s="1786"/>
      <c r="F95" s="1781">
        <v>9</v>
      </c>
      <c r="G95" s="1993"/>
      <c r="H95" s="1783"/>
      <c r="I95" s="1789"/>
      <c r="K95" s="1860"/>
      <c r="M95" s="1857"/>
    </row>
    <row r="96" spans="1:19" s="1771" customFormat="1" ht="13.5" customHeight="1">
      <c r="A96" s="1859"/>
      <c r="B96" s="1786"/>
      <c r="C96" s="1786"/>
      <c r="D96" s="1780" t="s">
        <v>1027</v>
      </c>
      <c r="E96" s="1786"/>
      <c r="F96" s="1781">
        <v>38</v>
      </c>
      <c r="G96" s="1993"/>
      <c r="H96" s="1783"/>
      <c r="I96" s="1789"/>
      <c r="K96" s="1860"/>
      <c r="M96" s="1857"/>
    </row>
    <row r="97" spans="1:256" s="1771" customFormat="1" ht="13.5" customHeight="1">
      <c r="A97" s="1859"/>
      <c r="B97" s="1786"/>
      <c r="C97" s="1786"/>
      <c r="D97" s="1780" t="s">
        <v>1222</v>
      </c>
      <c r="E97" s="1786"/>
      <c r="F97" s="1781">
        <v>25</v>
      </c>
      <c r="G97" s="1993"/>
      <c r="H97" s="1783"/>
      <c r="I97" s="1789"/>
      <c r="K97" s="1860"/>
      <c r="M97" s="1857"/>
    </row>
    <row r="98" spans="1:256" s="1771" customFormat="1" ht="13.5" customHeight="1">
      <c r="A98" s="1859"/>
      <c r="B98" s="1786"/>
      <c r="C98" s="1786"/>
      <c r="D98" s="1780" t="s">
        <v>3999</v>
      </c>
      <c r="E98" s="1786"/>
      <c r="F98" s="1781"/>
      <c r="G98" s="1993"/>
      <c r="H98" s="1783"/>
      <c r="I98" s="1789"/>
      <c r="K98" s="1860"/>
      <c r="M98" s="1857"/>
    </row>
    <row r="99" spans="1:256" s="1771" customFormat="1" ht="13.5" customHeight="1">
      <c r="A99" s="485">
        <v>26</v>
      </c>
      <c r="B99" s="1786" t="s">
        <v>3951</v>
      </c>
      <c r="C99" s="1786" t="s">
        <v>4003</v>
      </c>
      <c r="D99" s="1786" t="s">
        <v>4004</v>
      </c>
      <c r="E99" s="487" t="s">
        <v>205</v>
      </c>
      <c r="F99" s="244">
        <f>SUM(F101:F101)</f>
        <v>39</v>
      </c>
      <c r="G99" s="1993"/>
      <c r="H99" s="1788">
        <f t="shared" ref="H99" si="19">ROUND(F99*G99,2)</f>
        <v>0</v>
      </c>
      <c r="I99" s="1789" t="s">
        <v>111</v>
      </c>
      <c r="J99" s="513"/>
      <c r="K99" s="1796"/>
      <c r="M99" s="1857"/>
      <c r="P99" s="481"/>
    </row>
    <row r="100" spans="1:256" s="1771" customFormat="1" ht="13.5" customHeight="1">
      <c r="A100" s="1853"/>
      <c r="B100" s="1786"/>
      <c r="C100" s="1786"/>
      <c r="D100" s="1780" t="s">
        <v>4005</v>
      </c>
      <c r="E100" s="487"/>
      <c r="F100" s="1781"/>
      <c r="G100" s="1993"/>
      <c r="H100" s="1783"/>
      <c r="I100" s="1789"/>
      <c r="J100" s="513"/>
      <c r="K100" s="1796"/>
      <c r="M100" s="1857"/>
      <c r="P100" s="481"/>
    </row>
    <row r="101" spans="1:256" s="1771" customFormat="1" ht="13.5" customHeight="1">
      <c r="A101" s="1859"/>
      <c r="B101" s="1786"/>
      <c r="C101" s="1786"/>
      <c r="D101" s="1780" t="s">
        <v>1027</v>
      </c>
      <c r="E101" s="1786"/>
      <c r="F101" s="1781">
        <v>39</v>
      </c>
      <c r="G101" s="1993"/>
      <c r="H101" s="1783"/>
      <c r="I101" s="1789"/>
      <c r="K101" s="1860"/>
      <c r="M101" s="1857"/>
    </row>
    <row r="102" spans="1:256" s="1771" customFormat="1" ht="13.5" customHeight="1">
      <c r="A102" s="1859"/>
      <c r="B102" s="1786"/>
      <c r="C102" s="1786"/>
      <c r="D102" s="1780" t="s">
        <v>3999</v>
      </c>
      <c r="E102" s="1786"/>
      <c r="F102" s="1781"/>
      <c r="G102" s="1993"/>
      <c r="H102" s="1783"/>
      <c r="I102" s="1789"/>
      <c r="K102" s="1860"/>
      <c r="M102" s="1857"/>
    </row>
    <row r="103" spans="1:256" s="1771" customFormat="1" ht="13.5" customHeight="1">
      <c r="A103" s="485">
        <v>27</v>
      </c>
      <c r="B103" s="1786" t="s">
        <v>3951</v>
      </c>
      <c r="C103" s="1786" t="s">
        <v>4006</v>
      </c>
      <c r="D103" s="1786" t="s">
        <v>4007</v>
      </c>
      <c r="E103" s="487" t="s">
        <v>205</v>
      </c>
      <c r="F103" s="244">
        <f>SUM(F105:F105)</f>
        <v>22</v>
      </c>
      <c r="G103" s="1993"/>
      <c r="H103" s="1788">
        <f t="shared" ref="H103" si="20">ROUND(F103*G103,2)</f>
        <v>0</v>
      </c>
      <c r="I103" s="1789" t="s">
        <v>111</v>
      </c>
      <c r="J103" s="513"/>
      <c r="K103" s="1796"/>
      <c r="M103" s="1857"/>
      <c r="P103" s="481"/>
    </row>
    <row r="104" spans="1:256" s="1771" customFormat="1" ht="13.5" customHeight="1">
      <c r="A104" s="1853"/>
      <c r="B104" s="1786"/>
      <c r="C104" s="1786"/>
      <c r="D104" s="1780" t="s">
        <v>4008</v>
      </c>
      <c r="E104" s="487"/>
      <c r="F104" s="1781"/>
      <c r="G104" s="1993"/>
      <c r="H104" s="1783"/>
      <c r="I104" s="1789"/>
      <c r="J104" s="513"/>
      <c r="K104" s="1796"/>
      <c r="M104" s="1857"/>
      <c r="P104" s="481"/>
    </row>
    <row r="105" spans="1:256" s="1771" customFormat="1" ht="13.5" customHeight="1">
      <c r="A105" s="1859"/>
      <c r="B105" s="1786"/>
      <c r="C105" s="1786"/>
      <c r="D105" s="1780" t="s">
        <v>1027</v>
      </c>
      <c r="E105" s="1786"/>
      <c r="F105" s="1781">
        <v>22</v>
      </c>
      <c r="G105" s="1993"/>
      <c r="H105" s="1783"/>
      <c r="I105" s="1789"/>
      <c r="J105" s="513"/>
      <c r="K105" s="1796"/>
      <c r="M105" s="1857"/>
      <c r="P105" s="481"/>
      <c r="Q105" s="482"/>
    </row>
    <row r="106" spans="1:256" s="1771" customFormat="1" ht="13.5" customHeight="1">
      <c r="A106" s="1859"/>
      <c r="B106" s="1786"/>
      <c r="C106" s="1786"/>
      <c r="D106" s="1780" t="s">
        <v>3999</v>
      </c>
      <c r="E106" s="1786"/>
      <c r="F106" s="1781"/>
      <c r="G106" s="1993"/>
      <c r="H106" s="1783"/>
      <c r="I106" s="1789"/>
      <c r="K106" s="1860"/>
      <c r="M106" s="1857"/>
    </row>
    <row r="107" spans="1:256" s="251" customFormat="1" ht="13.5" customHeight="1">
      <c r="A107" s="485">
        <v>28</v>
      </c>
      <c r="B107" s="1786" t="s">
        <v>3951</v>
      </c>
      <c r="C107" s="1786" t="s">
        <v>4009</v>
      </c>
      <c r="D107" s="494" t="s">
        <v>4010</v>
      </c>
      <c r="E107" s="494" t="s">
        <v>49</v>
      </c>
      <c r="F107" s="1787">
        <f>ROUND(SUM(F108),3)</f>
        <v>1</v>
      </c>
      <c r="G107" s="1998"/>
      <c r="H107" s="1788">
        <f t="shared" ref="H107" si="21">ROUND(F107*G107,2)</f>
        <v>0</v>
      </c>
      <c r="I107" s="1789" t="s">
        <v>111</v>
      </c>
    </row>
    <row r="108" spans="1:256" s="251" customFormat="1" ht="27" customHeight="1">
      <c r="A108" s="500"/>
      <c r="B108" s="500"/>
      <c r="C108" s="500"/>
      <c r="D108" s="1812" t="s">
        <v>4011</v>
      </c>
      <c r="E108" s="494"/>
      <c r="F108" s="1781">
        <v>1</v>
      </c>
      <c r="G108" s="2001"/>
      <c r="H108" s="501"/>
      <c r="I108" s="494"/>
    </row>
    <row r="109" spans="1:256" s="796" customFormat="1" ht="40.5" customHeight="1">
      <c r="A109" s="1897"/>
      <c r="B109" s="1898"/>
      <c r="C109" s="1899"/>
      <c r="D109" s="1900" t="s">
        <v>4012</v>
      </c>
      <c r="E109" s="1901"/>
      <c r="F109" s="1902"/>
      <c r="G109" s="502"/>
      <c r="H109" s="1903"/>
      <c r="I109" s="1904"/>
      <c r="L109" s="797"/>
      <c r="M109" s="797"/>
      <c r="N109" s="797"/>
      <c r="O109" s="797"/>
      <c r="P109" s="797"/>
      <c r="Q109" s="797"/>
      <c r="R109" s="797"/>
      <c r="S109" s="797"/>
      <c r="T109" s="797"/>
      <c r="U109" s="797"/>
      <c r="V109" s="797"/>
      <c r="W109" s="797"/>
      <c r="X109" s="797"/>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797"/>
      <c r="BF109" s="797"/>
      <c r="BG109" s="797"/>
      <c r="BH109" s="797"/>
      <c r="BI109" s="797"/>
      <c r="BJ109" s="797"/>
      <c r="BK109" s="797"/>
      <c r="BL109" s="797"/>
      <c r="BM109" s="797"/>
      <c r="BN109" s="797"/>
      <c r="BO109" s="797"/>
      <c r="BP109" s="797"/>
      <c r="BQ109" s="797"/>
      <c r="BR109" s="797"/>
      <c r="BS109" s="797"/>
      <c r="BT109" s="797"/>
      <c r="BU109" s="797"/>
      <c r="BV109" s="797"/>
      <c r="BW109" s="797"/>
      <c r="BX109" s="797"/>
      <c r="BY109" s="797"/>
      <c r="BZ109" s="797"/>
      <c r="CA109" s="797"/>
      <c r="CB109" s="797"/>
      <c r="CC109" s="797"/>
      <c r="CD109" s="797"/>
      <c r="CE109" s="797"/>
      <c r="CF109" s="797"/>
      <c r="CG109" s="797"/>
      <c r="CH109" s="797"/>
      <c r="CI109" s="797"/>
      <c r="CJ109" s="797"/>
      <c r="CK109" s="797"/>
      <c r="CL109" s="797"/>
      <c r="CM109" s="797"/>
      <c r="CN109" s="797"/>
      <c r="CO109" s="797"/>
      <c r="CP109" s="797"/>
      <c r="CQ109" s="797"/>
      <c r="CR109" s="797"/>
      <c r="CS109" s="797"/>
      <c r="CT109" s="797"/>
      <c r="CU109" s="797"/>
      <c r="CV109" s="797"/>
      <c r="CW109" s="797"/>
      <c r="CX109" s="797"/>
      <c r="CY109" s="797"/>
      <c r="CZ109" s="797"/>
      <c r="DA109" s="797"/>
      <c r="DB109" s="797"/>
      <c r="DC109" s="797"/>
      <c r="DD109" s="797"/>
      <c r="DE109" s="797"/>
      <c r="DF109" s="797"/>
      <c r="DG109" s="797"/>
      <c r="DH109" s="797"/>
      <c r="DI109" s="797"/>
      <c r="DJ109" s="797"/>
      <c r="DK109" s="797"/>
      <c r="DL109" s="797"/>
      <c r="DM109" s="797"/>
      <c r="DN109" s="797"/>
      <c r="DO109" s="797"/>
      <c r="DP109" s="797"/>
      <c r="DQ109" s="797"/>
      <c r="DR109" s="797"/>
      <c r="DS109" s="797"/>
      <c r="DT109" s="797"/>
      <c r="DU109" s="797"/>
      <c r="DV109" s="797"/>
      <c r="DW109" s="797"/>
      <c r="DX109" s="797"/>
      <c r="DY109" s="797"/>
      <c r="DZ109" s="797"/>
      <c r="EA109" s="797"/>
      <c r="EB109" s="797"/>
      <c r="EC109" s="797"/>
      <c r="ED109" s="797"/>
      <c r="EE109" s="797"/>
      <c r="EF109" s="797"/>
      <c r="EG109" s="797"/>
      <c r="EH109" s="797"/>
      <c r="EI109" s="797"/>
      <c r="EJ109" s="797"/>
      <c r="EK109" s="797"/>
      <c r="EL109" s="797"/>
      <c r="EM109" s="797"/>
      <c r="EN109" s="797"/>
      <c r="EO109" s="797"/>
      <c r="EP109" s="797"/>
      <c r="EQ109" s="797"/>
      <c r="ER109" s="797"/>
      <c r="ES109" s="797"/>
      <c r="ET109" s="797"/>
      <c r="EU109" s="797"/>
      <c r="EV109" s="797"/>
      <c r="EW109" s="797"/>
      <c r="EX109" s="797"/>
      <c r="EY109" s="797"/>
      <c r="EZ109" s="797"/>
      <c r="FA109" s="797"/>
      <c r="FB109" s="797"/>
      <c r="FC109" s="797"/>
      <c r="FD109" s="797"/>
      <c r="FE109" s="797"/>
      <c r="FF109" s="797"/>
      <c r="FG109" s="797"/>
      <c r="FH109" s="797"/>
      <c r="FI109" s="797"/>
      <c r="FJ109" s="797"/>
      <c r="FK109" s="797"/>
      <c r="FL109" s="797"/>
      <c r="FM109" s="797"/>
      <c r="FN109" s="797"/>
      <c r="FO109" s="797"/>
      <c r="FP109" s="797"/>
      <c r="FQ109" s="797"/>
      <c r="FR109" s="797"/>
      <c r="FS109" s="797"/>
      <c r="FT109" s="797"/>
      <c r="FU109" s="797"/>
      <c r="FV109" s="797"/>
      <c r="FW109" s="797"/>
      <c r="FX109" s="797"/>
      <c r="FY109" s="797"/>
      <c r="FZ109" s="797"/>
      <c r="GA109" s="797"/>
      <c r="GB109" s="797"/>
      <c r="GC109" s="797"/>
      <c r="GD109" s="797"/>
      <c r="GE109" s="797"/>
      <c r="GF109" s="797"/>
      <c r="GG109" s="797"/>
      <c r="GH109" s="797"/>
      <c r="GI109" s="797"/>
      <c r="GJ109" s="797"/>
      <c r="GK109" s="797"/>
      <c r="GL109" s="797"/>
      <c r="GM109" s="797"/>
      <c r="GN109" s="797"/>
      <c r="GO109" s="797"/>
      <c r="GP109" s="797"/>
      <c r="GQ109" s="797"/>
      <c r="GR109" s="797"/>
      <c r="GS109" s="797"/>
      <c r="GT109" s="797"/>
      <c r="GU109" s="797"/>
      <c r="GV109" s="797"/>
      <c r="GW109" s="797"/>
      <c r="GX109" s="797"/>
      <c r="GY109" s="797"/>
      <c r="GZ109" s="797"/>
      <c r="HA109" s="797"/>
      <c r="HB109" s="797"/>
      <c r="HC109" s="797"/>
      <c r="HD109" s="797"/>
      <c r="HE109" s="797"/>
      <c r="HF109" s="797"/>
      <c r="HG109" s="797"/>
      <c r="HH109" s="797"/>
      <c r="HI109" s="797"/>
      <c r="HJ109" s="797"/>
      <c r="HK109" s="797"/>
      <c r="HL109" s="797"/>
      <c r="HM109" s="797"/>
      <c r="HN109" s="797"/>
      <c r="HO109" s="797"/>
      <c r="HP109" s="797"/>
      <c r="HQ109" s="797"/>
      <c r="HR109" s="797"/>
      <c r="HS109" s="797"/>
      <c r="HT109" s="797"/>
      <c r="HU109" s="797"/>
      <c r="HV109" s="797"/>
      <c r="HW109" s="797"/>
      <c r="HX109" s="797"/>
      <c r="HY109" s="797"/>
      <c r="HZ109" s="797"/>
      <c r="IA109" s="797"/>
      <c r="IB109" s="797"/>
      <c r="IC109" s="797"/>
      <c r="ID109" s="797"/>
      <c r="IE109" s="797"/>
      <c r="IF109" s="797"/>
      <c r="IG109" s="797"/>
      <c r="IH109" s="797"/>
      <c r="II109" s="797"/>
      <c r="IJ109" s="797"/>
      <c r="IK109" s="797"/>
      <c r="IL109" s="797"/>
      <c r="IM109" s="797"/>
      <c r="IN109" s="797"/>
      <c r="IO109" s="797"/>
      <c r="IP109" s="797"/>
      <c r="IQ109" s="797"/>
      <c r="IR109" s="797"/>
      <c r="IS109" s="797"/>
      <c r="IT109" s="797"/>
      <c r="IU109" s="797"/>
      <c r="IV109" s="797"/>
    </row>
    <row r="110" spans="1:256" s="122" customFormat="1" ht="27" customHeight="1">
      <c r="A110" s="1804">
        <v>29</v>
      </c>
      <c r="B110" s="486">
        <v>742</v>
      </c>
      <c r="C110" s="1786" t="s">
        <v>1957</v>
      </c>
      <c r="D110" s="1786" t="s">
        <v>6435</v>
      </c>
      <c r="E110" s="1786" t="s">
        <v>49</v>
      </c>
      <c r="F110" s="1805">
        <f>ROUND(SUM(F111),3)</f>
        <v>1</v>
      </c>
      <c r="G110" s="5176" t="s">
        <v>3512</v>
      </c>
      <c r="H110" s="5177"/>
      <c r="I110" s="1789" t="s">
        <v>111</v>
      </c>
      <c r="J110" s="1807"/>
      <c r="K110" s="1806"/>
      <c r="L110" s="1806"/>
      <c r="M110" s="1807"/>
      <c r="N110" s="1808"/>
      <c r="O110" s="1809"/>
      <c r="P110" s="251"/>
      <c r="Q110" s="1809"/>
      <c r="R110" s="1756"/>
      <c r="S110" s="1756"/>
    </row>
    <row r="111" spans="1:256" s="1817" customFormat="1" ht="13.5" customHeight="1">
      <c r="A111" s="1810"/>
      <c r="B111" s="1811"/>
      <c r="C111" s="1801"/>
      <c r="D111" s="1812" t="s">
        <v>1958</v>
      </c>
      <c r="E111" s="1813"/>
      <c r="F111" s="1814">
        <v>1</v>
      </c>
      <c r="G111" s="250"/>
      <c r="H111" s="1815"/>
      <c r="I111" s="1816"/>
      <c r="J111" s="1807"/>
      <c r="K111" s="1806"/>
      <c r="L111" s="1806"/>
      <c r="M111" s="1807"/>
      <c r="N111" s="1808"/>
      <c r="O111" s="604"/>
      <c r="Q111" s="1807"/>
    </row>
    <row r="112" spans="1:256" s="1817" customFormat="1" ht="27" customHeight="1">
      <c r="A112" s="1810"/>
      <c r="B112" s="1811"/>
      <c r="C112" s="1801"/>
      <c r="D112" s="1812" t="s">
        <v>1935</v>
      </c>
      <c r="E112" s="1813"/>
      <c r="F112" s="1818"/>
      <c r="G112" s="250"/>
      <c r="H112" s="1815"/>
      <c r="I112" s="1816"/>
      <c r="J112" s="1807"/>
      <c r="K112" s="1806"/>
      <c r="L112" s="1806"/>
      <c r="M112" s="1807"/>
      <c r="N112" s="1808"/>
      <c r="O112" s="251"/>
      <c r="P112" s="1819"/>
      <c r="Q112" s="1807"/>
    </row>
    <row r="113" spans="1:21" s="1771" customFormat="1" ht="13.5" customHeight="1">
      <c r="A113" s="1820" t="s">
        <v>5543</v>
      </c>
      <c r="B113" s="1821" t="s">
        <v>3951</v>
      </c>
      <c r="C113" s="1821" t="s">
        <v>6422</v>
      </c>
      <c r="D113" s="489" t="s">
        <v>6415</v>
      </c>
      <c r="E113" s="490" t="s">
        <v>141</v>
      </c>
      <c r="F113" s="1822">
        <f>ROUND(SUM(F114),3)</f>
        <v>6200</v>
      </c>
      <c r="G113" s="1994"/>
      <c r="H113" s="491">
        <f>F113*G113</f>
        <v>0</v>
      </c>
      <c r="I113" s="1823" t="s">
        <v>111</v>
      </c>
      <c r="J113" s="513"/>
      <c r="K113" s="1796"/>
      <c r="L113" s="1824"/>
      <c r="M113" s="1824"/>
      <c r="N113" s="1824"/>
      <c r="O113" s="1824"/>
      <c r="P113" s="1825"/>
      <c r="Q113" s="1825"/>
      <c r="R113" s="481"/>
    </row>
    <row r="114" spans="1:21" s="1771" customFormat="1" ht="13.5" customHeight="1">
      <c r="A114" s="1826"/>
      <c r="B114" s="1821"/>
      <c r="C114" s="1821"/>
      <c r="D114" s="490" t="s">
        <v>6436</v>
      </c>
      <c r="E114" s="490"/>
      <c r="F114" s="1827">
        <v>6200</v>
      </c>
      <c r="G114" s="1995"/>
      <c r="H114" s="1828"/>
      <c r="I114" s="1829"/>
      <c r="J114" s="513"/>
      <c r="K114" s="1796"/>
      <c r="L114" s="1824"/>
      <c r="M114" s="1824"/>
      <c r="N114" s="1824"/>
      <c r="O114" s="1824"/>
      <c r="P114" s="1825"/>
      <c r="Q114" s="1825"/>
      <c r="R114" s="481"/>
    </row>
    <row r="115" spans="1:21" s="1771" customFormat="1" ht="27" customHeight="1">
      <c r="A115" s="1830"/>
      <c r="B115" s="492"/>
      <c r="C115" s="492"/>
      <c r="D115" s="1831" t="s">
        <v>3965</v>
      </c>
      <c r="E115" s="490"/>
      <c r="F115" s="1832"/>
      <c r="G115" s="1994"/>
      <c r="H115" s="491"/>
      <c r="I115" s="1829"/>
      <c r="J115" s="513"/>
      <c r="K115" s="1796"/>
      <c r="L115" s="1824"/>
      <c r="M115" s="1824"/>
      <c r="N115" s="1824"/>
      <c r="O115" s="1824"/>
      <c r="P115" s="1825"/>
      <c r="Q115" s="1825"/>
      <c r="R115" s="481"/>
    </row>
    <row r="116" spans="1:21" s="1771" customFormat="1" ht="13.5" customHeight="1">
      <c r="A116" s="1820" t="s">
        <v>5546</v>
      </c>
      <c r="B116" s="1821" t="s">
        <v>3951</v>
      </c>
      <c r="C116" s="1821" t="s">
        <v>6437</v>
      </c>
      <c r="D116" s="1821" t="s">
        <v>6438</v>
      </c>
      <c r="E116" s="490" t="s">
        <v>141</v>
      </c>
      <c r="F116" s="1822">
        <f>ROUND(SUM(F117),3)</f>
        <v>420</v>
      </c>
      <c r="G116" s="1994"/>
      <c r="H116" s="491">
        <f>F116*G116</f>
        <v>0</v>
      </c>
      <c r="I116" s="1823" t="s">
        <v>111</v>
      </c>
      <c r="J116" s="513"/>
      <c r="K116" s="1796"/>
      <c r="L116" s="1785"/>
      <c r="M116" s="1833"/>
      <c r="N116" s="1833"/>
      <c r="O116" s="1833"/>
      <c r="P116" s="1833"/>
      <c r="Q116" s="482"/>
      <c r="R116" s="481"/>
      <c r="U116" s="1876"/>
    </row>
    <row r="117" spans="1:21" s="1771" customFormat="1" ht="13.5" customHeight="1">
      <c r="A117" s="1826"/>
      <c r="B117" s="1821"/>
      <c r="C117" s="1821"/>
      <c r="D117" s="490" t="s">
        <v>6436</v>
      </c>
      <c r="E117" s="490"/>
      <c r="F117" s="1827">
        <v>420</v>
      </c>
      <c r="G117" s="1995"/>
      <c r="H117" s="1828"/>
      <c r="I117" s="1829"/>
      <c r="J117" s="513"/>
      <c r="K117" s="1796"/>
      <c r="L117" s="1772"/>
      <c r="M117" s="1772"/>
      <c r="N117" s="1772"/>
      <c r="O117" s="1772"/>
      <c r="P117" s="1772"/>
      <c r="R117" s="481"/>
    </row>
    <row r="118" spans="1:21" s="1771" customFormat="1" ht="27" customHeight="1">
      <c r="A118" s="1830"/>
      <c r="B118" s="492"/>
      <c r="C118" s="492"/>
      <c r="D118" s="1831" t="s">
        <v>3965</v>
      </c>
      <c r="E118" s="490"/>
      <c r="F118" s="1832"/>
      <c r="G118" s="1994"/>
      <c r="H118" s="491"/>
      <c r="I118" s="1829"/>
      <c r="J118" s="1905"/>
      <c r="K118" s="1772"/>
      <c r="L118" s="1772"/>
      <c r="M118" s="1772"/>
      <c r="N118" s="1772"/>
      <c r="O118" s="1772"/>
      <c r="P118" s="1772"/>
      <c r="T118" s="1876"/>
    </row>
    <row r="119" spans="1:21" s="1836" customFormat="1" ht="13.5" customHeight="1">
      <c r="A119" s="485">
        <v>30</v>
      </c>
      <c r="B119" s="486">
        <v>742</v>
      </c>
      <c r="C119" s="1786" t="s">
        <v>1954</v>
      </c>
      <c r="D119" s="246" t="s">
        <v>1824</v>
      </c>
      <c r="E119" s="1834" t="s">
        <v>49</v>
      </c>
      <c r="F119" s="1787">
        <f>ROUND(SUM(F120),3)</f>
        <v>1</v>
      </c>
      <c r="G119" s="1992"/>
      <c r="H119" s="1788">
        <f t="shared" ref="H119" si="22">ROUND(F119*G119,2)</f>
        <v>0</v>
      </c>
      <c r="I119" s="1789" t="s">
        <v>111</v>
      </c>
      <c r="J119" s="251"/>
      <c r="K119" s="1835"/>
      <c r="L119" s="251"/>
      <c r="Q119" s="1576"/>
      <c r="R119" s="1576"/>
      <c r="S119" s="1576"/>
      <c r="T119" s="1576"/>
      <c r="U119" s="1576"/>
    </row>
    <row r="120" spans="1:21" s="1836" customFormat="1" ht="13.5" customHeight="1">
      <c r="A120" s="1837"/>
      <c r="B120" s="1834"/>
      <c r="C120" s="1834"/>
      <c r="D120" s="493" t="s">
        <v>1937</v>
      </c>
      <c r="E120" s="1834"/>
      <c r="F120" s="1838">
        <v>1</v>
      </c>
      <c r="G120" s="1996"/>
      <c r="H120" s="1840"/>
      <c r="I120" s="1841"/>
      <c r="J120" s="251"/>
      <c r="K120" s="1842"/>
      <c r="Q120" s="1576"/>
      <c r="R120" s="1576"/>
      <c r="S120" s="1576"/>
      <c r="T120" s="1576"/>
      <c r="U120" s="1576"/>
    </row>
    <row r="121" spans="1:21" s="1836" customFormat="1" ht="40.5" customHeight="1">
      <c r="A121" s="1837"/>
      <c r="B121" s="1834"/>
      <c r="C121" s="1834"/>
      <c r="D121" s="493" t="s">
        <v>1938</v>
      </c>
      <c r="E121" s="1834"/>
      <c r="F121" s="1843"/>
      <c r="G121" s="1996"/>
      <c r="H121" s="1840"/>
      <c r="I121" s="1841"/>
      <c r="J121" s="251"/>
      <c r="K121" s="1575"/>
    </row>
    <row r="122" spans="1:21" s="1836" customFormat="1" ht="13.5" customHeight="1">
      <c r="A122" s="485">
        <v>31</v>
      </c>
      <c r="B122" s="486">
        <v>742</v>
      </c>
      <c r="C122" s="1786" t="s">
        <v>1955</v>
      </c>
      <c r="D122" s="246" t="s">
        <v>1828</v>
      </c>
      <c r="E122" s="1834" t="s">
        <v>49</v>
      </c>
      <c r="F122" s="1787">
        <f>ROUND(SUM(F123),3)</f>
        <v>1</v>
      </c>
      <c r="G122" s="1992"/>
      <c r="H122" s="1788">
        <f t="shared" ref="H122" si="23">ROUND(F122*G122,2)</f>
        <v>0</v>
      </c>
      <c r="I122" s="1789" t="s">
        <v>111</v>
      </c>
      <c r="J122" s="251"/>
      <c r="K122" s="1835"/>
      <c r="L122" s="251"/>
      <c r="Q122" s="1576"/>
      <c r="R122" s="1576"/>
      <c r="S122" s="1576"/>
      <c r="T122" s="1576"/>
      <c r="U122" s="1576"/>
    </row>
    <row r="123" spans="1:21" s="1836" customFormat="1" ht="27" customHeight="1">
      <c r="A123" s="1837"/>
      <c r="B123" s="1834"/>
      <c r="C123" s="1834"/>
      <c r="D123" s="493" t="s">
        <v>1940</v>
      </c>
      <c r="E123" s="1834"/>
      <c r="F123" s="1838">
        <v>1</v>
      </c>
      <c r="G123" s="1996"/>
      <c r="H123" s="1840"/>
      <c r="I123" s="1841"/>
      <c r="J123" s="251"/>
      <c r="K123" s="1835"/>
      <c r="Q123" s="1576"/>
      <c r="R123" s="1576"/>
      <c r="S123" s="1576"/>
      <c r="T123" s="1576"/>
      <c r="U123" s="1576"/>
    </row>
    <row r="124" spans="1:21" s="1836" customFormat="1" ht="40.5" customHeight="1">
      <c r="A124" s="1837"/>
      <c r="B124" s="1834"/>
      <c r="C124" s="1834"/>
      <c r="D124" s="493" t="s">
        <v>1826</v>
      </c>
      <c r="E124" s="1834"/>
      <c r="F124" s="1843"/>
      <c r="G124" s="1996"/>
      <c r="H124" s="1840"/>
      <c r="I124" s="1841"/>
      <c r="J124" s="251"/>
      <c r="K124" s="1575"/>
    </row>
    <row r="125" spans="1:21" s="251" customFormat="1" ht="13.5" customHeight="1">
      <c r="A125" s="485">
        <v>32</v>
      </c>
      <c r="B125" s="486">
        <v>742</v>
      </c>
      <c r="C125" s="1786" t="s">
        <v>4013</v>
      </c>
      <c r="D125" s="1786" t="s">
        <v>1840</v>
      </c>
      <c r="E125" s="1844" t="s">
        <v>49</v>
      </c>
      <c r="F125" s="1787">
        <v>1</v>
      </c>
      <c r="G125" s="1992"/>
      <c r="H125" s="1815">
        <f>ROUND(F125*G125,2)</f>
        <v>0</v>
      </c>
      <c r="I125" s="1789" t="s">
        <v>111</v>
      </c>
    </row>
    <row r="126" spans="1:21" s="1850" customFormat="1" ht="13.5" customHeight="1">
      <c r="A126" s="485">
        <v>33</v>
      </c>
      <c r="B126" s="1845">
        <v>742</v>
      </c>
      <c r="C126" s="1811">
        <v>998742312</v>
      </c>
      <c r="D126" s="1846" t="s">
        <v>3967</v>
      </c>
      <c r="E126" s="1846" t="s">
        <v>10</v>
      </c>
      <c r="F126" s="1847">
        <v>0.89</v>
      </c>
      <c r="G126" s="250"/>
      <c r="H126" s="1788">
        <f t="shared" ref="H126:H127" si="24">ROUND(F126*G126,2)</f>
        <v>0</v>
      </c>
      <c r="I126" s="1848" t="s">
        <v>137</v>
      </c>
      <c r="J126" s="1807"/>
      <c r="K126" s="1806"/>
      <c r="L126" s="1806"/>
      <c r="M126" s="1807"/>
      <c r="N126" s="1808"/>
      <c r="O126" s="1849"/>
      <c r="Q126" s="1807"/>
    </row>
    <row r="127" spans="1:21" s="1817" customFormat="1" ht="13.5" customHeight="1">
      <c r="A127" s="485">
        <v>34</v>
      </c>
      <c r="B127" s="1811" t="s">
        <v>362</v>
      </c>
      <c r="C127" s="1811" t="s">
        <v>2066</v>
      </c>
      <c r="D127" s="1811" t="s">
        <v>1803</v>
      </c>
      <c r="E127" s="1811" t="s">
        <v>69</v>
      </c>
      <c r="F127" s="1787">
        <f>ROUND(SUM(F128),3)</f>
        <v>10</v>
      </c>
      <c r="G127" s="1993"/>
      <c r="H127" s="1788">
        <f t="shared" si="24"/>
        <v>0</v>
      </c>
      <c r="I127" s="1848" t="s">
        <v>137</v>
      </c>
    </row>
    <row r="128" spans="1:21" s="1817" customFormat="1" ht="13.5" customHeight="1">
      <c r="A128" s="1810"/>
      <c r="B128" s="1811"/>
      <c r="C128" s="1801"/>
      <c r="D128" s="1812" t="s">
        <v>1941</v>
      </c>
      <c r="E128" s="1813"/>
      <c r="F128" s="1814">
        <v>10</v>
      </c>
      <c r="G128" s="250"/>
      <c r="H128" s="1815"/>
      <c r="I128" s="1816"/>
    </row>
    <row r="129" spans="1:34" s="1817" customFormat="1" ht="13.5" customHeight="1">
      <c r="A129" s="1810"/>
      <c r="B129" s="1811"/>
      <c r="C129" s="1801"/>
      <c r="D129" s="1812" t="s">
        <v>1942</v>
      </c>
      <c r="E129" s="1813"/>
      <c r="F129" s="1814"/>
      <c r="G129" s="250"/>
      <c r="H129" s="1815"/>
      <c r="I129" s="1816"/>
    </row>
    <row r="130" spans="1:34" s="1771" customFormat="1" ht="13.5" customHeight="1">
      <c r="A130" s="1777"/>
      <c r="B130" s="1779"/>
      <c r="C130" s="1779">
        <v>742</v>
      </c>
      <c r="D130" s="1779" t="s">
        <v>1950</v>
      </c>
      <c r="E130" s="1779"/>
      <c r="F130" s="1851"/>
      <c r="G130" s="1997"/>
      <c r="H130" s="1769">
        <f>SUM(H131:H158)</f>
        <v>0</v>
      </c>
      <c r="I130" s="1784"/>
      <c r="K130" s="1772"/>
      <c r="L130" s="1772"/>
      <c r="M130" s="1772"/>
      <c r="N130" s="1772"/>
      <c r="O130" s="1772"/>
      <c r="P130" s="1772"/>
    </row>
    <row r="131" spans="1:34" s="1771" customFormat="1" ht="13.5" customHeight="1">
      <c r="A131" s="485">
        <v>35</v>
      </c>
      <c r="B131" s="486">
        <v>742</v>
      </c>
      <c r="C131" s="1786" t="s">
        <v>1956</v>
      </c>
      <c r="D131" s="1786" t="s">
        <v>4014</v>
      </c>
      <c r="E131" s="503" t="s">
        <v>205</v>
      </c>
      <c r="F131" s="504">
        <f>SUM(F133:F134)</f>
        <v>12</v>
      </c>
      <c r="G131" s="1998"/>
      <c r="H131" s="1788">
        <f t="shared" ref="H131" si="25">ROUND(F131*G131,2)</f>
        <v>0</v>
      </c>
      <c r="I131" s="1789" t="s">
        <v>111</v>
      </c>
      <c r="J131" s="513"/>
      <c r="K131" s="514"/>
      <c r="L131" s="122"/>
      <c r="M131" s="122"/>
      <c r="N131" s="515"/>
      <c r="P131" s="1772"/>
      <c r="S131" s="481"/>
    </row>
    <row r="132" spans="1:34" s="251" customFormat="1" ht="13.5" customHeight="1">
      <c r="A132" s="1777"/>
      <c r="B132" s="1778"/>
      <c r="C132" s="1779"/>
      <c r="D132" s="1780" t="s">
        <v>4015</v>
      </c>
      <c r="E132" s="1779"/>
      <c r="F132" s="1781"/>
      <c r="G132" s="1992"/>
      <c r="H132" s="1783"/>
      <c r="I132" s="1784"/>
      <c r="J132" s="513"/>
      <c r="R132" s="513"/>
      <c r="S132" s="481"/>
      <c r="T132" s="122"/>
      <c r="U132" s="122"/>
      <c r="V132" s="515"/>
      <c r="W132" s="1771"/>
      <c r="X132" s="481"/>
      <c r="AC132" s="1771"/>
      <c r="AD132" s="1771"/>
      <c r="AE132" s="1771"/>
      <c r="AF132" s="1771"/>
      <c r="AG132" s="1771"/>
      <c r="AH132" s="1771"/>
    </row>
    <row r="133" spans="1:34" s="251" customFormat="1" ht="13.5" customHeight="1">
      <c r="A133" s="1777"/>
      <c r="B133" s="1778"/>
      <c r="C133" s="1779"/>
      <c r="D133" s="1780" t="s">
        <v>1169</v>
      </c>
      <c r="E133" s="1779"/>
      <c r="F133" s="1781">
        <v>8</v>
      </c>
      <c r="G133" s="1992"/>
      <c r="H133" s="1783"/>
      <c r="I133" s="1784"/>
      <c r="J133" s="513"/>
      <c r="K133" s="255"/>
      <c r="L133" s="1771"/>
      <c r="M133" s="1771"/>
      <c r="N133" s="1771"/>
      <c r="O133" s="1771"/>
      <c r="P133" s="481"/>
      <c r="R133" s="1793"/>
      <c r="Z133" s="515"/>
      <c r="AA133" s="1791"/>
    </row>
    <row r="134" spans="1:34" s="251" customFormat="1" ht="13.5" customHeight="1">
      <c r="A134" s="1777"/>
      <c r="B134" s="1778"/>
      <c r="C134" s="1779"/>
      <c r="D134" s="1780" t="s">
        <v>1222</v>
      </c>
      <c r="E134" s="1779"/>
      <c r="F134" s="1781">
        <v>4</v>
      </c>
      <c r="G134" s="1992"/>
      <c r="H134" s="1783"/>
      <c r="I134" s="1784"/>
      <c r="J134" s="1793"/>
      <c r="P134" s="515"/>
      <c r="R134" s="1771"/>
      <c r="S134" s="1771"/>
      <c r="T134" s="1771"/>
      <c r="U134" s="1771"/>
      <c r="V134" s="1771"/>
      <c r="W134" s="1771"/>
      <c r="X134" s="1771"/>
      <c r="Y134" s="1771"/>
      <c r="Z134" s="1771"/>
      <c r="AA134" s="1771"/>
      <c r="AB134" s="1771"/>
    </row>
    <row r="135" spans="1:34" s="1771" customFormat="1" ht="13.5" customHeight="1">
      <c r="A135" s="485"/>
      <c r="B135" s="500"/>
      <c r="C135" s="500"/>
      <c r="D135" s="1885" t="s">
        <v>4016</v>
      </c>
      <c r="E135" s="494"/>
      <c r="F135" s="1781"/>
      <c r="G135" s="1998"/>
      <c r="H135" s="501"/>
      <c r="I135" s="494"/>
    </row>
    <row r="136" spans="1:34" s="1771" customFormat="1" ht="13.5" customHeight="1">
      <c r="A136" s="485">
        <v>36</v>
      </c>
      <c r="B136" s="486">
        <v>742</v>
      </c>
      <c r="C136" s="1786" t="s">
        <v>4017</v>
      </c>
      <c r="D136" s="1786" t="s">
        <v>4018</v>
      </c>
      <c r="E136" s="503" t="s">
        <v>205</v>
      </c>
      <c r="F136" s="504">
        <f>SUM(F138:F138)</f>
        <v>9</v>
      </c>
      <c r="G136" s="1998"/>
      <c r="H136" s="1788">
        <f t="shared" ref="H136" si="26">ROUND(F136*G136,2)</f>
        <v>0</v>
      </c>
      <c r="I136" s="1789" t="s">
        <v>111</v>
      </c>
      <c r="J136" s="513"/>
      <c r="K136" s="514"/>
      <c r="L136" s="122"/>
      <c r="M136" s="122"/>
      <c r="N136" s="515"/>
      <c r="P136" s="515"/>
    </row>
    <row r="137" spans="1:34" s="251" customFormat="1" ht="13.5" customHeight="1">
      <c r="A137" s="1777"/>
      <c r="B137" s="1778"/>
      <c r="C137" s="1779"/>
      <c r="D137" s="1780" t="s">
        <v>4019</v>
      </c>
      <c r="E137" s="1779"/>
      <c r="F137" s="1781"/>
      <c r="G137" s="1992"/>
      <c r="H137" s="1783"/>
      <c r="I137" s="1784"/>
      <c r="J137" s="513"/>
      <c r="K137" s="514"/>
      <c r="L137" s="122"/>
      <c r="M137" s="122"/>
      <c r="N137" s="515"/>
      <c r="O137" s="1771"/>
      <c r="P137" s="515"/>
      <c r="Q137" s="1771"/>
      <c r="S137" s="1771"/>
      <c r="U137" s="481"/>
    </row>
    <row r="138" spans="1:34" s="251" customFormat="1" ht="13.5" customHeight="1">
      <c r="A138" s="1777"/>
      <c r="B138" s="1778"/>
      <c r="C138" s="1779"/>
      <c r="D138" s="1780" t="s">
        <v>1222</v>
      </c>
      <c r="E138" s="1779"/>
      <c r="F138" s="1781">
        <v>9</v>
      </c>
      <c r="G138" s="1992"/>
      <c r="H138" s="1783"/>
      <c r="I138" s="1784"/>
      <c r="J138" s="513"/>
      <c r="K138" s="514"/>
      <c r="L138" s="122"/>
      <c r="M138" s="122"/>
      <c r="N138" s="515"/>
      <c r="O138" s="1771"/>
      <c r="P138" s="515"/>
      <c r="R138" s="1906"/>
      <c r="S138" s="1771"/>
    </row>
    <row r="139" spans="1:34" s="1771" customFormat="1" ht="13.5" customHeight="1">
      <c r="A139" s="485"/>
      <c r="B139" s="500"/>
      <c r="C139" s="500"/>
      <c r="D139" s="1885" t="s">
        <v>4016</v>
      </c>
      <c r="E139" s="494"/>
      <c r="F139" s="1781"/>
      <c r="G139" s="2001"/>
      <c r="H139" s="501"/>
      <c r="I139" s="494"/>
      <c r="J139" s="513"/>
      <c r="K139" s="514"/>
      <c r="L139" s="122"/>
      <c r="M139" s="122"/>
      <c r="N139" s="515"/>
      <c r="P139" s="515"/>
      <c r="Q139" s="251"/>
      <c r="R139" s="251"/>
      <c r="S139" s="515"/>
    </row>
    <row r="140" spans="1:34" s="1771" customFormat="1" ht="13.5" customHeight="1">
      <c r="A140" s="485">
        <v>37</v>
      </c>
      <c r="B140" s="486">
        <v>742</v>
      </c>
      <c r="C140" s="1786" t="s">
        <v>4020</v>
      </c>
      <c r="D140" s="1786" t="s">
        <v>4021</v>
      </c>
      <c r="E140" s="1786" t="s">
        <v>205</v>
      </c>
      <c r="F140" s="1787">
        <f>F141</f>
        <v>1</v>
      </c>
      <c r="G140" s="1992"/>
      <c r="H140" s="1788">
        <f t="shared" ref="H140" si="27">ROUND(F140*G140,2)</f>
        <v>0</v>
      </c>
      <c r="I140" s="1789" t="s">
        <v>111</v>
      </c>
      <c r="J140" s="251"/>
      <c r="L140" s="251"/>
    </row>
    <row r="141" spans="1:34" s="1771" customFormat="1" ht="13.5" customHeight="1">
      <c r="A141" s="1804"/>
      <c r="B141" s="486"/>
      <c r="C141" s="1786"/>
      <c r="D141" s="1780" t="s">
        <v>4022</v>
      </c>
      <c r="E141" s="1907"/>
      <c r="F141" s="1781">
        <v>1</v>
      </c>
      <c r="G141" s="2002"/>
      <c r="H141" s="1908"/>
      <c r="I141" s="1784"/>
      <c r="J141" s="482"/>
      <c r="L141" s="251"/>
    </row>
    <row r="142" spans="1:34" s="122" customFormat="1" ht="13.5" customHeight="1">
      <c r="A142" s="1804">
        <v>38</v>
      </c>
      <c r="B142" s="486">
        <v>742</v>
      </c>
      <c r="C142" s="1786" t="s">
        <v>1957</v>
      </c>
      <c r="D142" s="1786" t="s">
        <v>1952</v>
      </c>
      <c r="E142" s="1786" t="s">
        <v>49</v>
      </c>
      <c r="F142" s="1805">
        <f>ROUND(SUM(F143),3)</f>
        <v>1</v>
      </c>
      <c r="G142" s="5176" t="s">
        <v>3512</v>
      </c>
      <c r="H142" s="5177"/>
      <c r="I142" s="1789" t="s">
        <v>111</v>
      </c>
      <c r="J142" s="1807"/>
      <c r="K142" s="1806"/>
      <c r="L142" s="1806"/>
      <c r="M142" s="1807"/>
      <c r="N142" s="1808"/>
      <c r="O142" s="1809"/>
      <c r="P142" s="251"/>
      <c r="Q142" s="1809"/>
      <c r="R142" s="1756"/>
      <c r="S142" s="1756"/>
    </row>
    <row r="143" spans="1:34" s="1817" customFormat="1" ht="13.5" customHeight="1">
      <c r="A143" s="1810"/>
      <c r="B143" s="1811"/>
      <c r="C143" s="1801"/>
      <c r="D143" s="1812" t="s">
        <v>1953</v>
      </c>
      <c r="E143" s="1813"/>
      <c r="F143" s="1814">
        <v>1</v>
      </c>
      <c r="G143" s="250"/>
      <c r="H143" s="1815"/>
      <c r="I143" s="1816"/>
      <c r="J143" s="1807"/>
      <c r="K143" s="1806"/>
      <c r="L143" s="1806"/>
      <c r="M143" s="1807"/>
      <c r="N143" s="1808"/>
      <c r="O143" s="251"/>
      <c r="Q143" s="1807"/>
    </row>
    <row r="144" spans="1:34" s="1817" customFormat="1" ht="27" customHeight="1">
      <c r="A144" s="1810"/>
      <c r="B144" s="1811"/>
      <c r="C144" s="1801"/>
      <c r="D144" s="1812" t="s">
        <v>1935</v>
      </c>
      <c r="E144" s="1813"/>
      <c r="F144" s="1818"/>
      <c r="G144" s="250"/>
      <c r="H144" s="1815"/>
      <c r="I144" s="1816"/>
      <c r="J144" s="1807"/>
      <c r="K144" s="1806"/>
      <c r="L144" s="1806"/>
      <c r="M144" s="1807"/>
      <c r="N144" s="1808"/>
      <c r="O144" s="251"/>
      <c r="P144" s="1819"/>
      <c r="Q144" s="1807"/>
    </row>
    <row r="145" spans="1:26" s="1771" customFormat="1" ht="13.5" customHeight="1">
      <c r="A145" s="1820" t="s">
        <v>6421</v>
      </c>
      <c r="B145" s="1821" t="s">
        <v>3951</v>
      </c>
      <c r="C145" s="1821" t="s">
        <v>6422</v>
      </c>
      <c r="D145" s="489" t="s">
        <v>6416</v>
      </c>
      <c r="E145" s="490" t="s">
        <v>141</v>
      </c>
      <c r="F145" s="1822">
        <f>ROUND(SUM(F146),3)</f>
        <v>1050</v>
      </c>
      <c r="G145" s="1994"/>
      <c r="H145" s="491">
        <f>F145*G145</f>
        <v>0</v>
      </c>
      <c r="I145" s="1823" t="s">
        <v>111</v>
      </c>
      <c r="J145" s="513"/>
      <c r="K145" s="1796"/>
      <c r="L145" s="1824"/>
      <c r="M145" s="1824"/>
      <c r="N145" s="1824"/>
      <c r="O145" s="1824"/>
      <c r="P145" s="1825"/>
      <c r="Q145" s="1825"/>
      <c r="R145" s="481"/>
    </row>
    <row r="146" spans="1:26" s="1771" customFormat="1" ht="13.5" customHeight="1">
      <c r="A146" s="1826"/>
      <c r="B146" s="1821"/>
      <c r="C146" s="1821"/>
      <c r="D146" s="490" t="s">
        <v>6423</v>
      </c>
      <c r="E146" s="490"/>
      <c r="F146" s="1827">
        <v>1050</v>
      </c>
      <c r="G146" s="1995"/>
      <c r="H146" s="1828"/>
      <c r="I146" s="1829"/>
      <c r="J146" s="513"/>
      <c r="K146" s="1796"/>
      <c r="L146" s="1824"/>
      <c r="M146" s="1824"/>
      <c r="N146" s="1824"/>
      <c r="O146" s="1824"/>
      <c r="P146" s="1825"/>
      <c r="Q146" s="1825"/>
      <c r="R146" s="481"/>
    </row>
    <row r="147" spans="1:26" s="1771" customFormat="1" ht="27" customHeight="1">
      <c r="A147" s="1830"/>
      <c r="B147" s="492"/>
      <c r="C147" s="492"/>
      <c r="D147" s="1831" t="s">
        <v>3965</v>
      </c>
      <c r="E147" s="490"/>
      <c r="F147" s="1832"/>
      <c r="G147" s="1994"/>
      <c r="H147" s="491"/>
      <c r="I147" s="1829"/>
      <c r="J147" s="1757"/>
      <c r="K147" s="270"/>
      <c r="L147" s="1785"/>
      <c r="M147" s="1785"/>
      <c r="N147" s="1785"/>
      <c r="O147" s="1833"/>
      <c r="Q147" s="480"/>
    </row>
    <row r="148" spans="1:26" s="1836" customFormat="1" ht="13.5" customHeight="1">
      <c r="A148" s="485">
        <v>39</v>
      </c>
      <c r="B148" s="486">
        <v>742</v>
      </c>
      <c r="C148" s="1786" t="s">
        <v>1959</v>
      </c>
      <c r="D148" s="246" t="s">
        <v>1824</v>
      </c>
      <c r="E148" s="1834" t="s">
        <v>49</v>
      </c>
      <c r="F148" s="1787">
        <f>ROUND(SUM(F149),3)</f>
        <v>1</v>
      </c>
      <c r="G148" s="1992"/>
      <c r="H148" s="1788">
        <f t="shared" ref="H148" si="28">ROUND(F148*G148,2)</f>
        <v>0</v>
      </c>
      <c r="I148" s="1789" t="s">
        <v>111</v>
      </c>
      <c r="J148" s="251"/>
      <c r="K148" s="1835"/>
      <c r="L148" s="251"/>
      <c r="Q148" s="1576"/>
      <c r="R148" s="1576"/>
      <c r="S148" s="1576"/>
      <c r="T148" s="1576"/>
      <c r="U148" s="1576"/>
    </row>
    <row r="149" spans="1:26" s="1836" customFormat="1" ht="13.5" customHeight="1">
      <c r="A149" s="1837"/>
      <c r="B149" s="1834"/>
      <c r="C149" s="1834"/>
      <c r="D149" s="493" t="s">
        <v>1937</v>
      </c>
      <c r="E149" s="1834"/>
      <c r="F149" s="1838">
        <v>1</v>
      </c>
      <c r="G149" s="1996"/>
      <c r="H149" s="1840"/>
      <c r="I149" s="1841"/>
      <c r="J149" s="251"/>
      <c r="K149" s="1842"/>
      <c r="Q149" s="1576"/>
      <c r="R149" s="1576"/>
      <c r="S149" s="1576"/>
      <c r="T149" s="1576"/>
      <c r="U149" s="1576"/>
    </row>
    <row r="150" spans="1:26" s="1836" customFormat="1" ht="40.5" customHeight="1">
      <c r="A150" s="1837"/>
      <c r="B150" s="1834"/>
      <c r="C150" s="1834"/>
      <c r="D150" s="493" t="s">
        <v>1938</v>
      </c>
      <c r="E150" s="1834"/>
      <c r="F150" s="1843"/>
      <c r="G150" s="1996"/>
      <c r="H150" s="1840"/>
      <c r="I150" s="1841"/>
      <c r="J150" s="251"/>
      <c r="K150" s="1575"/>
    </row>
    <row r="151" spans="1:26" s="1836" customFormat="1" ht="13.5" customHeight="1">
      <c r="A151" s="485">
        <v>40</v>
      </c>
      <c r="B151" s="486">
        <v>742</v>
      </c>
      <c r="C151" s="1786" t="s">
        <v>1960</v>
      </c>
      <c r="D151" s="246" t="s">
        <v>1828</v>
      </c>
      <c r="E151" s="1834" t="s">
        <v>49</v>
      </c>
      <c r="F151" s="1787">
        <f>ROUND(SUM(F152),3)</f>
        <v>1</v>
      </c>
      <c r="G151" s="1992"/>
      <c r="H151" s="1788">
        <f t="shared" ref="H151" si="29">ROUND(F151*G151,2)</f>
        <v>0</v>
      </c>
      <c r="I151" s="1789" t="s">
        <v>111</v>
      </c>
      <c r="J151" s="251"/>
      <c r="K151" s="1835"/>
      <c r="L151" s="251"/>
      <c r="Q151" s="1576"/>
      <c r="R151" s="1576"/>
      <c r="S151" s="1576"/>
      <c r="T151" s="1576"/>
      <c r="U151" s="1576"/>
    </row>
    <row r="152" spans="1:26" s="1836" customFormat="1" ht="27" customHeight="1">
      <c r="A152" s="1837"/>
      <c r="B152" s="1834"/>
      <c r="C152" s="1834"/>
      <c r="D152" s="493" t="s">
        <v>1940</v>
      </c>
      <c r="E152" s="1834"/>
      <c r="F152" s="1838">
        <v>1</v>
      </c>
      <c r="G152" s="1996"/>
      <c r="H152" s="1840"/>
      <c r="I152" s="1841"/>
      <c r="J152" s="251"/>
      <c r="K152" s="1835"/>
      <c r="Q152" s="1576"/>
      <c r="R152" s="1576"/>
      <c r="S152" s="1576"/>
      <c r="T152" s="1576"/>
      <c r="U152" s="1576"/>
    </row>
    <row r="153" spans="1:26" s="1836" customFormat="1" ht="40.5" customHeight="1">
      <c r="A153" s="1837"/>
      <c r="B153" s="1834"/>
      <c r="C153" s="1834"/>
      <c r="D153" s="493" t="s">
        <v>1826</v>
      </c>
      <c r="E153" s="1834"/>
      <c r="F153" s="1843"/>
      <c r="G153" s="1996"/>
      <c r="H153" s="1840"/>
      <c r="I153" s="1841"/>
      <c r="J153" s="251"/>
      <c r="K153" s="1575"/>
    </row>
    <row r="154" spans="1:26" s="251" customFormat="1" ht="13.5" customHeight="1">
      <c r="A154" s="485">
        <v>41</v>
      </c>
      <c r="B154" s="486">
        <v>742</v>
      </c>
      <c r="C154" s="1786" t="s">
        <v>4023</v>
      </c>
      <c r="D154" s="1786" t="s">
        <v>1840</v>
      </c>
      <c r="E154" s="1844" t="s">
        <v>49</v>
      </c>
      <c r="F154" s="1787">
        <v>1</v>
      </c>
      <c r="G154" s="1992"/>
      <c r="H154" s="1815">
        <f>ROUND(F154*G154,2)</f>
        <v>0</v>
      </c>
      <c r="I154" s="1789" t="s">
        <v>111</v>
      </c>
    </row>
    <row r="155" spans="1:26" s="1797" customFormat="1" ht="13.5" customHeight="1">
      <c r="A155" s="485">
        <v>42</v>
      </c>
      <c r="B155" s="1845">
        <v>742</v>
      </c>
      <c r="C155" s="1811">
        <v>998742312</v>
      </c>
      <c r="D155" s="1846" t="s">
        <v>3967</v>
      </c>
      <c r="E155" s="1846" t="s">
        <v>10</v>
      </c>
      <c r="F155" s="1847">
        <v>0.89</v>
      </c>
      <c r="G155" s="250"/>
      <c r="H155" s="1788">
        <f t="shared" ref="H155:H156" si="30">ROUND(F155*G155,2)</f>
        <v>0</v>
      </c>
      <c r="I155" s="1880" t="s">
        <v>137</v>
      </c>
      <c r="J155" s="1909"/>
      <c r="K155" s="1910"/>
    </row>
    <row r="156" spans="1:26" s="1798" customFormat="1" ht="13.5" customHeight="1">
      <c r="A156" s="485">
        <v>43</v>
      </c>
      <c r="B156" s="1786" t="s">
        <v>362</v>
      </c>
      <c r="C156" s="1786" t="s">
        <v>1802</v>
      </c>
      <c r="D156" s="1786" t="s">
        <v>1803</v>
      </c>
      <c r="E156" s="1800" t="s">
        <v>69</v>
      </c>
      <c r="F156" s="1911">
        <f>F157</f>
        <v>30</v>
      </c>
      <c r="G156" s="1993"/>
      <c r="H156" s="1788">
        <f t="shared" si="30"/>
        <v>0</v>
      </c>
      <c r="I156" s="1880" t="s">
        <v>137</v>
      </c>
      <c r="J156" s="1881"/>
      <c r="K156" s="1882"/>
      <c r="L156" s="1883"/>
      <c r="M156" s="1884"/>
      <c r="N156" s="1884"/>
      <c r="O156" s="1884"/>
    </row>
    <row r="157" spans="1:26" s="1798" customFormat="1" ht="13.5" customHeight="1">
      <c r="A157" s="1799"/>
      <c r="B157" s="1800"/>
      <c r="C157" s="1801"/>
      <c r="D157" s="1885" t="s">
        <v>1941</v>
      </c>
      <c r="E157" s="1886"/>
      <c r="F157" s="1887">
        <v>30</v>
      </c>
      <c r="G157" s="250"/>
      <c r="H157" s="1888"/>
      <c r="I157" s="1889"/>
      <c r="J157" s="1802"/>
      <c r="K157" s="1803"/>
      <c r="L157" s="1797"/>
      <c r="M157" s="1797"/>
      <c r="N157" s="1797"/>
      <c r="O157" s="1797"/>
    </row>
    <row r="158" spans="1:26" s="1798" customFormat="1" ht="13.5" customHeight="1">
      <c r="A158" s="1799"/>
      <c r="B158" s="1800"/>
      <c r="C158" s="1801"/>
      <c r="D158" s="1885" t="s">
        <v>1942</v>
      </c>
      <c r="E158" s="1886"/>
      <c r="F158" s="1887"/>
      <c r="G158" s="250"/>
      <c r="H158" s="1888"/>
      <c r="I158" s="1889"/>
      <c r="J158" s="1912"/>
      <c r="K158" s="1913"/>
    </row>
    <row r="159" spans="1:26" s="1771" customFormat="1" ht="13.5" customHeight="1">
      <c r="A159" s="1777"/>
      <c r="B159" s="1779"/>
      <c r="C159" s="1779">
        <v>742</v>
      </c>
      <c r="D159" s="1894" t="s">
        <v>4024</v>
      </c>
      <c r="E159" s="1779"/>
      <c r="F159" s="1851"/>
      <c r="G159" s="1997"/>
      <c r="H159" s="1769">
        <f>SUM(H160:H188)</f>
        <v>0</v>
      </c>
      <c r="I159" s="1784"/>
      <c r="K159" s="1772"/>
      <c r="L159" s="1772"/>
      <c r="M159" s="1772"/>
      <c r="N159" s="1772"/>
      <c r="O159" s="1772"/>
      <c r="P159" s="1772"/>
    </row>
    <row r="160" spans="1:26" s="251" customFormat="1" ht="13.5" customHeight="1">
      <c r="A160" s="485">
        <v>44</v>
      </c>
      <c r="B160" s="486">
        <v>742</v>
      </c>
      <c r="C160" s="1786" t="s">
        <v>4025</v>
      </c>
      <c r="D160" s="487" t="s">
        <v>4026</v>
      </c>
      <c r="E160" s="487" t="s">
        <v>205</v>
      </c>
      <c r="F160" s="244">
        <f>SUM(F162:F162)</f>
        <v>1</v>
      </c>
      <c r="G160" s="250"/>
      <c r="H160" s="505">
        <f>F160*G160</f>
        <v>0</v>
      </c>
      <c r="I160" s="1789" t="s">
        <v>111</v>
      </c>
      <c r="Q160" s="515"/>
      <c r="S160" s="1852"/>
      <c r="Z160" s="515"/>
    </row>
    <row r="161" spans="1:21" s="251" customFormat="1" ht="13.5" customHeight="1">
      <c r="A161" s="485"/>
      <c r="B161" s="506"/>
      <c r="C161" s="1786"/>
      <c r="D161" s="488" t="s">
        <v>4027</v>
      </c>
      <c r="E161" s="487"/>
      <c r="F161" s="244"/>
      <c r="G161" s="2003"/>
      <c r="H161" s="505"/>
      <c r="I161" s="1873"/>
      <c r="J161" s="1914"/>
      <c r="Q161" s="515"/>
    </row>
    <row r="162" spans="1:21" s="251" customFormat="1" ht="13.5" customHeight="1">
      <c r="A162" s="1777"/>
      <c r="B162" s="1786"/>
      <c r="C162" s="1786"/>
      <c r="D162" s="488" t="s">
        <v>1169</v>
      </c>
      <c r="E162" s="487"/>
      <c r="F162" s="1878">
        <v>1</v>
      </c>
      <c r="G162" s="1992"/>
      <c r="H162" s="1783"/>
      <c r="I162" s="1873"/>
      <c r="J162" s="1914"/>
      <c r="Q162" s="515"/>
    </row>
    <row r="163" spans="1:21" s="251" customFormat="1" ht="13.5" customHeight="1">
      <c r="A163" s="1915"/>
      <c r="B163" s="1779"/>
      <c r="C163" s="1894"/>
      <c r="D163" s="488" t="s">
        <v>4028</v>
      </c>
      <c r="E163" s="487"/>
      <c r="F163" s="1781"/>
      <c r="G163" s="2003"/>
      <c r="H163" s="1896"/>
      <c r="I163" s="1784"/>
      <c r="Q163" s="515"/>
    </row>
    <row r="164" spans="1:21" s="251" customFormat="1" ht="13.5" customHeight="1">
      <c r="A164" s="485">
        <v>45</v>
      </c>
      <c r="B164" s="486">
        <v>742</v>
      </c>
      <c r="C164" s="1786" t="s">
        <v>4029</v>
      </c>
      <c r="D164" s="487" t="s">
        <v>4030</v>
      </c>
      <c r="E164" s="487" t="s">
        <v>205</v>
      </c>
      <c r="F164" s="1916">
        <f>ROUND(SUM(F166:F167),3)</f>
        <v>9</v>
      </c>
      <c r="G164" s="250"/>
      <c r="H164" s="1815">
        <f>ROUND(F164*G164,2)</f>
        <v>0</v>
      </c>
      <c r="I164" s="1789" t="s">
        <v>111</v>
      </c>
      <c r="J164" s="513"/>
      <c r="K164" s="514"/>
      <c r="L164" s="122"/>
      <c r="M164" s="122"/>
      <c r="N164" s="122"/>
      <c r="O164" s="122"/>
      <c r="P164" s="122"/>
      <c r="R164" s="122"/>
      <c r="U164" s="515"/>
    </row>
    <row r="165" spans="1:21" s="251" customFormat="1" ht="13.5" customHeight="1">
      <c r="A165" s="485"/>
      <c r="B165" s="506"/>
      <c r="C165" s="1786"/>
      <c r="D165" s="488" t="s">
        <v>4031</v>
      </c>
      <c r="E165" s="487"/>
      <c r="F165" s="244"/>
      <c r="G165" s="2003"/>
      <c r="H165" s="505"/>
      <c r="I165" s="1789"/>
      <c r="J165" s="513"/>
      <c r="K165" s="514"/>
      <c r="U165" s="515"/>
    </row>
    <row r="166" spans="1:21" s="251" customFormat="1" ht="13.5" customHeight="1">
      <c r="A166" s="1915"/>
      <c r="B166" s="1779"/>
      <c r="C166" s="1894"/>
      <c r="D166" s="488" t="s">
        <v>1169</v>
      </c>
      <c r="E166" s="487"/>
      <c r="F166" s="1878">
        <v>2</v>
      </c>
      <c r="G166" s="2003"/>
      <c r="H166" s="1784"/>
      <c r="I166" s="1789"/>
      <c r="R166" s="1917"/>
    </row>
    <row r="167" spans="1:21" s="251" customFormat="1" ht="13.5" customHeight="1">
      <c r="A167" s="1915"/>
      <c r="B167" s="1779"/>
      <c r="C167" s="1894"/>
      <c r="D167" s="488" t="s">
        <v>1222</v>
      </c>
      <c r="E167" s="487"/>
      <c r="F167" s="1878">
        <v>7</v>
      </c>
      <c r="G167" s="2003"/>
      <c r="H167" s="1784"/>
      <c r="I167" s="1784"/>
    </row>
    <row r="168" spans="1:21" s="251" customFormat="1" ht="13.5" customHeight="1">
      <c r="A168" s="1915"/>
      <c r="B168" s="1779"/>
      <c r="C168" s="1894"/>
      <c r="D168" s="1780" t="s">
        <v>4032</v>
      </c>
      <c r="E168" s="487"/>
      <c r="F168" s="1781"/>
      <c r="G168" s="2003"/>
      <c r="H168" s="1896"/>
      <c r="I168" s="1784"/>
    </row>
    <row r="169" spans="1:21" s="122" customFormat="1" ht="13.5" customHeight="1">
      <c r="A169" s="1804">
        <v>46</v>
      </c>
      <c r="B169" s="486">
        <v>742</v>
      </c>
      <c r="C169" s="1786" t="s">
        <v>4033</v>
      </c>
      <c r="D169" s="1786" t="s">
        <v>4034</v>
      </c>
      <c r="E169" s="1786" t="s">
        <v>49</v>
      </c>
      <c r="F169" s="1805">
        <f>ROUND(SUM(F170),3)</f>
        <v>1</v>
      </c>
      <c r="G169" s="5176" t="s">
        <v>3512</v>
      </c>
      <c r="H169" s="5177"/>
      <c r="I169" s="1789" t="s">
        <v>111</v>
      </c>
      <c r="J169" s="1807"/>
      <c r="K169" s="1806"/>
      <c r="L169" s="1806"/>
      <c r="M169" s="1807"/>
      <c r="N169" s="1808"/>
      <c r="O169" s="1809"/>
      <c r="P169" s="251"/>
      <c r="Q169" s="1809"/>
      <c r="R169" s="1756"/>
      <c r="S169" s="1756"/>
    </row>
    <row r="170" spans="1:21" s="1817" customFormat="1" ht="13.5" customHeight="1">
      <c r="A170" s="1810"/>
      <c r="B170" s="1811"/>
      <c r="C170" s="1801"/>
      <c r="D170" s="1812" t="s">
        <v>4035</v>
      </c>
      <c r="E170" s="1813"/>
      <c r="F170" s="1814">
        <v>1</v>
      </c>
      <c r="G170" s="250"/>
      <c r="H170" s="1815"/>
      <c r="I170" s="1816"/>
      <c r="J170" s="1807"/>
      <c r="K170" s="1806"/>
      <c r="L170" s="1806"/>
      <c r="M170" s="1807"/>
      <c r="N170" s="1808"/>
      <c r="O170" s="251"/>
      <c r="Q170" s="1807"/>
    </row>
    <row r="171" spans="1:21" s="1817" customFormat="1" ht="27" customHeight="1">
      <c r="A171" s="1810"/>
      <c r="B171" s="1811"/>
      <c r="C171" s="1801"/>
      <c r="D171" s="1812" t="s">
        <v>1935</v>
      </c>
      <c r="E171" s="1813"/>
      <c r="F171" s="1818"/>
      <c r="G171" s="250"/>
      <c r="H171" s="1815"/>
      <c r="I171" s="1816"/>
      <c r="J171" s="1807"/>
      <c r="K171" s="1806"/>
      <c r="L171" s="1806"/>
      <c r="M171" s="1807"/>
      <c r="N171" s="1808"/>
      <c r="O171" s="251"/>
      <c r="P171" s="1819"/>
      <c r="Q171" s="1807"/>
    </row>
    <row r="172" spans="1:21" s="1771" customFormat="1" ht="13.5" customHeight="1">
      <c r="A172" s="1820" t="s">
        <v>6426</v>
      </c>
      <c r="B172" s="1821" t="s">
        <v>3951</v>
      </c>
      <c r="C172" s="1821" t="s">
        <v>6425</v>
      </c>
      <c r="D172" s="489" t="s">
        <v>6415</v>
      </c>
      <c r="E172" s="490" t="s">
        <v>141</v>
      </c>
      <c r="F172" s="1822">
        <f>ROUND(SUM(F173),3)</f>
        <v>450</v>
      </c>
      <c r="G172" s="1994"/>
      <c r="H172" s="491">
        <f>F172*G172</f>
        <v>0</v>
      </c>
      <c r="I172" s="1823" t="s">
        <v>111</v>
      </c>
      <c r="J172" s="513"/>
      <c r="K172" s="1796"/>
      <c r="L172" s="1824"/>
      <c r="M172" s="1824"/>
      <c r="N172" s="1824"/>
      <c r="O172" s="1824"/>
      <c r="P172" s="1825"/>
      <c r="Q172" s="1825"/>
      <c r="R172" s="481"/>
    </row>
    <row r="173" spans="1:21" s="1771" customFormat="1" ht="13.5" customHeight="1">
      <c r="A173" s="1826"/>
      <c r="B173" s="1821"/>
      <c r="C173" s="1821"/>
      <c r="D173" s="490" t="s">
        <v>6420</v>
      </c>
      <c r="E173" s="490"/>
      <c r="F173" s="1827">
        <v>450</v>
      </c>
      <c r="G173" s="1995"/>
      <c r="H173" s="1828"/>
      <c r="I173" s="1829"/>
      <c r="J173" s="513"/>
      <c r="K173" s="1796"/>
      <c r="L173" s="1824"/>
      <c r="M173" s="1824"/>
      <c r="N173" s="1824"/>
      <c r="O173" s="1824"/>
      <c r="P173" s="1825"/>
      <c r="Q173" s="1825"/>
      <c r="R173" s="481"/>
    </row>
    <row r="174" spans="1:21" s="1771" customFormat="1" ht="27" customHeight="1">
      <c r="A174" s="1830"/>
      <c r="B174" s="492"/>
      <c r="C174" s="492"/>
      <c r="D174" s="1831" t="s">
        <v>3965</v>
      </c>
      <c r="E174" s="490"/>
      <c r="F174" s="1832"/>
      <c r="G174" s="1994"/>
      <c r="H174" s="491"/>
      <c r="I174" s="1829"/>
      <c r="J174" s="513"/>
      <c r="K174" s="1796"/>
      <c r="L174" s="1824"/>
      <c r="M174" s="1824"/>
      <c r="N174" s="1824"/>
      <c r="O174" s="1824"/>
      <c r="P174" s="1825"/>
      <c r="Q174" s="1825"/>
      <c r="R174" s="481"/>
    </row>
    <row r="175" spans="1:21" s="122" customFormat="1" ht="13.5" customHeight="1">
      <c r="A175" s="1804">
        <v>47</v>
      </c>
      <c r="B175" s="486">
        <v>742</v>
      </c>
      <c r="C175" s="1786" t="s">
        <v>6424</v>
      </c>
      <c r="D175" s="1786" t="s">
        <v>4036</v>
      </c>
      <c r="E175" s="1786" t="s">
        <v>49</v>
      </c>
      <c r="F175" s="1805">
        <f>ROUND(SUM(F176),3)</f>
        <v>1</v>
      </c>
      <c r="G175" s="1993"/>
      <c r="H175" s="1788">
        <f t="shared" ref="H175" si="31">ROUND(F175*G175,2)</f>
        <v>0</v>
      </c>
      <c r="I175" s="1789" t="s">
        <v>111</v>
      </c>
      <c r="J175" s="1807"/>
      <c r="K175" s="1806"/>
      <c r="L175" s="1806"/>
      <c r="M175" s="1807"/>
      <c r="N175" s="1808"/>
      <c r="O175" s="1809"/>
      <c r="P175" s="251"/>
      <c r="Q175" s="1809"/>
      <c r="R175" s="1756"/>
      <c r="S175" s="1756"/>
    </row>
    <row r="176" spans="1:21" s="1817" customFormat="1" ht="13.5" customHeight="1">
      <c r="A176" s="1810"/>
      <c r="B176" s="1811"/>
      <c r="C176" s="1801"/>
      <c r="D176" s="1812" t="s">
        <v>4037</v>
      </c>
      <c r="E176" s="1813"/>
      <c r="F176" s="1814">
        <v>1</v>
      </c>
      <c r="G176" s="250"/>
      <c r="H176" s="1815"/>
      <c r="I176" s="1816"/>
      <c r="J176" s="1807"/>
      <c r="K176" s="1806"/>
      <c r="L176" s="1806"/>
      <c r="M176" s="1807"/>
      <c r="N176" s="1808"/>
      <c r="O176" s="251"/>
      <c r="Q176" s="1807"/>
    </row>
    <row r="177" spans="1:21" s="1817" customFormat="1" ht="27" customHeight="1">
      <c r="A177" s="1810"/>
      <c r="B177" s="1811"/>
      <c r="C177" s="1801"/>
      <c r="D177" s="1812" t="s">
        <v>4038</v>
      </c>
      <c r="E177" s="1813"/>
      <c r="F177" s="1818"/>
      <c r="G177" s="250"/>
      <c r="H177" s="1815"/>
      <c r="I177" s="1816"/>
      <c r="J177" s="1807"/>
      <c r="K177" s="1806"/>
      <c r="L177" s="1806"/>
      <c r="M177" s="1807"/>
      <c r="N177" s="1808"/>
      <c r="O177" s="251"/>
      <c r="P177" s="1819"/>
      <c r="Q177" s="1807"/>
    </row>
    <row r="178" spans="1:21" s="1836" customFormat="1" ht="13.5" customHeight="1">
      <c r="A178" s="485">
        <v>48</v>
      </c>
      <c r="B178" s="486">
        <v>742</v>
      </c>
      <c r="C178" s="1786" t="s">
        <v>1972</v>
      </c>
      <c r="D178" s="246" t="s">
        <v>1824</v>
      </c>
      <c r="E178" s="1834" t="s">
        <v>49</v>
      </c>
      <c r="F178" s="1787">
        <f>ROUND(SUM(F179),3)</f>
        <v>1</v>
      </c>
      <c r="G178" s="1992"/>
      <c r="H178" s="1788">
        <f t="shared" ref="H178" si="32">ROUND(F178*G178,2)</f>
        <v>0</v>
      </c>
      <c r="I178" s="1789" t="s">
        <v>111</v>
      </c>
      <c r="J178" s="251"/>
      <c r="K178" s="1835"/>
      <c r="L178" s="251"/>
      <c r="Q178" s="1576"/>
      <c r="R178" s="1576"/>
      <c r="S178" s="1576"/>
      <c r="T178" s="1576"/>
      <c r="U178" s="1576"/>
    </row>
    <row r="179" spans="1:21" s="1836" customFormat="1" ht="13.5" customHeight="1">
      <c r="A179" s="1837"/>
      <c r="B179" s="1834"/>
      <c r="C179" s="1834"/>
      <c r="D179" s="493" t="s">
        <v>1937</v>
      </c>
      <c r="E179" s="1834"/>
      <c r="F179" s="1838">
        <v>1</v>
      </c>
      <c r="G179" s="1996"/>
      <c r="H179" s="1840"/>
      <c r="I179" s="1841"/>
      <c r="J179" s="251"/>
      <c r="K179" s="1842"/>
      <c r="Q179" s="1576"/>
      <c r="R179" s="1576"/>
      <c r="S179" s="1576"/>
      <c r="T179" s="1576"/>
      <c r="U179" s="1576"/>
    </row>
    <row r="180" spans="1:21" s="1836" customFormat="1" ht="40.5" customHeight="1">
      <c r="A180" s="1837"/>
      <c r="B180" s="1834"/>
      <c r="C180" s="1834"/>
      <c r="D180" s="493" t="s">
        <v>1938</v>
      </c>
      <c r="E180" s="1834"/>
      <c r="F180" s="1843"/>
      <c r="G180" s="1996"/>
      <c r="H180" s="1840"/>
      <c r="I180" s="1841"/>
      <c r="J180" s="251"/>
      <c r="K180" s="1575"/>
    </row>
    <row r="181" spans="1:21" s="1836" customFormat="1" ht="13.5" customHeight="1">
      <c r="A181" s="485">
        <v>49</v>
      </c>
      <c r="B181" s="486">
        <v>742</v>
      </c>
      <c r="C181" s="1786" t="s">
        <v>4039</v>
      </c>
      <c r="D181" s="246" t="s">
        <v>1828</v>
      </c>
      <c r="E181" s="1834" t="s">
        <v>49</v>
      </c>
      <c r="F181" s="1787">
        <f>ROUND(SUM(F182),3)</f>
        <v>1</v>
      </c>
      <c r="G181" s="1992"/>
      <c r="H181" s="1788">
        <f t="shared" ref="H181" si="33">ROUND(F181*G181,2)</f>
        <v>0</v>
      </c>
      <c r="I181" s="1789" t="s">
        <v>111</v>
      </c>
      <c r="J181" s="251"/>
      <c r="K181" s="1835"/>
      <c r="L181" s="251"/>
      <c r="Q181" s="1576"/>
      <c r="R181" s="1576"/>
      <c r="S181" s="1576"/>
      <c r="T181" s="1576"/>
      <c r="U181" s="1576"/>
    </row>
    <row r="182" spans="1:21" s="1836" customFormat="1" ht="27" customHeight="1">
      <c r="A182" s="1837"/>
      <c r="B182" s="1834"/>
      <c r="C182" s="1834"/>
      <c r="D182" s="493" t="s">
        <v>1940</v>
      </c>
      <c r="E182" s="1834"/>
      <c r="F182" s="1838">
        <v>1</v>
      </c>
      <c r="G182" s="1996"/>
      <c r="H182" s="1840"/>
      <c r="I182" s="1841"/>
      <c r="J182" s="251"/>
      <c r="K182" s="1835"/>
      <c r="Q182" s="1576"/>
      <c r="R182" s="1576"/>
      <c r="S182" s="1576"/>
      <c r="T182" s="1576"/>
      <c r="U182" s="1576"/>
    </row>
    <row r="183" spans="1:21" s="1836" customFormat="1" ht="40.5" customHeight="1">
      <c r="A183" s="1837"/>
      <c r="B183" s="1834"/>
      <c r="C183" s="1834"/>
      <c r="D183" s="493" t="s">
        <v>1826</v>
      </c>
      <c r="E183" s="1834"/>
      <c r="F183" s="1843"/>
      <c r="G183" s="1996"/>
      <c r="H183" s="1840"/>
      <c r="I183" s="1841"/>
      <c r="J183" s="251"/>
      <c r="K183" s="1575"/>
    </row>
    <row r="184" spans="1:21" s="251" customFormat="1" ht="13.5" customHeight="1">
      <c r="A184" s="485">
        <v>50</v>
      </c>
      <c r="B184" s="486">
        <v>742</v>
      </c>
      <c r="C184" s="1786" t="s">
        <v>4040</v>
      </c>
      <c r="D184" s="1786" t="s">
        <v>1840</v>
      </c>
      <c r="E184" s="1844" t="s">
        <v>49</v>
      </c>
      <c r="F184" s="1787">
        <v>1</v>
      </c>
      <c r="G184" s="1992"/>
      <c r="H184" s="1815">
        <f>ROUND(F184*G184,2)</f>
        <v>0</v>
      </c>
      <c r="I184" s="1789" t="s">
        <v>111</v>
      </c>
    </row>
    <row r="185" spans="1:21" s="1850" customFormat="1" ht="13.5" customHeight="1">
      <c r="A185" s="485">
        <v>51</v>
      </c>
      <c r="B185" s="1845">
        <v>742</v>
      </c>
      <c r="C185" s="1811">
        <v>998742312</v>
      </c>
      <c r="D185" s="1846" t="s">
        <v>3967</v>
      </c>
      <c r="E185" s="1846" t="s">
        <v>10</v>
      </c>
      <c r="F185" s="1847">
        <v>0.89</v>
      </c>
      <c r="G185" s="250"/>
      <c r="H185" s="1815">
        <f>ROUND(F185*G185,2)</f>
        <v>0</v>
      </c>
      <c r="I185" s="1848" t="s">
        <v>137</v>
      </c>
      <c r="J185" s="1918"/>
      <c r="K185" s="1919"/>
    </row>
    <row r="186" spans="1:21" s="1817" customFormat="1" ht="13.5" customHeight="1">
      <c r="A186" s="485">
        <v>52</v>
      </c>
      <c r="B186" s="1786" t="s">
        <v>362</v>
      </c>
      <c r="C186" s="1786" t="s">
        <v>1802</v>
      </c>
      <c r="D186" s="1786" t="s">
        <v>1803</v>
      </c>
      <c r="E186" s="1811" t="s">
        <v>69</v>
      </c>
      <c r="F186" s="1916">
        <f>ROUND(SUM(F187),3)</f>
        <v>15</v>
      </c>
      <c r="G186" s="1993"/>
      <c r="H186" s="1815">
        <f>ROUND(F186*G186,2)</f>
        <v>0</v>
      </c>
      <c r="I186" s="1848" t="s">
        <v>137</v>
      </c>
      <c r="J186" s="1920"/>
      <c r="K186" s="1921"/>
      <c r="L186" s="1922"/>
      <c r="M186" s="1923"/>
      <c r="N186" s="1923"/>
      <c r="O186" s="1923"/>
    </row>
    <row r="187" spans="1:21" s="1817" customFormat="1" ht="13.5" customHeight="1">
      <c r="A187" s="1810"/>
      <c r="B187" s="1811"/>
      <c r="C187" s="1801"/>
      <c r="D187" s="1812" t="s">
        <v>1941</v>
      </c>
      <c r="E187" s="1813"/>
      <c r="F187" s="1814">
        <v>15</v>
      </c>
      <c r="G187" s="250"/>
      <c r="H187" s="1815"/>
      <c r="I187" s="1816"/>
      <c r="J187" s="1802"/>
      <c r="K187" s="1803"/>
      <c r="L187" s="1850"/>
      <c r="M187" s="1850"/>
      <c r="N187" s="1850"/>
      <c r="O187" s="1850"/>
    </row>
    <row r="188" spans="1:21" s="1817" customFormat="1" ht="13.5" customHeight="1">
      <c r="A188" s="1810"/>
      <c r="B188" s="1811"/>
      <c r="C188" s="1801"/>
      <c r="D188" s="1812" t="s">
        <v>1942</v>
      </c>
      <c r="E188" s="1813"/>
      <c r="F188" s="1814"/>
      <c r="G188" s="250"/>
      <c r="H188" s="1815"/>
      <c r="I188" s="1816"/>
      <c r="J188" s="1924"/>
      <c r="K188" s="1913"/>
    </row>
    <row r="189" spans="1:21" s="1771" customFormat="1" ht="13.5" customHeight="1">
      <c r="A189" s="1777"/>
      <c r="B189" s="1779"/>
      <c r="C189" s="1779">
        <v>742</v>
      </c>
      <c r="D189" s="1894" t="s">
        <v>4041</v>
      </c>
      <c r="E189" s="1779"/>
      <c r="F189" s="1851"/>
      <c r="G189" s="1997"/>
      <c r="H189" s="1769">
        <f>SUM(H190:H214)</f>
        <v>0</v>
      </c>
      <c r="I189" s="1784"/>
      <c r="J189" s="1925"/>
      <c r="K189" s="1806"/>
      <c r="L189" s="1806"/>
      <c r="M189" s="1807"/>
      <c r="N189" s="1926"/>
      <c r="O189" s="251"/>
      <c r="P189" s="1819"/>
      <c r="Q189" s="1807"/>
    </row>
    <row r="190" spans="1:21" s="122" customFormat="1" ht="13.5" customHeight="1">
      <c r="A190" s="485">
        <v>53</v>
      </c>
      <c r="B190" s="506">
        <v>742</v>
      </c>
      <c r="C190" s="1786" t="s">
        <v>4042</v>
      </c>
      <c r="D190" s="494" t="s">
        <v>4043</v>
      </c>
      <c r="E190" s="494" t="s">
        <v>205</v>
      </c>
      <c r="F190" s="1787">
        <f>ROUND(SUM(F192:F192),3)</f>
        <v>1</v>
      </c>
      <c r="G190" s="2001"/>
      <c r="H190" s="501">
        <f>F190*G190</f>
        <v>0</v>
      </c>
      <c r="I190" s="1789" t="s">
        <v>111</v>
      </c>
      <c r="J190" s="513"/>
      <c r="K190" s="514"/>
      <c r="N190" s="515"/>
    </row>
    <row r="191" spans="1:21" s="122" customFormat="1" ht="13.5" customHeight="1">
      <c r="A191" s="485"/>
      <c r="B191" s="506"/>
      <c r="C191" s="1786"/>
      <c r="D191" s="488" t="s">
        <v>4044</v>
      </c>
      <c r="E191" s="494"/>
      <c r="F191" s="1787"/>
      <c r="G191" s="2001"/>
      <c r="H191" s="501"/>
      <c r="I191" s="1789"/>
      <c r="J191" s="1927"/>
      <c r="K191" s="1803"/>
      <c r="L191" s="1850"/>
      <c r="M191" s="1850"/>
      <c r="N191" s="1850"/>
      <c r="O191" s="1850"/>
      <c r="P191" s="1817"/>
      <c r="Q191" s="515"/>
    </row>
    <row r="192" spans="1:21" s="1817" customFormat="1" ht="13.5" customHeight="1">
      <c r="A192" s="1810"/>
      <c r="B192" s="1811"/>
      <c r="C192" s="1801"/>
      <c r="D192" s="488" t="s">
        <v>1027</v>
      </c>
      <c r="E192" s="1813"/>
      <c r="F192" s="1781">
        <v>1</v>
      </c>
      <c r="G192" s="250"/>
      <c r="H192" s="1815"/>
      <c r="I192" s="1789"/>
      <c r="T192" s="515"/>
    </row>
    <row r="193" spans="1:21" s="1817" customFormat="1" ht="13.5" customHeight="1">
      <c r="A193" s="1810"/>
      <c r="B193" s="1811"/>
      <c r="C193" s="1801"/>
      <c r="D193" s="488" t="s">
        <v>4028</v>
      </c>
      <c r="E193" s="1813"/>
      <c r="F193" s="1787"/>
      <c r="G193" s="250"/>
      <c r="H193" s="1815"/>
      <c r="I193" s="1816"/>
      <c r="J193" s="1927"/>
      <c r="K193" s="1803"/>
      <c r="L193" s="1850"/>
      <c r="M193" s="1850"/>
      <c r="N193" s="1850"/>
      <c r="O193" s="1850"/>
      <c r="T193" s="515"/>
    </row>
    <row r="194" spans="1:21" s="122" customFormat="1" ht="13.5" customHeight="1">
      <c r="A194" s="485">
        <v>54</v>
      </c>
      <c r="B194" s="506">
        <v>742</v>
      </c>
      <c r="C194" s="1786" t="s">
        <v>4045</v>
      </c>
      <c r="D194" s="494" t="s">
        <v>4046</v>
      </c>
      <c r="E194" s="494" t="s">
        <v>205</v>
      </c>
      <c r="F194" s="1787">
        <f>ROUND(SUM(F196:F196),3)</f>
        <v>1</v>
      </c>
      <c r="G194" s="2001"/>
      <c r="H194" s="501">
        <f>F194*G194</f>
        <v>0</v>
      </c>
      <c r="I194" s="1789" t="s">
        <v>111</v>
      </c>
      <c r="J194" s="513"/>
      <c r="K194" s="514"/>
      <c r="P194" s="515"/>
    </row>
    <row r="195" spans="1:21" s="122" customFormat="1" ht="13.5" customHeight="1">
      <c r="A195" s="485"/>
      <c r="B195" s="506"/>
      <c r="C195" s="1786"/>
      <c r="D195" s="488" t="s">
        <v>4047</v>
      </c>
      <c r="E195" s="494"/>
      <c r="F195" s="1787"/>
      <c r="G195" s="2001"/>
      <c r="H195" s="501"/>
      <c r="I195" s="1789"/>
      <c r="J195" s="1927"/>
      <c r="K195" s="1803"/>
      <c r="L195" s="1850"/>
      <c r="M195" s="1850"/>
      <c r="N195" s="1850"/>
      <c r="O195" s="1850"/>
      <c r="P195" s="1817"/>
      <c r="Q195" s="517"/>
    </row>
    <row r="196" spans="1:21" s="1817" customFormat="1" ht="13.5" customHeight="1">
      <c r="A196" s="1810"/>
      <c r="B196" s="1811"/>
      <c r="C196" s="1801"/>
      <c r="D196" s="488" t="s">
        <v>1027</v>
      </c>
      <c r="E196" s="1813"/>
      <c r="F196" s="1781">
        <v>1</v>
      </c>
      <c r="G196" s="250"/>
      <c r="H196" s="1815"/>
      <c r="I196" s="1789"/>
      <c r="Q196" s="515"/>
      <c r="T196" s="515"/>
    </row>
    <row r="197" spans="1:21" s="1817" customFormat="1" ht="13.5" customHeight="1">
      <c r="A197" s="1810"/>
      <c r="B197" s="1811"/>
      <c r="C197" s="1801"/>
      <c r="D197" s="488" t="s">
        <v>4048</v>
      </c>
      <c r="E197" s="1813"/>
      <c r="F197" s="1787"/>
      <c r="G197" s="250"/>
      <c r="H197" s="1815"/>
      <c r="I197" s="1816"/>
      <c r="J197" s="1927"/>
      <c r="K197" s="1803"/>
      <c r="L197" s="1850"/>
      <c r="M197" s="1850"/>
      <c r="N197" s="1850"/>
      <c r="O197" s="1850"/>
      <c r="T197" s="515"/>
    </row>
    <row r="198" spans="1:21" s="122" customFormat="1" ht="13.5" customHeight="1">
      <c r="A198" s="1804">
        <v>55</v>
      </c>
      <c r="B198" s="486">
        <v>742</v>
      </c>
      <c r="C198" s="1786" t="s">
        <v>4049</v>
      </c>
      <c r="D198" s="1786" t="s">
        <v>4050</v>
      </c>
      <c r="E198" s="1786" t="s">
        <v>49</v>
      </c>
      <c r="F198" s="1805">
        <f>ROUND(SUM(F199),3)</f>
        <v>1</v>
      </c>
      <c r="G198" s="5176" t="s">
        <v>3512</v>
      </c>
      <c r="H198" s="5177"/>
      <c r="I198" s="1789" t="s">
        <v>111</v>
      </c>
      <c r="J198" s="1807"/>
      <c r="K198" s="1806"/>
      <c r="L198" s="1806"/>
      <c r="M198" s="1807"/>
      <c r="N198" s="1808"/>
      <c r="O198" s="1809"/>
      <c r="P198" s="251"/>
      <c r="Q198" s="1809"/>
      <c r="R198" s="1756"/>
      <c r="S198" s="1756"/>
    </row>
    <row r="199" spans="1:21" s="1817" customFormat="1" ht="13.5" customHeight="1">
      <c r="A199" s="1810"/>
      <c r="B199" s="1811"/>
      <c r="C199" s="1801"/>
      <c r="D199" s="1812" t="s">
        <v>4051</v>
      </c>
      <c r="E199" s="1813"/>
      <c r="F199" s="1814">
        <v>1</v>
      </c>
      <c r="G199" s="250"/>
      <c r="H199" s="1815"/>
      <c r="I199" s="1816"/>
      <c r="J199" s="1807"/>
      <c r="K199" s="1806"/>
      <c r="L199" s="1806"/>
      <c r="M199" s="1807"/>
      <c r="N199" s="1808"/>
      <c r="O199" s="251"/>
      <c r="Q199" s="1807"/>
    </row>
    <row r="200" spans="1:21" s="1817" customFormat="1" ht="27" customHeight="1">
      <c r="A200" s="1810"/>
      <c r="B200" s="1811"/>
      <c r="C200" s="1801"/>
      <c r="D200" s="1812" t="s">
        <v>1935</v>
      </c>
      <c r="E200" s="1813"/>
      <c r="F200" s="1818"/>
      <c r="G200" s="250"/>
      <c r="H200" s="1815"/>
      <c r="I200" s="1816"/>
      <c r="J200" s="1807"/>
      <c r="K200" s="1806"/>
      <c r="L200" s="1806"/>
      <c r="M200" s="1807"/>
      <c r="N200" s="1808"/>
      <c r="O200" s="251"/>
      <c r="P200" s="1819"/>
      <c r="Q200" s="1807"/>
    </row>
    <row r="201" spans="1:21" s="1771" customFormat="1" ht="13.5" customHeight="1">
      <c r="A201" s="1820" t="s">
        <v>6376</v>
      </c>
      <c r="B201" s="1821" t="s">
        <v>3951</v>
      </c>
      <c r="C201" s="1821" t="s">
        <v>6427</v>
      </c>
      <c r="D201" s="489" t="s">
        <v>6415</v>
      </c>
      <c r="E201" s="490" t="s">
        <v>141</v>
      </c>
      <c r="F201" s="1822">
        <f>ROUND(SUM(F202),3)</f>
        <v>20</v>
      </c>
      <c r="G201" s="1994"/>
      <c r="H201" s="491">
        <f>F201*G201</f>
        <v>0</v>
      </c>
      <c r="I201" s="1823" t="s">
        <v>111</v>
      </c>
      <c r="J201" s="513"/>
      <c r="K201" s="1796"/>
      <c r="L201" s="1824"/>
      <c r="M201" s="1824"/>
      <c r="N201" s="1824"/>
      <c r="O201" s="1824"/>
      <c r="P201" s="1825"/>
      <c r="Q201" s="1825"/>
      <c r="R201" s="481"/>
    </row>
    <row r="202" spans="1:21" s="1771" customFormat="1" ht="13.5" customHeight="1">
      <c r="A202" s="1826"/>
      <c r="B202" s="1821"/>
      <c r="C202" s="1821"/>
      <c r="D202" s="490" t="s">
        <v>6428</v>
      </c>
      <c r="E202" s="490"/>
      <c r="F202" s="1827">
        <v>20</v>
      </c>
      <c r="G202" s="1995"/>
      <c r="H202" s="1828"/>
      <c r="I202" s="1829"/>
      <c r="J202" s="513"/>
      <c r="K202" s="1796"/>
      <c r="L202" s="1824"/>
      <c r="M202" s="1824"/>
      <c r="N202" s="1824"/>
      <c r="O202" s="1824"/>
      <c r="P202" s="1825"/>
      <c r="Q202" s="1825"/>
      <c r="R202" s="481"/>
    </row>
    <row r="203" spans="1:21" s="1771" customFormat="1" ht="27" customHeight="1">
      <c r="A203" s="1830"/>
      <c r="B203" s="492"/>
      <c r="C203" s="492"/>
      <c r="D203" s="1831" t="s">
        <v>3965</v>
      </c>
      <c r="E203" s="490"/>
      <c r="F203" s="1832"/>
      <c r="G203" s="1994"/>
      <c r="H203" s="491"/>
      <c r="I203" s="1829"/>
      <c r="J203" s="513"/>
      <c r="K203" s="1796"/>
      <c r="L203" s="1824"/>
      <c r="M203" s="1824"/>
      <c r="N203" s="1824"/>
      <c r="O203" s="1824"/>
      <c r="P203" s="1825"/>
      <c r="Q203" s="1825"/>
      <c r="R203" s="481"/>
    </row>
    <row r="204" spans="1:21" s="1836" customFormat="1" ht="13.5" customHeight="1">
      <c r="A204" s="485">
        <v>56</v>
      </c>
      <c r="B204" s="486">
        <v>742</v>
      </c>
      <c r="C204" s="1786" t="s">
        <v>4052</v>
      </c>
      <c r="D204" s="246" t="s">
        <v>1824</v>
      </c>
      <c r="E204" s="1834" t="s">
        <v>49</v>
      </c>
      <c r="F204" s="1787">
        <f>ROUND(SUM(F205),3)</f>
        <v>1</v>
      </c>
      <c r="G204" s="1992"/>
      <c r="H204" s="1788">
        <f t="shared" ref="H204" si="34">ROUND(F204*G204,2)</f>
        <v>0</v>
      </c>
      <c r="I204" s="1789" t="s">
        <v>111</v>
      </c>
      <c r="J204" s="251"/>
      <c r="K204" s="1835"/>
      <c r="L204" s="251"/>
      <c r="Q204" s="1576"/>
      <c r="R204" s="1576"/>
      <c r="S204" s="1576"/>
      <c r="T204" s="1576"/>
      <c r="U204" s="1576"/>
    </row>
    <row r="205" spans="1:21" s="1836" customFormat="1" ht="13.5" customHeight="1">
      <c r="A205" s="1837"/>
      <c r="B205" s="1834"/>
      <c r="C205" s="1834"/>
      <c r="D205" s="493" t="s">
        <v>1937</v>
      </c>
      <c r="E205" s="1834"/>
      <c r="F205" s="1838">
        <v>1</v>
      </c>
      <c r="G205" s="1996"/>
      <c r="H205" s="1840"/>
      <c r="I205" s="1841"/>
      <c r="J205" s="251"/>
      <c r="K205" s="1842"/>
      <c r="Q205" s="1576"/>
      <c r="R205" s="1576"/>
      <c r="S205" s="1576"/>
      <c r="T205" s="1576"/>
      <c r="U205" s="1576"/>
    </row>
    <row r="206" spans="1:21" s="1836" customFormat="1" ht="40.5" customHeight="1">
      <c r="A206" s="1837"/>
      <c r="B206" s="1834"/>
      <c r="C206" s="1834"/>
      <c r="D206" s="493" t="s">
        <v>1938</v>
      </c>
      <c r="E206" s="1834"/>
      <c r="F206" s="1843"/>
      <c r="G206" s="1996"/>
      <c r="H206" s="1840"/>
      <c r="I206" s="1841"/>
      <c r="J206" s="251"/>
      <c r="K206" s="1575"/>
    </row>
    <row r="207" spans="1:21" s="1836" customFormat="1" ht="13.5" customHeight="1">
      <c r="A207" s="485">
        <v>57</v>
      </c>
      <c r="B207" s="486">
        <v>742</v>
      </c>
      <c r="C207" s="1786" t="s">
        <v>4053</v>
      </c>
      <c r="D207" s="246" t="s">
        <v>1828</v>
      </c>
      <c r="E207" s="1834" t="s">
        <v>49</v>
      </c>
      <c r="F207" s="1787">
        <f>ROUND(SUM(F208),3)</f>
        <v>1</v>
      </c>
      <c r="G207" s="1992"/>
      <c r="H207" s="1788">
        <f t="shared" ref="H207" si="35">ROUND(F207*G207,2)</f>
        <v>0</v>
      </c>
      <c r="I207" s="1789" t="s">
        <v>111</v>
      </c>
      <c r="J207" s="251"/>
      <c r="K207" s="1835"/>
      <c r="L207" s="251"/>
      <c r="Q207" s="1576"/>
      <c r="R207" s="1576"/>
      <c r="S207" s="1576"/>
      <c r="T207" s="1576"/>
      <c r="U207" s="1576"/>
    </row>
    <row r="208" spans="1:21" s="1836" customFormat="1" ht="27" customHeight="1">
      <c r="A208" s="1837"/>
      <c r="B208" s="1834"/>
      <c r="C208" s="1834"/>
      <c r="D208" s="493" t="s">
        <v>1940</v>
      </c>
      <c r="E208" s="1834"/>
      <c r="F208" s="1838">
        <v>1</v>
      </c>
      <c r="G208" s="1996"/>
      <c r="H208" s="1840"/>
      <c r="I208" s="1841"/>
      <c r="J208" s="251"/>
      <c r="K208" s="1835"/>
      <c r="Q208" s="1576"/>
      <c r="R208" s="1576"/>
      <c r="S208" s="1576"/>
      <c r="T208" s="1576"/>
      <c r="U208" s="1576"/>
    </row>
    <row r="209" spans="1:21" s="1836" customFormat="1" ht="40.5" customHeight="1">
      <c r="A209" s="1837"/>
      <c r="B209" s="1834"/>
      <c r="C209" s="1834"/>
      <c r="D209" s="493" t="s">
        <v>1826</v>
      </c>
      <c r="E209" s="1834"/>
      <c r="F209" s="1843"/>
      <c r="G209" s="1996"/>
      <c r="H209" s="1840"/>
      <c r="I209" s="1841"/>
      <c r="J209" s="251"/>
      <c r="K209" s="1575"/>
    </row>
    <row r="210" spans="1:21" s="251" customFormat="1" ht="13.5" customHeight="1">
      <c r="A210" s="485">
        <v>58</v>
      </c>
      <c r="B210" s="486">
        <v>742</v>
      </c>
      <c r="C210" s="1786" t="s">
        <v>4054</v>
      </c>
      <c r="D210" s="1786" t="s">
        <v>1840</v>
      </c>
      <c r="E210" s="1844" t="s">
        <v>49</v>
      </c>
      <c r="F210" s="1787">
        <v>1</v>
      </c>
      <c r="G210" s="1992"/>
      <c r="H210" s="1815">
        <f>ROUND(F210*G210,2)</f>
        <v>0</v>
      </c>
      <c r="I210" s="1789" t="s">
        <v>111</v>
      </c>
    </row>
    <row r="211" spans="1:21" s="1850" customFormat="1" ht="13.5" customHeight="1">
      <c r="A211" s="485">
        <v>59</v>
      </c>
      <c r="B211" s="1845">
        <v>742</v>
      </c>
      <c r="C211" s="1811">
        <v>998742312</v>
      </c>
      <c r="D211" s="1846" t="s">
        <v>3967</v>
      </c>
      <c r="E211" s="1846" t="s">
        <v>10</v>
      </c>
      <c r="F211" s="1847">
        <v>0.89</v>
      </c>
      <c r="G211" s="250"/>
      <c r="H211" s="1815">
        <f>ROUND(F211*G211,2)</f>
        <v>0</v>
      </c>
      <c r="I211" s="1848" t="s">
        <v>137</v>
      </c>
      <c r="J211" s="1918"/>
      <c r="K211" s="1919"/>
    </row>
    <row r="212" spans="1:21" s="1817" customFormat="1" ht="13.5" customHeight="1">
      <c r="A212" s="485">
        <v>60</v>
      </c>
      <c r="B212" s="1786" t="s">
        <v>362</v>
      </c>
      <c r="C212" s="1786" t="s">
        <v>1802</v>
      </c>
      <c r="D212" s="1786" t="s">
        <v>1803</v>
      </c>
      <c r="E212" s="1811" t="s">
        <v>69</v>
      </c>
      <c r="F212" s="1916">
        <f>ROUND(SUM(F213),3)</f>
        <v>3</v>
      </c>
      <c r="G212" s="1993"/>
      <c r="H212" s="1815">
        <f>ROUND(F212*G212,2)</f>
        <v>0</v>
      </c>
      <c r="I212" s="1848" t="s">
        <v>137</v>
      </c>
      <c r="J212" s="1920"/>
      <c r="K212" s="1921"/>
      <c r="L212" s="1922"/>
      <c r="M212" s="1923"/>
      <c r="N212" s="1923"/>
      <c r="O212" s="1923"/>
    </row>
    <row r="213" spans="1:21" s="1817" customFormat="1" ht="13.5" customHeight="1">
      <c r="A213" s="1810"/>
      <c r="B213" s="1811"/>
      <c r="C213" s="1801"/>
      <c r="D213" s="1812" t="s">
        <v>1941</v>
      </c>
      <c r="E213" s="1813"/>
      <c r="F213" s="1814">
        <v>3</v>
      </c>
      <c r="G213" s="250"/>
      <c r="H213" s="1815"/>
      <c r="I213" s="1816"/>
      <c r="J213" s="1802"/>
      <c r="K213" s="1803"/>
      <c r="L213" s="1850"/>
      <c r="M213" s="1850"/>
      <c r="N213" s="1850"/>
      <c r="O213" s="1850"/>
    </row>
    <row r="214" spans="1:21" s="1817" customFormat="1" ht="13.5" customHeight="1">
      <c r="A214" s="1810"/>
      <c r="B214" s="1811"/>
      <c r="C214" s="1801"/>
      <c r="D214" s="1812" t="s">
        <v>1942</v>
      </c>
      <c r="E214" s="1813"/>
      <c r="F214" s="1814"/>
      <c r="G214" s="250"/>
      <c r="H214" s="1815"/>
      <c r="I214" s="1816"/>
      <c r="J214" s="1924"/>
      <c r="K214" s="1913"/>
    </row>
    <row r="215" spans="1:21" s="1771" customFormat="1" ht="13.5" customHeight="1">
      <c r="A215" s="1777"/>
      <c r="B215" s="1779"/>
      <c r="C215" s="1779">
        <v>742</v>
      </c>
      <c r="D215" s="1894" t="s">
        <v>1961</v>
      </c>
      <c r="E215" s="1779"/>
      <c r="F215" s="1851"/>
      <c r="G215" s="1997"/>
      <c r="H215" s="1769">
        <f>SUM(H216:H241)</f>
        <v>0</v>
      </c>
      <c r="I215" s="1784"/>
      <c r="J215" s="1807"/>
      <c r="K215" s="1806"/>
      <c r="L215" s="1806"/>
      <c r="M215" s="1807"/>
      <c r="N215" s="1808"/>
      <c r="O215" s="251"/>
      <c r="P215" s="1819"/>
      <c r="Q215" s="1807"/>
    </row>
    <row r="216" spans="1:21" s="251" customFormat="1" ht="13.5" customHeight="1">
      <c r="A216" s="485">
        <v>61</v>
      </c>
      <c r="B216" s="486">
        <v>742</v>
      </c>
      <c r="C216" s="1786" t="s">
        <v>1962</v>
      </c>
      <c r="D216" s="487" t="s">
        <v>4030</v>
      </c>
      <c r="E216" s="487" t="s">
        <v>205</v>
      </c>
      <c r="F216" s="1916">
        <f>ROUND(SUM(F218:F219),3)</f>
        <v>12</v>
      </c>
      <c r="G216" s="250"/>
      <c r="H216" s="1815">
        <f>ROUND(F216*G216,2)</f>
        <v>0</v>
      </c>
      <c r="I216" s="1789" t="s">
        <v>111</v>
      </c>
      <c r="J216" s="513"/>
      <c r="K216" s="514"/>
      <c r="L216" s="122"/>
      <c r="M216" s="122"/>
      <c r="N216" s="122"/>
      <c r="O216" s="122"/>
      <c r="P216" s="122"/>
      <c r="R216" s="122"/>
      <c r="U216" s="515"/>
    </row>
    <row r="217" spans="1:21" s="251" customFormat="1" ht="13.5" customHeight="1">
      <c r="A217" s="485"/>
      <c r="B217" s="506"/>
      <c r="C217" s="1786"/>
      <c r="D217" s="488" t="s">
        <v>4031</v>
      </c>
      <c r="E217" s="487"/>
      <c r="F217" s="244"/>
      <c r="G217" s="2003"/>
      <c r="H217" s="505"/>
      <c r="I217" s="1789"/>
      <c r="J217" s="513"/>
      <c r="K217" s="514"/>
      <c r="U217" s="515"/>
    </row>
    <row r="218" spans="1:21" s="251" customFormat="1" ht="13.5" customHeight="1">
      <c r="A218" s="1915"/>
      <c r="B218" s="1779"/>
      <c r="C218" s="1894"/>
      <c r="D218" s="488" t="s">
        <v>1169</v>
      </c>
      <c r="E218" s="487"/>
      <c r="F218" s="1878">
        <v>4</v>
      </c>
      <c r="G218" s="2003"/>
      <c r="H218" s="1784"/>
      <c r="I218" s="1789"/>
      <c r="R218" s="1917"/>
    </row>
    <row r="219" spans="1:21" s="251" customFormat="1" ht="13.5" customHeight="1">
      <c r="A219" s="1915"/>
      <c r="B219" s="1779"/>
      <c r="C219" s="1894"/>
      <c r="D219" s="488" t="s">
        <v>1222</v>
      </c>
      <c r="E219" s="487"/>
      <c r="F219" s="1878">
        <v>8</v>
      </c>
      <c r="G219" s="2003"/>
      <c r="H219" s="1784"/>
      <c r="I219" s="1784"/>
    </row>
    <row r="220" spans="1:21" s="251" customFormat="1" ht="13.5" customHeight="1">
      <c r="A220" s="1915"/>
      <c r="B220" s="1779"/>
      <c r="C220" s="1894"/>
      <c r="D220" s="1780" t="s">
        <v>4032</v>
      </c>
      <c r="E220" s="487"/>
      <c r="F220" s="1781"/>
      <c r="G220" s="2003"/>
      <c r="H220" s="1896"/>
      <c r="I220" s="1784"/>
    </row>
    <row r="221" spans="1:21" s="1869" customFormat="1" ht="13.5" customHeight="1">
      <c r="A221" s="507">
        <v>62</v>
      </c>
      <c r="B221" s="1871">
        <v>742</v>
      </c>
      <c r="C221" s="1786" t="s">
        <v>4055</v>
      </c>
      <c r="D221" s="508" t="s">
        <v>4056</v>
      </c>
      <c r="E221" s="495" t="s">
        <v>49</v>
      </c>
      <c r="F221" s="1805">
        <f>F222</f>
        <v>1</v>
      </c>
      <c r="G221" s="2004"/>
      <c r="H221" s="1928">
        <f>F221*G221</f>
        <v>0</v>
      </c>
      <c r="I221" s="1789" t="s">
        <v>111</v>
      </c>
      <c r="J221" s="1929"/>
    </row>
    <row r="222" spans="1:21" s="251" customFormat="1" ht="13.5" customHeight="1">
      <c r="A222" s="1915"/>
      <c r="B222" s="1779"/>
      <c r="C222" s="1894"/>
      <c r="D222" s="488" t="s">
        <v>4057</v>
      </c>
      <c r="E222" s="487"/>
      <c r="F222" s="1878">
        <v>1</v>
      </c>
      <c r="G222" s="2003"/>
      <c r="H222" s="1784"/>
      <c r="I222" s="1784"/>
    </row>
    <row r="223" spans="1:21" s="1869" customFormat="1" ht="108" customHeight="1">
      <c r="A223" s="1930"/>
      <c r="B223" s="1871"/>
      <c r="C223" s="509"/>
      <c r="D223" s="1931" t="s">
        <v>4058</v>
      </c>
      <c r="E223" s="495"/>
      <c r="F223" s="1928"/>
      <c r="G223" s="2004"/>
      <c r="H223" s="1928"/>
      <c r="I223" s="1870"/>
      <c r="J223" s="1929"/>
    </row>
    <row r="224" spans="1:21" s="251" customFormat="1" ht="13.5" customHeight="1">
      <c r="A224" s="1915"/>
      <c r="B224" s="1779"/>
      <c r="C224" s="1894"/>
      <c r="D224" s="488" t="s">
        <v>4059</v>
      </c>
      <c r="E224" s="487"/>
      <c r="F224" s="1878"/>
      <c r="G224" s="2003"/>
      <c r="H224" s="1784"/>
      <c r="I224" s="1784"/>
    </row>
    <row r="225" spans="1:21" s="122" customFormat="1" ht="13.5" customHeight="1">
      <c r="A225" s="1804">
        <v>63</v>
      </c>
      <c r="B225" s="486">
        <v>742</v>
      </c>
      <c r="C225" s="1786" t="s">
        <v>6434</v>
      </c>
      <c r="D225" s="1786" t="s">
        <v>1963</v>
      </c>
      <c r="E225" s="1786" t="s">
        <v>49</v>
      </c>
      <c r="F225" s="1805">
        <f>ROUND(SUM(F226),3)</f>
        <v>1</v>
      </c>
      <c r="G225" s="5176" t="s">
        <v>3512</v>
      </c>
      <c r="H225" s="5177"/>
      <c r="I225" s="1789" t="s">
        <v>111</v>
      </c>
      <c r="J225" s="1807"/>
      <c r="K225" s="1806"/>
      <c r="L225" s="1806"/>
      <c r="M225" s="1807"/>
      <c r="N225" s="1808"/>
      <c r="O225" s="1809"/>
      <c r="P225" s="251"/>
      <c r="Q225" s="1809"/>
      <c r="R225" s="1756"/>
      <c r="S225" s="1756"/>
    </row>
    <row r="226" spans="1:21" s="1817" customFormat="1" ht="13.5" customHeight="1">
      <c r="A226" s="1810"/>
      <c r="B226" s="1811"/>
      <c r="C226" s="1801"/>
      <c r="D226" s="1812" t="s">
        <v>1964</v>
      </c>
      <c r="E226" s="1813"/>
      <c r="F226" s="1814">
        <v>1</v>
      </c>
      <c r="G226" s="250"/>
      <c r="H226" s="1815"/>
      <c r="I226" s="1816"/>
      <c r="J226" s="1807"/>
      <c r="K226" s="1806"/>
      <c r="L226" s="1806"/>
      <c r="M226" s="1807"/>
      <c r="N226" s="1808"/>
      <c r="O226" s="251"/>
      <c r="Q226" s="1807"/>
    </row>
    <row r="227" spans="1:21" s="1817" customFormat="1" ht="27" customHeight="1">
      <c r="A227" s="1810"/>
      <c r="B227" s="1811"/>
      <c r="C227" s="1801"/>
      <c r="D227" s="1812" t="s">
        <v>1935</v>
      </c>
      <c r="E227" s="1813"/>
      <c r="F227" s="1818"/>
      <c r="G227" s="250"/>
      <c r="H227" s="1815"/>
      <c r="I227" s="1816"/>
      <c r="J227" s="1807"/>
      <c r="K227" s="1806"/>
      <c r="L227" s="1806"/>
      <c r="M227" s="1807"/>
      <c r="N227" s="1808"/>
      <c r="O227" s="251"/>
      <c r="P227" s="1819"/>
      <c r="Q227" s="1807"/>
    </row>
    <row r="228" spans="1:21" s="1771" customFormat="1" ht="13.5" customHeight="1">
      <c r="A228" s="1820" t="s">
        <v>6429</v>
      </c>
      <c r="B228" s="1821" t="s">
        <v>3951</v>
      </c>
      <c r="C228" s="1821" t="s">
        <v>6433</v>
      </c>
      <c r="D228" s="489" t="s">
        <v>6416</v>
      </c>
      <c r="E228" s="490" t="s">
        <v>141</v>
      </c>
      <c r="F228" s="1822">
        <f>ROUND(SUM(F229),3)</f>
        <v>450</v>
      </c>
      <c r="G228" s="1994"/>
      <c r="H228" s="491">
        <f>F228*G228</f>
        <v>0</v>
      </c>
      <c r="I228" s="1823" t="s">
        <v>111</v>
      </c>
      <c r="J228" s="513"/>
      <c r="K228" s="1796"/>
      <c r="L228" s="1824"/>
      <c r="M228" s="1824"/>
      <c r="N228" s="1824"/>
      <c r="O228" s="1824"/>
      <c r="P228" s="1825"/>
      <c r="Q228" s="1825"/>
      <c r="R228" s="481"/>
    </row>
    <row r="229" spans="1:21" s="1771" customFormat="1" ht="13.5" customHeight="1">
      <c r="A229" s="1826"/>
      <c r="B229" s="1821"/>
      <c r="C229" s="1821"/>
      <c r="D229" s="490" t="s">
        <v>6430</v>
      </c>
      <c r="E229" s="490"/>
      <c r="F229" s="1827">
        <v>450</v>
      </c>
      <c r="G229" s="1995"/>
      <c r="H229" s="1828"/>
      <c r="I229" s="1829"/>
      <c r="J229" s="513"/>
      <c r="K229" s="1796"/>
      <c r="L229" s="1824"/>
      <c r="M229" s="1824"/>
      <c r="N229" s="1824"/>
      <c r="O229" s="1824"/>
      <c r="P229" s="1825"/>
      <c r="Q229" s="1825"/>
      <c r="R229" s="481"/>
    </row>
    <row r="230" spans="1:21" s="1771" customFormat="1" ht="27" customHeight="1">
      <c r="A230" s="1830"/>
      <c r="B230" s="492"/>
      <c r="C230" s="492"/>
      <c r="D230" s="1831" t="s">
        <v>3965</v>
      </c>
      <c r="E230" s="490"/>
      <c r="F230" s="1832"/>
      <c r="G230" s="1994"/>
      <c r="H230" s="491"/>
      <c r="I230" s="1829"/>
      <c r="J230" s="1757"/>
      <c r="K230" s="270"/>
      <c r="L230" s="1785"/>
      <c r="M230" s="1785"/>
      <c r="N230" s="1785"/>
      <c r="O230" s="1833"/>
      <c r="Q230" s="480"/>
    </row>
    <row r="231" spans="1:21" s="1836" customFormat="1" ht="13.5" customHeight="1">
      <c r="A231" s="1804">
        <v>64</v>
      </c>
      <c r="B231" s="486">
        <v>742</v>
      </c>
      <c r="C231" s="1786" t="s">
        <v>1965</v>
      </c>
      <c r="D231" s="246" t="s">
        <v>1824</v>
      </c>
      <c r="E231" s="1834" t="s">
        <v>49</v>
      </c>
      <c r="F231" s="1805">
        <f>ROUND(SUM(F232),3)</f>
        <v>1</v>
      </c>
      <c r="G231" s="1992"/>
      <c r="H231" s="1840">
        <f>F231*G231</f>
        <v>0</v>
      </c>
      <c r="I231" s="1789" t="s">
        <v>111</v>
      </c>
      <c r="J231" s="251"/>
      <c r="K231" s="251"/>
      <c r="N231" s="1932"/>
      <c r="O231" s="1809"/>
      <c r="P231" s="251"/>
      <c r="Q231" s="1809"/>
      <c r="R231" s="1576"/>
      <c r="S231" s="1576"/>
      <c r="T231" s="1576"/>
      <c r="U231" s="1576"/>
    </row>
    <row r="232" spans="1:21" s="1836" customFormat="1" ht="13.5" customHeight="1">
      <c r="A232" s="1837"/>
      <c r="B232" s="1834"/>
      <c r="C232" s="1834"/>
      <c r="D232" s="493" t="s">
        <v>1937</v>
      </c>
      <c r="E232" s="1834"/>
      <c r="F232" s="1838">
        <v>1</v>
      </c>
      <c r="G232" s="1996"/>
      <c r="H232" s="1840"/>
      <c r="I232" s="1841"/>
      <c r="J232" s="251"/>
      <c r="K232" s="251"/>
      <c r="N232" s="1932"/>
      <c r="Q232" s="1576"/>
      <c r="R232" s="1576"/>
      <c r="S232" s="1576"/>
      <c r="T232" s="1576"/>
      <c r="U232" s="1576"/>
    </row>
    <row r="233" spans="1:21" s="1836" customFormat="1" ht="40.5" customHeight="1">
      <c r="A233" s="1837"/>
      <c r="B233" s="1834"/>
      <c r="C233" s="1834"/>
      <c r="D233" s="493" t="s">
        <v>1938</v>
      </c>
      <c r="E233" s="1834"/>
      <c r="F233" s="1843"/>
      <c r="G233" s="1996"/>
      <c r="H233" s="1840"/>
      <c r="I233" s="1841"/>
      <c r="J233" s="251"/>
      <c r="K233" s="251"/>
      <c r="N233" s="1932"/>
      <c r="O233" s="251"/>
      <c r="P233" s="1819"/>
      <c r="Q233" s="1807"/>
    </row>
    <row r="234" spans="1:21" s="1836" customFormat="1" ht="13.5" customHeight="1">
      <c r="A234" s="1804">
        <v>65</v>
      </c>
      <c r="B234" s="486">
        <v>742</v>
      </c>
      <c r="C234" s="1786" t="s">
        <v>1966</v>
      </c>
      <c r="D234" s="246" t="s">
        <v>1828</v>
      </c>
      <c r="E234" s="1834" t="s">
        <v>49</v>
      </c>
      <c r="F234" s="1805">
        <f>ROUND(SUM(F235),3)</f>
        <v>1</v>
      </c>
      <c r="G234" s="1992"/>
      <c r="H234" s="1840">
        <f>F234*G234</f>
        <v>0</v>
      </c>
      <c r="I234" s="1789" t="s">
        <v>111</v>
      </c>
      <c r="J234" s="251"/>
      <c r="K234" s="251"/>
      <c r="N234" s="1932"/>
      <c r="O234" s="1809"/>
      <c r="P234" s="251"/>
      <c r="Q234" s="1809"/>
      <c r="R234" s="1576"/>
      <c r="S234" s="1576"/>
      <c r="T234" s="1576"/>
      <c r="U234" s="1576"/>
    </row>
    <row r="235" spans="1:21" s="1836" customFormat="1" ht="27" customHeight="1">
      <c r="A235" s="1837"/>
      <c r="B235" s="1834"/>
      <c r="C235" s="1834"/>
      <c r="D235" s="493" t="s">
        <v>1940</v>
      </c>
      <c r="E235" s="1834"/>
      <c r="F235" s="1838">
        <v>1</v>
      </c>
      <c r="G235" s="1996"/>
      <c r="H235" s="1840"/>
      <c r="I235" s="1841"/>
      <c r="J235" s="251"/>
      <c r="K235" s="251"/>
      <c r="N235" s="1932"/>
      <c r="Q235" s="1576"/>
      <c r="R235" s="1576"/>
      <c r="S235" s="1576"/>
      <c r="T235" s="1576"/>
      <c r="U235" s="1576"/>
    </row>
    <row r="236" spans="1:21" s="1836" customFormat="1" ht="40.5" customHeight="1">
      <c r="A236" s="1837"/>
      <c r="B236" s="1834"/>
      <c r="C236" s="1834"/>
      <c r="D236" s="493" t="s">
        <v>1826</v>
      </c>
      <c r="E236" s="1834"/>
      <c r="F236" s="1843"/>
      <c r="G236" s="1996"/>
      <c r="H236" s="1840"/>
      <c r="I236" s="1841"/>
      <c r="J236" s="251"/>
      <c r="K236" s="251"/>
      <c r="N236" s="1932"/>
    </row>
    <row r="237" spans="1:21" s="251" customFormat="1" ht="13.5" customHeight="1">
      <c r="A237" s="1804">
        <v>66</v>
      </c>
      <c r="B237" s="486">
        <v>742</v>
      </c>
      <c r="C237" s="1786" t="s">
        <v>1967</v>
      </c>
      <c r="D237" s="1786" t="s">
        <v>1840</v>
      </c>
      <c r="E237" s="1844" t="s">
        <v>49</v>
      </c>
      <c r="F237" s="1787">
        <v>1</v>
      </c>
      <c r="G237" s="1992"/>
      <c r="H237" s="1873">
        <f>F237*G237</f>
        <v>0</v>
      </c>
      <c r="I237" s="1789" t="s">
        <v>111</v>
      </c>
      <c r="N237" s="1933"/>
    </row>
    <row r="238" spans="1:21" s="1850" customFormat="1" ht="13.5" customHeight="1">
      <c r="A238" s="1934">
        <v>67</v>
      </c>
      <c r="B238" s="1845">
        <v>742</v>
      </c>
      <c r="C238" s="1811">
        <v>998742312</v>
      </c>
      <c r="D238" s="1846" t="s">
        <v>3967</v>
      </c>
      <c r="E238" s="1846" t="s">
        <v>10</v>
      </c>
      <c r="F238" s="1847">
        <v>0.89</v>
      </c>
      <c r="G238" s="250"/>
      <c r="H238" s="1788">
        <f t="shared" ref="H238:H239" si="36">ROUND(F238*G238,2)</f>
        <v>0</v>
      </c>
      <c r="I238" s="1848" t="s">
        <v>137</v>
      </c>
      <c r="J238" s="1807"/>
      <c r="K238" s="1806"/>
      <c r="L238" s="1806"/>
      <c r="M238" s="1807"/>
      <c r="N238" s="1808"/>
      <c r="O238" s="1935"/>
      <c r="Q238" s="1807"/>
    </row>
    <row r="239" spans="1:21" s="1817" customFormat="1" ht="13.5" customHeight="1">
      <c r="A239" s="1934">
        <v>68</v>
      </c>
      <c r="B239" s="1786" t="s">
        <v>362</v>
      </c>
      <c r="C239" s="1786" t="s">
        <v>1802</v>
      </c>
      <c r="D239" s="1786" t="s">
        <v>1803</v>
      </c>
      <c r="E239" s="1811" t="s">
        <v>69</v>
      </c>
      <c r="F239" s="1916">
        <f>ROUND(SUM(F240),3)</f>
        <v>10</v>
      </c>
      <c r="G239" s="1993"/>
      <c r="H239" s="1788">
        <f t="shared" si="36"/>
        <v>0</v>
      </c>
      <c r="I239" s="1848" t="s">
        <v>137</v>
      </c>
      <c r="J239" s="1807"/>
      <c r="K239" s="1806"/>
      <c r="L239" s="1806"/>
      <c r="M239" s="1807"/>
      <c r="N239" s="1808"/>
      <c r="O239" s="604"/>
      <c r="Q239" s="1807"/>
    </row>
    <row r="240" spans="1:21" s="1817" customFormat="1" ht="13.5" customHeight="1">
      <c r="A240" s="1810"/>
      <c r="B240" s="1811"/>
      <c r="C240" s="1801"/>
      <c r="D240" s="1812" t="s">
        <v>1941</v>
      </c>
      <c r="E240" s="1813"/>
      <c r="F240" s="1814">
        <v>10</v>
      </c>
      <c r="G240" s="250"/>
      <c r="H240" s="1815"/>
      <c r="I240" s="1816"/>
      <c r="J240" s="1807"/>
      <c r="K240" s="1806"/>
      <c r="L240" s="1806"/>
      <c r="M240" s="1807"/>
      <c r="N240" s="1808"/>
      <c r="O240" s="604"/>
      <c r="Q240" s="1807"/>
    </row>
    <row r="241" spans="1:26" s="1817" customFormat="1" ht="13.5" customHeight="1">
      <c r="A241" s="1810"/>
      <c r="B241" s="1811"/>
      <c r="C241" s="1801"/>
      <c r="D241" s="1812" t="s">
        <v>1942</v>
      </c>
      <c r="E241" s="1813"/>
      <c r="F241" s="1814"/>
      <c r="G241" s="250"/>
      <c r="H241" s="1815"/>
      <c r="I241" s="1816"/>
      <c r="J241" s="1807"/>
      <c r="K241" s="1806"/>
      <c r="L241" s="1806"/>
      <c r="M241" s="1807"/>
      <c r="N241" s="1808"/>
      <c r="O241" s="604"/>
      <c r="Q241" s="1807"/>
    </row>
    <row r="242" spans="1:26" s="1771" customFormat="1" ht="13.5" customHeight="1">
      <c r="A242" s="1777"/>
      <c r="B242" s="1779"/>
      <c r="C242" s="1779">
        <v>742</v>
      </c>
      <c r="D242" s="1894" t="s">
        <v>1968</v>
      </c>
      <c r="E242" s="1779"/>
      <c r="F242" s="1851"/>
      <c r="G242" s="1997"/>
      <c r="H242" s="1769">
        <f>SUM(H243:H271)</f>
        <v>0</v>
      </c>
      <c r="I242" s="1784"/>
      <c r="J242" s="1807"/>
      <c r="K242" s="1806"/>
      <c r="L242" s="1806"/>
      <c r="M242" s="1807"/>
      <c r="N242" s="1808"/>
      <c r="O242" s="612"/>
      <c r="P242" s="1772"/>
      <c r="Q242" s="1807"/>
    </row>
    <row r="243" spans="1:26" s="251" customFormat="1" ht="13.5" customHeight="1">
      <c r="A243" s="485">
        <v>69</v>
      </c>
      <c r="B243" s="486">
        <v>742</v>
      </c>
      <c r="C243" s="1786" t="s">
        <v>4060</v>
      </c>
      <c r="D243" s="487" t="s">
        <v>4061</v>
      </c>
      <c r="E243" s="487" t="s">
        <v>205</v>
      </c>
      <c r="F243" s="244">
        <f>SUM(F245:F246)</f>
        <v>11</v>
      </c>
      <c r="G243" s="250"/>
      <c r="H243" s="1788">
        <f t="shared" ref="H243" si="37">ROUND(F243*G243,2)</f>
        <v>0</v>
      </c>
      <c r="I243" s="1789" t="s">
        <v>111</v>
      </c>
      <c r="J243" s="513"/>
      <c r="K243" s="514"/>
      <c r="L243" s="122"/>
      <c r="M243" s="122"/>
      <c r="N243" s="515"/>
      <c r="O243" s="515"/>
      <c r="P243" s="514"/>
      <c r="Q243" s="122"/>
      <c r="R243" s="122"/>
      <c r="S243" s="515"/>
      <c r="T243" s="1771"/>
      <c r="U243" s="515"/>
      <c r="V243" s="515"/>
      <c r="Z243" s="515"/>
    </row>
    <row r="244" spans="1:26" s="251" customFormat="1" ht="13.5" customHeight="1">
      <c r="A244" s="485"/>
      <c r="B244" s="506"/>
      <c r="C244" s="1786"/>
      <c r="D244" s="488" t="s">
        <v>4062</v>
      </c>
      <c r="E244" s="487"/>
      <c r="F244" s="244"/>
      <c r="G244" s="2003"/>
      <c r="H244" s="505"/>
      <c r="I244" s="1873"/>
      <c r="J244" s="513"/>
      <c r="Q244" s="515"/>
      <c r="T244" s="515"/>
    </row>
    <row r="245" spans="1:26" s="251" customFormat="1" ht="13.5" customHeight="1">
      <c r="A245" s="1777"/>
      <c r="B245" s="1786"/>
      <c r="C245" s="1786"/>
      <c r="D245" s="488" t="s">
        <v>1169</v>
      </c>
      <c r="E245" s="487"/>
      <c r="F245" s="1878">
        <v>4</v>
      </c>
      <c r="G245" s="1992"/>
      <c r="H245" s="1783"/>
      <c r="I245" s="1873"/>
      <c r="J245" s="1914"/>
      <c r="Q245" s="515"/>
    </row>
    <row r="246" spans="1:26" s="251" customFormat="1" ht="13.5" customHeight="1">
      <c r="A246" s="1777"/>
      <c r="B246" s="1786"/>
      <c r="C246" s="1786"/>
      <c r="D246" s="488" t="s">
        <v>1222</v>
      </c>
      <c r="E246" s="487"/>
      <c r="F246" s="1878">
        <v>7</v>
      </c>
      <c r="G246" s="1992"/>
      <c r="H246" s="1783"/>
      <c r="I246" s="1873"/>
      <c r="J246" s="1914"/>
      <c r="Q246" s="515"/>
    </row>
    <row r="247" spans="1:26" s="251" customFormat="1" ht="13.5" customHeight="1">
      <c r="A247" s="1915"/>
      <c r="B247" s="1779"/>
      <c r="C247" s="1894"/>
      <c r="D247" s="488" t="s">
        <v>4028</v>
      </c>
      <c r="E247" s="487"/>
      <c r="F247" s="1781"/>
      <c r="G247" s="2003"/>
      <c r="H247" s="1896"/>
      <c r="I247" s="1784"/>
      <c r="Q247" s="515"/>
    </row>
    <row r="248" spans="1:26" s="251" customFormat="1" ht="13.5" customHeight="1">
      <c r="A248" s="485">
        <v>70</v>
      </c>
      <c r="B248" s="486">
        <v>742</v>
      </c>
      <c r="C248" s="1786" t="s">
        <v>4063</v>
      </c>
      <c r="D248" s="487" t="s">
        <v>4064</v>
      </c>
      <c r="E248" s="487" t="s">
        <v>205</v>
      </c>
      <c r="F248" s="244">
        <f>SUM(F250:F250)</f>
        <v>1</v>
      </c>
      <c r="G248" s="250"/>
      <c r="H248" s="1788">
        <f t="shared" ref="H248" si="38">ROUND(F248*G248,2)</f>
        <v>0</v>
      </c>
      <c r="I248" s="1789" t="s">
        <v>111</v>
      </c>
      <c r="J248" s="513"/>
      <c r="K248" s="514"/>
      <c r="L248" s="122"/>
      <c r="M248" s="122"/>
      <c r="N248" s="515"/>
      <c r="O248" s="515"/>
      <c r="P248" s="514"/>
      <c r="Q248" s="122"/>
      <c r="R248" s="122"/>
      <c r="S248" s="515"/>
      <c r="T248" s="1771"/>
      <c r="U248" s="515"/>
      <c r="V248" s="515"/>
      <c r="Z248" s="515"/>
    </row>
    <row r="249" spans="1:26" s="251" customFormat="1" ht="13.5" customHeight="1">
      <c r="A249" s="485"/>
      <c r="B249" s="506"/>
      <c r="C249" s="1786"/>
      <c r="D249" s="488" t="s">
        <v>4065</v>
      </c>
      <c r="E249" s="487"/>
      <c r="F249" s="244"/>
      <c r="G249" s="2003"/>
      <c r="H249" s="505"/>
      <c r="I249" s="1873"/>
      <c r="J249" s="513"/>
      <c r="O249" s="515"/>
      <c r="Q249" s="515"/>
    </row>
    <row r="250" spans="1:26" s="251" customFormat="1" ht="13.5" customHeight="1">
      <c r="A250" s="1777"/>
      <c r="B250" s="1786"/>
      <c r="C250" s="1786"/>
      <c r="D250" s="488" t="s">
        <v>1169</v>
      </c>
      <c r="E250" s="487"/>
      <c r="F250" s="1878">
        <v>1</v>
      </c>
      <c r="G250" s="1992"/>
      <c r="H250" s="1783"/>
      <c r="I250" s="1873"/>
      <c r="J250" s="1914"/>
      <c r="Q250" s="515"/>
    </row>
    <row r="251" spans="1:26" s="251" customFormat="1" ht="13.5" customHeight="1">
      <c r="A251" s="1915"/>
      <c r="B251" s="1779"/>
      <c r="C251" s="1894"/>
      <c r="D251" s="488" t="s">
        <v>4028</v>
      </c>
      <c r="E251" s="487"/>
      <c r="F251" s="1781"/>
      <c r="G251" s="2003"/>
      <c r="H251" s="1896"/>
      <c r="I251" s="1784"/>
      <c r="Q251" s="515"/>
    </row>
    <row r="252" spans="1:26" s="1771" customFormat="1" ht="13.5" customHeight="1">
      <c r="A252" s="1804">
        <v>71</v>
      </c>
      <c r="B252" s="486">
        <v>742</v>
      </c>
      <c r="C252" s="1786" t="s">
        <v>1969</v>
      </c>
      <c r="D252" s="1844" t="s">
        <v>1970</v>
      </c>
      <c r="E252" s="487" t="s">
        <v>49</v>
      </c>
      <c r="F252" s="1805">
        <f>ROUND(SUM(F253),3)</f>
        <v>1</v>
      </c>
      <c r="G252" s="1992"/>
      <c r="H252" s="1788">
        <f t="shared" ref="H252" si="39">ROUND(F252*G252,2)</f>
        <v>0</v>
      </c>
      <c r="I252" s="1789" t="s">
        <v>111</v>
      </c>
      <c r="J252" s="1925"/>
      <c r="K252" s="1806"/>
      <c r="L252" s="1806"/>
      <c r="M252" s="1807"/>
      <c r="N252" s="1808"/>
      <c r="O252" s="1809"/>
      <c r="P252" s="251"/>
      <c r="Q252" s="1809"/>
      <c r="R252" s="1756"/>
      <c r="Y252" s="1872"/>
    </row>
    <row r="253" spans="1:26" s="593" customFormat="1" ht="27" customHeight="1">
      <c r="A253" s="1936"/>
      <c r="B253" s="1937"/>
      <c r="C253" s="1938"/>
      <c r="D253" s="1780" t="s">
        <v>4066</v>
      </c>
      <c r="E253" s="1871"/>
      <c r="F253" s="1939">
        <v>1</v>
      </c>
      <c r="G253" s="2005"/>
      <c r="H253" s="1940"/>
      <c r="I253" s="1941"/>
      <c r="J253" s="1807"/>
      <c r="K253" s="1806"/>
      <c r="L253" s="1806"/>
      <c r="M253" s="1807"/>
      <c r="N253" s="1808"/>
      <c r="O253" s="1942"/>
      <c r="Q253" s="1807"/>
    </row>
    <row r="254" spans="1:26" s="1771" customFormat="1" ht="13.5" customHeight="1">
      <c r="A254" s="1853"/>
      <c r="B254" s="1786"/>
      <c r="C254" s="1786"/>
      <c r="D254" s="1780" t="s">
        <v>1931</v>
      </c>
      <c r="E254" s="487"/>
      <c r="F254" s="1781"/>
      <c r="G254" s="1992"/>
      <c r="H254" s="1783"/>
      <c r="I254" s="1789"/>
      <c r="J254" s="1807"/>
      <c r="K254" s="1806"/>
      <c r="L254" s="1806"/>
      <c r="M254" s="1807"/>
      <c r="N254" s="1808"/>
      <c r="O254" s="251"/>
      <c r="P254" s="1819"/>
      <c r="Q254" s="1807"/>
    </row>
    <row r="255" spans="1:26" s="122" customFormat="1" ht="13.5" customHeight="1">
      <c r="A255" s="1804">
        <v>72</v>
      </c>
      <c r="B255" s="486">
        <v>742</v>
      </c>
      <c r="C255" s="1786" t="s">
        <v>1971</v>
      </c>
      <c r="D255" s="1786" t="s">
        <v>4067</v>
      </c>
      <c r="E255" s="1786" t="s">
        <v>49</v>
      </c>
      <c r="F255" s="1805">
        <f>ROUND(SUM(F256),3)</f>
        <v>1</v>
      </c>
      <c r="G255" s="5176" t="s">
        <v>3512</v>
      </c>
      <c r="H255" s="5177"/>
      <c r="I255" s="1789" t="s">
        <v>111</v>
      </c>
      <c r="J255" s="1807"/>
      <c r="K255" s="1806"/>
      <c r="L255" s="1806"/>
      <c r="M255" s="1807"/>
      <c r="N255" s="1808"/>
      <c r="O255" s="1809"/>
      <c r="P255" s="251"/>
      <c r="Q255" s="1809"/>
      <c r="R255" s="1756"/>
      <c r="S255" s="1756"/>
    </row>
    <row r="256" spans="1:26" s="1817" customFormat="1" ht="13.5" customHeight="1">
      <c r="A256" s="1810"/>
      <c r="B256" s="1811"/>
      <c r="C256" s="1801"/>
      <c r="D256" s="1812" t="s">
        <v>4068</v>
      </c>
      <c r="E256" s="1813"/>
      <c r="F256" s="1814">
        <v>1</v>
      </c>
      <c r="G256" s="250"/>
      <c r="H256" s="1815"/>
      <c r="I256" s="1816"/>
      <c r="J256" s="1807"/>
      <c r="K256" s="1806"/>
      <c r="L256" s="1806"/>
      <c r="M256" s="1807"/>
      <c r="N256" s="1808"/>
      <c r="O256" s="604"/>
      <c r="Q256" s="1807"/>
    </row>
    <row r="257" spans="1:21" s="1817" customFormat="1" ht="27" customHeight="1">
      <c r="A257" s="1810"/>
      <c r="B257" s="1811"/>
      <c r="C257" s="1801"/>
      <c r="D257" s="1812" t="s">
        <v>1935</v>
      </c>
      <c r="E257" s="1813"/>
      <c r="F257" s="1818"/>
      <c r="G257" s="250"/>
      <c r="H257" s="1815"/>
      <c r="I257" s="1816"/>
      <c r="J257" s="1807"/>
      <c r="K257" s="1806"/>
      <c r="L257" s="1806"/>
      <c r="M257" s="1807"/>
      <c r="N257" s="1808"/>
      <c r="O257" s="251"/>
      <c r="P257" s="1819"/>
      <c r="Q257" s="1807"/>
    </row>
    <row r="258" spans="1:21" s="1771" customFormat="1" ht="13.5" customHeight="1">
      <c r="A258" s="1820" t="s">
        <v>2994</v>
      </c>
      <c r="B258" s="1821" t="s">
        <v>3951</v>
      </c>
      <c r="C258" s="1821" t="s">
        <v>6432</v>
      </c>
      <c r="D258" s="489" t="s">
        <v>6415</v>
      </c>
      <c r="E258" s="490" t="s">
        <v>141</v>
      </c>
      <c r="F258" s="1822">
        <f>ROUND(SUM(F259),3)</f>
        <v>600</v>
      </c>
      <c r="G258" s="1994"/>
      <c r="H258" s="491">
        <f>F258*G258</f>
        <v>0</v>
      </c>
      <c r="I258" s="1823" t="s">
        <v>111</v>
      </c>
      <c r="J258" s="513"/>
      <c r="K258" s="1796"/>
      <c r="L258" s="1824"/>
      <c r="M258" s="1824"/>
      <c r="N258" s="1824"/>
      <c r="O258" s="1824"/>
      <c r="P258" s="1825"/>
      <c r="Q258" s="1825"/>
      <c r="R258" s="481"/>
    </row>
    <row r="259" spans="1:21" s="1771" customFormat="1" ht="13.5" customHeight="1">
      <c r="A259" s="1826"/>
      <c r="B259" s="1821"/>
      <c r="C259" s="1821"/>
      <c r="D259" s="490" t="s">
        <v>6431</v>
      </c>
      <c r="E259" s="490"/>
      <c r="F259" s="1827">
        <v>600</v>
      </c>
      <c r="G259" s="1995"/>
      <c r="H259" s="1828"/>
      <c r="I259" s="1829"/>
      <c r="J259" s="513"/>
      <c r="K259" s="1796"/>
      <c r="L259" s="1824"/>
      <c r="M259" s="1824"/>
      <c r="N259" s="1824"/>
      <c r="O259" s="1824"/>
      <c r="P259" s="1825"/>
      <c r="Q259" s="1825"/>
      <c r="R259" s="481"/>
    </row>
    <row r="260" spans="1:21" s="1771" customFormat="1" ht="27" customHeight="1">
      <c r="A260" s="1830"/>
      <c r="B260" s="492"/>
      <c r="C260" s="492"/>
      <c r="D260" s="1831" t="s">
        <v>3965</v>
      </c>
      <c r="E260" s="490"/>
      <c r="F260" s="1832"/>
      <c r="G260" s="1994"/>
      <c r="H260" s="491"/>
      <c r="I260" s="1829"/>
      <c r="J260" s="513"/>
      <c r="K260" s="1796"/>
      <c r="L260" s="1824"/>
      <c r="M260" s="1824"/>
      <c r="N260" s="1824"/>
      <c r="O260" s="1824"/>
      <c r="P260" s="1825"/>
      <c r="Q260" s="1825"/>
      <c r="R260" s="481"/>
    </row>
    <row r="261" spans="1:21" s="1836" customFormat="1" ht="13.5" customHeight="1">
      <c r="A261" s="1804">
        <v>73</v>
      </c>
      <c r="B261" s="486">
        <v>742</v>
      </c>
      <c r="C261" s="1786" t="s">
        <v>1972</v>
      </c>
      <c r="D261" s="246" t="s">
        <v>1824</v>
      </c>
      <c r="E261" s="1834" t="s">
        <v>49</v>
      </c>
      <c r="F261" s="1805">
        <f>ROUND(SUM(F262),3)</f>
        <v>1</v>
      </c>
      <c r="G261" s="1992"/>
      <c r="H261" s="1788">
        <f t="shared" ref="H261" si="40">ROUND(F261*G261,2)</f>
        <v>0</v>
      </c>
      <c r="I261" s="1789" t="s">
        <v>111</v>
      </c>
      <c r="J261" s="251"/>
      <c r="K261" s="251"/>
      <c r="N261" s="1932"/>
      <c r="O261" s="1809"/>
      <c r="P261" s="251"/>
      <c r="Q261" s="1809"/>
      <c r="R261" s="1576"/>
      <c r="S261" s="1576"/>
      <c r="T261" s="1576"/>
      <c r="U261" s="1576"/>
    </row>
    <row r="262" spans="1:21" s="1836" customFormat="1" ht="13.5" customHeight="1">
      <c r="A262" s="1837"/>
      <c r="B262" s="1834"/>
      <c r="C262" s="1834"/>
      <c r="D262" s="493" t="s">
        <v>1937</v>
      </c>
      <c r="E262" s="1834"/>
      <c r="F262" s="1838">
        <v>1</v>
      </c>
      <c r="G262" s="1996"/>
      <c r="H262" s="1840"/>
      <c r="I262" s="1841"/>
      <c r="J262" s="251"/>
      <c r="K262" s="251"/>
      <c r="N262" s="1932"/>
      <c r="Q262" s="1576"/>
      <c r="R262" s="1576"/>
      <c r="S262" s="1576"/>
      <c r="T262" s="1576"/>
      <c r="U262" s="1576"/>
    </row>
    <row r="263" spans="1:21" s="1836" customFormat="1" ht="40.5" customHeight="1">
      <c r="A263" s="1837"/>
      <c r="B263" s="1834"/>
      <c r="C263" s="1834"/>
      <c r="D263" s="493" t="s">
        <v>1938</v>
      </c>
      <c r="E263" s="1834"/>
      <c r="F263" s="1843"/>
      <c r="G263" s="1996"/>
      <c r="H263" s="1840"/>
      <c r="I263" s="1841"/>
      <c r="J263" s="1943"/>
      <c r="K263" s="251"/>
      <c r="N263" s="1932"/>
      <c r="O263" s="251"/>
      <c r="P263" s="1819"/>
      <c r="Q263" s="1807"/>
    </row>
    <row r="264" spans="1:21" s="1836" customFormat="1" ht="13.5" customHeight="1">
      <c r="A264" s="1804">
        <v>74</v>
      </c>
      <c r="B264" s="486">
        <v>742</v>
      </c>
      <c r="C264" s="1786" t="s">
        <v>1973</v>
      </c>
      <c r="D264" s="246" t="s">
        <v>1828</v>
      </c>
      <c r="E264" s="1834" t="s">
        <v>49</v>
      </c>
      <c r="F264" s="1805">
        <f>ROUND(SUM(F265),3)</f>
        <v>1</v>
      </c>
      <c r="G264" s="1992"/>
      <c r="H264" s="1788">
        <f t="shared" ref="H264" si="41">ROUND(F264*G264,2)</f>
        <v>0</v>
      </c>
      <c r="I264" s="1789" t="s">
        <v>111</v>
      </c>
      <c r="J264" s="251"/>
      <c r="K264" s="251"/>
      <c r="N264" s="1932"/>
      <c r="O264" s="1809"/>
      <c r="P264" s="251"/>
      <c r="Q264" s="1809"/>
      <c r="R264" s="1576"/>
      <c r="S264" s="1576"/>
      <c r="T264" s="1576"/>
      <c r="U264" s="1576"/>
    </row>
    <row r="265" spans="1:21" s="1836" customFormat="1" ht="27" customHeight="1">
      <c r="A265" s="1837"/>
      <c r="B265" s="1834"/>
      <c r="C265" s="1834"/>
      <c r="D265" s="493" t="s">
        <v>1940</v>
      </c>
      <c r="E265" s="1834"/>
      <c r="F265" s="1838">
        <v>1</v>
      </c>
      <c r="G265" s="1996"/>
      <c r="H265" s="1840"/>
      <c r="I265" s="1841"/>
      <c r="J265" s="251"/>
      <c r="K265" s="251"/>
      <c r="N265" s="1932"/>
      <c r="Q265" s="1576"/>
      <c r="R265" s="1576"/>
      <c r="S265" s="1576"/>
      <c r="T265" s="1576"/>
      <c r="U265" s="1576"/>
    </row>
    <row r="266" spans="1:21" s="1836" customFormat="1" ht="40.5" customHeight="1">
      <c r="A266" s="1837"/>
      <c r="B266" s="1834"/>
      <c r="C266" s="1834"/>
      <c r="D266" s="493" t="s">
        <v>1826</v>
      </c>
      <c r="E266" s="1834"/>
      <c r="F266" s="1843"/>
      <c r="G266" s="1996"/>
      <c r="H266" s="1840"/>
      <c r="I266" s="1841"/>
      <c r="J266" s="251"/>
      <c r="K266" s="251"/>
      <c r="N266" s="1932"/>
    </row>
    <row r="267" spans="1:21" s="251" customFormat="1" ht="13.5" customHeight="1">
      <c r="A267" s="1804">
        <v>75</v>
      </c>
      <c r="B267" s="486">
        <v>742</v>
      </c>
      <c r="C267" s="1786" t="s">
        <v>1974</v>
      </c>
      <c r="D267" s="1786" t="s">
        <v>1840</v>
      </c>
      <c r="E267" s="1844" t="s">
        <v>49</v>
      </c>
      <c r="F267" s="1787">
        <v>1</v>
      </c>
      <c r="G267" s="1992"/>
      <c r="H267" s="1788">
        <f t="shared" ref="H267:H269" si="42">ROUND(F267*G267,2)</f>
        <v>0</v>
      </c>
      <c r="I267" s="1789" t="s">
        <v>111</v>
      </c>
      <c r="N267" s="1933"/>
    </row>
    <row r="268" spans="1:21" s="1850" customFormat="1" ht="13.5" customHeight="1">
      <c r="A268" s="1934">
        <v>76</v>
      </c>
      <c r="B268" s="1845">
        <v>742</v>
      </c>
      <c r="C268" s="1811">
        <v>998742312</v>
      </c>
      <c r="D268" s="1846" t="s">
        <v>3967</v>
      </c>
      <c r="E268" s="1846" t="s">
        <v>10</v>
      </c>
      <c r="F268" s="1847">
        <v>0.89</v>
      </c>
      <c r="G268" s="250"/>
      <c r="H268" s="1788">
        <f t="shared" si="42"/>
        <v>0</v>
      </c>
      <c r="I268" s="1848" t="s">
        <v>137</v>
      </c>
      <c r="J268" s="1909"/>
      <c r="K268" s="1806"/>
      <c r="L268" s="1806"/>
      <c r="M268" s="1807"/>
      <c r="N268" s="1808"/>
      <c r="O268" s="604"/>
      <c r="Q268" s="1807"/>
    </row>
    <row r="269" spans="1:21" s="1817" customFormat="1" ht="13.5" customHeight="1">
      <c r="A269" s="1934">
        <v>77</v>
      </c>
      <c r="B269" s="1786" t="s">
        <v>362</v>
      </c>
      <c r="C269" s="1786" t="s">
        <v>1802</v>
      </c>
      <c r="D269" s="1786" t="s">
        <v>1803</v>
      </c>
      <c r="E269" s="1811" t="s">
        <v>69</v>
      </c>
      <c r="F269" s="1916">
        <f>ROUND(SUM(F270),3)</f>
        <v>10</v>
      </c>
      <c r="G269" s="1993"/>
      <c r="H269" s="1788">
        <f t="shared" si="42"/>
        <v>0</v>
      </c>
      <c r="I269" s="1848" t="s">
        <v>137</v>
      </c>
      <c r="J269" s="1807"/>
      <c r="K269" s="1806"/>
      <c r="L269" s="1806"/>
      <c r="M269" s="1807"/>
      <c r="N269" s="1808"/>
      <c r="O269" s="612"/>
      <c r="Q269" s="1807"/>
    </row>
    <row r="270" spans="1:21" s="1817" customFormat="1" ht="13.5" customHeight="1">
      <c r="A270" s="1810"/>
      <c r="B270" s="1811"/>
      <c r="C270" s="1801"/>
      <c r="D270" s="1812" t="s">
        <v>1941</v>
      </c>
      <c r="E270" s="1813"/>
      <c r="F270" s="1814">
        <v>10</v>
      </c>
      <c r="G270" s="250"/>
      <c r="H270" s="1815"/>
      <c r="I270" s="1816"/>
      <c r="J270" s="1807"/>
      <c r="K270" s="1806"/>
      <c r="L270" s="1806"/>
      <c r="M270" s="1807"/>
      <c r="N270" s="1808"/>
      <c r="O270" s="612"/>
      <c r="Q270" s="1807"/>
    </row>
    <row r="271" spans="1:21" s="1817" customFormat="1" ht="13.5" customHeight="1">
      <c r="A271" s="1810"/>
      <c r="B271" s="1811"/>
      <c r="C271" s="1801"/>
      <c r="D271" s="1812" t="s">
        <v>1942</v>
      </c>
      <c r="E271" s="1813"/>
      <c r="F271" s="1814"/>
      <c r="G271" s="250"/>
      <c r="H271" s="1815"/>
      <c r="I271" s="1816"/>
      <c r="J271" s="1807"/>
      <c r="K271" s="1806"/>
      <c r="L271" s="1806"/>
      <c r="M271" s="1807"/>
      <c r="N271" s="1808"/>
      <c r="O271" s="604"/>
      <c r="Q271" s="1807"/>
    </row>
    <row r="272" spans="1:21" s="1771" customFormat="1" ht="13.5" customHeight="1">
      <c r="A272" s="1777"/>
      <c r="B272" s="1779"/>
      <c r="C272" s="1779">
        <v>742</v>
      </c>
      <c r="D272" s="1944" t="s">
        <v>1822</v>
      </c>
      <c r="E272" s="1779"/>
      <c r="F272" s="1851"/>
      <c r="G272" s="1997"/>
      <c r="H272" s="1769">
        <f>SUM(H273:H287)</f>
        <v>0</v>
      </c>
      <c r="I272" s="1784"/>
      <c r="K272" s="1772"/>
      <c r="L272" s="1772"/>
      <c r="M272" s="1772"/>
      <c r="N272" s="1772"/>
      <c r="O272" s="1772"/>
      <c r="P272" s="1772"/>
    </row>
    <row r="273" spans="1:122" s="1771" customFormat="1" ht="13.5" customHeight="1">
      <c r="A273" s="1853">
        <v>78</v>
      </c>
      <c r="B273" s="1786" t="s">
        <v>3951</v>
      </c>
      <c r="C273" s="1786" t="s">
        <v>1975</v>
      </c>
      <c r="D273" s="1786" t="s">
        <v>4069</v>
      </c>
      <c r="E273" s="487" t="s">
        <v>49</v>
      </c>
      <c r="F273" s="1945">
        <f>SUM(F274)</f>
        <v>1</v>
      </c>
      <c r="G273" s="1993"/>
      <c r="H273" s="1788">
        <f t="shared" ref="H273" si="43">ROUND(F273*G273,2)</f>
        <v>0</v>
      </c>
      <c r="I273" s="1789" t="s">
        <v>111</v>
      </c>
      <c r="M273" s="1857"/>
    </row>
    <row r="274" spans="1:122" s="1771" customFormat="1" ht="27" customHeight="1">
      <c r="A274" s="1853"/>
      <c r="B274" s="1786"/>
      <c r="C274" s="1786"/>
      <c r="D274" s="1780" t="s">
        <v>4070</v>
      </c>
      <c r="E274" s="487"/>
      <c r="F274" s="1946">
        <v>1</v>
      </c>
      <c r="G274" s="1993"/>
      <c r="H274" s="1783"/>
      <c r="I274" s="1789"/>
      <c r="M274" s="1857"/>
    </row>
    <row r="275" spans="1:122" s="1771" customFormat="1" ht="13.5" customHeight="1">
      <c r="A275" s="1859"/>
      <c r="B275" s="1786"/>
      <c r="C275" s="1786"/>
      <c r="D275" s="1780" t="s">
        <v>4071</v>
      </c>
      <c r="E275" s="1786"/>
      <c r="F275" s="1858"/>
      <c r="G275" s="1993"/>
      <c r="H275" s="1783"/>
      <c r="I275" s="1789"/>
      <c r="K275" s="1860"/>
      <c r="M275" s="1857"/>
    </row>
    <row r="276" spans="1:122" s="251" customFormat="1" ht="13.5" customHeight="1">
      <c r="A276" s="1804">
        <v>79</v>
      </c>
      <c r="B276" s="486">
        <v>742</v>
      </c>
      <c r="C276" s="1786" t="s">
        <v>4072</v>
      </c>
      <c r="D276" s="1786" t="s">
        <v>4073</v>
      </c>
      <c r="E276" s="1786" t="s">
        <v>49</v>
      </c>
      <c r="F276" s="1787">
        <f>F278</f>
        <v>1</v>
      </c>
      <c r="G276" s="1992"/>
      <c r="H276" s="1788">
        <f t="shared" ref="H276" si="44">ROUND(F276*G276,2)</f>
        <v>0</v>
      </c>
      <c r="I276" s="1789" t="s">
        <v>111</v>
      </c>
      <c r="K276" s="518"/>
      <c r="M276" s="482"/>
    </row>
    <row r="277" spans="1:122" s="1952" customFormat="1" ht="27" customHeight="1">
      <c r="A277" s="1947"/>
      <c r="B277" s="1907"/>
      <c r="C277" s="1907"/>
      <c r="D277" s="1780" t="s">
        <v>4074</v>
      </c>
      <c r="E277" s="1948"/>
      <c r="F277" s="1949"/>
      <c r="G277" s="510"/>
      <c r="H277" s="1950"/>
      <c r="I277" s="1784"/>
      <c r="J277" s="251"/>
      <c r="K277" s="1951"/>
      <c r="L277" s="519"/>
      <c r="M277" s="1757"/>
      <c r="N277" s="1757"/>
      <c r="O277" s="1757"/>
      <c r="P277" s="1951"/>
      <c r="Q277" s="1951"/>
      <c r="R277" s="1951"/>
      <c r="S277" s="1951"/>
      <c r="T277" s="1951"/>
      <c r="U277" s="1951"/>
      <c r="V277" s="1951"/>
      <c r="W277" s="1951"/>
      <c r="X277" s="1951"/>
      <c r="Y277" s="1951"/>
      <c r="Z277" s="1951"/>
      <c r="AA277" s="1951"/>
      <c r="AB277" s="1951"/>
      <c r="AC277" s="1951"/>
      <c r="AD277" s="1951"/>
      <c r="AE277" s="1951"/>
      <c r="AF277" s="1951"/>
      <c r="AG277" s="1951"/>
      <c r="AH277" s="1951"/>
      <c r="AI277" s="1951"/>
      <c r="AJ277" s="1951"/>
      <c r="AK277" s="1951"/>
      <c r="AL277" s="1951"/>
      <c r="AM277" s="1951"/>
      <c r="AN277" s="1951"/>
      <c r="AO277" s="1951"/>
      <c r="AP277" s="1951"/>
      <c r="AQ277" s="1951"/>
      <c r="AR277" s="1951"/>
      <c r="AS277" s="1951"/>
      <c r="AT277" s="1951"/>
      <c r="AU277" s="1951"/>
      <c r="AV277" s="1951"/>
      <c r="AW277" s="1951"/>
      <c r="AX277" s="1951"/>
      <c r="AY277" s="1951"/>
      <c r="AZ277" s="1951"/>
      <c r="BA277" s="1951"/>
      <c r="BB277" s="1951"/>
      <c r="BC277" s="1951"/>
      <c r="BD277" s="1951"/>
      <c r="BE277" s="1951"/>
      <c r="BF277" s="1951"/>
      <c r="BG277" s="1951"/>
      <c r="BH277" s="1951"/>
      <c r="BI277" s="1951"/>
      <c r="BJ277" s="1951"/>
      <c r="BK277" s="1951"/>
      <c r="BL277" s="1951"/>
      <c r="BM277" s="1951"/>
      <c r="BN277" s="1951"/>
      <c r="BO277" s="1951"/>
      <c r="BP277" s="1951"/>
      <c r="BQ277" s="1951"/>
      <c r="BR277" s="1951"/>
      <c r="BS277" s="1951"/>
      <c r="BT277" s="1951"/>
      <c r="BU277" s="1951"/>
      <c r="BV277" s="1951"/>
      <c r="BW277" s="1951"/>
      <c r="BX277" s="1951"/>
      <c r="BY277" s="1951"/>
      <c r="BZ277" s="1951"/>
      <c r="CA277" s="1951"/>
      <c r="CB277" s="1951"/>
      <c r="CC277" s="1951"/>
      <c r="CD277" s="1951"/>
      <c r="CE277" s="1951"/>
      <c r="CF277" s="1951"/>
      <c r="CG277" s="1951"/>
      <c r="CH277" s="1951"/>
      <c r="CI277" s="1951"/>
      <c r="CJ277" s="1951"/>
      <c r="CK277" s="1951"/>
      <c r="CL277" s="1951"/>
      <c r="CM277" s="1951"/>
      <c r="CN277" s="1951"/>
      <c r="CO277" s="1951"/>
      <c r="CP277" s="1951"/>
      <c r="CQ277" s="1951"/>
      <c r="CR277" s="1951"/>
      <c r="CS277" s="1951"/>
      <c r="CT277" s="1951"/>
      <c r="CU277" s="1951"/>
      <c r="CV277" s="1951"/>
      <c r="CW277" s="1951"/>
      <c r="CX277" s="1951"/>
      <c r="CY277" s="1951"/>
      <c r="CZ277" s="1951"/>
      <c r="DA277" s="1951"/>
      <c r="DB277" s="1951"/>
      <c r="DC277" s="1951"/>
      <c r="DD277" s="1951"/>
      <c r="DE277" s="1951"/>
      <c r="DF277" s="1951"/>
      <c r="DG277" s="1951"/>
      <c r="DH277" s="1951"/>
      <c r="DI277" s="1951"/>
      <c r="DJ277" s="1951"/>
      <c r="DK277" s="1951"/>
      <c r="DL277" s="1951"/>
      <c r="DM277" s="1951"/>
      <c r="DN277" s="1951"/>
      <c r="DO277" s="1951"/>
      <c r="DP277" s="1951"/>
      <c r="DQ277" s="1951"/>
      <c r="DR277" s="1951"/>
    </row>
    <row r="278" spans="1:122" s="1952" customFormat="1" ht="13.5" customHeight="1">
      <c r="A278" s="1947"/>
      <c r="B278" s="1907"/>
      <c r="C278" s="1907"/>
      <c r="D278" s="1780" t="s">
        <v>1838</v>
      </c>
      <c r="E278" s="1907"/>
      <c r="F278" s="1781">
        <v>1</v>
      </c>
      <c r="G278" s="2006"/>
      <c r="H278" s="1873"/>
      <c r="I278" s="1784"/>
      <c r="J278" s="251"/>
      <c r="K278" s="1951"/>
      <c r="L278" s="520"/>
      <c r="M278" s="1757"/>
      <c r="N278" s="1757"/>
      <c r="O278" s="1757"/>
      <c r="P278" s="1951"/>
      <c r="Q278" s="1951"/>
      <c r="R278" s="1951"/>
      <c r="S278" s="1951"/>
      <c r="T278" s="1951"/>
      <c r="U278" s="1951"/>
      <c r="V278" s="1951"/>
      <c r="W278" s="1951"/>
      <c r="X278" s="1951"/>
      <c r="Y278" s="1951"/>
      <c r="Z278" s="1951"/>
      <c r="AA278" s="1951"/>
      <c r="AB278" s="1951"/>
      <c r="AC278" s="1951"/>
      <c r="AD278" s="1951"/>
      <c r="AE278" s="1951"/>
      <c r="AF278" s="1951"/>
      <c r="AG278" s="1951"/>
      <c r="AH278" s="1951"/>
      <c r="AI278" s="1951"/>
      <c r="AJ278" s="1951"/>
      <c r="AK278" s="1951"/>
      <c r="AL278" s="1951"/>
      <c r="AM278" s="1951"/>
      <c r="AN278" s="1951"/>
      <c r="AO278" s="1951"/>
      <c r="AP278" s="1951"/>
      <c r="AQ278" s="1951"/>
      <c r="AR278" s="1951"/>
      <c r="AS278" s="1951"/>
      <c r="AT278" s="1951"/>
      <c r="AU278" s="1951"/>
      <c r="AV278" s="1951"/>
      <c r="AW278" s="1951"/>
      <c r="AX278" s="1951"/>
      <c r="AY278" s="1951"/>
      <c r="AZ278" s="1951"/>
      <c r="BA278" s="1951"/>
      <c r="BB278" s="1951"/>
      <c r="BC278" s="1951"/>
      <c r="BD278" s="1951"/>
      <c r="BE278" s="1951"/>
      <c r="BF278" s="1951"/>
      <c r="BG278" s="1951"/>
      <c r="BH278" s="1951"/>
      <c r="BI278" s="1951"/>
      <c r="BJ278" s="1951"/>
      <c r="BK278" s="1951"/>
      <c r="BL278" s="1951"/>
      <c r="BM278" s="1951"/>
      <c r="BN278" s="1951"/>
      <c r="BO278" s="1951"/>
      <c r="BP278" s="1951"/>
      <c r="BQ278" s="1951"/>
      <c r="BR278" s="1951"/>
      <c r="BS278" s="1951"/>
      <c r="BT278" s="1951"/>
      <c r="BU278" s="1951"/>
      <c r="BV278" s="1951"/>
      <c r="BW278" s="1951"/>
      <c r="BX278" s="1951"/>
      <c r="BY278" s="1951"/>
      <c r="BZ278" s="1951"/>
      <c r="CA278" s="1951"/>
      <c r="CB278" s="1951"/>
      <c r="CC278" s="1951"/>
      <c r="CD278" s="1951"/>
      <c r="CE278" s="1951"/>
      <c r="CF278" s="1951"/>
      <c r="CG278" s="1951"/>
      <c r="CH278" s="1951"/>
      <c r="CI278" s="1951"/>
      <c r="CJ278" s="1951"/>
      <c r="CK278" s="1951"/>
      <c r="CL278" s="1951"/>
      <c r="CM278" s="1951"/>
      <c r="CN278" s="1951"/>
      <c r="CO278" s="1951"/>
      <c r="CP278" s="1951"/>
      <c r="CQ278" s="1951"/>
      <c r="CR278" s="1951"/>
      <c r="CS278" s="1951"/>
      <c r="CT278" s="1951"/>
      <c r="CU278" s="1951"/>
      <c r="CV278" s="1951"/>
      <c r="CW278" s="1951"/>
      <c r="CX278" s="1951"/>
      <c r="CY278" s="1951"/>
      <c r="CZ278" s="1951"/>
      <c r="DA278" s="1951"/>
      <c r="DB278" s="1951"/>
      <c r="DC278" s="1951"/>
      <c r="DD278" s="1951"/>
      <c r="DE278" s="1951"/>
      <c r="DF278" s="1951"/>
      <c r="DG278" s="1951"/>
      <c r="DH278" s="1951"/>
      <c r="DI278" s="1951"/>
      <c r="DJ278" s="1951"/>
      <c r="DK278" s="1951"/>
      <c r="DL278" s="1951"/>
      <c r="DM278" s="1951"/>
      <c r="DN278" s="1951"/>
      <c r="DO278" s="1951"/>
      <c r="DP278" s="1951"/>
      <c r="DQ278" s="1951"/>
      <c r="DR278" s="1951"/>
    </row>
    <row r="279" spans="1:122" s="1869" customFormat="1" ht="40.5" customHeight="1">
      <c r="A279" s="1820">
        <v>80</v>
      </c>
      <c r="B279" s="486">
        <v>742</v>
      </c>
      <c r="C279" s="1786" t="s">
        <v>4075</v>
      </c>
      <c r="D279" s="511" t="s">
        <v>1832</v>
      </c>
      <c r="E279" s="1871" t="s">
        <v>49</v>
      </c>
      <c r="F279" s="1945">
        <f>SUM(F280)</f>
        <v>1</v>
      </c>
      <c r="G279" s="5240" t="s">
        <v>6477</v>
      </c>
      <c r="H279" s="5241"/>
      <c r="I279" s="1789" t="s">
        <v>111</v>
      </c>
      <c r="J279" s="1953"/>
      <c r="P279" s="1954"/>
      <c r="Q279" s="1954"/>
      <c r="R279" s="1954"/>
      <c r="S279" s="1954"/>
      <c r="T279" s="1954"/>
    </row>
    <row r="280" spans="1:122" s="1869" customFormat="1" ht="13.5" customHeight="1">
      <c r="A280" s="1930"/>
      <c r="B280" s="1871"/>
      <c r="C280" s="1871"/>
      <c r="D280" s="498" t="s">
        <v>1833</v>
      </c>
      <c r="E280" s="1871"/>
      <c r="F280" s="1946">
        <v>1</v>
      </c>
      <c r="G280" s="2004"/>
      <c r="H280" s="1928"/>
      <c r="I280" s="1870"/>
      <c r="J280" s="1955"/>
      <c r="P280" s="1954"/>
      <c r="Q280" s="1954"/>
      <c r="R280" s="1954"/>
      <c r="S280" s="1954"/>
      <c r="T280" s="1954"/>
    </row>
    <row r="281" spans="1:122" s="1869" customFormat="1" ht="27" customHeight="1">
      <c r="A281" s="1930"/>
      <c r="B281" s="1871"/>
      <c r="C281" s="1871"/>
      <c r="D281" s="498" t="s">
        <v>1834</v>
      </c>
      <c r="E281" s="1871"/>
      <c r="F281" s="1956"/>
      <c r="G281" s="2004"/>
      <c r="H281" s="1928"/>
      <c r="I281" s="1870"/>
      <c r="J281" s="1957"/>
    </row>
    <row r="282" spans="1:122" s="593" customFormat="1" ht="67.5" customHeight="1">
      <c r="A282" s="1936"/>
      <c r="B282" s="1937"/>
      <c r="C282" s="1938"/>
      <c r="D282" s="1958" t="s">
        <v>310</v>
      </c>
      <c r="E282" s="1871"/>
      <c r="F282" s="1939"/>
      <c r="G282" s="2005"/>
      <c r="H282" s="1940"/>
      <c r="I282" s="1941"/>
      <c r="J282" s="589"/>
      <c r="K282" s="590"/>
      <c r="L282" s="591"/>
      <c r="M282" s="592"/>
    </row>
    <row r="283" spans="1:122" s="1850" customFormat="1" ht="27" customHeight="1">
      <c r="A283" s="1959">
        <v>81</v>
      </c>
      <c r="B283" s="1845">
        <v>742</v>
      </c>
      <c r="C283" s="1786" t="s">
        <v>1978</v>
      </c>
      <c r="D283" s="1846" t="s">
        <v>1977</v>
      </c>
      <c r="E283" s="1846" t="s">
        <v>141</v>
      </c>
      <c r="F283" s="1847">
        <v>90</v>
      </c>
      <c r="G283" s="5240" t="s">
        <v>6478</v>
      </c>
      <c r="H283" s="5241"/>
      <c r="I283" s="1848" t="s">
        <v>137</v>
      </c>
      <c r="J283" s="1925"/>
      <c r="K283" s="1806"/>
      <c r="L283" s="1806"/>
      <c r="M283" s="1807"/>
      <c r="N283" s="1808"/>
      <c r="O283" s="1960"/>
      <c r="Q283" s="1807"/>
    </row>
    <row r="284" spans="1:122" s="1797" customFormat="1" ht="13.5" customHeight="1">
      <c r="A284" s="1961">
        <v>82</v>
      </c>
      <c r="B284" s="1845">
        <v>742</v>
      </c>
      <c r="C284" s="1811">
        <v>998742312</v>
      </c>
      <c r="D284" s="1846" t="s">
        <v>3967</v>
      </c>
      <c r="E284" s="1846" t="s">
        <v>10</v>
      </c>
      <c r="F284" s="1847">
        <v>0.89</v>
      </c>
      <c r="G284" s="250"/>
      <c r="H284" s="1788">
        <f t="shared" ref="H284:H285" si="45">ROUND(F284*G284,2)</f>
        <v>0</v>
      </c>
      <c r="I284" s="1880" t="s">
        <v>137</v>
      </c>
      <c r="J284" s="1962"/>
      <c r="K284" s="1910"/>
    </row>
    <row r="285" spans="1:122" s="1798" customFormat="1" ht="13.5" customHeight="1">
      <c r="A285" s="1961">
        <v>83</v>
      </c>
      <c r="B285" s="1786" t="s">
        <v>362</v>
      </c>
      <c r="C285" s="1786" t="s">
        <v>1802</v>
      </c>
      <c r="D285" s="1786" t="s">
        <v>1803</v>
      </c>
      <c r="E285" s="1811" t="s">
        <v>69</v>
      </c>
      <c r="F285" s="1916">
        <f>ROUND(SUM(F286),3)</f>
        <v>10</v>
      </c>
      <c r="G285" s="1993"/>
      <c r="H285" s="1788">
        <f t="shared" si="45"/>
        <v>0</v>
      </c>
      <c r="I285" s="1880" t="s">
        <v>137</v>
      </c>
      <c r="J285" s="1963"/>
      <c r="K285" s="1882"/>
      <c r="L285" s="1883"/>
      <c r="M285" s="1884"/>
      <c r="N285" s="1884"/>
      <c r="O285" s="1884"/>
    </row>
    <row r="286" spans="1:122" s="1798" customFormat="1" ht="13.5" customHeight="1">
      <c r="A286" s="1799"/>
      <c r="B286" s="1800"/>
      <c r="C286" s="1801"/>
      <c r="D286" s="1885" t="s">
        <v>1941</v>
      </c>
      <c r="E286" s="1886"/>
      <c r="F286" s="1887">
        <v>10</v>
      </c>
      <c r="G286" s="254"/>
      <c r="H286" s="1888"/>
      <c r="I286" s="1889"/>
      <c r="J286" s="1802"/>
      <c r="K286" s="1803"/>
      <c r="L286" s="1797"/>
      <c r="M286" s="1797"/>
      <c r="N286" s="1797"/>
      <c r="O286" s="1797"/>
    </row>
    <row r="287" spans="1:122" s="1798" customFormat="1" ht="13.5" customHeight="1">
      <c r="A287" s="1799"/>
      <c r="B287" s="1800"/>
      <c r="C287" s="1801"/>
      <c r="D287" s="1885" t="s">
        <v>1942</v>
      </c>
      <c r="E287" s="1886"/>
      <c r="F287" s="1887"/>
      <c r="G287" s="254"/>
      <c r="H287" s="1888"/>
      <c r="I287" s="1889"/>
      <c r="J287" s="1912"/>
      <c r="K287" s="1913"/>
    </row>
    <row r="288" spans="1:122" s="122" customFormat="1" ht="21" customHeight="1">
      <c r="A288" s="1964"/>
      <c r="B288" s="1965"/>
      <c r="C288" s="1965"/>
      <c r="D288" s="1965" t="s">
        <v>0</v>
      </c>
      <c r="E288" s="1965"/>
      <c r="F288" s="1966"/>
      <c r="G288" s="1967"/>
      <c r="H288" s="1967">
        <f>H8</f>
        <v>0</v>
      </c>
      <c r="I288" s="1968"/>
    </row>
    <row r="289" spans="1:55" s="122" customFormat="1" ht="13.5" customHeight="1">
      <c r="A289" s="1964"/>
      <c r="B289" s="1965"/>
      <c r="C289" s="1965"/>
      <c r="D289" s="1965"/>
      <c r="E289" s="1965"/>
      <c r="F289" s="1966"/>
      <c r="G289" s="1967"/>
      <c r="H289" s="1967"/>
      <c r="I289" s="1968"/>
      <c r="J289" s="521"/>
      <c r="L289" s="521"/>
    </row>
    <row r="290" spans="1:55" s="1976" customFormat="1" ht="13.5" customHeight="1">
      <c r="A290" s="5234" t="s">
        <v>862</v>
      </c>
      <c r="B290" s="5235"/>
      <c r="C290" s="5236"/>
      <c r="D290" s="1969" t="s">
        <v>1406</v>
      </c>
      <c r="E290" s="1970"/>
      <c r="F290" s="1971"/>
      <c r="G290" s="1972"/>
      <c r="H290" s="1973">
        <f>H288</f>
        <v>0</v>
      </c>
      <c r="I290" s="1974"/>
      <c r="J290" s="522"/>
      <c r="K290" s="122"/>
      <c r="L290" s="522"/>
      <c r="M290" s="1975"/>
      <c r="N290" s="1975"/>
      <c r="O290" s="1975"/>
      <c r="P290" s="1975"/>
      <c r="Q290" s="1975"/>
      <c r="R290" s="1975"/>
      <c r="S290" s="1975"/>
      <c r="T290" s="1975"/>
      <c r="U290" s="1975"/>
      <c r="V290" s="1975"/>
      <c r="W290" s="1975"/>
      <c r="X290" s="1975"/>
      <c r="Y290" s="1975"/>
      <c r="Z290" s="1975"/>
      <c r="AA290" s="1975"/>
      <c r="AB290" s="1975"/>
      <c r="AC290" s="1975"/>
      <c r="AD290" s="1975"/>
      <c r="AE290" s="1975"/>
      <c r="AF290" s="1975"/>
      <c r="AG290" s="1975"/>
      <c r="AH290" s="1975"/>
      <c r="AI290" s="1975"/>
      <c r="AJ290" s="1975"/>
      <c r="AK290" s="1975"/>
      <c r="AL290" s="1975"/>
      <c r="AM290" s="1975"/>
      <c r="AN290" s="1975"/>
      <c r="AO290" s="1975"/>
      <c r="AP290" s="1975"/>
      <c r="AQ290" s="1975"/>
      <c r="AR290" s="1975"/>
      <c r="AS290" s="1975"/>
      <c r="AT290" s="1975"/>
      <c r="AU290" s="1975"/>
      <c r="AV290" s="1975"/>
      <c r="AW290" s="1975"/>
      <c r="AX290" s="1975"/>
      <c r="AY290" s="1975"/>
      <c r="AZ290" s="1975"/>
      <c r="BA290" s="1975"/>
      <c r="BB290" s="1975"/>
      <c r="BC290" s="1975"/>
    </row>
    <row r="291" spans="1:55" s="251" customFormat="1" ht="14.25" customHeight="1">
      <c r="A291" s="689"/>
      <c r="B291" s="1977"/>
      <c r="C291" s="689"/>
      <c r="D291" s="689"/>
      <c r="E291" s="689"/>
      <c r="F291" s="876"/>
      <c r="G291" s="1978"/>
      <c r="H291" s="1979"/>
      <c r="I291" s="691"/>
    </row>
    <row r="292" spans="1:55" s="251" customFormat="1" ht="14.25" customHeight="1">
      <c r="A292" s="689" t="s">
        <v>1</v>
      </c>
      <c r="B292" s="1977"/>
      <c r="C292" s="689"/>
      <c r="D292" s="689"/>
      <c r="E292" s="689"/>
      <c r="F292" s="876"/>
      <c r="G292" s="1978"/>
      <c r="H292" s="1978"/>
      <c r="I292" s="1980"/>
    </row>
    <row r="293" spans="1:55" s="251" customFormat="1" ht="27" customHeight="1">
      <c r="A293" s="5159" t="s">
        <v>1843</v>
      </c>
      <c r="B293" s="5159"/>
      <c r="C293" s="5159"/>
      <c r="D293" s="5159"/>
      <c r="E293" s="5159"/>
      <c r="F293" s="5159"/>
      <c r="G293" s="5159"/>
      <c r="H293" s="1978"/>
      <c r="I293" s="1981"/>
    </row>
    <row r="294" spans="1:55" s="251" customFormat="1" ht="107.25" customHeight="1">
      <c r="A294" s="5159" t="s">
        <v>104</v>
      </c>
      <c r="B294" s="5159"/>
      <c r="C294" s="5159"/>
      <c r="D294" s="5159"/>
      <c r="E294" s="5159"/>
      <c r="F294" s="5159"/>
      <c r="G294" s="5159"/>
      <c r="H294" s="1978"/>
      <c r="I294" s="689"/>
      <c r="L294" s="1755"/>
    </row>
    <row r="295" spans="1:55" s="251" customFormat="1" ht="13.5" customHeight="1">
      <c r="A295" s="5159" t="s">
        <v>105</v>
      </c>
      <c r="B295" s="5159"/>
      <c r="C295" s="5159"/>
      <c r="D295" s="5159"/>
      <c r="E295" s="5159"/>
      <c r="F295" s="5159"/>
      <c r="G295" s="5159"/>
      <c r="H295" s="1982"/>
      <c r="I295" s="691"/>
    </row>
    <row r="296" spans="1:55" s="251" customFormat="1" ht="13.5" customHeight="1">
      <c r="A296" s="5159" t="s">
        <v>106</v>
      </c>
      <c r="B296" s="5159"/>
      <c r="C296" s="5159"/>
      <c r="D296" s="5159"/>
      <c r="E296" s="5159"/>
      <c r="F296" s="5159"/>
      <c r="G296" s="5159"/>
      <c r="H296" s="1982"/>
      <c r="I296" s="691"/>
    </row>
    <row r="297" spans="1:55" s="122" customFormat="1" ht="40.5" customHeight="1">
      <c r="A297" s="5156" t="s">
        <v>865</v>
      </c>
      <c r="B297" s="5156"/>
      <c r="C297" s="5156"/>
      <c r="D297" s="5156"/>
      <c r="E297" s="5156"/>
      <c r="F297" s="5156"/>
      <c r="G297" s="5156"/>
      <c r="I297" s="251"/>
    </row>
    <row r="298" spans="1:55" s="122" customFormat="1" ht="94.5" customHeight="1">
      <c r="A298" s="5156" t="s">
        <v>1976</v>
      </c>
      <c r="B298" s="5156"/>
      <c r="C298" s="5156"/>
      <c r="D298" s="5156"/>
      <c r="E298" s="5156"/>
      <c r="F298" s="5156"/>
      <c r="G298" s="5156"/>
      <c r="H298" s="1757"/>
      <c r="I298" s="1983"/>
    </row>
    <row r="299" spans="1:55" s="251" customFormat="1" ht="14.25" customHeight="1">
      <c r="A299" s="1984"/>
      <c r="B299" s="1985"/>
      <c r="C299" s="1985"/>
      <c r="D299" s="1986"/>
      <c r="E299" s="1987"/>
      <c r="F299" s="1988"/>
      <c r="G299" s="1755"/>
      <c r="H299" s="1755"/>
    </row>
    <row r="300" spans="1:55" s="251" customFormat="1" ht="14.25" customHeight="1">
      <c r="A300" s="1757"/>
      <c r="B300" s="1989"/>
      <c r="C300" s="1757"/>
      <c r="D300" s="1757"/>
      <c r="E300" s="1757"/>
      <c r="F300" s="1990"/>
      <c r="G300" s="1758"/>
      <c r="H300" s="1758"/>
      <c r="I300" s="1757"/>
    </row>
    <row r="301" spans="1:55" s="251" customFormat="1" ht="14.25" customHeight="1">
      <c r="A301" s="1757"/>
      <c r="B301" s="1989"/>
      <c r="C301" s="1757"/>
      <c r="D301" s="1757"/>
      <c r="E301" s="1757"/>
      <c r="F301" s="1990"/>
      <c r="G301" s="1758"/>
      <c r="H301" s="1758"/>
      <c r="I301" s="1757"/>
    </row>
    <row r="302" spans="1:55" s="251" customFormat="1" ht="14.25" customHeight="1">
      <c r="A302" s="1757"/>
      <c r="B302" s="1989"/>
      <c r="C302" s="1757"/>
      <c r="D302" s="1757"/>
      <c r="E302" s="1757"/>
      <c r="F302" s="1990"/>
      <c r="G302" s="1758"/>
      <c r="H302" s="1758"/>
      <c r="I302" s="1757"/>
    </row>
    <row r="303" spans="1:55" s="251" customFormat="1" ht="15" customHeight="1">
      <c r="A303" s="1757"/>
      <c r="B303" s="1989"/>
      <c r="C303" s="1757"/>
      <c r="D303" s="1757"/>
      <c r="E303" s="1757"/>
      <c r="F303" s="1990"/>
      <c r="G303" s="1758"/>
      <c r="H303" s="1758"/>
      <c r="I303" s="1757"/>
    </row>
    <row r="304" spans="1:55" s="251" customFormat="1" ht="15" customHeight="1">
      <c r="A304" s="1757"/>
      <c r="B304" s="1989"/>
      <c r="C304" s="1757"/>
      <c r="D304" s="1757"/>
      <c r="E304" s="1757"/>
      <c r="F304" s="1990"/>
      <c r="G304" s="1758"/>
      <c r="H304" s="1758"/>
      <c r="I304" s="1757"/>
    </row>
    <row r="305" spans="1:9" ht="13.5" customHeight="1"/>
    <row r="306" spans="1:9" s="251" customFormat="1" ht="13.5" customHeight="1">
      <c r="A306" s="1757"/>
      <c r="B306" s="1989"/>
      <c r="C306" s="1757"/>
      <c r="D306" s="1757"/>
      <c r="E306" s="1757"/>
      <c r="F306" s="1990"/>
      <c r="G306" s="1758"/>
      <c r="H306" s="1758"/>
      <c r="I306" s="1757"/>
    </row>
    <row r="307" spans="1:9" s="689" customFormat="1" ht="11.25">
      <c r="A307" s="1757"/>
      <c r="B307" s="1989"/>
      <c r="C307" s="1757"/>
      <c r="D307" s="1757"/>
      <c r="E307" s="1757"/>
      <c r="F307" s="1990"/>
      <c r="G307" s="1758"/>
      <c r="H307" s="1758"/>
      <c r="I307" s="1757"/>
    </row>
    <row r="308" spans="1:9" s="689" customFormat="1" ht="12" customHeight="1">
      <c r="A308" s="1757"/>
      <c r="B308" s="1989"/>
      <c r="C308" s="1757"/>
      <c r="D308" s="1757"/>
      <c r="E308" s="1757"/>
      <c r="F308" s="1990"/>
      <c r="G308" s="1758"/>
      <c r="H308" s="1758"/>
      <c r="I308" s="1757"/>
    </row>
    <row r="309" spans="1:9" s="689" customFormat="1" ht="15" customHeight="1">
      <c r="A309" s="1757"/>
      <c r="B309" s="1989"/>
      <c r="C309" s="1757"/>
      <c r="D309" s="1757"/>
      <c r="E309" s="1757"/>
      <c r="F309" s="1990"/>
      <c r="G309" s="1758"/>
      <c r="H309" s="1758"/>
      <c r="I309" s="1757"/>
    </row>
    <row r="310" spans="1:9" s="251" customFormat="1" ht="13.5" customHeight="1">
      <c r="A310" s="1757"/>
      <c r="B310" s="1989"/>
      <c r="C310" s="1757"/>
      <c r="D310" s="1757"/>
      <c r="E310" s="1757"/>
      <c r="F310" s="1990"/>
      <c r="G310" s="1758"/>
      <c r="H310" s="1758"/>
      <c r="I310" s="1757"/>
    </row>
    <row r="311" spans="1:9" s="251" customFormat="1" ht="13.5" customHeight="1">
      <c r="A311" s="1757"/>
      <c r="B311" s="1989"/>
      <c r="C311" s="1757"/>
      <c r="D311" s="1757"/>
      <c r="E311" s="1757"/>
      <c r="F311" s="1990"/>
      <c r="G311" s="1758"/>
      <c r="H311" s="1758"/>
      <c r="I311" s="1757"/>
    </row>
    <row r="312" spans="1:9" s="251" customFormat="1" ht="13.5" customHeight="1">
      <c r="A312" s="1757"/>
      <c r="B312" s="1989"/>
      <c r="C312" s="1757"/>
      <c r="D312" s="1757"/>
      <c r="E312" s="1757"/>
      <c r="F312" s="1990"/>
      <c r="G312" s="1758"/>
      <c r="H312" s="1758"/>
      <c r="I312" s="1757"/>
    </row>
    <row r="313" spans="1:9" s="251" customFormat="1" ht="13.5" customHeight="1">
      <c r="A313" s="1757"/>
      <c r="B313" s="1989"/>
      <c r="C313" s="1757"/>
      <c r="D313" s="1757"/>
      <c r="E313" s="1757"/>
      <c r="F313" s="1990"/>
      <c r="G313" s="1758"/>
      <c r="H313" s="1758"/>
      <c r="I313" s="1757"/>
    </row>
    <row r="318" spans="1:9" ht="11.25" customHeight="1"/>
    <row r="327" ht="27.75" customHeight="1"/>
  </sheetData>
  <sheetProtection algorithmName="SHA-512" hashValue="EFTMPX76SQ/vqN8qtvzxW54W4Fl6bfdMrgQkznlZhf9BysSAG1RLRFdGNNFabWoIjf6K4C8Nrfar5X4uqYKRVg==" saltValue="KweN/duOQz3ESi1bBDr9qA==" spinCount="100000" sheet="1" objects="1" scenarios="1"/>
  <mergeCells count="19">
    <mergeCell ref="G279:H279"/>
    <mergeCell ref="A296:G296"/>
    <mergeCell ref="A297:G297"/>
    <mergeCell ref="A298:G298"/>
    <mergeCell ref="A295:G295"/>
    <mergeCell ref="A2:I2"/>
    <mergeCell ref="A3:I3"/>
    <mergeCell ref="A290:C290"/>
    <mergeCell ref="A293:G293"/>
    <mergeCell ref="A294:G294"/>
    <mergeCell ref="G283:H283"/>
    <mergeCell ref="G27:H27"/>
    <mergeCell ref="G67:H67"/>
    <mergeCell ref="G110:H110"/>
    <mergeCell ref="G142:H142"/>
    <mergeCell ref="G169:H169"/>
    <mergeCell ref="G198:H198"/>
    <mergeCell ref="G225:H225"/>
    <mergeCell ref="G255:H255"/>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A3E8-EFE7-4955-995D-1671925E587E}">
  <sheetPr>
    <tabColor rgb="FFFF00FF"/>
    <pageSetUpPr fitToPage="1"/>
  </sheetPr>
  <dimension ref="A1:IV61"/>
  <sheetViews>
    <sheetView workbookViewId="0"/>
  </sheetViews>
  <sheetFormatPr defaultRowHeight="10.5"/>
  <cols>
    <col min="1" max="1" width="11.83203125" style="111" customWidth="1"/>
    <col min="2" max="2" width="75.6640625" style="111" customWidth="1"/>
    <col min="3" max="3" width="15.83203125" style="111" customWidth="1"/>
    <col min="4" max="256" width="9.33203125" style="111"/>
    <col min="257" max="257" width="11.83203125" style="111" customWidth="1"/>
    <col min="258" max="258" width="65.1640625" style="111" customWidth="1"/>
    <col min="259" max="259" width="15.83203125" style="111" customWidth="1"/>
    <col min="260" max="512" width="9.33203125" style="111"/>
    <col min="513" max="513" width="11.83203125" style="111" customWidth="1"/>
    <col min="514" max="514" width="65.1640625" style="111" customWidth="1"/>
    <col min="515" max="515" width="15.83203125" style="111" customWidth="1"/>
    <col min="516" max="768" width="9.33203125" style="111"/>
    <col min="769" max="769" width="11.83203125" style="111" customWidth="1"/>
    <col min="770" max="770" width="65.1640625" style="111" customWidth="1"/>
    <col min="771" max="771" width="15.83203125" style="111" customWidth="1"/>
    <col min="772" max="1024" width="9.33203125" style="111"/>
    <col min="1025" max="1025" width="11.83203125" style="111" customWidth="1"/>
    <col min="1026" max="1026" width="65.1640625" style="111" customWidth="1"/>
    <col min="1027" max="1027" width="15.83203125" style="111" customWidth="1"/>
    <col min="1028" max="1280" width="9.33203125" style="111"/>
    <col min="1281" max="1281" width="11.83203125" style="111" customWidth="1"/>
    <col min="1282" max="1282" width="65.1640625" style="111" customWidth="1"/>
    <col min="1283" max="1283" width="15.83203125" style="111" customWidth="1"/>
    <col min="1284" max="1536" width="9.33203125" style="111"/>
    <col min="1537" max="1537" width="11.83203125" style="111" customWidth="1"/>
    <col min="1538" max="1538" width="65.1640625" style="111" customWidth="1"/>
    <col min="1539" max="1539" width="15.83203125" style="111" customWidth="1"/>
    <col min="1540" max="1792" width="9.33203125" style="111"/>
    <col min="1793" max="1793" width="11.83203125" style="111" customWidth="1"/>
    <col min="1794" max="1794" width="65.1640625" style="111" customWidth="1"/>
    <col min="1795" max="1795" width="15.83203125" style="111" customWidth="1"/>
    <col min="1796" max="2048" width="9.33203125" style="111"/>
    <col min="2049" max="2049" width="11.83203125" style="111" customWidth="1"/>
    <col min="2050" max="2050" width="65.1640625" style="111" customWidth="1"/>
    <col min="2051" max="2051" width="15.83203125" style="111" customWidth="1"/>
    <col min="2052" max="2304" width="9.33203125" style="111"/>
    <col min="2305" max="2305" width="11.83203125" style="111" customWidth="1"/>
    <col min="2306" max="2306" width="65.1640625" style="111" customWidth="1"/>
    <col min="2307" max="2307" width="15.83203125" style="111" customWidth="1"/>
    <col min="2308" max="2560" width="9.33203125" style="111"/>
    <col min="2561" max="2561" width="11.83203125" style="111" customWidth="1"/>
    <col min="2562" max="2562" width="65.1640625" style="111" customWidth="1"/>
    <col min="2563" max="2563" width="15.83203125" style="111" customWidth="1"/>
    <col min="2564" max="2816" width="9.33203125" style="111"/>
    <col min="2817" max="2817" width="11.83203125" style="111" customWidth="1"/>
    <col min="2818" max="2818" width="65.1640625" style="111" customWidth="1"/>
    <col min="2819" max="2819" width="15.83203125" style="111" customWidth="1"/>
    <col min="2820" max="3072" width="9.33203125" style="111"/>
    <col min="3073" max="3073" width="11.83203125" style="111" customWidth="1"/>
    <col min="3074" max="3074" width="65.1640625" style="111" customWidth="1"/>
    <col min="3075" max="3075" width="15.83203125" style="111" customWidth="1"/>
    <col min="3076" max="3328" width="9.33203125" style="111"/>
    <col min="3329" max="3329" width="11.83203125" style="111" customWidth="1"/>
    <col min="3330" max="3330" width="65.1640625" style="111" customWidth="1"/>
    <col min="3331" max="3331" width="15.83203125" style="111" customWidth="1"/>
    <col min="3332" max="3584" width="9.33203125" style="111"/>
    <col min="3585" max="3585" width="11.83203125" style="111" customWidth="1"/>
    <col min="3586" max="3586" width="65.1640625" style="111" customWidth="1"/>
    <col min="3587" max="3587" width="15.83203125" style="111" customWidth="1"/>
    <col min="3588" max="3840" width="9.33203125" style="111"/>
    <col min="3841" max="3841" width="11.83203125" style="111" customWidth="1"/>
    <col min="3842" max="3842" width="65.1640625" style="111" customWidth="1"/>
    <col min="3843" max="3843" width="15.83203125" style="111" customWidth="1"/>
    <col min="3844" max="4096" width="9.33203125" style="111"/>
    <col min="4097" max="4097" width="11.83203125" style="111" customWidth="1"/>
    <col min="4098" max="4098" width="65.1640625" style="111" customWidth="1"/>
    <col min="4099" max="4099" width="15.83203125" style="111" customWidth="1"/>
    <col min="4100" max="4352" width="9.33203125" style="111"/>
    <col min="4353" max="4353" width="11.83203125" style="111" customWidth="1"/>
    <col min="4354" max="4354" width="65.1640625" style="111" customWidth="1"/>
    <col min="4355" max="4355" width="15.83203125" style="111" customWidth="1"/>
    <col min="4356" max="4608" width="9.33203125" style="111"/>
    <col min="4609" max="4609" width="11.83203125" style="111" customWidth="1"/>
    <col min="4610" max="4610" width="65.1640625" style="111" customWidth="1"/>
    <col min="4611" max="4611" width="15.83203125" style="111" customWidth="1"/>
    <col min="4612" max="4864" width="9.33203125" style="111"/>
    <col min="4865" max="4865" width="11.83203125" style="111" customWidth="1"/>
    <col min="4866" max="4866" width="65.1640625" style="111" customWidth="1"/>
    <col min="4867" max="4867" width="15.83203125" style="111" customWidth="1"/>
    <col min="4868" max="5120" width="9.33203125" style="111"/>
    <col min="5121" max="5121" width="11.83203125" style="111" customWidth="1"/>
    <col min="5122" max="5122" width="65.1640625" style="111" customWidth="1"/>
    <col min="5123" max="5123" width="15.83203125" style="111" customWidth="1"/>
    <col min="5124" max="5376" width="9.33203125" style="111"/>
    <col min="5377" max="5377" width="11.83203125" style="111" customWidth="1"/>
    <col min="5378" max="5378" width="65.1640625" style="111" customWidth="1"/>
    <col min="5379" max="5379" width="15.83203125" style="111" customWidth="1"/>
    <col min="5380" max="5632" width="9.33203125" style="111"/>
    <col min="5633" max="5633" width="11.83203125" style="111" customWidth="1"/>
    <col min="5634" max="5634" width="65.1640625" style="111" customWidth="1"/>
    <col min="5635" max="5635" width="15.83203125" style="111" customWidth="1"/>
    <col min="5636" max="5888" width="9.33203125" style="111"/>
    <col min="5889" max="5889" width="11.83203125" style="111" customWidth="1"/>
    <col min="5890" max="5890" width="65.1640625" style="111" customWidth="1"/>
    <col min="5891" max="5891" width="15.83203125" style="111" customWidth="1"/>
    <col min="5892" max="6144" width="9.33203125" style="111"/>
    <col min="6145" max="6145" width="11.83203125" style="111" customWidth="1"/>
    <col min="6146" max="6146" width="65.1640625" style="111" customWidth="1"/>
    <col min="6147" max="6147" width="15.83203125" style="111" customWidth="1"/>
    <col min="6148" max="6400" width="9.33203125" style="111"/>
    <col min="6401" max="6401" width="11.83203125" style="111" customWidth="1"/>
    <col min="6402" max="6402" width="65.1640625" style="111" customWidth="1"/>
    <col min="6403" max="6403" width="15.83203125" style="111" customWidth="1"/>
    <col min="6404" max="6656" width="9.33203125" style="111"/>
    <col min="6657" max="6657" width="11.83203125" style="111" customWidth="1"/>
    <col min="6658" max="6658" width="65.1640625" style="111" customWidth="1"/>
    <col min="6659" max="6659" width="15.83203125" style="111" customWidth="1"/>
    <col min="6660" max="6912" width="9.33203125" style="111"/>
    <col min="6913" max="6913" width="11.83203125" style="111" customWidth="1"/>
    <col min="6914" max="6914" width="65.1640625" style="111" customWidth="1"/>
    <col min="6915" max="6915" width="15.83203125" style="111" customWidth="1"/>
    <col min="6916" max="7168" width="9.33203125" style="111"/>
    <col min="7169" max="7169" width="11.83203125" style="111" customWidth="1"/>
    <col min="7170" max="7170" width="65.1640625" style="111" customWidth="1"/>
    <col min="7171" max="7171" width="15.83203125" style="111" customWidth="1"/>
    <col min="7172" max="7424" width="9.33203125" style="111"/>
    <col min="7425" max="7425" width="11.83203125" style="111" customWidth="1"/>
    <col min="7426" max="7426" width="65.1640625" style="111" customWidth="1"/>
    <col min="7427" max="7427" width="15.83203125" style="111" customWidth="1"/>
    <col min="7428" max="7680" width="9.33203125" style="111"/>
    <col min="7681" max="7681" width="11.83203125" style="111" customWidth="1"/>
    <col min="7682" max="7682" width="65.1640625" style="111" customWidth="1"/>
    <col min="7683" max="7683" width="15.83203125" style="111" customWidth="1"/>
    <col min="7684" max="7936" width="9.33203125" style="111"/>
    <col min="7937" max="7937" width="11.83203125" style="111" customWidth="1"/>
    <col min="7938" max="7938" width="65.1640625" style="111" customWidth="1"/>
    <col min="7939" max="7939" width="15.83203125" style="111" customWidth="1"/>
    <col min="7940" max="8192" width="9.33203125" style="111"/>
    <col min="8193" max="8193" width="11.83203125" style="111" customWidth="1"/>
    <col min="8194" max="8194" width="65.1640625" style="111" customWidth="1"/>
    <col min="8195" max="8195" width="15.83203125" style="111" customWidth="1"/>
    <col min="8196" max="8448" width="9.33203125" style="111"/>
    <col min="8449" max="8449" width="11.83203125" style="111" customWidth="1"/>
    <col min="8450" max="8450" width="65.1640625" style="111" customWidth="1"/>
    <col min="8451" max="8451" width="15.83203125" style="111" customWidth="1"/>
    <col min="8452" max="8704" width="9.33203125" style="111"/>
    <col min="8705" max="8705" width="11.83203125" style="111" customWidth="1"/>
    <col min="8706" max="8706" width="65.1640625" style="111" customWidth="1"/>
    <col min="8707" max="8707" width="15.83203125" style="111" customWidth="1"/>
    <col min="8708" max="8960" width="9.33203125" style="111"/>
    <col min="8961" max="8961" width="11.83203125" style="111" customWidth="1"/>
    <col min="8962" max="8962" width="65.1640625" style="111" customWidth="1"/>
    <col min="8963" max="8963" width="15.83203125" style="111" customWidth="1"/>
    <col min="8964" max="9216" width="9.33203125" style="111"/>
    <col min="9217" max="9217" width="11.83203125" style="111" customWidth="1"/>
    <col min="9218" max="9218" width="65.1640625" style="111" customWidth="1"/>
    <col min="9219" max="9219" width="15.83203125" style="111" customWidth="1"/>
    <col min="9220" max="9472" width="9.33203125" style="111"/>
    <col min="9473" max="9473" width="11.83203125" style="111" customWidth="1"/>
    <col min="9474" max="9474" width="65.1640625" style="111" customWidth="1"/>
    <col min="9475" max="9475" width="15.83203125" style="111" customWidth="1"/>
    <col min="9476" max="9728" width="9.33203125" style="111"/>
    <col min="9729" max="9729" width="11.83203125" style="111" customWidth="1"/>
    <col min="9730" max="9730" width="65.1640625" style="111" customWidth="1"/>
    <col min="9731" max="9731" width="15.83203125" style="111" customWidth="1"/>
    <col min="9732" max="9984" width="9.33203125" style="111"/>
    <col min="9985" max="9985" width="11.83203125" style="111" customWidth="1"/>
    <col min="9986" max="9986" width="65.1640625" style="111" customWidth="1"/>
    <col min="9987" max="9987" width="15.83203125" style="111" customWidth="1"/>
    <col min="9988" max="10240" width="9.33203125" style="111"/>
    <col min="10241" max="10241" width="11.83203125" style="111" customWidth="1"/>
    <col min="10242" max="10242" width="65.1640625" style="111" customWidth="1"/>
    <col min="10243" max="10243" width="15.83203125" style="111" customWidth="1"/>
    <col min="10244" max="10496" width="9.33203125" style="111"/>
    <col min="10497" max="10497" width="11.83203125" style="111" customWidth="1"/>
    <col min="10498" max="10498" width="65.1640625" style="111" customWidth="1"/>
    <col min="10499" max="10499" width="15.83203125" style="111" customWidth="1"/>
    <col min="10500" max="10752" width="9.33203125" style="111"/>
    <col min="10753" max="10753" width="11.83203125" style="111" customWidth="1"/>
    <col min="10754" max="10754" width="65.1640625" style="111" customWidth="1"/>
    <col min="10755" max="10755" width="15.83203125" style="111" customWidth="1"/>
    <col min="10756" max="11008" width="9.33203125" style="111"/>
    <col min="11009" max="11009" width="11.83203125" style="111" customWidth="1"/>
    <col min="11010" max="11010" width="65.1640625" style="111" customWidth="1"/>
    <col min="11011" max="11011" width="15.83203125" style="111" customWidth="1"/>
    <col min="11012" max="11264" width="9.33203125" style="111"/>
    <col min="11265" max="11265" width="11.83203125" style="111" customWidth="1"/>
    <col min="11266" max="11266" width="65.1640625" style="111" customWidth="1"/>
    <col min="11267" max="11267" width="15.83203125" style="111" customWidth="1"/>
    <col min="11268" max="11520" width="9.33203125" style="111"/>
    <col min="11521" max="11521" width="11.83203125" style="111" customWidth="1"/>
    <col min="11522" max="11522" width="65.1640625" style="111" customWidth="1"/>
    <col min="11523" max="11523" width="15.83203125" style="111" customWidth="1"/>
    <col min="11524" max="11776" width="9.33203125" style="111"/>
    <col min="11777" max="11777" width="11.83203125" style="111" customWidth="1"/>
    <col min="11778" max="11778" width="65.1640625" style="111" customWidth="1"/>
    <col min="11779" max="11779" width="15.83203125" style="111" customWidth="1"/>
    <col min="11780" max="12032" width="9.33203125" style="111"/>
    <col min="12033" max="12033" width="11.83203125" style="111" customWidth="1"/>
    <col min="12034" max="12034" width="65.1640625" style="111" customWidth="1"/>
    <col min="12035" max="12035" width="15.83203125" style="111" customWidth="1"/>
    <col min="12036" max="12288" width="9.33203125" style="111"/>
    <col min="12289" max="12289" width="11.83203125" style="111" customWidth="1"/>
    <col min="12290" max="12290" width="65.1640625" style="111" customWidth="1"/>
    <col min="12291" max="12291" width="15.83203125" style="111" customWidth="1"/>
    <col min="12292" max="12544" width="9.33203125" style="111"/>
    <col min="12545" max="12545" width="11.83203125" style="111" customWidth="1"/>
    <col min="12546" max="12546" width="65.1640625" style="111" customWidth="1"/>
    <col min="12547" max="12547" width="15.83203125" style="111" customWidth="1"/>
    <col min="12548" max="12800" width="9.33203125" style="111"/>
    <col min="12801" max="12801" width="11.83203125" style="111" customWidth="1"/>
    <col min="12802" max="12802" width="65.1640625" style="111" customWidth="1"/>
    <col min="12803" max="12803" width="15.83203125" style="111" customWidth="1"/>
    <col min="12804" max="13056" width="9.33203125" style="111"/>
    <col min="13057" max="13057" width="11.83203125" style="111" customWidth="1"/>
    <col min="13058" max="13058" width="65.1640625" style="111" customWidth="1"/>
    <col min="13059" max="13059" width="15.83203125" style="111" customWidth="1"/>
    <col min="13060" max="13312" width="9.33203125" style="111"/>
    <col min="13313" max="13313" width="11.83203125" style="111" customWidth="1"/>
    <col min="13314" max="13314" width="65.1640625" style="111" customWidth="1"/>
    <col min="13315" max="13315" width="15.83203125" style="111" customWidth="1"/>
    <col min="13316" max="13568" width="9.33203125" style="111"/>
    <col min="13569" max="13569" width="11.83203125" style="111" customWidth="1"/>
    <col min="13570" max="13570" width="65.1640625" style="111" customWidth="1"/>
    <col min="13571" max="13571" width="15.83203125" style="111" customWidth="1"/>
    <col min="13572" max="13824" width="9.33203125" style="111"/>
    <col min="13825" max="13825" width="11.83203125" style="111" customWidth="1"/>
    <col min="13826" max="13826" width="65.1640625" style="111" customWidth="1"/>
    <col min="13827" max="13827" width="15.83203125" style="111" customWidth="1"/>
    <col min="13828" max="14080" width="9.33203125" style="111"/>
    <col min="14081" max="14081" width="11.83203125" style="111" customWidth="1"/>
    <col min="14082" max="14082" width="65.1640625" style="111" customWidth="1"/>
    <col min="14083" max="14083" width="15.83203125" style="111" customWidth="1"/>
    <col min="14084" max="14336" width="9.33203125" style="111"/>
    <col min="14337" max="14337" width="11.83203125" style="111" customWidth="1"/>
    <col min="14338" max="14338" width="65.1640625" style="111" customWidth="1"/>
    <col min="14339" max="14339" width="15.83203125" style="111" customWidth="1"/>
    <col min="14340" max="14592" width="9.33203125" style="111"/>
    <col min="14593" max="14593" width="11.83203125" style="111" customWidth="1"/>
    <col min="14594" max="14594" width="65.1640625" style="111" customWidth="1"/>
    <col min="14595" max="14595" width="15.83203125" style="111" customWidth="1"/>
    <col min="14596" max="14848" width="9.33203125" style="111"/>
    <col min="14849" max="14849" width="11.83203125" style="111" customWidth="1"/>
    <col min="14850" max="14850" width="65.1640625" style="111" customWidth="1"/>
    <col min="14851" max="14851" width="15.83203125" style="111" customWidth="1"/>
    <col min="14852" max="15104" width="9.33203125" style="111"/>
    <col min="15105" max="15105" width="11.83203125" style="111" customWidth="1"/>
    <col min="15106" max="15106" width="65.1640625" style="111" customWidth="1"/>
    <col min="15107" max="15107" width="15.83203125" style="111" customWidth="1"/>
    <col min="15108" max="15360" width="9.33203125" style="111"/>
    <col min="15361" max="15361" width="11.83203125" style="111" customWidth="1"/>
    <col min="15362" max="15362" width="65.1640625" style="111" customWidth="1"/>
    <col min="15363" max="15363" width="15.83203125" style="111" customWidth="1"/>
    <col min="15364" max="15616" width="9.33203125" style="111"/>
    <col min="15617" max="15617" width="11.83203125" style="111" customWidth="1"/>
    <col min="15618" max="15618" width="65.1640625" style="111" customWidth="1"/>
    <col min="15619" max="15619" width="15.83203125" style="111" customWidth="1"/>
    <col min="15620" max="15872" width="9.33203125" style="111"/>
    <col min="15873" max="15873" width="11.83203125" style="111" customWidth="1"/>
    <col min="15874" max="15874" width="65.1640625" style="111" customWidth="1"/>
    <col min="15875" max="15875" width="15.83203125" style="111" customWidth="1"/>
    <col min="15876" max="16128" width="9.33203125" style="111"/>
    <col min="16129" max="16129" width="11.83203125" style="111" customWidth="1"/>
    <col min="16130" max="16130" width="65.1640625" style="111" customWidth="1"/>
    <col min="16131" max="16131" width="15.83203125" style="111" customWidth="1"/>
    <col min="16132" max="16384" width="9.33203125" style="111"/>
  </cols>
  <sheetData>
    <row r="1" spans="1:256" ht="20.25" customHeight="1">
      <c r="A1" s="27" t="s">
        <v>4242</v>
      </c>
      <c r="B1" s="28"/>
      <c r="C1" s="28"/>
    </row>
    <row r="2" spans="1:256" s="884" customFormat="1" ht="13.5" customHeight="1">
      <c r="A2" s="5193" t="s">
        <v>115</v>
      </c>
      <c r="B2" s="5193"/>
      <c r="C2" s="5193"/>
      <c r="D2" s="1752"/>
      <c r="E2" s="698"/>
      <c r="F2" s="698"/>
      <c r="G2" s="700"/>
      <c r="H2" s="700"/>
      <c r="I2" s="883"/>
      <c r="M2" s="111"/>
    </row>
    <row r="3" spans="1:256" s="884" customFormat="1" ht="13.5" customHeight="1">
      <c r="A3" s="5193" t="s">
        <v>5734</v>
      </c>
      <c r="B3" s="5193"/>
      <c r="C3" s="5193"/>
      <c r="D3" s="1753"/>
      <c r="E3" s="698"/>
      <c r="F3" s="700"/>
      <c r="G3" s="700"/>
      <c r="H3" s="883"/>
      <c r="I3" s="883"/>
      <c r="M3" s="111"/>
    </row>
    <row r="4" spans="1:256" s="1682" customFormat="1" ht="13.5" customHeight="1">
      <c r="A4" s="5193" t="s">
        <v>5735</v>
      </c>
      <c r="B4" s="5193"/>
      <c r="C4" s="5193"/>
      <c r="D4" s="273"/>
      <c r="E4" s="1683"/>
      <c r="F4" s="1684"/>
      <c r="G4" s="1684"/>
      <c r="H4" s="1685"/>
      <c r="I4" s="1685"/>
    </row>
    <row r="5" spans="1:256" ht="13.5" customHeight="1">
      <c r="A5" s="274" t="s">
        <v>4246</v>
      </c>
      <c r="B5" s="274"/>
      <c r="C5" s="274"/>
      <c r="D5" s="274"/>
      <c r="E5" s="274"/>
      <c r="F5" s="28"/>
      <c r="G5" s="28"/>
      <c r="H5" s="593"/>
      <c r="I5" s="593"/>
      <c r="J5" s="213"/>
      <c r="K5" s="213"/>
      <c r="L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row>
    <row r="6" spans="1:256" ht="13.5" customHeight="1">
      <c r="A6" s="28"/>
      <c r="B6" s="28"/>
      <c r="C6" s="275"/>
    </row>
    <row r="7" spans="1:256" ht="23.25" customHeight="1">
      <c r="A7" s="30" t="s">
        <v>868</v>
      </c>
      <c r="B7" s="31" t="s">
        <v>121</v>
      </c>
      <c r="C7" s="32" t="s">
        <v>4247</v>
      </c>
    </row>
    <row r="8" spans="1:256" ht="13.5" customHeight="1">
      <c r="A8" s="276">
        <v>1</v>
      </c>
      <c r="B8" s="277">
        <v>2</v>
      </c>
      <c r="C8" s="278">
        <v>3</v>
      </c>
    </row>
    <row r="9" spans="1:256" ht="21" customHeight="1">
      <c r="A9" s="36"/>
      <c r="B9" s="37"/>
      <c r="C9" s="37"/>
    </row>
    <row r="10" spans="1:256" ht="13.5" customHeight="1">
      <c r="A10" s="279">
        <v>1</v>
      </c>
      <c r="B10" s="280" t="s">
        <v>5736</v>
      </c>
      <c r="C10" s="281">
        <f>'D.1.4.8.b.04 AREÁL ELE-TRA. A1'!H189</f>
        <v>0</v>
      </c>
    </row>
    <row r="11" spans="1:256" ht="13.5" customHeight="1">
      <c r="A11" s="279">
        <v>2</v>
      </c>
      <c r="B11" s="280" t="s">
        <v>5737</v>
      </c>
      <c r="C11" s="281">
        <f>'D.1.4.8.b.04 AREÁL ELE-TRA. A2'!H189</f>
        <v>0</v>
      </c>
    </row>
    <row r="12" spans="1:256" ht="13.5" customHeight="1">
      <c r="A12" s="279">
        <v>3</v>
      </c>
      <c r="B12" s="280" t="s">
        <v>5738</v>
      </c>
      <c r="C12" s="281">
        <f>'D.1.4.8.b.04 AREÁL ELE-TRA. A3'!H158</f>
        <v>0</v>
      </c>
    </row>
    <row r="13" spans="1:256" ht="21" customHeight="1">
      <c r="A13" s="282"/>
      <c r="B13" s="283" t="s">
        <v>5739</v>
      </c>
      <c r="C13" s="284">
        <f>SUM(C10:C12)</f>
        <v>0</v>
      </c>
    </row>
    <row r="14" spans="1:256" ht="13.5" customHeight="1"/>
    <row r="15" spans="1:256" ht="13.5" customHeight="1"/>
    <row r="16" spans="1:256" ht="13.5" customHeight="1"/>
    <row r="17" spans="2:7" ht="13.5" customHeight="1"/>
    <row r="18" spans="2:7" ht="13.5" customHeight="1">
      <c r="B18" s="1682"/>
      <c r="C18" s="1682"/>
      <c r="D18" s="1682"/>
      <c r="E18" s="1682"/>
      <c r="F18" s="1682"/>
      <c r="G18" s="1682"/>
    </row>
    <row r="19" spans="2:7" ht="13.5" customHeight="1">
      <c r="B19" s="1682"/>
      <c r="C19" s="1682"/>
      <c r="D19" s="1682"/>
      <c r="E19" s="1682"/>
      <c r="F19" s="1682"/>
      <c r="G19" s="1682"/>
    </row>
    <row r="20" spans="2:7" ht="13.5" customHeight="1">
      <c r="B20" s="1682"/>
      <c r="C20" s="1682"/>
      <c r="D20" s="1682"/>
      <c r="E20" s="1682"/>
      <c r="F20" s="1682"/>
      <c r="G20" s="1682"/>
    </row>
    <row r="21" spans="2:7" ht="13.5" customHeight="1">
      <c r="B21" s="1682"/>
      <c r="C21" s="1682"/>
      <c r="D21" s="1682"/>
      <c r="E21" s="1682"/>
      <c r="F21" s="1682"/>
      <c r="G21" s="1682"/>
    </row>
    <row r="22" spans="2:7" ht="13.5" customHeight="1">
      <c r="B22" s="1682"/>
      <c r="C22" s="1682"/>
      <c r="D22" s="1682"/>
      <c r="E22" s="1682"/>
      <c r="F22" s="1682"/>
      <c r="G22" s="1682"/>
    </row>
    <row r="23" spans="2:7" ht="13.5" customHeight="1">
      <c r="B23" s="1682"/>
    </row>
    <row r="24" spans="2:7" ht="13.5" customHeight="1">
      <c r="B24" s="1682"/>
    </row>
    <row r="25" spans="2:7" ht="13.5" customHeight="1">
      <c r="B25" s="1682"/>
    </row>
    <row r="26" spans="2:7" ht="13.5" customHeight="1">
      <c r="B26" s="1682"/>
    </row>
    <row r="27" spans="2:7" ht="13.5" customHeight="1">
      <c r="B27" s="1682"/>
    </row>
    <row r="28" spans="2:7" ht="13.5" customHeight="1">
      <c r="B28" s="1682"/>
    </row>
    <row r="29" spans="2:7" ht="13.5" customHeight="1">
      <c r="B29" s="1682"/>
    </row>
    <row r="30" spans="2:7" ht="13.5" customHeight="1">
      <c r="B30" s="1682"/>
    </row>
    <row r="31" spans="2:7" ht="13.5" customHeight="1">
      <c r="B31" s="1682"/>
    </row>
    <row r="32" spans="2:7" ht="13.5" customHeight="1">
      <c r="B32" s="1682"/>
    </row>
    <row r="33" spans="2:2" ht="13.5" customHeight="1">
      <c r="B33" s="1682"/>
    </row>
    <row r="34" spans="2:2" ht="13.5" customHeight="1">
      <c r="B34" s="1682"/>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1" customFormat="1" ht="13.5" customHeight="1"/>
    <row r="50" s="111" customFormat="1" ht="13.5" customHeight="1"/>
    <row r="51" s="111" customFormat="1" ht="13.5" customHeight="1"/>
    <row r="52" s="111" customFormat="1" ht="13.5" customHeight="1"/>
    <row r="53" s="111" customFormat="1" ht="13.5" customHeight="1"/>
    <row r="54" s="111" customFormat="1" ht="13.5" customHeight="1"/>
    <row r="55" s="111" customFormat="1" ht="13.5" customHeight="1"/>
    <row r="56" s="111" customFormat="1" ht="13.5" customHeight="1"/>
    <row r="57" s="111" customFormat="1" ht="13.5" customHeight="1"/>
    <row r="58" s="111" customFormat="1" ht="13.5" customHeight="1"/>
    <row r="59" s="111" customFormat="1" ht="13.5" customHeight="1"/>
    <row r="60" s="111" customFormat="1" ht="13.5" customHeight="1"/>
    <row r="61" s="111" customFormat="1" ht="13.5" customHeight="1"/>
  </sheetData>
  <sheetProtection algorithmName="SHA-512" hashValue="gUjqeB+Lu3qG74lboBjga/52tlaaO6+1GZO2KQ+PTi476jdMdH8h1sSJ39Unnily249NVM1mbJXp44+lrt4kug==" saltValue="mVt7K9Do5bFV0OrTJq4Bhg=="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70AB-70B4-44CA-BE6F-68EE288BF409}">
  <sheetPr>
    <tabColor rgb="FFFF00FF"/>
    <pageSetUpPr fitToPage="1"/>
  </sheetPr>
  <dimension ref="A1:IV198"/>
  <sheetViews>
    <sheetView zoomScaleNormal="100" workbookViewId="0"/>
  </sheetViews>
  <sheetFormatPr defaultRowHeight="15"/>
  <cols>
    <col min="1" max="1" width="4.83203125" style="1682" customWidth="1"/>
    <col min="2" max="2" width="5" style="1682" customWidth="1"/>
    <col min="3" max="3" width="16.83203125" style="1682" customWidth="1"/>
    <col min="4" max="4" width="75.83203125" style="1682" customWidth="1"/>
    <col min="5" max="5" width="7.83203125" style="1682" customWidth="1"/>
    <col min="6" max="6" width="11.83203125" style="1682" customWidth="1"/>
    <col min="7" max="7" width="13.6640625" style="1682" customWidth="1"/>
    <col min="8" max="8" width="18.33203125" style="1682" customWidth="1"/>
    <col min="9" max="9" width="20.1640625" style="1682" customWidth="1"/>
    <col min="10" max="10" width="19.6640625" style="1682" customWidth="1"/>
    <col min="11" max="15" width="9.33203125" style="1682"/>
    <col min="16" max="16" width="12.83203125" style="1682" customWidth="1"/>
    <col min="17" max="16384" width="9.33203125" style="1682"/>
  </cols>
  <sheetData>
    <row r="1" spans="1:19" ht="18">
      <c r="A1" s="1" t="s">
        <v>2760</v>
      </c>
      <c r="B1" s="28"/>
      <c r="C1" s="28"/>
      <c r="D1" s="111"/>
      <c r="E1" s="111"/>
      <c r="F1" s="111"/>
      <c r="G1" s="111"/>
      <c r="H1" s="111"/>
      <c r="I1" s="111"/>
    </row>
    <row r="2" spans="1:19" ht="13.5" customHeight="1">
      <c r="A2" s="5199" t="s">
        <v>5740</v>
      </c>
      <c r="B2" s="5219"/>
      <c r="C2" s="5219"/>
      <c r="D2" s="5219"/>
      <c r="E2" s="5219"/>
      <c r="F2" s="5219"/>
      <c r="G2" s="5219"/>
      <c r="H2" s="5219"/>
      <c r="I2" s="5219"/>
    </row>
    <row r="3" spans="1:19" ht="13.5" customHeight="1">
      <c r="A3" s="5228" t="s">
        <v>5734</v>
      </c>
      <c r="B3" s="5219"/>
      <c r="C3" s="5219"/>
      <c r="D3" s="5219"/>
      <c r="E3" s="1683"/>
      <c r="F3" s="1684"/>
      <c r="G3" s="1684"/>
      <c r="H3" s="1685"/>
      <c r="I3" s="1685"/>
    </row>
    <row r="4" spans="1:19" s="1550" customFormat="1" ht="13.5" customHeight="1">
      <c r="A4" s="5193" t="s">
        <v>5741</v>
      </c>
      <c r="B4" s="5219"/>
      <c r="C4" s="5219"/>
      <c r="D4" s="5219"/>
      <c r="E4" s="5193"/>
      <c r="F4" s="5219"/>
      <c r="G4" s="5219"/>
      <c r="H4" s="5219"/>
      <c r="I4" s="1549"/>
    </row>
    <row r="5" spans="1:19" ht="13.5" customHeight="1">
      <c r="A5" s="1683" t="s">
        <v>4246</v>
      </c>
      <c r="B5" s="1683"/>
      <c r="C5" s="1683"/>
      <c r="D5" s="1683"/>
      <c r="E5" s="1683"/>
      <c r="F5" s="1684"/>
      <c r="G5" s="1684"/>
      <c r="H5" s="1685"/>
      <c r="I5" s="1685"/>
    </row>
    <row r="6" spans="1:19">
      <c r="A6" s="1684"/>
      <c r="B6" s="1684"/>
      <c r="C6" s="1684"/>
      <c r="D6" s="1686"/>
      <c r="E6" s="1687"/>
      <c r="F6" s="1684"/>
      <c r="G6" s="1684"/>
      <c r="H6" s="1684"/>
      <c r="I6" s="1688"/>
    </row>
    <row r="7" spans="1:19" ht="22.5">
      <c r="A7" s="1689" t="s">
        <v>118</v>
      </c>
      <c r="B7" s="1689" t="s">
        <v>119</v>
      </c>
      <c r="C7" s="1689" t="s">
        <v>120</v>
      </c>
      <c r="D7" s="1689" t="s">
        <v>121</v>
      </c>
      <c r="E7" s="1689" t="s">
        <v>122</v>
      </c>
      <c r="F7" s="1689" t="s">
        <v>123</v>
      </c>
      <c r="G7" s="1689" t="s">
        <v>124</v>
      </c>
      <c r="H7" s="1690" t="s">
        <v>2</v>
      </c>
      <c r="I7" s="1691" t="s">
        <v>46</v>
      </c>
      <c r="J7" s="1692"/>
      <c r="K7" s="1693"/>
      <c r="L7" s="1693"/>
      <c r="M7" s="1693"/>
      <c r="N7" s="1693"/>
      <c r="O7" s="1693"/>
    </row>
    <row r="8" spans="1:19">
      <c r="A8" s="1689" t="s">
        <v>125</v>
      </c>
      <c r="B8" s="1689" t="s">
        <v>126</v>
      </c>
      <c r="C8" s="1689">
        <v>3</v>
      </c>
      <c r="D8" s="1689">
        <v>4</v>
      </c>
      <c r="E8" s="1689">
        <v>5</v>
      </c>
      <c r="F8" s="1689">
        <v>6</v>
      </c>
      <c r="G8" s="1689">
        <v>7</v>
      </c>
      <c r="H8" s="1690">
        <v>8</v>
      </c>
      <c r="I8" s="1691">
        <v>9</v>
      </c>
    </row>
    <row r="9" spans="1:19" s="612" customFormat="1" ht="21" customHeight="1">
      <c r="A9" s="608"/>
      <c r="B9" s="608"/>
      <c r="C9" s="616" t="s">
        <v>846</v>
      </c>
      <c r="D9" s="616" t="s">
        <v>847</v>
      </c>
      <c r="E9" s="616"/>
      <c r="F9" s="909"/>
      <c r="G9" s="828"/>
      <c r="H9" s="828">
        <f>H10+H42+H66</f>
        <v>0</v>
      </c>
      <c r="I9" s="625"/>
    </row>
    <row r="10" spans="1:19" s="612" customFormat="1" ht="13.5" customHeight="1">
      <c r="A10" s="608"/>
      <c r="B10" s="557"/>
      <c r="C10" s="616" t="s">
        <v>5742</v>
      </c>
      <c r="D10" s="616" t="s">
        <v>5743</v>
      </c>
      <c r="E10" s="616"/>
      <c r="F10" s="909"/>
      <c r="G10" s="828"/>
      <c r="H10" s="828">
        <f>SUM(H11:H41)</f>
        <v>0</v>
      </c>
      <c r="I10" s="613"/>
    </row>
    <row r="11" spans="1:19" s="1564" customFormat="1" ht="27" customHeight="1">
      <c r="A11" s="1559">
        <v>1</v>
      </c>
      <c r="B11" s="1694" t="s">
        <v>5744</v>
      </c>
      <c r="C11" s="400">
        <v>210220020</v>
      </c>
      <c r="D11" s="401" t="s">
        <v>5745</v>
      </c>
      <c r="E11" s="1561" t="s">
        <v>141</v>
      </c>
      <c r="F11" s="573">
        <f>ROUND(SUM(F13:F14),3)</f>
        <v>41.4</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695" t="s">
        <v>5746</v>
      </c>
      <c r="E12" s="557"/>
      <c r="F12" s="1696"/>
      <c r="G12" s="288"/>
      <c r="H12" s="609"/>
      <c r="I12" s="613"/>
      <c r="J12" s="1697"/>
    </row>
    <row r="13" spans="1:19" s="612" customFormat="1" ht="27" customHeight="1">
      <c r="A13" s="608"/>
      <c r="B13" s="557"/>
      <c r="C13" s="557"/>
      <c r="D13" s="1695" t="s">
        <v>5747</v>
      </c>
      <c r="E13" s="557"/>
      <c r="F13" s="1696">
        <f>(14.9)</f>
        <v>14.9</v>
      </c>
      <c r="G13" s="288"/>
      <c r="H13" s="609"/>
      <c r="I13" s="613"/>
      <c r="J13" s="1697"/>
    </row>
    <row r="14" spans="1:19" s="612" customFormat="1" ht="27" customHeight="1">
      <c r="A14" s="608"/>
      <c r="B14" s="557"/>
      <c r="C14" s="557"/>
      <c r="D14" s="1695" t="s">
        <v>5748</v>
      </c>
      <c r="E14" s="557"/>
      <c r="F14" s="1696">
        <f>(26.5)</f>
        <v>26.5</v>
      </c>
      <c r="G14" s="288"/>
      <c r="H14" s="609"/>
      <c r="I14" s="613"/>
      <c r="J14" s="1697"/>
    </row>
    <row r="15" spans="1:19" s="612" customFormat="1" ht="13.5" customHeight="1">
      <c r="A15" s="608"/>
      <c r="B15" s="557"/>
      <c r="C15" s="557"/>
      <c r="D15" s="1695" t="s">
        <v>5749</v>
      </c>
      <c r="E15" s="557"/>
      <c r="F15" s="1696"/>
      <c r="G15" s="288"/>
      <c r="H15" s="609"/>
      <c r="I15" s="613"/>
      <c r="J15" s="1697"/>
    </row>
    <row r="16" spans="1:19" s="1567" customFormat="1" ht="13.5" customHeight="1">
      <c r="A16" s="729">
        <v>2</v>
      </c>
      <c r="B16" s="730" t="s">
        <v>5750</v>
      </c>
      <c r="C16" s="730">
        <v>35442062</v>
      </c>
      <c r="D16" s="730" t="s">
        <v>5751</v>
      </c>
      <c r="E16" s="730" t="s">
        <v>853</v>
      </c>
      <c r="F16" s="731">
        <f>ROUND(SUM(F18:F19),3)</f>
        <v>41.296999999999997</v>
      </c>
      <c r="G16" s="292"/>
      <c r="H16" s="733">
        <f>ROUND(F16*G16,2)</f>
        <v>0</v>
      </c>
      <c r="I16" s="734" t="s">
        <v>137</v>
      </c>
      <c r="J16" s="1698"/>
    </row>
    <row r="17" spans="1:27" s="1567" customFormat="1" ht="13.5" customHeight="1">
      <c r="A17" s="729"/>
      <c r="B17" s="730"/>
      <c r="C17" s="730"/>
      <c r="D17" s="1699" t="s">
        <v>5752</v>
      </c>
      <c r="E17" s="730"/>
      <c r="F17" s="1700"/>
      <c r="G17" s="292"/>
      <c r="H17" s="732"/>
      <c r="I17" s="734"/>
      <c r="J17" s="1698"/>
    </row>
    <row r="18" spans="1:27" s="1567" customFormat="1" ht="13.5" customHeight="1">
      <c r="A18" s="729"/>
      <c r="B18" s="730"/>
      <c r="C18" s="730"/>
      <c r="D18" s="1699" t="s">
        <v>5753</v>
      </c>
      <c r="E18" s="730"/>
      <c r="F18" s="1700">
        <f>((14.9)*0.95)*1.05</f>
        <v>14.86275</v>
      </c>
      <c r="G18" s="292"/>
      <c r="H18" s="732"/>
      <c r="I18" s="734"/>
      <c r="J18" s="1698"/>
    </row>
    <row r="19" spans="1:27" s="1567" customFormat="1" ht="13.5" customHeight="1">
      <c r="A19" s="729"/>
      <c r="B19" s="730"/>
      <c r="C19" s="730"/>
      <c r="D19" s="1699" t="s">
        <v>5754</v>
      </c>
      <c r="E19" s="730"/>
      <c r="F19" s="1700">
        <f>((26.5)*0.95)*1.05</f>
        <v>26.43375</v>
      </c>
      <c r="G19" s="292"/>
      <c r="H19" s="732"/>
      <c r="I19" s="734"/>
      <c r="J19" s="1698"/>
    </row>
    <row r="20" spans="1:27" s="1567" customFormat="1" ht="13.5" customHeight="1">
      <c r="A20" s="729"/>
      <c r="B20" s="730"/>
      <c r="C20" s="730"/>
      <c r="D20" s="1699" t="s">
        <v>5755</v>
      </c>
      <c r="E20" s="730"/>
      <c r="F20" s="1700"/>
      <c r="G20" s="292"/>
      <c r="H20" s="732"/>
      <c r="I20" s="734"/>
      <c r="J20" s="1701"/>
    </row>
    <row r="21" spans="1:27" s="612" customFormat="1" ht="13.5" customHeight="1">
      <c r="A21" s="608">
        <v>3</v>
      </c>
      <c r="B21" s="557" t="s">
        <v>5744</v>
      </c>
      <c r="C21" s="557" t="s">
        <v>5756</v>
      </c>
      <c r="D21" s="557" t="s">
        <v>5757</v>
      </c>
      <c r="E21" s="557" t="s">
        <v>205</v>
      </c>
      <c r="F21" s="573">
        <f>ROUND(SUM(F22),3)</f>
        <v>20</v>
      </c>
      <c r="G21" s="288"/>
      <c r="H21" s="568">
        <f>ROUND(F21*G21,2)</f>
        <v>0</v>
      </c>
      <c r="I21" s="613" t="s">
        <v>111</v>
      </c>
      <c r="J21" s="1697"/>
      <c r="U21" s="1569"/>
    </row>
    <row r="22" spans="1:27" s="1564" customFormat="1" ht="13.5" customHeight="1">
      <c r="A22" s="1702"/>
      <c r="B22" s="1694"/>
      <c r="C22" s="1703"/>
      <c r="D22" s="1695" t="s">
        <v>5758</v>
      </c>
      <c r="E22" s="402"/>
      <c r="F22" s="1696">
        <v>20</v>
      </c>
      <c r="G22" s="1413"/>
      <c r="H22" s="1261"/>
      <c r="I22" s="1704"/>
      <c r="J22" s="1698"/>
      <c r="K22" s="1567"/>
      <c r="L22" s="1571"/>
      <c r="M22" s="1571"/>
      <c r="N22" s="1571"/>
      <c r="O22" s="1571"/>
      <c r="Q22" s="1571"/>
      <c r="R22" s="1571"/>
      <c r="S22" s="1571"/>
      <c r="T22" s="1571"/>
      <c r="U22" s="1572"/>
      <c r="V22" s="193"/>
      <c r="W22" s="193"/>
      <c r="X22" s="193"/>
      <c r="Y22" s="193"/>
      <c r="Z22" s="193"/>
      <c r="AA22" s="193"/>
    </row>
    <row r="23" spans="1:27" s="1564" customFormat="1" ht="13.5" customHeight="1">
      <c r="A23" s="1702"/>
      <c r="B23" s="1694"/>
      <c r="C23" s="1703"/>
      <c r="D23" s="1695" t="s">
        <v>5759</v>
      </c>
      <c r="E23" s="402"/>
      <c r="F23" s="1696"/>
      <c r="G23" s="1413"/>
      <c r="H23" s="1261"/>
      <c r="I23" s="1704"/>
      <c r="J23" s="1698"/>
      <c r="K23" s="1567"/>
      <c r="L23" s="1571"/>
      <c r="M23" s="1571"/>
      <c r="N23" s="1571"/>
      <c r="O23" s="1571"/>
      <c r="P23" s="1571"/>
      <c r="Q23" s="1571"/>
      <c r="R23" s="1571"/>
      <c r="S23" s="1571"/>
      <c r="T23" s="1571"/>
      <c r="U23" s="1572"/>
      <c r="V23" s="193"/>
      <c r="W23" s="193"/>
      <c r="X23" s="193"/>
      <c r="Y23" s="193"/>
      <c r="Z23" s="193"/>
      <c r="AA23" s="193"/>
    </row>
    <row r="24" spans="1:27" s="247" customFormat="1" ht="13.5" customHeight="1">
      <c r="A24" s="1573">
        <v>4</v>
      </c>
      <c r="B24" s="1574">
        <v>921</v>
      </c>
      <c r="C24" s="557" t="s">
        <v>5760</v>
      </c>
      <c r="D24" s="403" t="s">
        <v>3903</v>
      </c>
      <c r="E24" s="1574" t="s">
        <v>49</v>
      </c>
      <c r="F24" s="573">
        <f>ROUND(SUM(F25),3)</f>
        <v>1</v>
      </c>
      <c r="G24" s="404"/>
      <c r="H24" s="568">
        <f>ROUND(F24*G24,2)</f>
        <v>0</v>
      </c>
      <c r="I24" s="613" t="s">
        <v>111</v>
      </c>
      <c r="J24" s="1575"/>
      <c r="L24" s="248"/>
      <c r="S24" s="1576"/>
    </row>
    <row r="25" spans="1:27" s="247" customFormat="1" ht="13.5" customHeight="1">
      <c r="A25" s="1573"/>
      <c r="B25" s="1574"/>
      <c r="C25" s="1574"/>
      <c r="D25" s="1577" t="s">
        <v>3904</v>
      </c>
      <c r="E25" s="1574"/>
      <c r="F25" s="1578">
        <v>1</v>
      </c>
      <c r="G25" s="404"/>
      <c r="H25" s="1253"/>
      <c r="I25" s="1579"/>
      <c r="J25" s="1305"/>
      <c r="R25" s="1569"/>
      <c r="S25" s="1576"/>
    </row>
    <row r="26" spans="1:27" s="247" customFormat="1" ht="40.5" customHeight="1">
      <c r="A26" s="1573"/>
      <c r="B26" s="1574"/>
      <c r="C26" s="1574"/>
      <c r="D26" s="1577" t="s">
        <v>5761</v>
      </c>
      <c r="E26" s="1574"/>
      <c r="F26" s="1578"/>
      <c r="G26" s="404"/>
      <c r="H26" s="1253"/>
      <c r="I26" s="1579"/>
      <c r="J26" s="1580"/>
      <c r="K26" s="1581"/>
      <c r="R26" s="1582"/>
      <c r="S26" s="1576"/>
      <c r="T26" s="406"/>
    </row>
    <row r="27" spans="1:27" s="612" customFormat="1" ht="13.5" customHeight="1">
      <c r="A27" s="1583" t="s">
        <v>129</v>
      </c>
      <c r="B27" s="557" t="s">
        <v>5744</v>
      </c>
      <c r="C27" s="557" t="s">
        <v>5762</v>
      </c>
      <c r="D27" s="1584" t="s">
        <v>5763</v>
      </c>
      <c r="E27" s="557" t="s">
        <v>141</v>
      </c>
      <c r="F27" s="573">
        <f>ROUND(SUM(F29:F29),3)</f>
        <v>2.75</v>
      </c>
      <c r="G27" s="288"/>
      <c r="H27" s="568">
        <f>ROUND(F27*G27,2)</f>
        <v>0</v>
      </c>
      <c r="I27" s="613" t="s">
        <v>111</v>
      </c>
      <c r="J27" s="1580"/>
      <c r="K27" s="1581"/>
      <c r="L27" s="604"/>
      <c r="M27" s="604"/>
      <c r="N27" s="604"/>
      <c r="O27" s="604"/>
      <c r="P27" s="604"/>
      <c r="Q27" s="604"/>
      <c r="R27" s="604"/>
      <c r="S27" s="604"/>
      <c r="T27" s="604"/>
      <c r="V27" s="1585"/>
    </row>
    <row r="28" spans="1:27" s="604" customFormat="1" ht="13.5" customHeight="1">
      <c r="A28" s="1586"/>
      <c r="B28" s="596"/>
      <c r="C28" s="597"/>
      <c r="D28" s="1695" t="s">
        <v>5764</v>
      </c>
      <c r="E28" s="599"/>
      <c r="F28" s="600"/>
      <c r="G28" s="289"/>
      <c r="H28" s="601"/>
      <c r="I28" s="602"/>
      <c r="J28" s="1587"/>
      <c r="L28" s="1588"/>
      <c r="M28" s="1588"/>
      <c r="N28" s="1588"/>
      <c r="O28" s="1588"/>
      <c r="P28" s="1588"/>
      <c r="Q28" s="1588"/>
      <c r="R28" s="1588"/>
      <c r="S28" s="1588"/>
      <c r="T28" s="1588"/>
      <c r="V28" s="1581"/>
    </row>
    <row r="29" spans="1:27" s="604" customFormat="1" ht="27" customHeight="1">
      <c r="A29" s="1586"/>
      <c r="B29" s="596"/>
      <c r="C29" s="597"/>
      <c r="D29" s="1695" t="s">
        <v>5765</v>
      </c>
      <c r="E29" s="599"/>
      <c r="F29" s="600">
        <f>(2.5)*1.1</f>
        <v>2.75</v>
      </c>
      <c r="G29" s="289"/>
      <c r="H29" s="601"/>
      <c r="I29" s="602"/>
      <c r="J29" s="1589"/>
    </row>
    <row r="30" spans="1:27" s="604" customFormat="1" ht="13.5" customHeight="1">
      <c r="A30" s="1586"/>
      <c r="B30" s="596"/>
      <c r="C30" s="597"/>
      <c r="D30" s="1695" t="s">
        <v>5766</v>
      </c>
      <c r="E30" s="599"/>
      <c r="F30" s="600"/>
      <c r="G30" s="289"/>
      <c r="H30" s="601"/>
      <c r="I30" s="602"/>
      <c r="J30" s="1589"/>
    </row>
    <row r="31" spans="1:27" s="604" customFormat="1" ht="40.5" customHeight="1">
      <c r="A31" s="1586"/>
      <c r="B31" s="596"/>
      <c r="C31" s="597"/>
      <c r="D31" s="597" t="s">
        <v>5767</v>
      </c>
      <c r="E31" s="597"/>
      <c r="F31" s="607"/>
      <c r="G31" s="289"/>
      <c r="H31" s="601"/>
      <c r="I31" s="1590"/>
      <c r="J31" s="1580"/>
      <c r="K31" s="1581"/>
      <c r="U31" s="605"/>
      <c r="W31" s="605"/>
    </row>
    <row r="32" spans="1:27" s="612" customFormat="1" ht="13.5" customHeight="1">
      <c r="A32" s="1583" t="s">
        <v>130</v>
      </c>
      <c r="B32" s="557" t="s">
        <v>5744</v>
      </c>
      <c r="C32" s="557" t="s">
        <v>5768</v>
      </c>
      <c r="D32" s="557" t="s">
        <v>5769</v>
      </c>
      <c r="E32" s="557" t="s">
        <v>49</v>
      </c>
      <c r="F32" s="573">
        <f>ROUND(SUM(F34),3)</f>
        <v>1</v>
      </c>
      <c r="G32" s="288"/>
      <c r="H32" s="568">
        <f>ROUND(F32*G32,2)</f>
        <v>0</v>
      </c>
      <c r="I32" s="613" t="s">
        <v>111</v>
      </c>
      <c r="J32" s="1591"/>
      <c r="K32" s="1592"/>
    </row>
    <row r="33" spans="1:256" s="612" customFormat="1" ht="13.5" customHeight="1">
      <c r="A33" s="1583"/>
      <c r="B33" s="557"/>
      <c r="C33" s="557"/>
      <c r="D33" s="1255" t="s">
        <v>5770</v>
      </c>
      <c r="E33" s="557"/>
      <c r="F33" s="615"/>
      <c r="G33" s="288"/>
      <c r="H33" s="609"/>
      <c r="I33" s="613"/>
      <c r="J33" s="1565"/>
    </row>
    <row r="34" spans="1:256" s="612" customFormat="1" ht="27" customHeight="1">
      <c r="A34" s="1583"/>
      <c r="B34" s="557"/>
      <c r="C34" s="557"/>
      <c r="D34" s="1255" t="s">
        <v>5771</v>
      </c>
      <c r="E34" s="557"/>
      <c r="F34" s="1249">
        <v>1</v>
      </c>
      <c r="G34" s="288"/>
      <c r="H34" s="609"/>
      <c r="I34" s="613"/>
      <c r="J34" s="1565"/>
    </row>
    <row r="35" spans="1:256" s="1600" customFormat="1" ht="54" customHeight="1">
      <c r="A35" s="1593"/>
      <c r="B35" s="1594"/>
      <c r="C35" s="1595"/>
      <c r="D35" s="584" t="s">
        <v>5772</v>
      </c>
      <c r="E35" s="1596"/>
      <c r="F35" s="1597"/>
      <c r="G35" s="407"/>
      <c r="H35" s="1598"/>
      <c r="I35" s="1599"/>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c r="IV35" s="1601"/>
    </row>
    <row r="36" spans="1:256" s="612" customFormat="1" ht="27" customHeight="1">
      <c r="A36" s="608">
        <v>7</v>
      </c>
      <c r="B36" s="557" t="s">
        <v>5744</v>
      </c>
      <c r="C36" s="557" t="s">
        <v>5773</v>
      </c>
      <c r="D36" s="557" t="s">
        <v>5774</v>
      </c>
      <c r="E36" s="557" t="s">
        <v>49</v>
      </c>
      <c r="F36" s="573">
        <f>ROUND(SUM(F38),3)</f>
        <v>1</v>
      </c>
      <c r="G36" s="288"/>
      <c r="H36" s="568">
        <f>ROUND(F36*G36,2)</f>
        <v>0</v>
      </c>
      <c r="I36" s="613" t="s">
        <v>111</v>
      </c>
      <c r="J36" s="1697"/>
    </row>
    <row r="37" spans="1:256" s="612" customFormat="1" ht="27" customHeight="1">
      <c r="A37" s="608"/>
      <c r="B37" s="557"/>
      <c r="C37" s="557"/>
      <c r="D37" s="1695" t="s">
        <v>5775</v>
      </c>
      <c r="E37" s="557"/>
      <c r="F37" s="615"/>
      <c r="G37" s="288"/>
      <c r="H37" s="609"/>
      <c r="I37" s="613"/>
      <c r="J37" s="1697"/>
    </row>
    <row r="38" spans="1:256" s="612" customFormat="1" ht="13.5" customHeight="1">
      <c r="A38" s="608"/>
      <c r="B38" s="557"/>
      <c r="C38" s="557"/>
      <c r="D38" s="1695" t="s">
        <v>5776</v>
      </c>
      <c r="E38" s="557"/>
      <c r="F38" s="1696">
        <v>1</v>
      </c>
      <c r="G38" s="288"/>
      <c r="H38" s="609"/>
      <c r="I38" s="613"/>
      <c r="J38" s="1697"/>
    </row>
    <row r="39" spans="1:256" s="1587" customFormat="1" ht="67.5" customHeight="1">
      <c r="A39" s="1602"/>
      <c r="B39" s="1603"/>
      <c r="C39" s="1604"/>
      <c r="D39" s="584" t="s">
        <v>5777</v>
      </c>
      <c r="E39" s="1605"/>
      <c r="F39" s="1606"/>
      <c r="G39" s="299"/>
      <c r="H39" s="1607"/>
      <c r="I39" s="160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CW39" s="1588"/>
      <c r="CX39" s="1588"/>
      <c r="CY39" s="1588"/>
      <c r="CZ39" s="1588"/>
      <c r="DA39" s="1588"/>
      <c r="DB39" s="1588"/>
      <c r="DC39" s="1588"/>
      <c r="DD39" s="1588"/>
      <c r="DE39" s="1588"/>
      <c r="DF39" s="1588"/>
      <c r="DG39" s="1588"/>
      <c r="DH39" s="1588"/>
      <c r="DI39" s="1588"/>
      <c r="DJ39" s="1588"/>
      <c r="DK39" s="1588"/>
      <c r="DL39" s="1588"/>
      <c r="DM39" s="1588"/>
      <c r="DN39" s="1588"/>
      <c r="DO39" s="1588"/>
      <c r="DP39" s="1588"/>
      <c r="DQ39" s="1588"/>
      <c r="DR39" s="1588"/>
      <c r="DS39" s="1588"/>
      <c r="DT39" s="1588"/>
      <c r="DU39" s="1588"/>
      <c r="DV39" s="1588"/>
      <c r="DW39" s="1588"/>
      <c r="DX39" s="1588"/>
      <c r="DY39" s="1588"/>
      <c r="DZ39" s="1588"/>
      <c r="EA39" s="1588"/>
      <c r="EB39" s="1588"/>
      <c r="EC39" s="1588"/>
      <c r="ED39" s="1588"/>
      <c r="EE39" s="1588"/>
      <c r="EF39" s="1588"/>
      <c r="EG39" s="1588"/>
      <c r="EH39" s="1588"/>
      <c r="EI39" s="1588"/>
      <c r="EJ39" s="1588"/>
      <c r="EK39" s="1588"/>
      <c r="EL39" s="1588"/>
      <c r="EM39" s="1588"/>
      <c r="EN39" s="1588"/>
      <c r="EO39" s="1588"/>
      <c r="EP39" s="1588"/>
      <c r="EQ39" s="1588"/>
      <c r="ER39" s="1588"/>
      <c r="ES39" s="1588"/>
      <c r="ET39" s="1588"/>
      <c r="EU39" s="1588"/>
      <c r="EV39" s="1588"/>
      <c r="EW39" s="1588"/>
      <c r="EX39" s="1588"/>
      <c r="EY39" s="1588"/>
      <c r="EZ39" s="1588"/>
      <c r="FA39" s="1588"/>
      <c r="FB39" s="1588"/>
      <c r="FC39" s="1588"/>
      <c r="FD39" s="1588"/>
      <c r="FE39" s="1588"/>
      <c r="FF39" s="1588"/>
      <c r="FG39" s="1588"/>
      <c r="FH39" s="1588"/>
      <c r="FI39" s="1588"/>
      <c r="FJ39" s="1588"/>
      <c r="FK39" s="1588"/>
      <c r="FL39" s="1588"/>
      <c r="FM39" s="1588"/>
      <c r="FN39" s="1588"/>
      <c r="FO39" s="1588"/>
      <c r="FP39" s="1588"/>
      <c r="FQ39" s="1588"/>
      <c r="FR39" s="1588"/>
      <c r="FS39" s="1588"/>
      <c r="FT39" s="1588"/>
      <c r="FU39" s="1588"/>
      <c r="FV39" s="1588"/>
      <c r="FW39" s="1588"/>
      <c r="FX39" s="1588"/>
      <c r="FY39" s="1588"/>
      <c r="FZ39" s="1588"/>
      <c r="GA39" s="1588"/>
      <c r="GB39" s="1588"/>
      <c r="GC39" s="1588"/>
      <c r="GD39" s="1588"/>
      <c r="GE39" s="1588"/>
      <c r="GF39" s="1588"/>
      <c r="GG39" s="1588"/>
      <c r="GH39" s="1588"/>
      <c r="GI39" s="1588"/>
      <c r="GJ39" s="1588"/>
      <c r="GK39" s="1588"/>
      <c r="GL39" s="1588"/>
      <c r="GM39" s="1588"/>
      <c r="GN39" s="1588"/>
      <c r="GO39" s="1588"/>
      <c r="GP39" s="1588"/>
      <c r="GQ39" s="1588"/>
      <c r="GR39" s="1588"/>
      <c r="GS39" s="1588"/>
      <c r="GT39" s="1588"/>
      <c r="GU39" s="1588"/>
      <c r="GV39" s="1588"/>
      <c r="GW39" s="1588"/>
      <c r="GX39" s="1588"/>
      <c r="GY39" s="1588"/>
      <c r="GZ39" s="1588"/>
      <c r="HA39" s="1588"/>
      <c r="HB39" s="1588"/>
      <c r="HC39" s="1588"/>
      <c r="HD39" s="1588"/>
      <c r="HE39" s="1588"/>
      <c r="HF39" s="1588"/>
      <c r="HG39" s="1588"/>
      <c r="HH39" s="1588"/>
      <c r="HI39" s="1588"/>
      <c r="HJ39" s="1588"/>
      <c r="HK39" s="1588"/>
      <c r="HL39" s="1588"/>
      <c r="HM39" s="1588"/>
      <c r="HN39" s="1588"/>
      <c r="HO39" s="1588"/>
      <c r="HP39" s="1588"/>
      <c r="HQ39" s="1588"/>
      <c r="HR39" s="1588"/>
      <c r="HS39" s="1588"/>
      <c r="HT39" s="1588"/>
      <c r="HU39" s="1588"/>
      <c r="HV39" s="1588"/>
      <c r="HW39" s="1588"/>
      <c r="HX39" s="1588"/>
      <c r="HY39" s="1588"/>
      <c r="HZ39" s="1588"/>
      <c r="IA39" s="1588"/>
      <c r="IB39" s="1588"/>
      <c r="IC39" s="1588"/>
      <c r="ID39" s="1588"/>
      <c r="IE39" s="1588"/>
      <c r="IF39" s="1588"/>
      <c r="IG39" s="1588"/>
      <c r="IH39" s="1588"/>
      <c r="II39" s="1588"/>
      <c r="IJ39" s="1588"/>
      <c r="IK39" s="1588"/>
      <c r="IL39" s="1588"/>
      <c r="IM39" s="1588"/>
      <c r="IN39" s="1588"/>
      <c r="IO39" s="1588"/>
      <c r="IP39" s="1588"/>
      <c r="IQ39" s="1588"/>
      <c r="IR39" s="1588"/>
      <c r="IS39" s="1588"/>
      <c r="IT39" s="1588"/>
      <c r="IU39" s="1588"/>
      <c r="IV39" s="1588"/>
    </row>
    <row r="40" spans="1:256" s="612" customFormat="1" ht="13.5" customHeight="1">
      <c r="A40" s="608">
        <v>8</v>
      </c>
      <c r="B40" s="557" t="s">
        <v>362</v>
      </c>
      <c r="C40" s="557" t="s">
        <v>1802</v>
      </c>
      <c r="D40" s="557" t="s">
        <v>1803</v>
      </c>
      <c r="E40" s="557" t="s">
        <v>69</v>
      </c>
      <c r="F40" s="573">
        <f>ROUND(SUM(F41),3)</f>
        <v>2</v>
      </c>
      <c r="G40" s="288"/>
      <c r="H40" s="568">
        <f>ROUND(F40*G40,2)</f>
        <v>0</v>
      </c>
      <c r="I40" s="613" t="s">
        <v>137</v>
      </c>
      <c r="J40" s="408"/>
    </row>
    <row r="41" spans="1:256" s="1564" customFormat="1" ht="27" customHeight="1">
      <c r="A41" s="1702"/>
      <c r="B41" s="1694"/>
      <c r="C41" s="1703"/>
      <c r="D41" s="1695" t="s">
        <v>5778</v>
      </c>
      <c r="E41" s="402"/>
      <c r="F41" s="1696">
        <v>2</v>
      </c>
      <c r="G41" s="1413"/>
      <c r="H41" s="1261"/>
      <c r="I41" s="1704"/>
      <c r="J41" s="612"/>
      <c r="K41" s="612"/>
      <c r="L41" s="612"/>
      <c r="M41" s="612"/>
      <c r="N41" s="612"/>
    </row>
    <row r="42" spans="1:256" s="612" customFormat="1" ht="13.5" customHeight="1">
      <c r="A42" s="608"/>
      <c r="B42" s="557"/>
      <c r="C42" s="616" t="s">
        <v>5779</v>
      </c>
      <c r="D42" s="616" t="s">
        <v>5780</v>
      </c>
      <c r="E42" s="616"/>
      <c r="F42" s="909"/>
      <c r="G42" s="303"/>
      <c r="H42" s="828">
        <f>SUM(H43:H65)</f>
        <v>0</v>
      </c>
      <c r="I42" s="613"/>
    </row>
    <row r="43" spans="1:256" s="612" customFormat="1" ht="13.5" customHeight="1">
      <c r="A43" s="1583" t="s">
        <v>311</v>
      </c>
      <c r="B43" s="557">
        <v>922</v>
      </c>
      <c r="C43" s="557" t="s">
        <v>5781</v>
      </c>
      <c r="D43" s="557" t="s">
        <v>5782</v>
      </c>
      <c r="E43" s="557" t="s">
        <v>141</v>
      </c>
      <c r="F43" s="573">
        <f>ROUND(SUM(F45:F47),3)</f>
        <v>48.29</v>
      </c>
      <c r="G43" s="288"/>
      <c r="H43" s="568">
        <f>ROUND(F43*G43,2)</f>
        <v>0</v>
      </c>
      <c r="I43" s="613" t="s">
        <v>111</v>
      </c>
      <c r="J43" s="1580"/>
      <c r="K43" s="604"/>
      <c r="L43" s="604"/>
      <c r="M43" s="604"/>
      <c r="N43" s="604"/>
      <c r="O43" s="604"/>
      <c r="P43" s="604"/>
      <c r="Q43" s="1581"/>
      <c r="S43" s="637"/>
    </row>
    <row r="44" spans="1:256" s="604" customFormat="1" ht="27" customHeight="1">
      <c r="A44" s="1586"/>
      <c r="B44" s="596"/>
      <c r="C44" s="597"/>
      <c r="D44" s="1695" t="s">
        <v>5783</v>
      </c>
      <c r="E44" s="599"/>
      <c r="F44" s="1609"/>
      <c r="G44" s="289"/>
      <c r="H44" s="601"/>
      <c r="I44" s="602"/>
      <c r="J44" s="1580"/>
      <c r="K44" s="1581"/>
      <c r="R44" s="1581"/>
      <c r="U44" s="605"/>
      <c r="W44" s="605"/>
    </row>
    <row r="45" spans="1:256" s="604" customFormat="1" ht="13.5" customHeight="1">
      <c r="A45" s="1586"/>
      <c r="B45" s="596"/>
      <c r="C45" s="597"/>
      <c r="D45" s="1695" t="s">
        <v>5784</v>
      </c>
      <c r="E45" s="599"/>
      <c r="F45" s="1609">
        <f>(14.9)*1.1</f>
        <v>16.39</v>
      </c>
      <c r="G45" s="289"/>
      <c r="H45" s="601"/>
      <c r="I45" s="602"/>
      <c r="J45" s="612"/>
      <c r="K45" s="612"/>
      <c r="L45" s="612"/>
      <c r="M45" s="612"/>
      <c r="N45" s="612"/>
      <c r="O45" s="612"/>
      <c r="Q45" s="621"/>
      <c r="R45" s="612"/>
      <c r="S45" s="612"/>
      <c r="U45" s="605"/>
      <c r="W45" s="605"/>
    </row>
    <row r="46" spans="1:256" s="604" customFormat="1" ht="13.5" customHeight="1">
      <c r="A46" s="1586"/>
      <c r="B46" s="596"/>
      <c r="C46" s="597"/>
      <c r="D46" s="1695" t="s">
        <v>5785</v>
      </c>
      <c r="E46" s="599"/>
      <c r="F46" s="1609">
        <f>(26.5)*1.1</f>
        <v>29.150000000000002</v>
      </c>
      <c r="G46" s="289"/>
      <c r="H46" s="601"/>
      <c r="I46" s="602"/>
      <c r="J46" s="612"/>
      <c r="K46" s="612"/>
      <c r="L46" s="612"/>
      <c r="M46" s="612"/>
      <c r="N46" s="612"/>
      <c r="O46" s="612"/>
      <c r="Q46" s="621"/>
      <c r="R46" s="612"/>
      <c r="S46" s="612"/>
      <c r="U46" s="605"/>
      <c r="W46" s="605"/>
    </row>
    <row r="47" spans="1:256" s="604" customFormat="1" ht="13.5" customHeight="1">
      <c r="A47" s="1586"/>
      <c r="B47" s="596"/>
      <c r="C47" s="597"/>
      <c r="D47" s="1695" t="s">
        <v>5786</v>
      </c>
      <c r="E47" s="599"/>
      <c r="F47" s="1609">
        <f>(2.5)*1.1</f>
        <v>2.75</v>
      </c>
      <c r="G47" s="289"/>
      <c r="H47" s="601"/>
      <c r="I47" s="602"/>
      <c r="J47" s="612"/>
      <c r="K47" s="612"/>
      <c r="L47" s="612"/>
      <c r="M47" s="612"/>
      <c r="N47" s="612"/>
      <c r="O47" s="612"/>
      <c r="Q47" s="621"/>
      <c r="R47" s="612"/>
      <c r="S47" s="612"/>
      <c r="U47" s="605"/>
      <c r="W47" s="605"/>
    </row>
    <row r="48" spans="1:256" s="604" customFormat="1" ht="27" customHeight="1">
      <c r="A48" s="1586"/>
      <c r="B48" s="596"/>
      <c r="C48" s="597"/>
      <c r="D48" s="597" t="s">
        <v>5787</v>
      </c>
      <c r="E48" s="597"/>
      <c r="F48" s="1610"/>
      <c r="G48" s="289"/>
      <c r="H48" s="601"/>
      <c r="I48" s="1590"/>
      <c r="J48" s="606"/>
      <c r="U48" s="605"/>
      <c r="W48" s="605"/>
    </row>
    <row r="49" spans="1:256" s="612" customFormat="1" ht="13.5" customHeight="1">
      <c r="A49" s="608">
        <v>10</v>
      </c>
      <c r="B49" s="557">
        <v>922</v>
      </c>
      <c r="C49" s="557" t="s">
        <v>5788</v>
      </c>
      <c r="D49" s="557" t="s">
        <v>5789</v>
      </c>
      <c r="E49" s="557" t="s">
        <v>205</v>
      </c>
      <c r="F49" s="573">
        <f>ROUND(SUM(F51:F51),3)</f>
        <v>1</v>
      </c>
      <c r="G49" s="288"/>
      <c r="H49" s="568">
        <f>ROUND(F49*G49,2)</f>
        <v>0</v>
      </c>
      <c r="I49" s="613" t="s">
        <v>111</v>
      </c>
      <c r="J49" s="409"/>
    </row>
    <row r="50" spans="1:256" s="604" customFormat="1" ht="13.5" customHeight="1">
      <c r="A50" s="1586"/>
      <c r="B50" s="596"/>
      <c r="C50" s="597"/>
      <c r="D50" s="1695" t="s">
        <v>5790</v>
      </c>
      <c r="E50" s="599"/>
      <c r="F50" s="600"/>
      <c r="G50" s="289"/>
      <c r="H50" s="601"/>
      <c r="I50" s="602"/>
      <c r="J50" s="1580"/>
      <c r="U50" s="605"/>
      <c r="W50" s="605"/>
    </row>
    <row r="51" spans="1:256" s="604" customFormat="1" ht="13.5" customHeight="1">
      <c r="A51" s="1586"/>
      <c r="B51" s="596"/>
      <c r="C51" s="597"/>
      <c r="D51" s="1695" t="s">
        <v>5791</v>
      </c>
      <c r="E51" s="599"/>
      <c r="F51" s="600">
        <v>1</v>
      </c>
      <c r="G51" s="289"/>
      <c r="H51" s="601"/>
      <c r="I51" s="602"/>
      <c r="J51" s="1580"/>
      <c r="U51" s="605"/>
      <c r="W51" s="605"/>
    </row>
    <row r="52" spans="1:256" s="604" customFormat="1" ht="27" customHeight="1">
      <c r="A52" s="1586"/>
      <c r="B52" s="596"/>
      <c r="C52" s="597"/>
      <c r="D52" s="597" t="s">
        <v>5792</v>
      </c>
      <c r="E52" s="597"/>
      <c r="F52" s="607"/>
      <c r="G52" s="289"/>
      <c r="H52" s="601"/>
      <c r="I52" s="602"/>
      <c r="J52" s="606"/>
      <c r="U52" s="605"/>
      <c r="W52" s="605"/>
    </row>
    <row r="53" spans="1:256" s="612" customFormat="1" ht="13.5" customHeight="1">
      <c r="A53" s="1583" t="s">
        <v>882</v>
      </c>
      <c r="B53" s="557" t="s">
        <v>5744</v>
      </c>
      <c r="C53" s="557" t="s">
        <v>5793</v>
      </c>
      <c r="D53" s="557" t="s">
        <v>5794</v>
      </c>
      <c r="E53" s="557" t="s">
        <v>49</v>
      </c>
      <c r="F53" s="573">
        <f>ROUND(SUM(F55),3)</f>
        <v>1</v>
      </c>
      <c r="G53" s="288"/>
      <c r="H53" s="568">
        <f>ROUND(F53*G53,2)</f>
        <v>0</v>
      </c>
      <c r="I53" s="613" t="s">
        <v>111</v>
      </c>
      <c r="J53" s="1591"/>
    </row>
    <row r="54" spans="1:256" s="612" customFormat="1" ht="13.5" customHeight="1">
      <c r="A54" s="1583"/>
      <c r="B54" s="557"/>
      <c r="C54" s="557"/>
      <c r="D54" s="1255" t="s">
        <v>5795</v>
      </c>
      <c r="E54" s="557"/>
      <c r="F54" s="615"/>
      <c r="G54" s="288"/>
      <c r="H54" s="609"/>
      <c r="I54" s="613"/>
      <c r="J54" s="1565"/>
    </row>
    <row r="55" spans="1:256" s="612" customFormat="1" ht="27" customHeight="1">
      <c r="A55" s="1583"/>
      <c r="B55" s="557"/>
      <c r="C55" s="557"/>
      <c r="D55" s="1255" t="s">
        <v>5796</v>
      </c>
      <c r="E55" s="557"/>
      <c r="F55" s="1249">
        <v>1</v>
      </c>
      <c r="G55" s="288"/>
      <c r="H55" s="609"/>
      <c r="I55" s="613"/>
      <c r="J55" s="1592"/>
    </row>
    <row r="56" spans="1:256" s="1600" customFormat="1" ht="54" customHeight="1">
      <c r="A56" s="1593"/>
      <c r="B56" s="1594"/>
      <c r="C56" s="1595"/>
      <c r="D56" s="584" t="s">
        <v>5797</v>
      </c>
      <c r="E56" s="1596"/>
      <c r="F56" s="1597"/>
      <c r="G56" s="407"/>
      <c r="H56" s="1598"/>
      <c r="I56" s="1599"/>
      <c r="J56" s="1592"/>
      <c r="L56" s="1601"/>
      <c r="M56" s="1601"/>
      <c r="N56" s="1601"/>
      <c r="O56" s="161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c r="IV56" s="1601"/>
    </row>
    <row r="57" spans="1:256" s="612" customFormat="1" ht="13.5" customHeight="1">
      <c r="A57" s="608">
        <v>12</v>
      </c>
      <c r="B57" s="557">
        <v>922</v>
      </c>
      <c r="C57" s="557" t="s">
        <v>5798</v>
      </c>
      <c r="D57" s="557" t="s">
        <v>5799</v>
      </c>
      <c r="E57" s="557" t="s">
        <v>49</v>
      </c>
      <c r="F57" s="573">
        <f>ROUND(SUM(F58),3)</f>
        <v>1</v>
      </c>
      <c r="G57" s="288"/>
      <c r="H57" s="568">
        <f>ROUND(F57*G57,2)</f>
        <v>0</v>
      </c>
      <c r="I57" s="613" t="s">
        <v>111</v>
      </c>
      <c r="J57" s="408"/>
    </row>
    <row r="58" spans="1:256" s="1564" customFormat="1" ht="27" customHeight="1">
      <c r="A58" s="1702"/>
      <c r="B58" s="1694"/>
      <c r="C58" s="1703"/>
      <c r="D58" s="1695" t="s">
        <v>5800</v>
      </c>
      <c r="E58" s="402"/>
      <c r="F58" s="1696">
        <v>1</v>
      </c>
      <c r="G58" s="1413"/>
      <c r="H58" s="1261"/>
      <c r="I58" s="1704"/>
      <c r="K58" s="593"/>
    </row>
    <row r="59" spans="1:256" s="1564" customFormat="1" ht="13.5" customHeight="1">
      <c r="A59" s="1702"/>
      <c r="B59" s="1694"/>
      <c r="C59" s="1703"/>
      <c r="D59" s="1695" t="s">
        <v>278</v>
      </c>
      <c r="E59" s="402"/>
      <c r="F59" s="1696"/>
      <c r="G59" s="1413"/>
      <c r="H59" s="1261"/>
      <c r="I59" s="1704"/>
      <c r="K59" s="593"/>
    </row>
    <row r="60" spans="1:256" s="612" customFormat="1" ht="13.5" customHeight="1">
      <c r="A60" s="608">
        <v>13</v>
      </c>
      <c r="B60" s="557">
        <v>922</v>
      </c>
      <c r="C60" s="557" t="s">
        <v>5801</v>
      </c>
      <c r="D60" s="557" t="s">
        <v>1618</v>
      </c>
      <c r="E60" s="557" t="s">
        <v>205</v>
      </c>
      <c r="F60" s="573">
        <f>ROUND(SUM(F61),3)</f>
        <v>1</v>
      </c>
      <c r="G60" s="288"/>
      <c r="H60" s="568">
        <f>ROUND(F60*G60,2)</f>
        <v>0</v>
      </c>
      <c r="I60" s="613" t="s">
        <v>111</v>
      </c>
      <c r="J60" s="408"/>
    </row>
    <row r="61" spans="1:256" s="1564" customFormat="1" ht="13.5" customHeight="1">
      <c r="A61" s="1702"/>
      <c r="B61" s="1694"/>
      <c r="C61" s="1703"/>
      <c r="D61" s="1695" t="s">
        <v>5802</v>
      </c>
      <c r="E61" s="402"/>
      <c r="F61" s="1696">
        <v>1</v>
      </c>
      <c r="G61" s="1413"/>
      <c r="H61" s="1261"/>
      <c r="I61" s="1704"/>
      <c r="K61" s="593"/>
    </row>
    <row r="62" spans="1:256" s="612" customFormat="1" ht="13.5" customHeight="1">
      <c r="A62" s="608">
        <v>14</v>
      </c>
      <c r="B62" s="557">
        <v>922</v>
      </c>
      <c r="C62" s="557" t="s">
        <v>5803</v>
      </c>
      <c r="D62" s="557" t="s">
        <v>5804</v>
      </c>
      <c r="E62" s="557" t="s">
        <v>49</v>
      </c>
      <c r="F62" s="573">
        <f>ROUND(SUM(F63),3)</f>
        <v>1</v>
      </c>
      <c r="G62" s="288"/>
      <c r="H62" s="568">
        <f>ROUND(F62*G62,2)</f>
        <v>0</v>
      </c>
      <c r="I62" s="613" t="s">
        <v>111</v>
      </c>
      <c r="J62" s="408"/>
    </row>
    <row r="63" spans="1:256" s="1564" customFormat="1" ht="13.5" customHeight="1">
      <c r="A63" s="1702"/>
      <c r="B63" s="1694"/>
      <c r="C63" s="1703"/>
      <c r="D63" s="1695" t="s">
        <v>5805</v>
      </c>
      <c r="E63" s="402"/>
      <c r="F63" s="1696">
        <v>1</v>
      </c>
      <c r="G63" s="1413"/>
      <c r="H63" s="1261"/>
      <c r="I63" s="1704"/>
      <c r="K63" s="593"/>
    </row>
    <row r="64" spans="1:256" s="612" customFormat="1" ht="13.5" customHeight="1">
      <c r="A64" s="608">
        <v>15</v>
      </c>
      <c r="B64" s="557" t="s">
        <v>362</v>
      </c>
      <c r="C64" s="557" t="s">
        <v>1802</v>
      </c>
      <c r="D64" s="557" t="s">
        <v>1803</v>
      </c>
      <c r="E64" s="557" t="s">
        <v>69</v>
      </c>
      <c r="F64" s="573">
        <f>ROUND(SUM(F65),3)</f>
        <v>2</v>
      </c>
      <c r="G64" s="288"/>
      <c r="H64" s="568">
        <f>ROUND(F64*G64,2)</f>
        <v>0</v>
      </c>
      <c r="I64" s="613" t="s">
        <v>137</v>
      </c>
      <c r="J64" s="408"/>
    </row>
    <row r="65" spans="1:255" s="1564" customFormat="1" ht="27" customHeight="1">
      <c r="A65" s="1702"/>
      <c r="B65" s="1694"/>
      <c r="C65" s="1703"/>
      <c r="D65" s="1695" t="s">
        <v>5778</v>
      </c>
      <c r="E65" s="402"/>
      <c r="F65" s="1696">
        <v>2</v>
      </c>
      <c r="G65" s="1413"/>
      <c r="H65" s="1261"/>
      <c r="I65" s="1704"/>
      <c r="J65" s="612"/>
      <c r="K65" s="612"/>
      <c r="L65" s="612"/>
      <c r="M65" s="612"/>
      <c r="N65" s="612"/>
    </row>
    <row r="66" spans="1:255" s="612" customFormat="1" ht="13.5" customHeight="1">
      <c r="A66" s="608"/>
      <c r="B66" s="557"/>
      <c r="C66" s="616" t="s">
        <v>5806</v>
      </c>
      <c r="D66" s="616" t="s">
        <v>5807</v>
      </c>
      <c r="E66" s="616"/>
      <c r="F66" s="617"/>
      <c r="G66" s="303"/>
      <c r="H66" s="828">
        <f>SUM(H67:H152,H157:H163,H167:H173,H179:H186)</f>
        <v>0</v>
      </c>
      <c r="I66" s="613"/>
      <c r="J66" s="1705"/>
      <c r="K66" s="1685"/>
      <c r="L66" s="1706"/>
      <c r="M66" s="1706"/>
      <c r="N66" s="1706"/>
    </row>
    <row r="67" spans="1:255" s="1685" customFormat="1" ht="13.5" customHeight="1">
      <c r="A67" s="1707">
        <v>16</v>
      </c>
      <c r="B67" s="1708" t="s">
        <v>5808</v>
      </c>
      <c r="C67" s="1708">
        <v>460010024</v>
      </c>
      <c r="D67" s="1708" t="s">
        <v>5809</v>
      </c>
      <c r="E67" s="1708" t="s">
        <v>5810</v>
      </c>
      <c r="F67" s="573">
        <f>ROUND(SUM(F68),3)</f>
        <v>4.1000000000000002E-2</v>
      </c>
      <c r="G67" s="288"/>
      <c r="H67" s="568">
        <f>ROUND(F67*G67,2)</f>
        <v>0</v>
      </c>
      <c r="I67" s="613" t="s">
        <v>137</v>
      </c>
      <c r="J67" s="603"/>
      <c r="K67" s="604"/>
      <c r="L67" s="604"/>
      <c r="M67" s="604"/>
      <c r="N67" s="604"/>
      <c r="BJ67" s="1709"/>
      <c r="BK67" s="1709"/>
      <c r="BL67" s="1709"/>
      <c r="BM67" s="1709"/>
      <c r="BN67" s="1709"/>
      <c r="BO67" s="1709"/>
      <c r="BP67" s="1709"/>
      <c r="BQ67" s="1709"/>
      <c r="BR67" s="1709"/>
      <c r="BS67" s="1709"/>
      <c r="BT67" s="1709"/>
      <c r="BU67" s="1709"/>
      <c r="BV67" s="1709"/>
      <c r="BW67" s="1709"/>
      <c r="BX67" s="1709"/>
      <c r="BY67" s="1709"/>
      <c r="BZ67" s="1709"/>
      <c r="CA67" s="1709"/>
      <c r="CB67" s="1709"/>
      <c r="CC67" s="1709"/>
      <c r="CD67" s="1709"/>
      <c r="CE67" s="1709"/>
      <c r="CF67" s="1709"/>
      <c r="CG67" s="1709"/>
      <c r="CH67" s="1709"/>
      <c r="CI67" s="1709"/>
      <c r="CJ67" s="1709"/>
      <c r="CK67" s="1709"/>
      <c r="CL67" s="1709"/>
      <c r="CM67" s="1709"/>
      <c r="CN67" s="1709"/>
      <c r="CO67" s="1709"/>
      <c r="CP67" s="1709"/>
      <c r="CQ67" s="1709"/>
      <c r="CR67" s="1709"/>
      <c r="CS67" s="1709"/>
      <c r="CT67" s="1709"/>
      <c r="CU67" s="1709"/>
      <c r="CV67" s="1709"/>
      <c r="CW67" s="1709"/>
      <c r="CX67" s="1709"/>
      <c r="CY67" s="1709"/>
      <c r="CZ67" s="1709"/>
      <c r="DA67" s="1709"/>
      <c r="DB67" s="1709"/>
      <c r="DC67" s="1709"/>
      <c r="DD67" s="1709"/>
      <c r="DE67" s="1709"/>
      <c r="DF67" s="1709"/>
      <c r="DG67" s="1709"/>
      <c r="DH67" s="1709"/>
      <c r="DI67" s="1709"/>
      <c r="DJ67" s="1709"/>
      <c r="DK67" s="1709"/>
      <c r="DL67" s="1709"/>
      <c r="DM67" s="1709"/>
      <c r="DN67" s="1709"/>
      <c r="DO67" s="1709"/>
      <c r="DP67" s="1709"/>
      <c r="DQ67" s="1709"/>
      <c r="DR67" s="1709"/>
      <c r="DS67" s="1709"/>
      <c r="DT67" s="1709"/>
      <c r="DU67" s="1709"/>
      <c r="DV67" s="1709"/>
      <c r="DW67" s="1709"/>
      <c r="DX67" s="1709"/>
      <c r="DY67" s="1709"/>
      <c r="DZ67" s="1709"/>
      <c r="EA67" s="1709"/>
      <c r="EB67" s="1709"/>
      <c r="EC67" s="1709"/>
      <c r="ED67" s="1709"/>
      <c r="EE67" s="1709"/>
      <c r="EF67" s="1709"/>
      <c r="EG67" s="1709"/>
      <c r="EH67" s="1709"/>
      <c r="EI67" s="1709"/>
      <c r="EJ67" s="1709"/>
      <c r="EK67" s="1709"/>
      <c r="EL67" s="1709"/>
      <c r="EM67" s="1709"/>
      <c r="EN67" s="1709"/>
      <c r="EO67" s="1709"/>
      <c r="EP67" s="1709"/>
      <c r="EQ67" s="1709"/>
      <c r="ER67" s="1709"/>
      <c r="ES67" s="1709"/>
      <c r="ET67" s="1709"/>
      <c r="EU67" s="1709"/>
      <c r="EV67" s="1709"/>
      <c r="EW67" s="1709"/>
      <c r="EX67" s="1709"/>
      <c r="EY67" s="1709"/>
      <c r="EZ67" s="1709"/>
      <c r="FA67" s="1709"/>
      <c r="FB67" s="1709"/>
      <c r="FC67" s="1709"/>
      <c r="FD67" s="1709"/>
      <c r="FE67" s="1709"/>
      <c r="FF67" s="1709"/>
      <c r="FG67" s="1709"/>
      <c r="FH67" s="1709"/>
      <c r="FI67" s="1709"/>
      <c r="FJ67" s="1709"/>
      <c r="FK67" s="1709"/>
      <c r="FL67" s="1709"/>
      <c r="FM67" s="1709"/>
      <c r="FN67" s="1709"/>
      <c r="FO67" s="1709"/>
      <c r="FP67" s="1709"/>
      <c r="FQ67" s="1709"/>
      <c r="FR67" s="1709"/>
      <c r="FS67" s="1709"/>
      <c r="FT67" s="1709"/>
      <c r="FU67" s="1709"/>
      <c r="FV67" s="1709"/>
      <c r="FW67" s="1709"/>
      <c r="FX67" s="1709"/>
      <c r="FY67" s="1709"/>
      <c r="FZ67" s="1709"/>
      <c r="GA67" s="1709"/>
      <c r="GB67" s="1709"/>
      <c r="GC67" s="1709"/>
      <c r="GD67" s="1709"/>
      <c r="GE67" s="1709"/>
      <c r="GF67" s="1709"/>
      <c r="GG67" s="1709"/>
      <c r="GH67" s="1709"/>
      <c r="GI67" s="1709"/>
      <c r="GJ67" s="1709"/>
      <c r="GK67" s="1709"/>
      <c r="GL67" s="1709"/>
      <c r="GM67" s="1709"/>
      <c r="GN67" s="1709"/>
      <c r="GO67" s="1709"/>
      <c r="GP67" s="1709"/>
      <c r="GQ67" s="1709"/>
      <c r="GR67" s="1709"/>
      <c r="GS67" s="1709"/>
      <c r="GT67" s="1709"/>
      <c r="GU67" s="1709"/>
      <c r="GV67" s="1709"/>
      <c r="GW67" s="1709"/>
      <c r="GX67" s="1709"/>
      <c r="GY67" s="1709"/>
      <c r="GZ67" s="1709"/>
      <c r="HA67" s="1709"/>
      <c r="HB67" s="1709"/>
      <c r="HC67" s="1709"/>
      <c r="HD67" s="1709"/>
      <c r="HE67" s="1709"/>
      <c r="HF67" s="1709"/>
      <c r="HG67" s="1709"/>
      <c r="HH67" s="1709"/>
      <c r="HI67" s="1709"/>
      <c r="HJ67" s="1709"/>
      <c r="HK67" s="1709"/>
      <c r="HL67" s="1709"/>
      <c r="HM67" s="1709"/>
      <c r="HN67" s="1709"/>
      <c r="HO67" s="1709"/>
      <c r="HP67" s="1709"/>
      <c r="HQ67" s="1709"/>
      <c r="HR67" s="1709"/>
      <c r="HS67" s="1709"/>
      <c r="HT67" s="1709"/>
      <c r="HU67" s="1709"/>
      <c r="HV67" s="1709"/>
      <c r="HW67" s="1709"/>
      <c r="HX67" s="1709"/>
      <c r="HY67" s="1709"/>
      <c r="HZ67" s="1709"/>
      <c r="IA67" s="1709"/>
      <c r="IB67" s="1709"/>
      <c r="IC67" s="1709"/>
      <c r="ID67" s="1709"/>
      <c r="IE67" s="1709"/>
      <c r="IF67" s="1709"/>
      <c r="IG67" s="1709"/>
      <c r="IH67" s="1709"/>
      <c r="II67" s="1709"/>
      <c r="IJ67" s="1709"/>
      <c r="IK67" s="1709"/>
      <c r="IL67" s="1709"/>
      <c r="IM67" s="1709"/>
      <c r="IN67" s="1709"/>
      <c r="IO67" s="1709"/>
      <c r="IP67" s="1709"/>
      <c r="IQ67" s="1709"/>
      <c r="IR67" s="1709"/>
      <c r="IS67" s="1709"/>
      <c r="IT67" s="1709"/>
      <c r="IU67" s="1709"/>
    </row>
    <row r="68" spans="1:255" s="604" customFormat="1" ht="13.5" customHeight="1">
      <c r="A68" s="595"/>
      <c r="B68" s="596"/>
      <c r="C68" s="597"/>
      <c r="D68" s="719" t="s">
        <v>5811</v>
      </c>
      <c r="E68" s="599"/>
      <c r="F68" s="600">
        <f>(14.9+26.5)/1000</f>
        <v>4.1399999999999999E-2</v>
      </c>
      <c r="G68" s="289"/>
      <c r="H68" s="601"/>
      <c r="I68" s="602"/>
      <c r="J68" s="603"/>
      <c r="N68" s="1685"/>
      <c r="U68" s="605"/>
      <c r="W68" s="605"/>
    </row>
    <row r="69" spans="1:255" s="1685" customFormat="1" ht="13.5" customHeight="1">
      <c r="A69" s="1707">
        <v>17</v>
      </c>
      <c r="B69" s="1708" t="s">
        <v>5808</v>
      </c>
      <c r="C69" s="1708">
        <v>460041111</v>
      </c>
      <c r="D69" s="1708" t="s">
        <v>5812</v>
      </c>
      <c r="E69" s="1708" t="s">
        <v>69</v>
      </c>
      <c r="F69" s="573">
        <f>ROUND(SUM(F70),3)</f>
        <v>2</v>
      </c>
      <c r="G69" s="288"/>
      <c r="H69" s="568">
        <f>ROUND(F69*G69,2)</f>
        <v>0</v>
      </c>
      <c r="I69" s="613" t="s">
        <v>137</v>
      </c>
      <c r="J69" s="603"/>
      <c r="K69" s="604"/>
      <c r="L69" s="604"/>
      <c r="M69" s="604"/>
      <c r="N69" s="604"/>
      <c r="BJ69" s="1709"/>
      <c r="BK69" s="1709"/>
      <c r="BL69" s="1709"/>
      <c r="BM69" s="1709"/>
      <c r="BN69" s="1709"/>
      <c r="BO69" s="1709"/>
      <c r="BP69" s="1709"/>
      <c r="BQ69" s="1709"/>
      <c r="BR69" s="1709"/>
      <c r="BS69" s="1709"/>
      <c r="BT69" s="1709"/>
      <c r="BU69" s="1709"/>
      <c r="BV69" s="1709"/>
      <c r="BW69" s="1709"/>
      <c r="BX69" s="1709"/>
      <c r="BY69" s="1709"/>
      <c r="BZ69" s="1709"/>
      <c r="CA69" s="1709"/>
      <c r="CB69" s="1709"/>
      <c r="CC69" s="1709"/>
      <c r="CD69" s="1709"/>
      <c r="CE69" s="1709"/>
      <c r="CF69" s="1709"/>
      <c r="CG69" s="1709"/>
      <c r="CH69" s="1709"/>
      <c r="CI69" s="1709"/>
      <c r="CJ69" s="1709"/>
      <c r="CK69" s="1709"/>
      <c r="CL69" s="1709"/>
      <c r="CM69" s="1709"/>
      <c r="CN69" s="1709"/>
      <c r="CO69" s="1709"/>
      <c r="CP69" s="1709"/>
      <c r="CQ69" s="1709"/>
      <c r="CR69" s="1709"/>
      <c r="CS69" s="1709"/>
      <c r="CT69" s="1709"/>
      <c r="CU69" s="1709"/>
      <c r="CV69" s="1709"/>
      <c r="CW69" s="1709"/>
      <c r="CX69" s="1709"/>
      <c r="CY69" s="1709"/>
      <c r="CZ69" s="1709"/>
      <c r="DA69" s="1709"/>
      <c r="DB69" s="1709"/>
      <c r="DC69" s="1709"/>
      <c r="DD69" s="1709"/>
      <c r="DE69" s="1709"/>
      <c r="DF69" s="1709"/>
      <c r="DG69" s="1709"/>
      <c r="DH69" s="1709"/>
      <c r="DI69" s="1709"/>
      <c r="DJ69" s="1709"/>
      <c r="DK69" s="1709"/>
      <c r="DL69" s="1709"/>
      <c r="DM69" s="1709"/>
      <c r="DN69" s="1709"/>
      <c r="DO69" s="1709"/>
      <c r="DP69" s="1709"/>
      <c r="DQ69" s="1709"/>
      <c r="DR69" s="1709"/>
      <c r="DS69" s="1709"/>
      <c r="DT69" s="1709"/>
      <c r="DU69" s="1709"/>
      <c r="DV69" s="1709"/>
      <c r="DW69" s="1709"/>
      <c r="DX69" s="1709"/>
      <c r="DY69" s="1709"/>
      <c r="DZ69" s="1709"/>
      <c r="EA69" s="1709"/>
      <c r="EB69" s="1709"/>
      <c r="EC69" s="1709"/>
      <c r="ED69" s="1709"/>
      <c r="EE69" s="1709"/>
      <c r="EF69" s="1709"/>
      <c r="EG69" s="1709"/>
      <c r="EH69" s="1709"/>
      <c r="EI69" s="1709"/>
      <c r="EJ69" s="1709"/>
      <c r="EK69" s="1709"/>
      <c r="EL69" s="1709"/>
      <c r="EM69" s="1709"/>
      <c r="EN69" s="1709"/>
      <c r="EO69" s="1709"/>
      <c r="EP69" s="1709"/>
      <c r="EQ69" s="1709"/>
      <c r="ER69" s="1709"/>
      <c r="ES69" s="1709"/>
      <c r="ET69" s="1709"/>
      <c r="EU69" s="1709"/>
      <c r="EV69" s="1709"/>
      <c r="EW69" s="1709"/>
      <c r="EX69" s="1709"/>
      <c r="EY69" s="1709"/>
      <c r="EZ69" s="1709"/>
      <c r="FA69" s="1709"/>
      <c r="FB69" s="1709"/>
      <c r="FC69" s="1709"/>
      <c r="FD69" s="1709"/>
      <c r="FE69" s="1709"/>
      <c r="FF69" s="1709"/>
      <c r="FG69" s="1709"/>
      <c r="FH69" s="1709"/>
      <c r="FI69" s="1709"/>
      <c r="FJ69" s="1709"/>
      <c r="FK69" s="1709"/>
      <c r="FL69" s="1709"/>
      <c r="FM69" s="1709"/>
      <c r="FN69" s="1709"/>
      <c r="FO69" s="1709"/>
      <c r="FP69" s="1709"/>
      <c r="FQ69" s="1709"/>
      <c r="FR69" s="1709"/>
      <c r="FS69" s="1709"/>
      <c r="FT69" s="1709"/>
      <c r="FU69" s="1709"/>
      <c r="FV69" s="1709"/>
      <c r="FW69" s="1709"/>
      <c r="FX69" s="1709"/>
      <c r="FY69" s="1709"/>
      <c r="FZ69" s="1709"/>
      <c r="GA69" s="1709"/>
      <c r="GB69" s="1709"/>
      <c r="GC69" s="1709"/>
      <c r="GD69" s="1709"/>
      <c r="GE69" s="1709"/>
      <c r="GF69" s="1709"/>
      <c r="GG69" s="1709"/>
      <c r="GH69" s="1709"/>
      <c r="GI69" s="1709"/>
      <c r="GJ69" s="1709"/>
      <c r="GK69" s="1709"/>
      <c r="GL69" s="1709"/>
      <c r="GM69" s="1709"/>
      <c r="GN69" s="1709"/>
      <c r="GO69" s="1709"/>
      <c r="GP69" s="1709"/>
      <c r="GQ69" s="1709"/>
      <c r="GR69" s="1709"/>
      <c r="GS69" s="1709"/>
      <c r="GT69" s="1709"/>
      <c r="GU69" s="1709"/>
      <c r="GV69" s="1709"/>
      <c r="GW69" s="1709"/>
      <c r="GX69" s="1709"/>
      <c r="GY69" s="1709"/>
      <c r="GZ69" s="1709"/>
      <c r="HA69" s="1709"/>
      <c r="HB69" s="1709"/>
      <c r="HC69" s="1709"/>
      <c r="HD69" s="1709"/>
      <c r="HE69" s="1709"/>
      <c r="HF69" s="1709"/>
      <c r="HG69" s="1709"/>
      <c r="HH69" s="1709"/>
      <c r="HI69" s="1709"/>
      <c r="HJ69" s="1709"/>
      <c r="HK69" s="1709"/>
      <c r="HL69" s="1709"/>
      <c r="HM69" s="1709"/>
      <c r="HN69" s="1709"/>
      <c r="HO69" s="1709"/>
      <c r="HP69" s="1709"/>
      <c r="HQ69" s="1709"/>
      <c r="HR69" s="1709"/>
      <c r="HS69" s="1709"/>
      <c r="HT69" s="1709"/>
      <c r="HU69" s="1709"/>
      <c r="HV69" s="1709"/>
      <c r="HW69" s="1709"/>
      <c r="HX69" s="1709"/>
      <c r="HY69" s="1709"/>
      <c r="HZ69" s="1709"/>
      <c r="IA69" s="1709"/>
      <c r="IB69" s="1709"/>
      <c r="IC69" s="1709"/>
      <c r="ID69" s="1709"/>
      <c r="IE69" s="1709"/>
      <c r="IF69" s="1709"/>
      <c r="IG69" s="1709"/>
      <c r="IH69" s="1709"/>
      <c r="II69" s="1709"/>
      <c r="IJ69" s="1709"/>
      <c r="IK69" s="1709"/>
      <c r="IL69" s="1709"/>
      <c r="IM69" s="1709"/>
      <c r="IN69" s="1709"/>
      <c r="IO69" s="1709"/>
      <c r="IP69" s="1709"/>
      <c r="IQ69" s="1709"/>
      <c r="IR69" s="1709"/>
      <c r="IS69" s="1709"/>
      <c r="IT69" s="1709"/>
      <c r="IU69" s="1709"/>
    </row>
    <row r="70" spans="1:255" s="604" customFormat="1" ht="13.5" customHeight="1">
      <c r="A70" s="595"/>
      <c r="B70" s="596"/>
      <c r="C70" s="597"/>
      <c r="D70" s="719" t="s">
        <v>5813</v>
      </c>
      <c r="E70" s="599"/>
      <c r="F70" s="600">
        <v>2</v>
      </c>
      <c r="G70" s="289"/>
      <c r="H70" s="601"/>
      <c r="I70" s="602"/>
      <c r="J70" s="603"/>
      <c r="U70" s="605"/>
      <c r="W70" s="605"/>
    </row>
    <row r="71" spans="1:255" s="1685" customFormat="1" ht="13.5" customHeight="1">
      <c r="A71" s="1707">
        <v>18</v>
      </c>
      <c r="B71" s="1708" t="s">
        <v>5808</v>
      </c>
      <c r="C71" s="1708">
        <v>460161452</v>
      </c>
      <c r="D71" s="1708" t="s">
        <v>5814</v>
      </c>
      <c r="E71" s="1708" t="s">
        <v>141</v>
      </c>
      <c r="F71" s="573">
        <f>ROUND(SUM(F73),3)</f>
        <v>1.325</v>
      </c>
      <c r="G71" s="288"/>
      <c r="H71" s="568">
        <f>ROUND(F71*G71,2)</f>
        <v>0</v>
      </c>
      <c r="I71" s="613" t="s">
        <v>137</v>
      </c>
      <c r="J71" s="1705"/>
      <c r="L71" s="1706"/>
      <c r="BJ71" s="1709"/>
      <c r="BK71" s="1709"/>
      <c r="BL71" s="1709"/>
      <c r="BM71" s="1709"/>
      <c r="BN71" s="1709"/>
      <c r="BO71" s="1709"/>
      <c r="BP71" s="1709"/>
      <c r="BQ71" s="1709"/>
      <c r="BR71" s="1709"/>
      <c r="BS71" s="1709"/>
      <c r="BT71" s="1709"/>
      <c r="BU71" s="1709"/>
      <c r="BV71" s="1709"/>
      <c r="BW71" s="1709"/>
      <c r="BX71" s="1709"/>
      <c r="BY71" s="1709"/>
      <c r="BZ71" s="1709"/>
      <c r="CA71" s="1709"/>
      <c r="CB71" s="1709"/>
      <c r="CC71" s="1709"/>
      <c r="CD71" s="1709"/>
      <c r="CE71" s="1709"/>
      <c r="CF71" s="1709"/>
      <c r="CG71" s="1709"/>
      <c r="CH71" s="1709"/>
      <c r="CI71" s="1709"/>
      <c r="CJ71" s="1709"/>
      <c r="CK71" s="1709"/>
      <c r="CL71" s="1709"/>
      <c r="CM71" s="1709"/>
      <c r="CN71" s="1709"/>
      <c r="CO71" s="1709"/>
      <c r="CP71" s="1709"/>
      <c r="CQ71" s="1709"/>
      <c r="CR71" s="1709"/>
      <c r="CS71" s="1709"/>
      <c r="CT71" s="1709"/>
      <c r="CU71" s="1709"/>
      <c r="CV71" s="1709"/>
      <c r="CW71" s="1709"/>
      <c r="CX71" s="1709"/>
      <c r="CY71" s="1709"/>
      <c r="CZ71" s="1709"/>
      <c r="DA71" s="1709"/>
      <c r="DB71" s="1709"/>
      <c r="DC71" s="1709"/>
      <c r="DD71" s="1709"/>
      <c r="DE71" s="1709"/>
      <c r="DF71" s="1709"/>
      <c r="DG71" s="1709"/>
      <c r="DH71" s="1709"/>
      <c r="DI71" s="1709"/>
      <c r="DJ71" s="1709"/>
      <c r="DK71" s="1709"/>
      <c r="DL71" s="1709"/>
      <c r="DM71" s="1709"/>
      <c r="DN71" s="1709"/>
      <c r="DO71" s="1709"/>
      <c r="DP71" s="1709"/>
      <c r="DQ71" s="1709"/>
      <c r="DR71" s="1709"/>
      <c r="DS71" s="1709"/>
      <c r="DT71" s="1709"/>
      <c r="DU71" s="1709"/>
      <c r="DV71" s="1709"/>
      <c r="DW71" s="1709"/>
      <c r="DX71" s="1709"/>
      <c r="DY71" s="1709"/>
      <c r="DZ71" s="1709"/>
      <c r="EA71" s="1709"/>
      <c r="EB71" s="1709"/>
      <c r="EC71" s="1709"/>
      <c r="ED71" s="1709"/>
      <c r="EE71" s="1709"/>
      <c r="EF71" s="1709"/>
      <c r="EG71" s="1709"/>
      <c r="EH71" s="1709"/>
      <c r="EI71" s="1709"/>
      <c r="EJ71" s="1709"/>
      <c r="EK71" s="1709"/>
      <c r="EL71" s="1709"/>
      <c r="EM71" s="1709"/>
      <c r="EN71" s="1709"/>
      <c r="EO71" s="1709"/>
      <c r="EP71" s="1709"/>
      <c r="EQ71" s="1709"/>
      <c r="ER71" s="1709"/>
      <c r="ES71" s="1709"/>
      <c r="ET71" s="1709"/>
      <c r="EU71" s="1709"/>
      <c r="EV71" s="1709"/>
      <c r="EW71" s="1709"/>
      <c r="EX71" s="1709"/>
      <c r="EY71" s="1709"/>
      <c r="EZ71" s="1709"/>
      <c r="FA71" s="1709"/>
      <c r="FB71" s="1709"/>
      <c r="FC71" s="1709"/>
      <c r="FD71" s="1709"/>
      <c r="FE71" s="1709"/>
      <c r="FF71" s="1709"/>
      <c r="FG71" s="1709"/>
      <c r="FH71" s="1709"/>
      <c r="FI71" s="1709"/>
      <c r="FJ71" s="1709"/>
      <c r="FK71" s="1709"/>
      <c r="FL71" s="1709"/>
      <c r="FM71" s="1709"/>
      <c r="FN71" s="1709"/>
      <c r="FO71" s="1709"/>
      <c r="FP71" s="1709"/>
      <c r="FQ71" s="1709"/>
      <c r="FR71" s="1709"/>
      <c r="FS71" s="1709"/>
      <c r="FT71" s="1709"/>
      <c r="FU71" s="1709"/>
      <c r="FV71" s="1709"/>
      <c r="FW71" s="1709"/>
      <c r="FX71" s="1709"/>
      <c r="FY71" s="1709"/>
      <c r="FZ71" s="1709"/>
      <c r="GA71" s="1709"/>
      <c r="GB71" s="1709"/>
      <c r="GC71" s="1709"/>
      <c r="GD71" s="1709"/>
      <c r="GE71" s="1709"/>
      <c r="GF71" s="1709"/>
      <c r="GG71" s="1709"/>
      <c r="GH71" s="1709"/>
      <c r="GI71" s="1709"/>
      <c r="GJ71" s="1709"/>
      <c r="GK71" s="1709"/>
      <c r="GL71" s="1709"/>
      <c r="GM71" s="1709"/>
      <c r="GN71" s="1709"/>
      <c r="GO71" s="1709"/>
      <c r="GP71" s="1709"/>
      <c r="GQ71" s="1709"/>
      <c r="GR71" s="1709"/>
      <c r="GS71" s="1709"/>
      <c r="GT71" s="1709"/>
      <c r="GU71" s="1709"/>
      <c r="GV71" s="1709"/>
      <c r="GW71" s="1709"/>
      <c r="GX71" s="1709"/>
      <c r="GY71" s="1709"/>
      <c r="GZ71" s="1709"/>
      <c r="HA71" s="1709"/>
      <c r="HB71" s="1709"/>
      <c r="HC71" s="1709"/>
      <c r="HD71" s="1709"/>
      <c r="HE71" s="1709"/>
      <c r="HF71" s="1709"/>
      <c r="HG71" s="1709"/>
      <c r="HH71" s="1709"/>
      <c r="HI71" s="1709"/>
      <c r="HJ71" s="1709"/>
      <c r="HK71" s="1709"/>
      <c r="HL71" s="1709"/>
      <c r="HM71" s="1709"/>
      <c r="HN71" s="1709"/>
      <c r="HO71" s="1709"/>
      <c r="HP71" s="1709"/>
      <c r="HQ71" s="1709"/>
      <c r="HR71" s="1709"/>
      <c r="HS71" s="1709"/>
      <c r="HT71" s="1709"/>
      <c r="HU71" s="1709"/>
      <c r="HV71" s="1709"/>
      <c r="HW71" s="1709"/>
      <c r="HX71" s="1709"/>
      <c r="HY71" s="1709"/>
      <c r="HZ71" s="1709"/>
      <c r="IA71" s="1709"/>
      <c r="IB71" s="1709"/>
      <c r="IC71" s="1709"/>
      <c r="ID71" s="1709"/>
      <c r="IE71" s="1709"/>
      <c r="IF71" s="1709"/>
      <c r="IG71" s="1709"/>
      <c r="IH71" s="1709"/>
      <c r="II71" s="1709"/>
      <c r="IJ71" s="1709"/>
      <c r="IK71" s="1709"/>
      <c r="IL71" s="1709"/>
      <c r="IM71" s="1709"/>
      <c r="IN71" s="1709"/>
      <c r="IO71" s="1709"/>
      <c r="IP71" s="1709"/>
      <c r="IQ71" s="1709"/>
      <c r="IR71" s="1709"/>
      <c r="IS71" s="1709"/>
      <c r="IT71" s="1709"/>
      <c r="IU71" s="1709"/>
    </row>
    <row r="72" spans="1:255" s="604" customFormat="1" ht="27" customHeight="1">
      <c r="A72" s="595"/>
      <c r="B72" s="596"/>
      <c r="C72" s="597"/>
      <c r="D72" s="1617" t="s">
        <v>5815</v>
      </c>
      <c r="E72" s="599"/>
      <c r="F72" s="600"/>
      <c r="G72" s="289"/>
      <c r="H72" s="601"/>
      <c r="I72" s="602"/>
      <c r="J72" s="603"/>
      <c r="U72" s="605"/>
      <c r="W72" s="605"/>
    </row>
    <row r="73" spans="1:255" s="604" customFormat="1" ht="27" customHeight="1">
      <c r="A73" s="595"/>
      <c r="B73" s="596"/>
      <c r="C73" s="597"/>
      <c r="D73" s="1618" t="s">
        <v>5816</v>
      </c>
      <c r="E73" s="599"/>
      <c r="F73" s="600">
        <f>(26.5)*0.05</f>
        <v>1.3250000000000002</v>
      </c>
      <c r="G73" s="289"/>
      <c r="H73" s="601"/>
      <c r="I73" s="602"/>
      <c r="J73" s="603"/>
      <c r="U73" s="605"/>
      <c r="W73" s="605"/>
    </row>
    <row r="74" spans="1:255" s="604" customFormat="1" ht="27" customHeight="1">
      <c r="A74" s="595"/>
      <c r="B74" s="596"/>
      <c r="C74" s="597"/>
      <c r="D74" s="1619" t="s">
        <v>4323</v>
      </c>
      <c r="E74" s="599"/>
      <c r="F74" s="600"/>
      <c r="G74" s="289"/>
      <c r="H74" s="601"/>
      <c r="I74" s="602"/>
      <c r="U74" s="605"/>
      <c r="W74" s="605"/>
    </row>
    <row r="75" spans="1:255" s="1685" customFormat="1" ht="13.5" customHeight="1">
      <c r="A75" s="1707">
        <v>19</v>
      </c>
      <c r="B75" s="1708" t="s">
        <v>5808</v>
      </c>
      <c r="C75" s="1708">
        <v>460161652</v>
      </c>
      <c r="D75" s="1708" t="s">
        <v>5817</v>
      </c>
      <c r="E75" s="1708" t="s">
        <v>141</v>
      </c>
      <c r="F75" s="573">
        <f>ROUND(SUM(F77),3)</f>
        <v>0.745</v>
      </c>
      <c r="G75" s="288"/>
      <c r="H75" s="568">
        <f>ROUND(F75*G75,2)</f>
        <v>0</v>
      </c>
      <c r="I75" s="613" t="s">
        <v>137</v>
      </c>
      <c r="J75" s="1705"/>
      <c r="L75" s="1706"/>
      <c r="BJ75" s="1709"/>
      <c r="BK75" s="1709"/>
      <c r="BL75" s="1709"/>
      <c r="BM75" s="1709"/>
      <c r="BN75" s="1709"/>
      <c r="BO75" s="1709"/>
      <c r="BP75" s="1709"/>
      <c r="BQ75" s="1709"/>
      <c r="BR75" s="1709"/>
      <c r="BS75" s="1709"/>
      <c r="BT75" s="1709"/>
      <c r="BU75" s="1709"/>
      <c r="BV75" s="1709"/>
      <c r="BW75" s="1709"/>
      <c r="BX75" s="1709"/>
      <c r="BY75" s="1709"/>
      <c r="BZ75" s="1709"/>
      <c r="CA75" s="1709"/>
      <c r="CB75" s="1709"/>
      <c r="CC75" s="1709"/>
      <c r="CD75" s="1709"/>
      <c r="CE75" s="1709"/>
      <c r="CF75" s="1709"/>
      <c r="CG75" s="1709"/>
      <c r="CH75" s="1709"/>
      <c r="CI75" s="1709"/>
      <c r="CJ75" s="1709"/>
      <c r="CK75" s="1709"/>
      <c r="CL75" s="1709"/>
      <c r="CM75" s="1709"/>
      <c r="CN75" s="1709"/>
      <c r="CO75" s="1709"/>
      <c r="CP75" s="1709"/>
      <c r="CQ75" s="1709"/>
      <c r="CR75" s="1709"/>
      <c r="CS75" s="1709"/>
      <c r="CT75" s="1709"/>
      <c r="CU75" s="1709"/>
      <c r="CV75" s="1709"/>
      <c r="CW75" s="1709"/>
      <c r="CX75" s="1709"/>
      <c r="CY75" s="1709"/>
      <c r="CZ75" s="1709"/>
      <c r="DA75" s="1709"/>
      <c r="DB75" s="1709"/>
      <c r="DC75" s="1709"/>
      <c r="DD75" s="1709"/>
      <c r="DE75" s="1709"/>
      <c r="DF75" s="1709"/>
      <c r="DG75" s="1709"/>
      <c r="DH75" s="1709"/>
      <c r="DI75" s="1709"/>
      <c r="DJ75" s="1709"/>
      <c r="DK75" s="1709"/>
      <c r="DL75" s="1709"/>
      <c r="DM75" s="1709"/>
      <c r="DN75" s="1709"/>
      <c r="DO75" s="1709"/>
      <c r="DP75" s="1709"/>
      <c r="DQ75" s="1709"/>
      <c r="DR75" s="1709"/>
      <c r="DS75" s="1709"/>
      <c r="DT75" s="1709"/>
      <c r="DU75" s="1709"/>
      <c r="DV75" s="1709"/>
      <c r="DW75" s="1709"/>
      <c r="DX75" s="1709"/>
      <c r="DY75" s="1709"/>
      <c r="DZ75" s="1709"/>
      <c r="EA75" s="1709"/>
      <c r="EB75" s="1709"/>
      <c r="EC75" s="1709"/>
      <c r="ED75" s="1709"/>
      <c r="EE75" s="1709"/>
      <c r="EF75" s="1709"/>
      <c r="EG75" s="1709"/>
      <c r="EH75" s="1709"/>
      <c r="EI75" s="1709"/>
      <c r="EJ75" s="1709"/>
      <c r="EK75" s="1709"/>
      <c r="EL75" s="1709"/>
      <c r="EM75" s="1709"/>
      <c r="EN75" s="1709"/>
      <c r="EO75" s="1709"/>
      <c r="EP75" s="1709"/>
      <c r="EQ75" s="1709"/>
      <c r="ER75" s="1709"/>
      <c r="ES75" s="1709"/>
      <c r="ET75" s="1709"/>
      <c r="EU75" s="1709"/>
      <c r="EV75" s="1709"/>
      <c r="EW75" s="1709"/>
      <c r="EX75" s="1709"/>
      <c r="EY75" s="1709"/>
      <c r="EZ75" s="1709"/>
      <c r="FA75" s="1709"/>
      <c r="FB75" s="1709"/>
      <c r="FC75" s="1709"/>
      <c r="FD75" s="1709"/>
      <c r="FE75" s="1709"/>
      <c r="FF75" s="1709"/>
      <c r="FG75" s="1709"/>
      <c r="FH75" s="1709"/>
      <c r="FI75" s="1709"/>
      <c r="FJ75" s="1709"/>
      <c r="FK75" s="1709"/>
      <c r="FL75" s="1709"/>
      <c r="FM75" s="1709"/>
      <c r="FN75" s="1709"/>
      <c r="FO75" s="1709"/>
      <c r="FP75" s="1709"/>
      <c r="FQ75" s="1709"/>
      <c r="FR75" s="1709"/>
      <c r="FS75" s="1709"/>
      <c r="FT75" s="1709"/>
      <c r="FU75" s="1709"/>
      <c r="FV75" s="1709"/>
      <c r="FW75" s="1709"/>
      <c r="FX75" s="1709"/>
      <c r="FY75" s="1709"/>
      <c r="FZ75" s="1709"/>
      <c r="GA75" s="1709"/>
      <c r="GB75" s="1709"/>
      <c r="GC75" s="1709"/>
      <c r="GD75" s="1709"/>
      <c r="GE75" s="1709"/>
      <c r="GF75" s="1709"/>
      <c r="GG75" s="1709"/>
      <c r="GH75" s="1709"/>
      <c r="GI75" s="1709"/>
      <c r="GJ75" s="1709"/>
      <c r="GK75" s="1709"/>
      <c r="GL75" s="1709"/>
      <c r="GM75" s="1709"/>
      <c r="GN75" s="1709"/>
      <c r="GO75" s="1709"/>
      <c r="GP75" s="1709"/>
      <c r="GQ75" s="1709"/>
      <c r="GR75" s="1709"/>
      <c r="GS75" s="1709"/>
      <c r="GT75" s="1709"/>
      <c r="GU75" s="1709"/>
      <c r="GV75" s="1709"/>
      <c r="GW75" s="1709"/>
      <c r="GX75" s="1709"/>
      <c r="GY75" s="1709"/>
      <c r="GZ75" s="1709"/>
      <c r="HA75" s="1709"/>
      <c r="HB75" s="1709"/>
      <c r="HC75" s="1709"/>
      <c r="HD75" s="1709"/>
      <c r="HE75" s="1709"/>
      <c r="HF75" s="1709"/>
      <c r="HG75" s="1709"/>
      <c r="HH75" s="1709"/>
      <c r="HI75" s="1709"/>
      <c r="HJ75" s="1709"/>
      <c r="HK75" s="1709"/>
      <c r="HL75" s="1709"/>
      <c r="HM75" s="1709"/>
      <c r="HN75" s="1709"/>
      <c r="HO75" s="1709"/>
      <c r="HP75" s="1709"/>
      <c r="HQ75" s="1709"/>
      <c r="HR75" s="1709"/>
      <c r="HS75" s="1709"/>
      <c r="HT75" s="1709"/>
      <c r="HU75" s="1709"/>
      <c r="HV75" s="1709"/>
      <c r="HW75" s="1709"/>
      <c r="HX75" s="1709"/>
      <c r="HY75" s="1709"/>
      <c r="HZ75" s="1709"/>
      <c r="IA75" s="1709"/>
      <c r="IB75" s="1709"/>
      <c r="IC75" s="1709"/>
      <c r="ID75" s="1709"/>
      <c r="IE75" s="1709"/>
      <c r="IF75" s="1709"/>
      <c r="IG75" s="1709"/>
      <c r="IH75" s="1709"/>
      <c r="II75" s="1709"/>
      <c r="IJ75" s="1709"/>
      <c r="IK75" s="1709"/>
      <c r="IL75" s="1709"/>
      <c r="IM75" s="1709"/>
      <c r="IN75" s="1709"/>
      <c r="IO75" s="1709"/>
      <c r="IP75" s="1709"/>
      <c r="IQ75" s="1709"/>
      <c r="IR75" s="1709"/>
      <c r="IS75" s="1709"/>
      <c r="IT75" s="1709"/>
      <c r="IU75" s="1709"/>
    </row>
    <row r="76" spans="1:255" s="604" customFormat="1" ht="27" customHeight="1">
      <c r="A76" s="595"/>
      <c r="B76" s="596"/>
      <c r="C76" s="597"/>
      <c r="D76" s="1617" t="s">
        <v>5818</v>
      </c>
      <c r="E76" s="599"/>
      <c r="F76" s="600"/>
      <c r="G76" s="289"/>
      <c r="H76" s="601"/>
      <c r="I76" s="602"/>
      <c r="J76" s="603"/>
      <c r="U76" s="605"/>
      <c r="W76" s="605"/>
    </row>
    <row r="77" spans="1:255" s="604" customFormat="1" ht="27" customHeight="1">
      <c r="A77" s="595"/>
      <c r="B77" s="596"/>
      <c r="C77" s="597"/>
      <c r="D77" s="1618" t="s">
        <v>5819</v>
      </c>
      <c r="E77" s="599"/>
      <c r="F77" s="600">
        <f>(14.9)*0.05</f>
        <v>0.74500000000000011</v>
      </c>
      <c r="G77" s="289"/>
      <c r="H77" s="601"/>
      <c r="I77" s="602"/>
      <c r="J77" s="603"/>
      <c r="U77" s="605"/>
      <c r="W77" s="605"/>
    </row>
    <row r="78" spans="1:255" s="604" customFormat="1" ht="27" customHeight="1">
      <c r="A78" s="595"/>
      <c r="B78" s="596"/>
      <c r="C78" s="597"/>
      <c r="D78" s="1619" t="s">
        <v>4323</v>
      </c>
      <c r="E78" s="599"/>
      <c r="F78" s="600"/>
      <c r="G78" s="289"/>
      <c r="H78" s="601"/>
      <c r="I78" s="602"/>
      <c r="U78" s="605"/>
      <c r="W78" s="605"/>
    </row>
    <row r="79" spans="1:255" s="1685" customFormat="1" ht="13.5" customHeight="1">
      <c r="A79" s="1707">
        <v>20</v>
      </c>
      <c r="B79" s="1708" t="s">
        <v>5808</v>
      </c>
      <c r="C79" s="1708">
        <v>460171452</v>
      </c>
      <c r="D79" s="1708" t="s">
        <v>5820</v>
      </c>
      <c r="E79" s="1708" t="s">
        <v>141</v>
      </c>
      <c r="F79" s="573">
        <f>ROUND(SUM(F81),3)</f>
        <v>22.524999999999999</v>
      </c>
      <c r="G79" s="288"/>
      <c r="H79" s="568">
        <f>ROUND(F79*G79,2)</f>
        <v>0</v>
      </c>
      <c r="I79" s="613" t="s">
        <v>137</v>
      </c>
      <c r="J79" s="1705"/>
      <c r="L79" s="1706"/>
      <c r="BJ79" s="1709"/>
      <c r="BK79" s="1709"/>
      <c r="BL79" s="1709"/>
      <c r="BM79" s="1709"/>
      <c r="BN79" s="1709"/>
      <c r="BO79" s="1709"/>
      <c r="BP79" s="1709"/>
      <c r="BQ79" s="1709"/>
      <c r="BR79" s="1709"/>
      <c r="BS79" s="1709"/>
      <c r="BT79" s="1709"/>
      <c r="BU79" s="1709"/>
      <c r="BV79" s="1709"/>
      <c r="BW79" s="1709"/>
      <c r="BX79" s="1709"/>
      <c r="BY79" s="1709"/>
      <c r="BZ79" s="1709"/>
      <c r="CA79" s="1709"/>
      <c r="CB79" s="1709"/>
      <c r="CC79" s="1709"/>
      <c r="CD79" s="1709"/>
      <c r="CE79" s="1709"/>
      <c r="CF79" s="1709"/>
      <c r="CG79" s="1709"/>
      <c r="CH79" s="1709"/>
      <c r="CI79" s="1709"/>
      <c r="CJ79" s="1709"/>
      <c r="CK79" s="1709"/>
      <c r="CL79" s="1709"/>
      <c r="CM79" s="1709"/>
      <c r="CN79" s="1709"/>
      <c r="CO79" s="1709"/>
      <c r="CP79" s="1709"/>
      <c r="CQ79" s="1709"/>
      <c r="CR79" s="1709"/>
      <c r="CS79" s="1709"/>
      <c r="CT79" s="1709"/>
      <c r="CU79" s="1709"/>
      <c r="CV79" s="1709"/>
      <c r="CW79" s="1709"/>
      <c r="CX79" s="1709"/>
      <c r="CY79" s="1709"/>
      <c r="CZ79" s="1709"/>
      <c r="DA79" s="1709"/>
      <c r="DB79" s="1709"/>
      <c r="DC79" s="1709"/>
      <c r="DD79" s="1709"/>
      <c r="DE79" s="1709"/>
      <c r="DF79" s="1709"/>
      <c r="DG79" s="1709"/>
      <c r="DH79" s="1709"/>
      <c r="DI79" s="1709"/>
      <c r="DJ79" s="1709"/>
      <c r="DK79" s="1709"/>
      <c r="DL79" s="1709"/>
      <c r="DM79" s="1709"/>
      <c r="DN79" s="1709"/>
      <c r="DO79" s="1709"/>
      <c r="DP79" s="1709"/>
      <c r="DQ79" s="1709"/>
      <c r="DR79" s="1709"/>
      <c r="DS79" s="1709"/>
      <c r="DT79" s="1709"/>
      <c r="DU79" s="1709"/>
      <c r="DV79" s="1709"/>
      <c r="DW79" s="1709"/>
      <c r="DX79" s="1709"/>
      <c r="DY79" s="1709"/>
      <c r="DZ79" s="1709"/>
      <c r="EA79" s="1709"/>
      <c r="EB79" s="1709"/>
      <c r="EC79" s="1709"/>
      <c r="ED79" s="1709"/>
      <c r="EE79" s="1709"/>
      <c r="EF79" s="1709"/>
      <c r="EG79" s="1709"/>
      <c r="EH79" s="1709"/>
      <c r="EI79" s="1709"/>
      <c r="EJ79" s="1709"/>
      <c r="EK79" s="1709"/>
      <c r="EL79" s="1709"/>
      <c r="EM79" s="1709"/>
      <c r="EN79" s="1709"/>
      <c r="EO79" s="1709"/>
      <c r="EP79" s="1709"/>
      <c r="EQ79" s="1709"/>
      <c r="ER79" s="1709"/>
      <c r="ES79" s="1709"/>
      <c r="ET79" s="1709"/>
      <c r="EU79" s="1709"/>
      <c r="EV79" s="1709"/>
      <c r="EW79" s="1709"/>
      <c r="EX79" s="1709"/>
      <c r="EY79" s="1709"/>
      <c r="EZ79" s="1709"/>
      <c r="FA79" s="1709"/>
      <c r="FB79" s="1709"/>
      <c r="FC79" s="1709"/>
      <c r="FD79" s="1709"/>
      <c r="FE79" s="1709"/>
      <c r="FF79" s="1709"/>
      <c r="FG79" s="1709"/>
      <c r="FH79" s="1709"/>
      <c r="FI79" s="1709"/>
      <c r="FJ79" s="1709"/>
      <c r="FK79" s="1709"/>
      <c r="FL79" s="1709"/>
      <c r="FM79" s="1709"/>
      <c r="FN79" s="1709"/>
      <c r="FO79" s="1709"/>
      <c r="FP79" s="1709"/>
      <c r="FQ79" s="1709"/>
      <c r="FR79" s="1709"/>
      <c r="FS79" s="1709"/>
      <c r="FT79" s="1709"/>
      <c r="FU79" s="1709"/>
      <c r="FV79" s="1709"/>
      <c r="FW79" s="1709"/>
      <c r="FX79" s="1709"/>
      <c r="FY79" s="1709"/>
      <c r="FZ79" s="1709"/>
      <c r="GA79" s="1709"/>
      <c r="GB79" s="1709"/>
      <c r="GC79" s="1709"/>
      <c r="GD79" s="1709"/>
      <c r="GE79" s="1709"/>
      <c r="GF79" s="1709"/>
      <c r="GG79" s="1709"/>
      <c r="GH79" s="1709"/>
      <c r="GI79" s="1709"/>
      <c r="GJ79" s="1709"/>
      <c r="GK79" s="1709"/>
      <c r="GL79" s="1709"/>
      <c r="GM79" s="1709"/>
      <c r="GN79" s="1709"/>
      <c r="GO79" s="1709"/>
      <c r="GP79" s="1709"/>
      <c r="GQ79" s="1709"/>
      <c r="GR79" s="1709"/>
      <c r="GS79" s="1709"/>
      <c r="GT79" s="1709"/>
      <c r="GU79" s="1709"/>
      <c r="GV79" s="1709"/>
      <c r="GW79" s="1709"/>
      <c r="GX79" s="1709"/>
      <c r="GY79" s="1709"/>
      <c r="GZ79" s="1709"/>
      <c r="HA79" s="1709"/>
      <c r="HB79" s="1709"/>
      <c r="HC79" s="1709"/>
      <c r="HD79" s="1709"/>
      <c r="HE79" s="1709"/>
      <c r="HF79" s="1709"/>
      <c r="HG79" s="1709"/>
      <c r="HH79" s="1709"/>
      <c r="HI79" s="1709"/>
      <c r="HJ79" s="1709"/>
      <c r="HK79" s="1709"/>
      <c r="HL79" s="1709"/>
      <c r="HM79" s="1709"/>
      <c r="HN79" s="1709"/>
      <c r="HO79" s="1709"/>
      <c r="HP79" s="1709"/>
      <c r="HQ79" s="1709"/>
      <c r="HR79" s="1709"/>
      <c r="HS79" s="1709"/>
      <c r="HT79" s="1709"/>
      <c r="HU79" s="1709"/>
      <c r="HV79" s="1709"/>
      <c r="HW79" s="1709"/>
      <c r="HX79" s="1709"/>
      <c r="HY79" s="1709"/>
      <c r="HZ79" s="1709"/>
      <c r="IA79" s="1709"/>
      <c r="IB79" s="1709"/>
      <c r="IC79" s="1709"/>
      <c r="ID79" s="1709"/>
      <c r="IE79" s="1709"/>
      <c r="IF79" s="1709"/>
      <c r="IG79" s="1709"/>
      <c r="IH79" s="1709"/>
      <c r="II79" s="1709"/>
      <c r="IJ79" s="1709"/>
      <c r="IK79" s="1709"/>
      <c r="IL79" s="1709"/>
      <c r="IM79" s="1709"/>
      <c r="IN79" s="1709"/>
      <c r="IO79" s="1709"/>
      <c r="IP79" s="1709"/>
      <c r="IQ79" s="1709"/>
      <c r="IR79" s="1709"/>
      <c r="IS79" s="1709"/>
      <c r="IT79" s="1709"/>
      <c r="IU79" s="1709"/>
    </row>
    <row r="80" spans="1:255" s="604" customFormat="1" ht="27" customHeight="1">
      <c r="A80" s="595"/>
      <c r="B80" s="596"/>
      <c r="C80" s="597"/>
      <c r="D80" s="1617" t="s">
        <v>5821</v>
      </c>
      <c r="E80" s="599"/>
      <c r="F80" s="600"/>
      <c r="G80" s="289"/>
      <c r="H80" s="601"/>
      <c r="I80" s="602"/>
      <c r="J80" s="603"/>
      <c r="U80" s="605"/>
      <c r="W80" s="605"/>
    </row>
    <row r="81" spans="1:255" s="604" customFormat="1" ht="27" customHeight="1">
      <c r="A81" s="595"/>
      <c r="B81" s="596"/>
      <c r="C81" s="597"/>
      <c r="D81" s="1618" t="s">
        <v>5822</v>
      </c>
      <c r="E81" s="599"/>
      <c r="F81" s="600">
        <f>(26.5)*0.85</f>
        <v>22.524999999999999</v>
      </c>
      <c r="G81" s="289"/>
      <c r="H81" s="601"/>
      <c r="I81" s="602"/>
      <c r="J81" s="603"/>
      <c r="U81" s="605"/>
      <c r="W81" s="605"/>
    </row>
    <row r="82" spans="1:255" s="604" customFormat="1" ht="27" customHeight="1">
      <c r="A82" s="595"/>
      <c r="B82" s="596"/>
      <c r="C82" s="597"/>
      <c r="D82" s="1619" t="s">
        <v>4323</v>
      </c>
      <c r="E82" s="599"/>
      <c r="F82" s="600"/>
      <c r="G82" s="289"/>
      <c r="H82" s="601"/>
      <c r="I82" s="602"/>
      <c r="U82" s="605"/>
      <c r="W82" s="605"/>
    </row>
    <row r="83" spans="1:255" s="1685" customFormat="1" ht="13.5" customHeight="1">
      <c r="A83" s="1707">
        <v>21</v>
      </c>
      <c r="B83" s="1708" t="s">
        <v>5808</v>
      </c>
      <c r="C83" s="1708">
        <v>460171453</v>
      </c>
      <c r="D83" s="1708" t="s">
        <v>5823</v>
      </c>
      <c r="E83" s="1708" t="s">
        <v>141</v>
      </c>
      <c r="F83" s="573">
        <f>ROUND(SUM(F85),3)</f>
        <v>2.65</v>
      </c>
      <c r="G83" s="288"/>
      <c r="H83" s="568">
        <f>ROUND(F83*G83,2)</f>
        <v>0</v>
      </c>
      <c r="I83" s="613" t="s">
        <v>137</v>
      </c>
      <c r="J83" s="1705"/>
      <c r="L83" s="1706"/>
      <c r="BJ83" s="1709"/>
      <c r="BK83" s="1709"/>
      <c r="BL83" s="1709"/>
      <c r="BM83" s="1709"/>
      <c r="BN83" s="1709"/>
      <c r="BO83" s="1709"/>
      <c r="BP83" s="1709"/>
      <c r="BQ83" s="1709"/>
      <c r="BR83" s="1709"/>
      <c r="BS83" s="1709"/>
      <c r="BT83" s="1709"/>
      <c r="BU83" s="1709"/>
      <c r="BV83" s="1709"/>
      <c r="BW83" s="1709"/>
      <c r="BX83" s="1709"/>
      <c r="BY83" s="1709"/>
      <c r="BZ83" s="1709"/>
      <c r="CA83" s="1709"/>
      <c r="CB83" s="1709"/>
      <c r="CC83" s="1709"/>
      <c r="CD83" s="1709"/>
      <c r="CE83" s="1709"/>
      <c r="CF83" s="1709"/>
      <c r="CG83" s="1709"/>
      <c r="CH83" s="1709"/>
      <c r="CI83" s="1709"/>
      <c r="CJ83" s="1709"/>
      <c r="CK83" s="1709"/>
      <c r="CL83" s="1709"/>
      <c r="CM83" s="1709"/>
      <c r="CN83" s="1709"/>
      <c r="CO83" s="1709"/>
      <c r="CP83" s="1709"/>
      <c r="CQ83" s="1709"/>
      <c r="CR83" s="1709"/>
      <c r="CS83" s="1709"/>
      <c r="CT83" s="1709"/>
      <c r="CU83" s="1709"/>
      <c r="CV83" s="1709"/>
      <c r="CW83" s="1709"/>
      <c r="CX83" s="1709"/>
      <c r="CY83" s="1709"/>
      <c r="CZ83" s="1709"/>
      <c r="DA83" s="1709"/>
      <c r="DB83" s="1709"/>
      <c r="DC83" s="1709"/>
      <c r="DD83" s="1709"/>
      <c r="DE83" s="1709"/>
      <c r="DF83" s="1709"/>
      <c r="DG83" s="1709"/>
      <c r="DH83" s="1709"/>
      <c r="DI83" s="1709"/>
      <c r="DJ83" s="1709"/>
      <c r="DK83" s="1709"/>
      <c r="DL83" s="1709"/>
      <c r="DM83" s="1709"/>
      <c r="DN83" s="1709"/>
      <c r="DO83" s="1709"/>
      <c r="DP83" s="1709"/>
      <c r="DQ83" s="1709"/>
      <c r="DR83" s="1709"/>
      <c r="DS83" s="1709"/>
      <c r="DT83" s="1709"/>
      <c r="DU83" s="1709"/>
      <c r="DV83" s="1709"/>
      <c r="DW83" s="1709"/>
      <c r="DX83" s="1709"/>
      <c r="DY83" s="1709"/>
      <c r="DZ83" s="1709"/>
      <c r="EA83" s="1709"/>
      <c r="EB83" s="1709"/>
      <c r="EC83" s="1709"/>
      <c r="ED83" s="1709"/>
      <c r="EE83" s="1709"/>
      <c r="EF83" s="1709"/>
      <c r="EG83" s="1709"/>
      <c r="EH83" s="1709"/>
      <c r="EI83" s="1709"/>
      <c r="EJ83" s="1709"/>
      <c r="EK83" s="1709"/>
      <c r="EL83" s="1709"/>
      <c r="EM83" s="1709"/>
      <c r="EN83" s="1709"/>
      <c r="EO83" s="1709"/>
      <c r="EP83" s="1709"/>
      <c r="EQ83" s="1709"/>
      <c r="ER83" s="1709"/>
      <c r="ES83" s="1709"/>
      <c r="ET83" s="1709"/>
      <c r="EU83" s="1709"/>
      <c r="EV83" s="1709"/>
      <c r="EW83" s="1709"/>
      <c r="EX83" s="1709"/>
      <c r="EY83" s="1709"/>
      <c r="EZ83" s="1709"/>
      <c r="FA83" s="1709"/>
      <c r="FB83" s="1709"/>
      <c r="FC83" s="1709"/>
      <c r="FD83" s="1709"/>
      <c r="FE83" s="1709"/>
      <c r="FF83" s="1709"/>
      <c r="FG83" s="1709"/>
      <c r="FH83" s="1709"/>
      <c r="FI83" s="1709"/>
      <c r="FJ83" s="1709"/>
      <c r="FK83" s="1709"/>
      <c r="FL83" s="1709"/>
      <c r="FM83" s="1709"/>
      <c r="FN83" s="1709"/>
      <c r="FO83" s="1709"/>
      <c r="FP83" s="1709"/>
      <c r="FQ83" s="1709"/>
      <c r="FR83" s="1709"/>
      <c r="FS83" s="1709"/>
      <c r="FT83" s="1709"/>
      <c r="FU83" s="1709"/>
      <c r="FV83" s="1709"/>
      <c r="FW83" s="1709"/>
      <c r="FX83" s="1709"/>
      <c r="FY83" s="1709"/>
      <c r="FZ83" s="1709"/>
      <c r="GA83" s="1709"/>
      <c r="GB83" s="1709"/>
      <c r="GC83" s="1709"/>
      <c r="GD83" s="1709"/>
      <c r="GE83" s="1709"/>
      <c r="GF83" s="1709"/>
      <c r="GG83" s="1709"/>
      <c r="GH83" s="1709"/>
      <c r="GI83" s="1709"/>
      <c r="GJ83" s="1709"/>
      <c r="GK83" s="1709"/>
      <c r="GL83" s="1709"/>
      <c r="GM83" s="1709"/>
      <c r="GN83" s="1709"/>
      <c r="GO83" s="1709"/>
      <c r="GP83" s="1709"/>
      <c r="GQ83" s="1709"/>
      <c r="GR83" s="1709"/>
      <c r="GS83" s="1709"/>
      <c r="GT83" s="1709"/>
      <c r="GU83" s="1709"/>
      <c r="GV83" s="1709"/>
      <c r="GW83" s="1709"/>
      <c r="GX83" s="1709"/>
      <c r="GY83" s="1709"/>
      <c r="GZ83" s="1709"/>
      <c r="HA83" s="1709"/>
      <c r="HB83" s="1709"/>
      <c r="HC83" s="1709"/>
      <c r="HD83" s="1709"/>
      <c r="HE83" s="1709"/>
      <c r="HF83" s="1709"/>
      <c r="HG83" s="1709"/>
      <c r="HH83" s="1709"/>
      <c r="HI83" s="1709"/>
      <c r="HJ83" s="1709"/>
      <c r="HK83" s="1709"/>
      <c r="HL83" s="1709"/>
      <c r="HM83" s="1709"/>
      <c r="HN83" s="1709"/>
      <c r="HO83" s="1709"/>
      <c r="HP83" s="1709"/>
      <c r="HQ83" s="1709"/>
      <c r="HR83" s="1709"/>
      <c r="HS83" s="1709"/>
      <c r="HT83" s="1709"/>
      <c r="HU83" s="1709"/>
      <c r="HV83" s="1709"/>
      <c r="HW83" s="1709"/>
      <c r="HX83" s="1709"/>
      <c r="HY83" s="1709"/>
      <c r="HZ83" s="1709"/>
      <c r="IA83" s="1709"/>
      <c r="IB83" s="1709"/>
      <c r="IC83" s="1709"/>
      <c r="ID83" s="1709"/>
      <c r="IE83" s="1709"/>
      <c r="IF83" s="1709"/>
      <c r="IG83" s="1709"/>
      <c r="IH83" s="1709"/>
      <c r="II83" s="1709"/>
      <c r="IJ83" s="1709"/>
      <c r="IK83" s="1709"/>
      <c r="IL83" s="1709"/>
      <c r="IM83" s="1709"/>
      <c r="IN83" s="1709"/>
      <c r="IO83" s="1709"/>
      <c r="IP83" s="1709"/>
      <c r="IQ83" s="1709"/>
      <c r="IR83" s="1709"/>
      <c r="IS83" s="1709"/>
      <c r="IT83" s="1709"/>
      <c r="IU83" s="1709"/>
    </row>
    <row r="84" spans="1:255" s="604" customFormat="1" ht="27" customHeight="1">
      <c r="A84" s="595"/>
      <c r="B84" s="596"/>
      <c r="C84" s="597"/>
      <c r="D84" s="1617" t="s">
        <v>5824</v>
      </c>
      <c r="E84" s="599"/>
      <c r="F84" s="600"/>
      <c r="G84" s="289"/>
      <c r="H84" s="601"/>
      <c r="I84" s="602"/>
      <c r="J84" s="603"/>
      <c r="U84" s="605"/>
      <c r="W84" s="605"/>
    </row>
    <row r="85" spans="1:255" s="604" customFormat="1" ht="27" customHeight="1">
      <c r="A85" s="595"/>
      <c r="B85" s="596"/>
      <c r="C85" s="597"/>
      <c r="D85" s="1618" t="s">
        <v>5825</v>
      </c>
      <c r="E85" s="599"/>
      <c r="F85" s="600">
        <f>(26.5)*0.1</f>
        <v>2.6500000000000004</v>
      </c>
      <c r="G85" s="289"/>
      <c r="H85" s="601"/>
      <c r="I85" s="602"/>
      <c r="J85" s="603"/>
      <c r="U85" s="605"/>
      <c r="W85" s="605"/>
    </row>
    <row r="86" spans="1:255" s="604" customFormat="1" ht="27" customHeight="1">
      <c r="A86" s="595"/>
      <c r="B86" s="596"/>
      <c r="C86" s="597"/>
      <c r="D86" s="1619" t="s">
        <v>4323</v>
      </c>
      <c r="E86" s="599"/>
      <c r="F86" s="600"/>
      <c r="G86" s="289"/>
      <c r="H86" s="601"/>
      <c r="I86" s="602"/>
      <c r="U86" s="605"/>
      <c r="W86" s="605"/>
    </row>
    <row r="87" spans="1:255" s="1685" customFormat="1" ht="13.5" customHeight="1">
      <c r="A87" s="1707">
        <v>22</v>
      </c>
      <c r="B87" s="1708" t="s">
        <v>5808</v>
      </c>
      <c r="C87" s="1708">
        <v>460171652</v>
      </c>
      <c r="D87" s="1708" t="s">
        <v>5826</v>
      </c>
      <c r="E87" s="1708" t="s">
        <v>141</v>
      </c>
      <c r="F87" s="573">
        <f>ROUND(SUM(F89),3)</f>
        <v>12.664999999999999</v>
      </c>
      <c r="G87" s="288"/>
      <c r="H87" s="568">
        <f>ROUND(F87*G87,2)</f>
        <v>0</v>
      </c>
      <c r="I87" s="613" t="s">
        <v>137</v>
      </c>
      <c r="J87" s="1705"/>
      <c r="L87" s="1706"/>
      <c r="BJ87" s="1709"/>
      <c r="BK87" s="1709"/>
      <c r="BL87" s="1709"/>
      <c r="BM87" s="1709"/>
      <c r="BN87" s="1709"/>
      <c r="BO87" s="1709"/>
      <c r="BP87" s="1709"/>
      <c r="BQ87" s="1709"/>
      <c r="BR87" s="1709"/>
      <c r="BS87" s="1709"/>
      <c r="BT87" s="1709"/>
      <c r="BU87" s="1709"/>
      <c r="BV87" s="1709"/>
      <c r="BW87" s="1709"/>
      <c r="BX87" s="1709"/>
      <c r="BY87" s="1709"/>
      <c r="BZ87" s="1709"/>
      <c r="CA87" s="1709"/>
      <c r="CB87" s="1709"/>
      <c r="CC87" s="1709"/>
      <c r="CD87" s="1709"/>
      <c r="CE87" s="1709"/>
      <c r="CF87" s="1709"/>
      <c r="CG87" s="1709"/>
      <c r="CH87" s="1709"/>
      <c r="CI87" s="1709"/>
      <c r="CJ87" s="1709"/>
      <c r="CK87" s="1709"/>
      <c r="CL87" s="1709"/>
      <c r="CM87" s="1709"/>
      <c r="CN87" s="1709"/>
      <c r="CO87" s="1709"/>
      <c r="CP87" s="1709"/>
      <c r="CQ87" s="1709"/>
      <c r="CR87" s="1709"/>
      <c r="CS87" s="1709"/>
      <c r="CT87" s="1709"/>
      <c r="CU87" s="1709"/>
      <c r="CV87" s="1709"/>
      <c r="CW87" s="1709"/>
      <c r="CX87" s="1709"/>
      <c r="CY87" s="1709"/>
      <c r="CZ87" s="1709"/>
      <c r="DA87" s="1709"/>
      <c r="DB87" s="1709"/>
      <c r="DC87" s="1709"/>
      <c r="DD87" s="1709"/>
      <c r="DE87" s="1709"/>
      <c r="DF87" s="1709"/>
      <c r="DG87" s="1709"/>
      <c r="DH87" s="1709"/>
      <c r="DI87" s="1709"/>
      <c r="DJ87" s="1709"/>
      <c r="DK87" s="1709"/>
      <c r="DL87" s="1709"/>
      <c r="DM87" s="1709"/>
      <c r="DN87" s="1709"/>
      <c r="DO87" s="1709"/>
      <c r="DP87" s="1709"/>
      <c r="DQ87" s="1709"/>
      <c r="DR87" s="1709"/>
      <c r="DS87" s="1709"/>
      <c r="DT87" s="1709"/>
      <c r="DU87" s="1709"/>
      <c r="DV87" s="1709"/>
      <c r="DW87" s="1709"/>
      <c r="DX87" s="1709"/>
      <c r="DY87" s="1709"/>
      <c r="DZ87" s="1709"/>
      <c r="EA87" s="1709"/>
      <c r="EB87" s="1709"/>
      <c r="EC87" s="1709"/>
      <c r="ED87" s="1709"/>
      <c r="EE87" s="1709"/>
      <c r="EF87" s="1709"/>
      <c r="EG87" s="1709"/>
      <c r="EH87" s="1709"/>
      <c r="EI87" s="1709"/>
      <c r="EJ87" s="1709"/>
      <c r="EK87" s="1709"/>
      <c r="EL87" s="1709"/>
      <c r="EM87" s="1709"/>
      <c r="EN87" s="1709"/>
      <c r="EO87" s="1709"/>
      <c r="EP87" s="1709"/>
      <c r="EQ87" s="1709"/>
      <c r="ER87" s="1709"/>
      <c r="ES87" s="1709"/>
      <c r="ET87" s="1709"/>
      <c r="EU87" s="1709"/>
      <c r="EV87" s="1709"/>
      <c r="EW87" s="1709"/>
      <c r="EX87" s="1709"/>
      <c r="EY87" s="1709"/>
      <c r="EZ87" s="1709"/>
      <c r="FA87" s="1709"/>
      <c r="FB87" s="1709"/>
      <c r="FC87" s="1709"/>
      <c r="FD87" s="1709"/>
      <c r="FE87" s="1709"/>
      <c r="FF87" s="1709"/>
      <c r="FG87" s="1709"/>
      <c r="FH87" s="1709"/>
      <c r="FI87" s="1709"/>
      <c r="FJ87" s="1709"/>
      <c r="FK87" s="1709"/>
      <c r="FL87" s="1709"/>
      <c r="FM87" s="1709"/>
      <c r="FN87" s="1709"/>
      <c r="FO87" s="1709"/>
      <c r="FP87" s="1709"/>
      <c r="FQ87" s="1709"/>
      <c r="FR87" s="1709"/>
      <c r="FS87" s="1709"/>
      <c r="FT87" s="1709"/>
      <c r="FU87" s="1709"/>
      <c r="FV87" s="1709"/>
      <c r="FW87" s="1709"/>
      <c r="FX87" s="1709"/>
      <c r="FY87" s="1709"/>
      <c r="FZ87" s="1709"/>
      <c r="GA87" s="1709"/>
      <c r="GB87" s="1709"/>
      <c r="GC87" s="1709"/>
      <c r="GD87" s="1709"/>
      <c r="GE87" s="1709"/>
      <c r="GF87" s="1709"/>
      <c r="GG87" s="1709"/>
      <c r="GH87" s="1709"/>
      <c r="GI87" s="1709"/>
      <c r="GJ87" s="1709"/>
      <c r="GK87" s="1709"/>
      <c r="GL87" s="1709"/>
      <c r="GM87" s="1709"/>
      <c r="GN87" s="1709"/>
      <c r="GO87" s="1709"/>
      <c r="GP87" s="1709"/>
      <c r="GQ87" s="1709"/>
      <c r="GR87" s="1709"/>
      <c r="GS87" s="1709"/>
      <c r="GT87" s="1709"/>
      <c r="GU87" s="1709"/>
      <c r="GV87" s="1709"/>
      <c r="GW87" s="1709"/>
      <c r="GX87" s="1709"/>
      <c r="GY87" s="1709"/>
      <c r="GZ87" s="1709"/>
      <c r="HA87" s="1709"/>
      <c r="HB87" s="1709"/>
      <c r="HC87" s="1709"/>
      <c r="HD87" s="1709"/>
      <c r="HE87" s="1709"/>
      <c r="HF87" s="1709"/>
      <c r="HG87" s="1709"/>
      <c r="HH87" s="1709"/>
      <c r="HI87" s="1709"/>
      <c r="HJ87" s="1709"/>
      <c r="HK87" s="1709"/>
      <c r="HL87" s="1709"/>
      <c r="HM87" s="1709"/>
      <c r="HN87" s="1709"/>
      <c r="HO87" s="1709"/>
      <c r="HP87" s="1709"/>
      <c r="HQ87" s="1709"/>
      <c r="HR87" s="1709"/>
      <c r="HS87" s="1709"/>
      <c r="HT87" s="1709"/>
      <c r="HU87" s="1709"/>
      <c r="HV87" s="1709"/>
      <c r="HW87" s="1709"/>
      <c r="HX87" s="1709"/>
      <c r="HY87" s="1709"/>
      <c r="HZ87" s="1709"/>
      <c r="IA87" s="1709"/>
      <c r="IB87" s="1709"/>
      <c r="IC87" s="1709"/>
      <c r="ID87" s="1709"/>
      <c r="IE87" s="1709"/>
      <c r="IF87" s="1709"/>
      <c r="IG87" s="1709"/>
      <c r="IH87" s="1709"/>
      <c r="II87" s="1709"/>
      <c r="IJ87" s="1709"/>
      <c r="IK87" s="1709"/>
      <c r="IL87" s="1709"/>
      <c r="IM87" s="1709"/>
      <c r="IN87" s="1709"/>
      <c r="IO87" s="1709"/>
      <c r="IP87" s="1709"/>
      <c r="IQ87" s="1709"/>
      <c r="IR87" s="1709"/>
      <c r="IS87" s="1709"/>
      <c r="IT87" s="1709"/>
      <c r="IU87" s="1709"/>
    </row>
    <row r="88" spans="1:255" s="604" customFormat="1" ht="27" customHeight="1">
      <c r="A88" s="595"/>
      <c r="B88" s="596"/>
      <c r="C88" s="597"/>
      <c r="D88" s="1617" t="s">
        <v>5827</v>
      </c>
      <c r="E88" s="599"/>
      <c r="F88" s="600"/>
      <c r="G88" s="289"/>
      <c r="H88" s="601"/>
      <c r="I88" s="602"/>
      <c r="J88" s="603"/>
      <c r="U88" s="605"/>
      <c r="W88" s="605"/>
    </row>
    <row r="89" spans="1:255" s="604" customFormat="1" ht="27" customHeight="1">
      <c r="A89" s="595"/>
      <c r="B89" s="596"/>
      <c r="C89" s="597"/>
      <c r="D89" s="1618" t="s">
        <v>5828</v>
      </c>
      <c r="E89" s="599"/>
      <c r="F89" s="600">
        <f>(14.9)*0.85</f>
        <v>12.664999999999999</v>
      </c>
      <c r="G89" s="289"/>
      <c r="H89" s="601"/>
      <c r="I89" s="602"/>
      <c r="J89" s="603"/>
      <c r="U89" s="605"/>
      <c r="W89" s="605"/>
    </row>
    <row r="90" spans="1:255" s="604" customFormat="1" ht="27" customHeight="1">
      <c r="A90" s="595"/>
      <c r="B90" s="596"/>
      <c r="C90" s="597"/>
      <c r="D90" s="719" t="s">
        <v>4323</v>
      </c>
      <c r="E90" s="599"/>
      <c r="F90" s="600"/>
      <c r="G90" s="289"/>
      <c r="H90" s="601"/>
      <c r="I90" s="602"/>
      <c r="J90" s="603"/>
      <c r="U90" s="605"/>
      <c r="W90" s="605"/>
    </row>
    <row r="91" spans="1:255" s="1685" customFormat="1" ht="13.5" customHeight="1">
      <c r="A91" s="1707">
        <v>23</v>
      </c>
      <c r="B91" s="1708" t="s">
        <v>5808</v>
      </c>
      <c r="C91" s="1708">
        <v>460171653</v>
      </c>
      <c r="D91" s="1708" t="s">
        <v>5829</v>
      </c>
      <c r="E91" s="1708" t="s">
        <v>141</v>
      </c>
      <c r="F91" s="573">
        <f>ROUND(SUM(F93),3)</f>
        <v>1.49</v>
      </c>
      <c r="G91" s="288"/>
      <c r="H91" s="568">
        <f>ROUND(F91*G91,2)</f>
        <v>0</v>
      </c>
      <c r="I91" s="613" t="s">
        <v>137</v>
      </c>
      <c r="J91" s="1705"/>
      <c r="K91" s="606"/>
      <c r="BJ91" s="1709"/>
      <c r="BK91" s="1709"/>
      <c r="BL91" s="1709"/>
      <c r="BM91" s="1709"/>
      <c r="BN91" s="1709"/>
      <c r="BO91" s="1709"/>
      <c r="BP91" s="1709"/>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604" customFormat="1" ht="27" customHeight="1">
      <c r="A92" s="595"/>
      <c r="B92" s="596"/>
      <c r="C92" s="597"/>
      <c r="D92" s="1617" t="s">
        <v>5830</v>
      </c>
      <c r="E92" s="599"/>
      <c r="F92" s="600"/>
      <c r="G92" s="289"/>
      <c r="H92" s="601"/>
      <c r="I92" s="602"/>
      <c r="J92" s="603"/>
      <c r="U92" s="605"/>
      <c r="W92" s="605"/>
    </row>
    <row r="93" spans="1:255" s="604" customFormat="1" ht="27" customHeight="1">
      <c r="A93" s="595"/>
      <c r="B93" s="596"/>
      <c r="C93" s="597"/>
      <c r="D93" s="1618" t="s">
        <v>5831</v>
      </c>
      <c r="E93" s="599"/>
      <c r="F93" s="600">
        <f>(14.9)*0.1</f>
        <v>1.4900000000000002</v>
      </c>
      <c r="G93" s="289"/>
      <c r="H93" s="601"/>
      <c r="I93" s="602"/>
      <c r="J93" s="606"/>
      <c r="U93" s="605"/>
      <c r="W93" s="605"/>
    </row>
    <row r="94" spans="1:255" s="604" customFormat="1" ht="27" customHeight="1">
      <c r="A94" s="595"/>
      <c r="B94" s="596"/>
      <c r="C94" s="597"/>
      <c r="D94" s="719" t="s">
        <v>4323</v>
      </c>
      <c r="E94" s="599"/>
      <c r="F94" s="600"/>
      <c r="G94" s="289"/>
      <c r="H94" s="601"/>
      <c r="I94" s="602"/>
      <c r="J94" s="606"/>
      <c r="U94" s="605"/>
      <c r="W94" s="605"/>
    </row>
    <row r="95" spans="1:255" s="1685" customFormat="1" ht="13.5" customHeight="1">
      <c r="A95" s="1707">
        <v>24</v>
      </c>
      <c r="B95" s="1708" t="s">
        <v>5808</v>
      </c>
      <c r="C95" s="1708">
        <v>460241111</v>
      </c>
      <c r="D95" s="1708" t="s">
        <v>5832</v>
      </c>
      <c r="E95" s="1708" t="s">
        <v>146</v>
      </c>
      <c r="F95" s="573">
        <f>ROUND(SUM(F96),3)</f>
        <v>1.3120000000000001</v>
      </c>
      <c r="G95" s="288"/>
      <c r="H95" s="568">
        <f>ROUND(F95*G95,2)</f>
        <v>0</v>
      </c>
      <c r="I95" s="613" t="s">
        <v>137</v>
      </c>
      <c r="J95" s="1705"/>
      <c r="BJ95" s="1709"/>
      <c r="BK95" s="1709"/>
      <c r="BL95" s="1709"/>
      <c r="BM95" s="1709"/>
      <c r="BN95" s="1709"/>
      <c r="BO95" s="1709"/>
      <c r="BP95" s="1709"/>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04" customFormat="1" ht="13.5" customHeight="1">
      <c r="A96" s="595"/>
      <c r="B96" s="596"/>
      <c r="C96" s="597"/>
      <c r="D96" s="719" t="s">
        <v>5833</v>
      </c>
      <c r="E96" s="599"/>
      <c r="F96" s="600">
        <f>((26.5*0.65*0.9)+(14.9*0.8*0.9))*0.05</f>
        <v>1.3115250000000003</v>
      </c>
      <c r="G96" s="289"/>
      <c r="H96" s="601"/>
      <c r="I96" s="602"/>
      <c r="J96" s="606"/>
      <c r="U96" s="605"/>
      <c r="W96" s="605"/>
    </row>
    <row r="97" spans="1:255" s="1685" customFormat="1" ht="13.5" customHeight="1">
      <c r="A97" s="1707">
        <v>25</v>
      </c>
      <c r="B97" s="1708" t="s">
        <v>5808</v>
      </c>
      <c r="C97" s="1708">
        <v>460242111</v>
      </c>
      <c r="D97" s="1708" t="s">
        <v>5834</v>
      </c>
      <c r="E97" s="1708" t="s">
        <v>205</v>
      </c>
      <c r="F97" s="573">
        <f>ROUND(SUM(F98),3)</f>
        <v>4</v>
      </c>
      <c r="G97" s="288"/>
      <c r="H97" s="568">
        <f>ROUND(F97*G97,2)</f>
        <v>0</v>
      </c>
      <c r="I97" s="613" t="s">
        <v>137</v>
      </c>
      <c r="J97" s="1705"/>
      <c r="BJ97" s="1709"/>
      <c r="BK97" s="1709"/>
      <c r="BL97" s="1709"/>
      <c r="BM97" s="1709"/>
      <c r="BN97" s="1709"/>
      <c r="BO97" s="1709"/>
      <c r="BP97" s="1709"/>
      <c r="BQ97" s="1709"/>
      <c r="BR97" s="1709"/>
      <c r="BS97" s="1709"/>
      <c r="BT97" s="1709"/>
      <c r="BU97" s="1709"/>
      <c r="BV97" s="1709"/>
      <c r="BW97" s="1709"/>
      <c r="BX97" s="1709"/>
      <c r="BY97" s="1709"/>
      <c r="BZ97" s="1709"/>
      <c r="CA97" s="1709"/>
      <c r="CB97" s="1709"/>
      <c r="CC97" s="1709"/>
      <c r="CD97" s="1709"/>
      <c r="CE97" s="1709"/>
      <c r="CF97" s="1709"/>
      <c r="CG97" s="1709"/>
      <c r="CH97" s="1709"/>
      <c r="CI97" s="1709"/>
      <c r="CJ97" s="1709"/>
      <c r="CK97" s="1709"/>
      <c r="CL97" s="1709"/>
      <c r="CM97" s="1709"/>
      <c r="CN97" s="1709"/>
      <c r="CO97" s="1709"/>
      <c r="CP97" s="1709"/>
      <c r="CQ97" s="1709"/>
      <c r="CR97" s="1709"/>
      <c r="CS97" s="1709"/>
      <c r="CT97" s="1709"/>
      <c r="CU97" s="1709"/>
      <c r="CV97" s="1709"/>
      <c r="CW97" s="1709"/>
      <c r="CX97" s="1709"/>
      <c r="CY97" s="1709"/>
      <c r="CZ97" s="1709"/>
      <c r="DA97" s="1709"/>
      <c r="DB97" s="1709"/>
      <c r="DC97" s="1709"/>
      <c r="DD97" s="1709"/>
      <c r="DE97" s="1709"/>
      <c r="DF97" s="1709"/>
      <c r="DG97" s="1709"/>
      <c r="DH97" s="1709"/>
      <c r="DI97" s="1709"/>
      <c r="DJ97" s="1709"/>
      <c r="DK97" s="1709"/>
      <c r="DL97" s="1709"/>
      <c r="DM97" s="1709"/>
      <c r="DN97" s="1709"/>
      <c r="DO97" s="1709"/>
      <c r="DP97" s="1709"/>
      <c r="DQ97" s="1709"/>
      <c r="DR97" s="1709"/>
      <c r="DS97" s="1709"/>
      <c r="DT97" s="1709"/>
      <c r="DU97" s="1709"/>
      <c r="DV97" s="1709"/>
      <c r="DW97" s="1709"/>
      <c r="DX97" s="1709"/>
      <c r="DY97" s="1709"/>
      <c r="DZ97" s="1709"/>
      <c r="EA97" s="1709"/>
      <c r="EB97" s="1709"/>
      <c r="EC97" s="1709"/>
      <c r="ED97" s="1709"/>
      <c r="EE97" s="1709"/>
      <c r="EF97" s="1709"/>
      <c r="EG97" s="1709"/>
      <c r="EH97" s="1709"/>
      <c r="EI97" s="1709"/>
      <c r="EJ97" s="1709"/>
      <c r="EK97" s="1709"/>
      <c r="EL97" s="1709"/>
      <c r="EM97" s="1709"/>
      <c r="EN97" s="1709"/>
      <c r="EO97" s="1709"/>
      <c r="EP97" s="1709"/>
      <c r="EQ97" s="1709"/>
      <c r="ER97" s="1709"/>
      <c r="ES97" s="1709"/>
      <c r="ET97" s="1709"/>
      <c r="EU97" s="1709"/>
      <c r="EV97" s="1709"/>
      <c r="EW97" s="1709"/>
      <c r="EX97" s="1709"/>
      <c r="EY97" s="1709"/>
      <c r="EZ97" s="1709"/>
      <c r="FA97" s="1709"/>
      <c r="FB97" s="1709"/>
      <c r="FC97" s="1709"/>
      <c r="FD97" s="1709"/>
      <c r="FE97" s="1709"/>
      <c r="FF97" s="1709"/>
      <c r="FG97" s="1709"/>
      <c r="FH97" s="1709"/>
      <c r="FI97" s="1709"/>
      <c r="FJ97" s="1709"/>
      <c r="FK97" s="1709"/>
      <c r="FL97" s="1709"/>
      <c r="FM97" s="1709"/>
      <c r="FN97" s="1709"/>
      <c r="FO97" s="1709"/>
      <c r="FP97" s="1709"/>
      <c r="FQ97" s="1709"/>
      <c r="FR97" s="1709"/>
      <c r="FS97" s="1709"/>
      <c r="FT97" s="1709"/>
      <c r="FU97" s="1709"/>
      <c r="FV97" s="1709"/>
      <c r="FW97" s="1709"/>
      <c r="FX97" s="1709"/>
      <c r="FY97" s="1709"/>
      <c r="FZ97" s="1709"/>
      <c r="GA97" s="1709"/>
      <c r="GB97" s="1709"/>
      <c r="GC97" s="1709"/>
      <c r="GD97" s="1709"/>
      <c r="GE97" s="1709"/>
      <c r="GF97" s="1709"/>
      <c r="GG97" s="1709"/>
      <c r="GH97" s="1709"/>
      <c r="GI97" s="1709"/>
      <c r="GJ97" s="1709"/>
      <c r="GK97" s="1709"/>
      <c r="GL97" s="1709"/>
      <c r="GM97" s="1709"/>
      <c r="GN97" s="1709"/>
      <c r="GO97" s="1709"/>
      <c r="GP97" s="1709"/>
      <c r="GQ97" s="1709"/>
      <c r="GR97" s="1709"/>
      <c r="GS97" s="1709"/>
      <c r="GT97" s="1709"/>
      <c r="GU97" s="1709"/>
      <c r="GV97" s="1709"/>
      <c r="GW97" s="1709"/>
      <c r="GX97" s="1709"/>
      <c r="GY97" s="1709"/>
      <c r="GZ97" s="1709"/>
      <c r="HA97" s="1709"/>
      <c r="HB97" s="1709"/>
      <c r="HC97" s="1709"/>
      <c r="HD97" s="1709"/>
      <c r="HE97" s="1709"/>
      <c r="HF97" s="1709"/>
      <c r="HG97" s="1709"/>
      <c r="HH97" s="1709"/>
      <c r="HI97" s="1709"/>
      <c r="HJ97" s="1709"/>
      <c r="HK97" s="1709"/>
      <c r="HL97" s="1709"/>
      <c r="HM97" s="1709"/>
      <c r="HN97" s="1709"/>
      <c r="HO97" s="1709"/>
      <c r="HP97" s="1709"/>
      <c r="HQ97" s="1709"/>
      <c r="HR97" s="1709"/>
      <c r="HS97" s="1709"/>
      <c r="HT97" s="1709"/>
      <c r="HU97" s="1709"/>
      <c r="HV97" s="1709"/>
      <c r="HW97" s="1709"/>
      <c r="HX97" s="1709"/>
      <c r="HY97" s="1709"/>
      <c r="HZ97" s="1709"/>
      <c r="IA97" s="1709"/>
      <c r="IB97" s="1709"/>
      <c r="IC97" s="1709"/>
      <c r="ID97" s="1709"/>
      <c r="IE97" s="1709"/>
      <c r="IF97" s="1709"/>
      <c r="IG97" s="1709"/>
      <c r="IH97" s="1709"/>
      <c r="II97" s="1709"/>
      <c r="IJ97" s="1709"/>
      <c r="IK97" s="1709"/>
      <c r="IL97" s="1709"/>
      <c r="IM97" s="1709"/>
      <c r="IN97" s="1709"/>
      <c r="IO97" s="1709"/>
      <c r="IP97" s="1709"/>
      <c r="IQ97" s="1709"/>
      <c r="IR97" s="1709"/>
      <c r="IS97" s="1709"/>
      <c r="IT97" s="1709"/>
      <c r="IU97" s="1709"/>
    </row>
    <row r="98" spans="1:255" s="604" customFormat="1" ht="13.5" customHeight="1">
      <c r="A98" s="595"/>
      <c r="B98" s="596"/>
      <c r="C98" s="597"/>
      <c r="D98" s="719" t="s">
        <v>5835</v>
      </c>
      <c r="E98" s="599"/>
      <c r="F98" s="600">
        <v>4</v>
      </c>
      <c r="G98" s="289"/>
      <c r="H98" s="601"/>
      <c r="I98" s="1620"/>
      <c r="J98" s="606"/>
      <c r="U98" s="605"/>
      <c r="W98" s="605"/>
    </row>
    <row r="99" spans="1:255" s="1685" customFormat="1" ht="13.5" customHeight="1">
      <c r="A99" s="1707">
        <v>26</v>
      </c>
      <c r="B99" s="1708" t="s">
        <v>5808</v>
      </c>
      <c r="C99" s="1708">
        <v>460242121</v>
      </c>
      <c r="D99" s="1708" t="s">
        <v>5836</v>
      </c>
      <c r="E99" s="1708" t="s">
        <v>141</v>
      </c>
      <c r="F99" s="573">
        <f>ROUND(SUM(F100),3)</f>
        <v>5</v>
      </c>
      <c r="G99" s="288"/>
      <c r="H99" s="568">
        <f>ROUND(F99*G99,2)</f>
        <v>0</v>
      </c>
      <c r="I99" s="613" t="s">
        <v>137</v>
      </c>
      <c r="J99" s="1705"/>
      <c r="BJ99" s="1709"/>
      <c r="BK99" s="1709"/>
      <c r="BL99" s="1709"/>
      <c r="BM99" s="1709"/>
      <c r="BN99" s="1709"/>
      <c r="BO99" s="1709"/>
      <c r="BP99" s="1709"/>
      <c r="BQ99" s="1709"/>
      <c r="BR99" s="1709"/>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04" customFormat="1" ht="13.5" customHeight="1">
      <c r="A100" s="595"/>
      <c r="B100" s="596"/>
      <c r="C100" s="597"/>
      <c r="D100" s="719" t="s">
        <v>5835</v>
      </c>
      <c r="E100" s="599"/>
      <c r="F100" s="600">
        <v>5</v>
      </c>
      <c r="G100" s="289"/>
      <c r="H100" s="601"/>
      <c r="I100" s="1620"/>
      <c r="J100" s="606"/>
      <c r="U100" s="605"/>
      <c r="W100" s="605"/>
    </row>
    <row r="101" spans="1:255" s="1685" customFormat="1" ht="13.5" customHeight="1">
      <c r="A101" s="1707">
        <v>27</v>
      </c>
      <c r="B101" s="1708" t="s">
        <v>5808</v>
      </c>
      <c r="C101" s="1708">
        <v>460242211</v>
      </c>
      <c r="D101" s="1708" t="s">
        <v>5837</v>
      </c>
      <c r="E101" s="1708" t="s">
        <v>205</v>
      </c>
      <c r="F101" s="573">
        <f>ROUND(SUM(F102),3)</f>
        <v>5</v>
      </c>
      <c r="G101" s="288"/>
      <c r="H101" s="568">
        <f>ROUND(F101*G101,2)</f>
        <v>0</v>
      </c>
      <c r="I101" s="613" t="s">
        <v>137</v>
      </c>
      <c r="J101" s="1705"/>
      <c r="BJ101" s="1709"/>
      <c r="BK101" s="1709"/>
      <c r="BL101" s="1709"/>
      <c r="BM101" s="1709"/>
      <c r="BN101" s="1709"/>
      <c r="BO101" s="1709"/>
      <c r="BP101" s="1709"/>
      <c r="BQ101" s="1709"/>
      <c r="BR101" s="1709"/>
      <c r="BS101" s="1709"/>
      <c r="BT101" s="1709"/>
      <c r="BU101" s="1709"/>
      <c r="BV101" s="1709"/>
      <c r="BW101" s="1709"/>
      <c r="BX101" s="1709"/>
      <c r="BY101" s="1709"/>
      <c r="BZ101" s="1709"/>
      <c r="CA101" s="1709"/>
      <c r="CB101" s="1709"/>
      <c r="CC101" s="1709"/>
      <c r="CD101" s="1709"/>
      <c r="CE101" s="1709"/>
      <c r="CF101" s="1709"/>
      <c r="CG101" s="1709"/>
      <c r="CH101" s="1709"/>
      <c r="CI101" s="1709"/>
      <c r="CJ101" s="1709"/>
      <c r="CK101" s="1709"/>
      <c r="CL101" s="1709"/>
      <c r="CM101" s="1709"/>
      <c r="CN101" s="1709"/>
      <c r="CO101" s="1709"/>
      <c r="CP101" s="1709"/>
      <c r="CQ101" s="1709"/>
      <c r="CR101" s="1709"/>
      <c r="CS101" s="1709"/>
      <c r="CT101" s="1709"/>
      <c r="CU101" s="1709"/>
      <c r="CV101" s="1709"/>
      <c r="CW101" s="1709"/>
      <c r="CX101" s="1709"/>
      <c r="CY101" s="1709"/>
      <c r="CZ101" s="1709"/>
      <c r="DA101" s="1709"/>
      <c r="DB101" s="1709"/>
      <c r="DC101" s="1709"/>
      <c r="DD101" s="1709"/>
      <c r="DE101" s="1709"/>
      <c r="DF101" s="1709"/>
      <c r="DG101" s="1709"/>
      <c r="DH101" s="1709"/>
      <c r="DI101" s="1709"/>
      <c r="DJ101" s="1709"/>
      <c r="DK101" s="1709"/>
      <c r="DL101" s="1709"/>
      <c r="DM101" s="1709"/>
      <c r="DN101" s="1709"/>
      <c r="DO101" s="1709"/>
      <c r="DP101" s="1709"/>
      <c r="DQ101" s="1709"/>
      <c r="DR101" s="1709"/>
      <c r="DS101" s="1709"/>
      <c r="DT101" s="1709"/>
      <c r="DU101" s="1709"/>
      <c r="DV101" s="1709"/>
      <c r="DW101" s="1709"/>
      <c r="DX101" s="1709"/>
      <c r="DY101" s="1709"/>
      <c r="DZ101" s="1709"/>
      <c r="EA101" s="1709"/>
      <c r="EB101" s="1709"/>
      <c r="EC101" s="1709"/>
      <c r="ED101" s="1709"/>
      <c r="EE101" s="1709"/>
      <c r="EF101" s="1709"/>
      <c r="EG101" s="1709"/>
      <c r="EH101" s="1709"/>
      <c r="EI101" s="1709"/>
      <c r="EJ101" s="1709"/>
      <c r="EK101" s="1709"/>
      <c r="EL101" s="1709"/>
      <c r="EM101" s="1709"/>
      <c r="EN101" s="1709"/>
      <c r="EO101" s="1709"/>
      <c r="EP101" s="1709"/>
      <c r="EQ101" s="1709"/>
      <c r="ER101" s="1709"/>
      <c r="ES101" s="1709"/>
      <c r="ET101" s="1709"/>
      <c r="EU101" s="1709"/>
      <c r="EV101" s="1709"/>
      <c r="EW101" s="1709"/>
      <c r="EX101" s="1709"/>
      <c r="EY101" s="1709"/>
      <c r="EZ101" s="1709"/>
      <c r="FA101" s="1709"/>
      <c r="FB101" s="1709"/>
      <c r="FC101" s="1709"/>
      <c r="FD101" s="1709"/>
      <c r="FE101" s="1709"/>
      <c r="FF101" s="1709"/>
      <c r="FG101" s="1709"/>
      <c r="FH101" s="1709"/>
      <c r="FI101" s="1709"/>
      <c r="FJ101" s="1709"/>
      <c r="FK101" s="1709"/>
      <c r="FL101" s="1709"/>
      <c r="FM101" s="1709"/>
      <c r="FN101" s="1709"/>
      <c r="FO101" s="1709"/>
      <c r="FP101" s="1709"/>
      <c r="FQ101" s="1709"/>
      <c r="FR101" s="1709"/>
      <c r="FS101" s="1709"/>
      <c r="FT101" s="1709"/>
      <c r="FU101" s="1709"/>
      <c r="FV101" s="1709"/>
      <c r="FW101" s="1709"/>
      <c r="FX101" s="1709"/>
      <c r="FY101" s="1709"/>
      <c r="FZ101" s="1709"/>
      <c r="GA101" s="1709"/>
      <c r="GB101" s="1709"/>
      <c r="GC101" s="1709"/>
      <c r="GD101" s="1709"/>
      <c r="GE101" s="1709"/>
      <c r="GF101" s="1709"/>
      <c r="GG101" s="1709"/>
      <c r="GH101" s="1709"/>
      <c r="GI101" s="1709"/>
      <c r="GJ101" s="1709"/>
      <c r="GK101" s="1709"/>
      <c r="GL101" s="1709"/>
      <c r="GM101" s="1709"/>
      <c r="GN101" s="1709"/>
      <c r="GO101" s="1709"/>
      <c r="GP101" s="1709"/>
      <c r="GQ101" s="1709"/>
      <c r="GR101" s="1709"/>
      <c r="GS101" s="1709"/>
      <c r="GT101" s="1709"/>
      <c r="GU101" s="1709"/>
      <c r="GV101" s="1709"/>
      <c r="GW101" s="1709"/>
      <c r="GX101" s="1709"/>
      <c r="GY101" s="1709"/>
      <c r="GZ101" s="1709"/>
      <c r="HA101" s="1709"/>
      <c r="HB101" s="1709"/>
      <c r="HC101" s="1709"/>
      <c r="HD101" s="1709"/>
      <c r="HE101" s="1709"/>
      <c r="HF101" s="1709"/>
      <c r="HG101" s="1709"/>
      <c r="HH101" s="1709"/>
      <c r="HI101" s="1709"/>
      <c r="HJ101" s="1709"/>
      <c r="HK101" s="1709"/>
      <c r="HL101" s="1709"/>
      <c r="HM101" s="1709"/>
      <c r="HN101" s="1709"/>
      <c r="HO101" s="1709"/>
      <c r="HP101" s="1709"/>
      <c r="HQ101" s="1709"/>
      <c r="HR101" s="1709"/>
      <c r="HS101" s="1709"/>
      <c r="HT101" s="1709"/>
      <c r="HU101" s="1709"/>
      <c r="HV101" s="1709"/>
      <c r="HW101" s="1709"/>
      <c r="HX101" s="1709"/>
      <c r="HY101" s="1709"/>
      <c r="HZ101" s="1709"/>
      <c r="IA101" s="1709"/>
      <c r="IB101" s="1709"/>
      <c r="IC101" s="1709"/>
      <c r="ID101" s="1709"/>
      <c r="IE101" s="1709"/>
      <c r="IF101" s="1709"/>
      <c r="IG101" s="1709"/>
      <c r="IH101" s="1709"/>
      <c r="II101" s="1709"/>
      <c r="IJ101" s="1709"/>
      <c r="IK101" s="1709"/>
      <c r="IL101" s="1709"/>
      <c r="IM101" s="1709"/>
      <c r="IN101" s="1709"/>
      <c r="IO101" s="1709"/>
      <c r="IP101" s="1709"/>
      <c r="IQ101" s="1709"/>
      <c r="IR101" s="1709"/>
      <c r="IS101" s="1709"/>
      <c r="IT101" s="1709"/>
      <c r="IU101" s="1709"/>
    </row>
    <row r="102" spans="1:255" s="604" customFormat="1" ht="13.5" customHeight="1">
      <c r="A102" s="595"/>
      <c r="B102" s="596"/>
      <c r="C102" s="597"/>
      <c r="D102" s="719" t="s">
        <v>5838</v>
      </c>
      <c r="E102" s="599"/>
      <c r="F102" s="600">
        <v>5</v>
      </c>
      <c r="G102" s="289"/>
      <c r="H102" s="601"/>
      <c r="I102" s="1620"/>
      <c r="J102" s="606"/>
      <c r="U102" s="605"/>
      <c r="W102" s="605"/>
    </row>
    <row r="103" spans="1:255" s="1685" customFormat="1" ht="13.5" customHeight="1">
      <c r="A103" s="1707">
        <v>28</v>
      </c>
      <c r="B103" s="1708" t="s">
        <v>5808</v>
      </c>
      <c r="C103" s="1708">
        <v>460242221</v>
      </c>
      <c r="D103" s="1708" t="s">
        <v>5839</v>
      </c>
      <c r="E103" s="1708" t="s">
        <v>141</v>
      </c>
      <c r="F103" s="573">
        <f>ROUND(SUM(F104),3)</f>
        <v>15</v>
      </c>
      <c r="G103" s="288"/>
      <c r="H103" s="568">
        <f>ROUND(F103*G103,2)</f>
        <v>0</v>
      </c>
      <c r="I103" s="613" t="s">
        <v>137</v>
      </c>
      <c r="J103" s="1705"/>
      <c r="BJ103" s="1709"/>
      <c r="BK103" s="1709"/>
      <c r="BL103" s="1709"/>
      <c r="BM103" s="1709"/>
      <c r="BN103" s="1709"/>
      <c r="BO103" s="1709"/>
      <c r="BP103" s="1709"/>
      <c r="BQ103" s="1709"/>
      <c r="BR103" s="1709"/>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604" customFormat="1" ht="13.5" customHeight="1">
      <c r="A104" s="595"/>
      <c r="B104" s="596"/>
      <c r="C104" s="597"/>
      <c r="D104" s="719" t="s">
        <v>5838</v>
      </c>
      <c r="E104" s="599"/>
      <c r="F104" s="600">
        <v>15</v>
      </c>
      <c r="G104" s="289"/>
      <c r="H104" s="601"/>
      <c r="I104" s="1620"/>
      <c r="J104" s="606"/>
      <c r="U104" s="605"/>
      <c r="W104" s="605"/>
    </row>
    <row r="105" spans="1:255" s="1685" customFormat="1" ht="13.5" customHeight="1">
      <c r="A105" s="1707">
        <v>29</v>
      </c>
      <c r="B105" s="1708" t="s">
        <v>5808</v>
      </c>
      <c r="C105" s="1708">
        <v>460451432</v>
      </c>
      <c r="D105" s="1708" t="s">
        <v>5840</v>
      </c>
      <c r="E105" s="1708" t="s">
        <v>141</v>
      </c>
      <c r="F105" s="573">
        <f>ROUND(SUM(F107),3)</f>
        <v>23.85</v>
      </c>
      <c r="G105" s="288"/>
      <c r="H105" s="568">
        <f>ROUND(F105*G105,2)</f>
        <v>0</v>
      </c>
      <c r="I105" s="613" t="s">
        <v>137</v>
      </c>
      <c r="J105" s="1710"/>
      <c r="BJ105" s="1709"/>
      <c r="BK105" s="1709"/>
      <c r="BL105" s="1709"/>
      <c r="BM105" s="1709"/>
      <c r="BN105" s="1709"/>
      <c r="BO105" s="1709"/>
      <c r="BP105" s="1709"/>
      <c r="BQ105" s="1709"/>
      <c r="BR105" s="1709"/>
      <c r="BS105" s="1709"/>
      <c r="BT105" s="1709"/>
      <c r="BU105" s="1709"/>
      <c r="BV105" s="1709"/>
      <c r="BW105" s="1709"/>
      <c r="BX105" s="1709"/>
      <c r="BY105" s="1709"/>
      <c r="BZ105" s="1709"/>
      <c r="CA105" s="1709"/>
      <c r="CB105" s="1709"/>
      <c r="CC105" s="1709"/>
      <c r="CD105" s="1709"/>
      <c r="CE105" s="1709"/>
      <c r="CF105" s="1709"/>
      <c r="CG105" s="1709"/>
      <c r="CH105" s="1709"/>
      <c r="CI105" s="1709"/>
      <c r="CJ105" s="1709"/>
      <c r="CK105" s="1709"/>
      <c r="CL105" s="1709"/>
      <c r="CM105" s="1709"/>
      <c r="CN105" s="1709"/>
      <c r="CO105" s="1709"/>
      <c r="CP105" s="1709"/>
      <c r="CQ105" s="1709"/>
      <c r="CR105" s="1709"/>
      <c r="CS105" s="1709"/>
      <c r="CT105" s="1709"/>
      <c r="CU105" s="1709"/>
      <c r="CV105" s="1709"/>
      <c r="CW105" s="1709"/>
      <c r="CX105" s="1709"/>
      <c r="CY105" s="1709"/>
      <c r="CZ105" s="1709"/>
      <c r="DA105" s="1709"/>
      <c r="DB105" s="1709"/>
      <c r="DC105" s="1709"/>
      <c r="DD105" s="1709"/>
      <c r="DE105" s="1709"/>
      <c r="DF105" s="1709"/>
      <c r="DG105" s="1709"/>
      <c r="DH105" s="1709"/>
      <c r="DI105" s="1709"/>
      <c r="DJ105" s="1709"/>
      <c r="DK105" s="1709"/>
      <c r="DL105" s="1709"/>
      <c r="DM105" s="1709"/>
      <c r="DN105" s="1709"/>
      <c r="DO105" s="1709"/>
      <c r="DP105" s="1709"/>
      <c r="DQ105" s="1709"/>
      <c r="DR105" s="1709"/>
      <c r="DS105" s="1709"/>
      <c r="DT105" s="1709"/>
      <c r="DU105" s="1709"/>
      <c r="DV105" s="1709"/>
      <c r="DW105" s="1709"/>
      <c r="DX105" s="1709"/>
      <c r="DY105" s="1709"/>
      <c r="DZ105" s="1709"/>
      <c r="EA105" s="1709"/>
      <c r="EB105" s="1709"/>
      <c r="EC105" s="1709"/>
      <c r="ED105" s="1709"/>
      <c r="EE105" s="1709"/>
      <c r="EF105" s="1709"/>
      <c r="EG105" s="1709"/>
      <c r="EH105" s="1709"/>
      <c r="EI105" s="1709"/>
      <c r="EJ105" s="1709"/>
      <c r="EK105" s="1709"/>
      <c r="EL105" s="1709"/>
      <c r="EM105" s="1709"/>
      <c r="EN105" s="1709"/>
      <c r="EO105" s="1709"/>
      <c r="EP105" s="1709"/>
      <c r="EQ105" s="1709"/>
      <c r="ER105" s="1709"/>
      <c r="ES105" s="1709"/>
      <c r="ET105" s="1709"/>
      <c r="EU105" s="1709"/>
      <c r="EV105" s="1709"/>
      <c r="EW105" s="1709"/>
      <c r="EX105" s="1709"/>
      <c r="EY105" s="1709"/>
      <c r="EZ105" s="1709"/>
      <c r="FA105" s="1709"/>
      <c r="FB105" s="1709"/>
      <c r="FC105" s="1709"/>
      <c r="FD105" s="1709"/>
      <c r="FE105" s="1709"/>
      <c r="FF105" s="1709"/>
      <c r="FG105" s="1709"/>
      <c r="FH105" s="1709"/>
      <c r="FI105" s="1709"/>
      <c r="FJ105" s="1709"/>
      <c r="FK105" s="1709"/>
      <c r="FL105" s="1709"/>
      <c r="FM105" s="1709"/>
      <c r="FN105" s="1709"/>
      <c r="FO105" s="1709"/>
      <c r="FP105" s="1709"/>
      <c r="FQ105" s="1709"/>
      <c r="FR105" s="1709"/>
      <c r="FS105" s="1709"/>
      <c r="FT105" s="1709"/>
      <c r="FU105" s="1709"/>
      <c r="FV105" s="1709"/>
      <c r="FW105" s="1709"/>
      <c r="FX105" s="1709"/>
      <c r="FY105" s="1709"/>
      <c r="FZ105" s="1709"/>
      <c r="GA105" s="1709"/>
      <c r="GB105" s="1709"/>
      <c r="GC105" s="1709"/>
      <c r="GD105" s="1709"/>
      <c r="GE105" s="1709"/>
      <c r="GF105" s="1709"/>
      <c r="GG105" s="1709"/>
      <c r="GH105" s="1709"/>
      <c r="GI105" s="1709"/>
      <c r="GJ105" s="1709"/>
      <c r="GK105" s="1709"/>
      <c r="GL105" s="1709"/>
      <c r="GM105" s="1709"/>
      <c r="GN105" s="1709"/>
      <c r="GO105" s="1709"/>
      <c r="GP105" s="1709"/>
      <c r="GQ105" s="1709"/>
      <c r="GR105" s="1709"/>
      <c r="GS105" s="1709"/>
      <c r="GT105" s="1709"/>
      <c r="GU105" s="1709"/>
      <c r="GV105" s="1709"/>
      <c r="GW105" s="1709"/>
      <c r="GX105" s="1709"/>
      <c r="GY105" s="1709"/>
      <c r="GZ105" s="1709"/>
      <c r="HA105" s="1709"/>
      <c r="HB105" s="1709"/>
      <c r="HC105" s="1709"/>
      <c r="HD105" s="1709"/>
      <c r="HE105" s="1709"/>
      <c r="HF105" s="1709"/>
      <c r="HG105" s="1709"/>
      <c r="HH105" s="1709"/>
      <c r="HI105" s="1709"/>
      <c r="HJ105" s="1709"/>
      <c r="HK105" s="1709"/>
      <c r="HL105" s="1709"/>
      <c r="HM105" s="1709"/>
      <c r="HN105" s="1709"/>
      <c r="HO105" s="1709"/>
      <c r="HP105" s="1709"/>
      <c r="HQ105" s="1709"/>
      <c r="HR105" s="1709"/>
      <c r="HS105" s="1709"/>
      <c r="HT105" s="1709"/>
      <c r="HU105" s="1709"/>
      <c r="HV105" s="1709"/>
      <c r="HW105" s="1709"/>
      <c r="HX105" s="1709"/>
      <c r="HY105" s="1709"/>
      <c r="HZ105" s="1709"/>
      <c r="IA105" s="1709"/>
      <c r="IB105" s="1709"/>
      <c r="IC105" s="1709"/>
      <c r="ID105" s="1709"/>
      <c r="IE105" s="1709"/>
      <c r="IF105" s="1709"/>
      <c r="IG105" s="1709"/>
      <c r="IH105" s="1709"/>
      <c r="II105" s="1709"/>
      <c r="IJ105" s="1709"/>
      <c r="IK105" s="1709"/>
      <c r="IL105" s="1709"/>
      <c r="IM105" s="1709"/>
      <c r="IN105" s="1709"/>
      <c r="IO105" s="1709"/>
      <c r="IP105" s="1709"/>
      <c r="IQ105" s="1709"/>
      <c r="IR105" s="1709"/>
      <c r="IS105" s="1709"/>
      <c r="IT105" s="1709"/>
      <c r="IU105" s="1709"/>
    </row>
    <row r="106" spans="1:255" s="1685" customFormat="1" ht="13.5" customHeight="1">
      <c r="A106" s="1707"/>
      <c r="B106" s="1708"/>
      <c r="C106" s="1708"/>
      <c r="D106" s="719" t="s">
        <v>5841</v>
      </c>
      <c r="E106" s="1708"/>
      <c r="F106" s="1444"/>
      <c r="G106" s="288"/>
      <c r="H106" s="609"/>
      <c r="I106" s="613"/>
      <c r="J106" s="1705"/>
      <c r="BJ106" s="1709"/>
      <c r="BK106" s="1709"/>
      <c r="BL106" s="1709"/>
      <c r="BM106" s="1709"/>
      <c r="BN106" s="1709"/>
      <c r="BO106" s="1709"/>
      <c r="BP106" s="1709"/>
      <c r="BQ106" s="1709"/>
      <c r="BR106" s="1709"/>
      <c r="BS106" s="1709"/>
      <c r="BT106" s="1709"/>
      <c r="BU106" s="1709"/>
      <c r="BV106" s="1709"/>
      <c r="BW106" s="1709"/>
      <c r="BX106" s="1709"/>
      <c r="BY106" s="1709"/>
      <c r="BZ106" s="1709"/>
      <c r="CA106" s="1709"/>
      <c r="CB106" s="1709"/>
      <c r="CC106" s="1709"/>
      <c r="CD106" s="1709"/>
      <c r="CE106" s="1709"/>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685" customFormat="1" ht="13.5" customHeight="1">
      <c r="A107" s="1707"/>
      <c r="B107" s="1708"/>
      <c r="C107" s="1708"/>
      <c r="D107" s="719" t="s">
        <v>5842</v>
      </c>
      <c r="E107" s="1708"/>
      <c r="F107" s="600">
        <f>(26.5)*(0.05+0.85)</f>
        <v>23.85</v>
      </c>
      <c r="G107" s="308"/>
      <c r="H107" s="609"/>
      <c r="I107" s="613"/>
      <c r="J107" s="1705"/>
      <c r="BJ107" s="1709"/>
      <c r="BK107" s="1709"/>
      <c r="BL107" s="1709"/>
      <c r="BM107" s="1709"/>
      <c r="BN107" s="1709"/>
      <c r="BO107" s="1709"/>
      <c r="BP107" s="1709"/>
      <c r="BQ107" s="1709"/>
      <c r="BR107" s="1709"/>
      <c r="BS107" s="1709"/>
      <c r="BT107" s="1709"/>
      <c r="BU107" s="1709"/>
      <c r="BV107" s="1709"/>
      <c r="BW107" s="1709"/>
      <c r="BX107" s="1709"/>
      <c r="BY107" s="1709"/>
      <c r="BZ107" s="1709"/>
      <c r="CA107" s="1709"/>
      <c r="CB107" s="1709"/>
      <c r="CC107" s="1709"/>
      <c r="CD107" s="1709"/>
      <c r="CE107" s="1709"/>
      <c r="CF107" s="1709"/>
      <c r="CG107" s="1709"/>
      <c r="CH107" s="1709"/>
      <c r="CI107" s="1709"/>
      <c r="CJ107" s="1709"/>
      <c r="CK107" s="1709"/>
      <c r="CL107" s="1709"/>
      <c r="CM107" s="1709"/>
      <c r="CN107" s="1709"/>
      <c r="CO107" s="1709"/>
      <c r="CP107" s="1709"/>
      <c r="CQ107" s="1709"/>
      <c r="CR107" s="1709"/>
      <c r="CS107" s="1709"/>
      <c r="CT107" s="1709"/>
      <c r="CU107" s="1709"/>
      <c r="CV107" s="1709"/>
      <c r="CW107" s="1709"/>
      <c r="CX107" s="1709"/>
      <c r="CY107" s="1709"/>
      <c r="CZ107" s="1709"/>
      <c r="DA107" s="1709"/>
      <c r="DB107" s="1709"/>
      <c r="DC107" s="1709"/>
      <c r="DD107" s="1709"/>
      <c r="DE107" s="1709"/>
      <c r="DF107" s="1709"/>
      <c r="DG107" s="1709"/>
      <c r="DH107" s="1709"/>
      <c r="DI107" s="1709"/>
      <c r="DJ107" s="1709"/>
      <c r="DK107" s="1709"/>
      <c r="DL107" s="1709"/>
      <c r="DM107" s="1709"/>
      <c r="DN107" s="1709"/>
      <c r="DO107" s="1709"/>
      <c r="DP107" s="1709"/>
      <c r="DQ107" s="1709"/>
      <c r="DR107" s="1709"/>
      <c r="DS107" s="1709"/>
      <c r="DT107" s="1709"/>
      <c r="DU107" s="1709"/>
      <c r="DV107" s="1709"/>
      <c r="DW107" s="1709"/>
      <c r="DX107" s="1709"/>
      <c r="DY107" s="1709"/>
      <c r="DZ107" s="1709"/>
      <c r="EA107" s="1709"/>
      <c r="EB107" s="1709"/>
      <c r="EC107" s="1709"/>
      <c r="ED107" s="1709"/>
      <c r="EE107" s="1709"/>
      <c r="EF107" s="1709"/>
      <c r="EG107" s="1709"/>
      <c r="EH107" s="1709"/>
      <c r="EI107" s="1709"/>
      <c r="EJ107" s="1709"/>
      <c r="EK107" s="1709"/>
      <c r="EL107" s="1709"/>
      <c r="EM107" s="1709"/>
      <c r="EN107" s="1709"/>
      <c r="EO107" s="1709"/>
      <c r="EP107" s="1709"/>
      <c r="EQ107" s="1709"/>
      <c r="ER107" s="1709"/>
      <c r="ES107" s="1709"/>
      <c r="ET107" s="1709"/>
      <c r="EU107" s="1709"/>
      <c r="EV107" s="1709"/>
      <c r="EW107" s="1709"/>
      <c r="EX107" s="1709"/>
      <c r="EY107" s="1709"/>
      <c r="EZ107" s="1709"/>
      <c r="FA107" s="1709"/>
      <c r="FB107" s="1709"/>
      <c r="FC107" s="1709"/>
      <c r="FD107" s="1709"/>
      <c r="FE107" s="1709"/>
      <c r="FF107" s="1709"/>
      <c r="FG107" s="1709"/>
      <c r="FH107" s="1709"/>
      <c r="FI107" s="1709"/>
      <c r="FJ107" s="1709"/>
      <c r="FK107" s="1709"/>
      <c r="FL107" s="1709"/>
      <c r="FM107" s="1709"/>
      <c r="FN107" s="1709"/>
      <c r="FO107" s="1709"/>
      <c r="FP107" s="1709"/>
      <c r="FQ107" s="1709"/>
      <c r="FR107" s="1709"/>
      <c r="FS107" s="1709"/>
      <c r="FT107" s="1709"/>
      <c r="FU107" s="1709"/>
      <c r="FV107" s="1709"/>
      <c r="FW107" s="1709"/>
      <c r="FX107" s="1709"/>
      <c r="FY107" s="1709"/>
      <c r="FZ107" s="1709"/>
      <c r="GA107" s="1709"/>
      <c r="GB107" s="1709"/>
      <c r="GC107" s="1709"/>
      <c r="GD107" s="1709"/>
      <c r="GE107" s="1709"/>
      <c r="GF107" s="1709"/>
      <c r="GG107" s="1709"/>
      <c r="GH107" s="1709"/>
      <c r="GI107" s="1709"/>
      <c r="GJ107" s="1709"/>
      <c r="GK107" s="1709"/>
      <c r="GL107" s="1709"/>
      <c r="GM107" s="1709"/>
      <c r="GN107" s="1709"/>
      <c r="GO107" s="1709"/>
      <c r="GP107" s="1709"/>
      <c r="GQ107" s="1709"/>
      <c r="GR107" s="1709"/>
      <c r="GS107" s="1709"/>
      <c r="GT107" s="1709"/>
      <c r="GU107" s="1709"/>
      <c r="GV107" s="1709"/>
      <c r="GW107" s="1709"/>
      <c r="GX107" s="1709"/>
      <c r="GY107" s="1709"/>
      <c r="GZ107" s="1709"/>
      <c r="HA107" s="1709"/>
      <c r="HB107" s="1709"/>
      <c r="HC107" s="1709"/>
      <c r="HD107" s="1709"/>
      <c r="HE107" s="1709"/>
      <c r="HF107" s="1709"/>
      <c r="HG107" s="1709"/>
      <c r="HH107" s="1709"/>
      <c r="HI107" s="1709"/>
      <c r="HJ107" s="1709"/>
      <c r="HK107" s="1709"/>
      <c r="HL107" s="1709"/>
      <c r="HM107" s="1709"/>
      <c r="HN107" s="1709"/>
      <c r="HO107" s="1709"/>
      <c r="HP107" s="1709"/>
      <c r="HQ107" s="1709"/>
      <c r="HR107" s="1709"/>
      <c r="HS107" s="1709"/>
      <c r="HT107" s="1709"/>
      <c r="HU107" s="1709"/>
      <c r="HV107" s="1709"/>
      <c r="HW107" s="1709"/>
      <c r="HX107" s="1709"/>
      <c r="HY107" s="1709"/>
      <c r="HZ107" s="1709"/>
      <c r="IA107" s="1709"/>
      <c r="IB107" s="1709"/>
      <c r="IC107" s="1709"/>
      <c r="ID107" s="1709"/>
      <c r="IE107" s="1709"/>
      <c r="IF107" s="1709"/>
      <c r="IG107" s="1709"/>
      <c r="IH107" s="1709"/>
      <c r="II107" s="1709"/>
      <c r="IJ107" s="1709"/>
      <c r="IK107" s="1709"/>
      <c r="IL107" s="1709"/>
      <c r="IM107" s="1709"/>
      <c r="IN107" s="1709"/>
      <c r="IO107" s="1709"/>
      <c r="IP107" s="1709"/>
      <c r="IQ107" s="1709"/>
      <c r="IR107" s="1709"/>
      <c r="IS107" s="1709"/>
      <c r="IT107" s="1709"/>
      <c r="IU107" s="1709"/>
    </row>
    <row r="108" spans="1:255" s="604" customFormat="1" ht="27" customHeight="1">
      <c r="A108" s="595"/>
      <c r="B108" s="596"/>
      <c r="C108" s="597"/>
      <c r="D108" s="719" t="s">
        <v>5843</v>
      </c>
      <c r="E108" s="599"/>
      <c r="F108" s="600"/>
      <c r="G108" s="289"/>
      <c r="H108" s="601"/>
      <c r="I108" s="602"/>
      <c r="J108" s="606"/>
      <c r="U108" s="605"/>
      <c r="W108" s="605"/>
    </row>
    <row r="109" spans="1:255" s="1685" customFormat="1" ht="13.5" customHeight="1">
      <c r="A109" s="1707">
        <v>30</v>
      </c>
      <c r="B109" s="1708" t="s">
        <v>5808</v>
      </c>
      <c r="C109" s="1708">
        <v>460451433</v>
      </c>
      <c r="D109" s="1708" t="s">
        <v>5844</v>
      </c>
      <c r="E109" s="1708" t="s">
        <v>141</v>
      </c>
      <c r="F109" s="573">
        <f>ROUND(SUM(F111),3)</f>
        <v>2.65</v>
      </c>
      <c r="G109" s="288"/>
      <c r="H109" s="568">
        <f>ROUND(F109*G109,2)</f>
        <v>0</v>
      </c>
      <c r="I109" s="613" t="s">
        <v>137</v>
      </c>
      <c r="J109" s="1710"/>
      <c r="BJ109" s="1709"/>
      <c r="BK109" s="1709"/>
      <c r="BL109" s="1709"/>
      <c r="BM109" s="1709"/>
      <c r="BN109" s="1709"/>
      <c r="BO109" s="1709"/>
      <c r="BP109" s="1709"/>
      <c r="BQ109" s="1709"/>
      <c r="BR109" s="1709"/>
      <c r="BS109" s="1709"/>
      <c r="BT109" s="1709"/>
      <c r="BU109" s="1709"/>
      <c r="BV109" s="1709"/>
      <c r="BW109" s="1709"/>
      <c r="BX109" s="1709"/>
      <c r="BY109" s="1709"/>
      <c r="BZ109" s="1709"/>
      <c r="CA109" s="1709"/>
      <c r="CB109" s="1709"/>
      <c r="CC109" s="1709"/>
      <c r="CD109" s="1709"/>
      <c r="CE109" s="1709"/>
      <c r="CF109" s="1709"/>
      <c r="CG109" s="1709"/>
      <c r="CH109" s="1709"/>
      <c r="CI109" s="1709"/>
      <c r="CJ109" s="1709"/>
      <c r="CK109" s="1709"/>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09"/>
      <c r="FW109" s="1709"/>
      <c r="FX109" s="1709"/>
      <c r="FY109" s="1709"/>
      <c r="FZ109" s="1709"/>
      <c r="GA109" s="1709"/>
      <c r="GB109" s="1709"/>
      <c r="GC109" s="1709"/>
      <c r="GD109" s="1709"/>
      <c r="GE109" s="1709"/>
      <c r="GF109" s="1709"/>
      <c r="GG109" s="1709"/>
      <c r="GH109" s="1709"/>
      <c r="GI109" s="1709"/>
      <c r="GJ109" s="1709"/>
      <c r="GK109" s="1709"/>
      <c r="GL109" s="1709"/>
      <c r="GM109" s="1709"/>
      <c r="GN109" s="1709"/>
      <c r="GO109" s="1709"/>
      <c r="GP109" s="1709"/>
      <c r="GQ109" s="1709"/>
      <c r="GR109" s="1709"/>
      <c r="GS109" s="1709"/>
      <c r="GT109" s="1709"/>
      <c r="GU109" s="1709"/>
      <c r="GV109" s="1709"/>
      <c r="GW109" s="1709"/>
      <c r="GX109" s="1709"/>
      <c r="GY109" s="1709"/>
      <c r="GZ109" s="1709"/>
      <c r="HA109" s="1709"/>
      <c r="HB109" s="1709"/>
      <c r="HC109" s="1709"/>
      <c r="HD109" s="1709"/>
      <c r="HE109" s="1709"/>
      <c r="HF109" s="1709"/>
      <c r="HG109" s="1709"/>
      <c r="HH109" s="1709"/>
      <c r="HI109" s="1709"/>
      <c r="HJ109" s="1709"/>
      <c r="HK109" s="1709"/>
      <c r="HL109" s="1709"/>
      <c r="HM109" s="1709"/>
      <c r="HN109" s="1709"/>
      <c r="HO109" s="1709"/>
      <c r="HP109" s="1709"/>
      <c r="HQ109" s="1709"/>
      <c r="HR109" s="1709"/>
      <c r="HS109" s="1709"/>
      <c r="HT109" s="1709"/>
      <c r="HU109" s="1709"/>
      <c r="HV109" s="1709"/>
      <c r="HW109" s="1709"/>
      <c r="HX109" s="1709"/>
      <c r="HY109" s="1709"/>
      <c r="HZ109" s="1709"/>
      <c r="IA109" s="1709"/>
      <c r="IB109" s="1709"/>
      <c r="IC109" s="1709"/>
      <c r="ID109" s="1709"/>
      <c r="IE109" s="1709"/>
      <c r="IF109" s="1709"/>
      <c r="IG109" s="1709"/>
      <c r="IH109" s="1709"/>
      <c r="II109" s="1709"/>
      <c r="IJ109" s="1709"/>
      <c r="IK109" s="1709"/>
      <c r="IL109" s="1709"/>
      <c r="IM109" s="1709"/>
      <c r="IN109" s="1709"/>
      <c r="IO109" s="1709"/>
      <c r="IP109" s="1709"/>
      <c r="IQ109" s="1709"/>
      <c r="IR109" s="1709"/>
      <c r="IS109" s="1709"/>
      <c r="IT109" s="1709"/>
      <c r="IU109" s="1709"/>
    </row>
    <row r="110" spans="1:255" s="1685" customFormat="1" ht="13.5" customHeight="1">
      <c r="A110" s="1707"/>
      <c r="B110" s="1708"/>
      <c r="C110" s="1708"/>
      <c r="D110" s="719" t="s">
        <v>5841</v>
      </c>
      <c r="E110" s="1708"/>
      <c r="F110" s="1444"/>
      <c r="G110" s="288"/>
      <c r="H110" s="609"/>
      <c r="I110" s="613"/>
      <c r="J110" s="1705"/>
      <c r="BJ110" s="1709"/>
      <c r="BK110" s="1709"/>
      <c r="BL110" s="1709"/>
      <c r="BM110" s="1709"/>
      <c r="BN110" s="1709"/>
      <c r="BO110" s="1709"/>
      <c r="BP110" s="1709"/>
      <c r="BQ110" s="1709"/>
      <c r="BR110" s="1709"/>
      <c r="BS110" s="1709"/>
      <c r="BT110" s="1709"/>
      <c r="BU110" s="1709"/>
      <c r="BV110" s="1709"/>
      <c r="BW110" s="1709"/>
      <c r="BX110" s="1709"/>
      <c r="BY110" s="1709"/>
      <c r="BZ110" s="1709"/>
      <c r="CA110" s="1709"/>
      <c r="CB110" s="1709"/>
      <c r="CC110" s="1709"/>
      <c r="CD110" s="1709"/>
      <c r="CE110" s="1709"/>
      <c r="CF110" s="1709"/>
      <c r="CG110" s="1709"/>
      <c r="CH110" s="1709"/>
      <c r="CI110" s="1709"/>
      <c r="CJ110" s="1709"/>
      <c r="CK110" s="1709"/>
      <c r="CL110" s="1709"/>
      <c r="CM110" s="1709"/>
      <c r="CN110" s="1709"/>
      <c r="CO110" s="1709"/>
      <c r="CP110" s="1709"/>
      <c r="CQ110" s="1709"/>
      <c r="CR110" s="1709"/>
      <c r="CS110" s="1709"/>
      <c r="CT110" s="1709"/>
      <c r="CU110" s="1709"/>
      <c r="CV110" s="1709"/>
      <c r="CW110" s="1709"/>
      <c r="CX110" s="1709"/>
      <c r="CY110" s="1709"/>
      <c r="CZ110" s="1709"/>
      <c r="DA110" s="1709"/>
      <c r="DB110" s="1709"/>
      <c r="DC110" s="1709"/>
      <c r="DD110" s="1709"/>
      <c r="DE110" s="1709"/>
      <c r="DF110" s="1709"/>
      <c r="DG110" s="1709"/>
      <c r="DH110" s="1709"/>
      <c r="DI110" s="1709"/>
      <c r="DJ110" s="1709"/>
      <c r="DK110" s="1709"/>
      <c r="DL110" s="1709"/>
      <c r="DM110" s="1709"/>
      <c r="DN110" s="1709"/>
      <c r="DO110" s="1709"/>
      <c r="DP110" s="1709"/>
      <c r="DQ110" s="1709"/>
      <c r="DR110" s="1709"/>
      <c r="DS110" s="1709"/>
      <c r="DT110" s="1709"/>
      <c r="DU110" s="1709"/>
      <c r="DV110" s="1709"/>
      <c r="DW110" s="1709"/>
      <c r="DX110" s="1709"/>
      <c r="DY110" s="1709"/>
      <c r="DZ110" s="1709"/>
      <c r="EA110" s="1709"/>
      <c r="EB110" s="1709"/>
      <c r="EC110" s="1709"/>
      <c r="ED110" s="1709"/>
      <c r="EE110" s="1709"/>
      <c r="EF110" s="1709"/>
      <c r="EG110" s="1709"/>
      <c r="EH110" s="1709"/>
      <c r="EI110" s="1709"/>
      <c r="EJ110" s="1709"/>
      <c r="EK110" s="1709"/>
      <c r="EL110" s="1709"/>
      <c r="EM110" s="1709"/>
      <c r="EN110" s="1709"/>
      <c r="EO110" s="1709"/>
      <c r="EP110" s="1709"/>
      <c r="EQ110" s="1709"/>
      <c r="ER110" s="1709"/>
      <c r="ES110" s="1709"/>
      <c r="ET110" s="1709"/>
      <c r="EU110" s="1709"/>
      <c r="EV110" s="1709"/>
      <c r="EW110" s="1709"/>
      <c r="EX110" s="1709"/>
      <c r="EY110" s="1709"/>
      <c r="EZ110" s="1709"/>
      <c r="FA110" s="1709"/>
      <c r="FB110" s="1709"/>
      <c r="FC110" s="1709"/>
      <c r="FD110" s="1709"/>
      <c r="FE110" s="1709"/>
      <c r="FF110" s="1709"/>
      <c r="FG110" s="1709"/>
      <c r="FH110" s="1709"/>
      <c r="FI110" s="1709"/>
      <c r="FJ110" s="1709"/>
      <c r="FK110" s="1709"/>
      <c r="FL110" s="1709"/>
      <c r="FM110" s="1709"/>
      <c r="FN110" s="1709"/>
      <c r="FO110" s="1709"/>
      <c r="FP110" s="1709"/>
      <c r="FQ110" s="1709"/>
      <c r="FR110" s="1709"/>
      <c r="FS110" s="1709"/>
      <c r="FT110" s="1709"/>
      <c r="FU110" s="1709"/>
      <c r="FV110" s="1709"/>
      <c r="FW110" s="1709"/>
      <c r="FX110" s="1709"/>
      <c r="FY110" s="1709"/>
      <c r="FZ110" s="1709"/>
      <c r="GA110" s="1709"/>
      <c r="GB110" s="1709"/>
      <c r="GC110" s="1709"/>
      <c r="GD110" s="1709"/>
      <c r="GE110" s="1709"/>
      <c r="GF110" s="1709"/>
      <c r="GG110" s="1709"/>
      <c r="GH110" s="1709"/>
      <c r="GI110" s="1709"/>
      <c r="GJ110" s="1709"/>
      <c r="GK110" s="1709"/>
      <c r="GL110" s="1709"/>
      <c r="GM110" s="1709"/>
      <c r="GN110" s="1709"/>
      <c r="GO110" s="1709"/>
      <c r="GP110" s="1709"/>
      <c r="GQ110" s="1709"/>
      <c r="GR110" s="1709"/>
      <c r="GS110" s="1709"/>
      <c r="GT110" s="1709"/>
      <c r="GU110" s="1709"/>
      <c r="GV110" s="1709"/>
      <c r="GW110" s="1709"/>
      <c r="GX110" s="1709"/>
      <c r="GY110" s="1709"/>
      <c r="GZ110" s="1709"/>
      <c r="HA110" s="1709"/>
      <c r="HB110" s="1709"/>
      <c r="HC110" s="1709"/>
      <c r="HD110" s="1709"/>
      <c r="HE110" s="1709"/>
      <c r="HF110" s="1709"/>
      <c r="HG110" s="1709"/>
      <c r="HH110" s="1709"/>
      <c r="HI110" s="1709"/>
      <c r="HJ110" s="1709"/>
      <c r="HK110" s="1709"/>
      <c r="HL110" s="1709"/>
      <c r="HM110" s="1709"/>
      <c r="HN110" s="1709"/>
      <c r="HO110" s="1709"/>
      <c r="HP110" s="1709"/>
      <c r="HQ110" s="1709"/>
      <c r="HR110" s="1709"/>
      <c r="HS110" s="1709"/>
      <c r="HT110" s="1709"/>
      <c r="HU110" s="1709"/>
      <c r="HV110" s="1709"/>
      <c r="HW110" s="1709"/>
      <c r="HX110" s="1709"/>
      <c r="HY110" s="1709"/>
      <c r="HZ110" s="1709"/>
      <c r="IA110" s="1709"/>
      <c r="IB110" s="1709"/>
      <c r="IC110" s="1709"/>
      <c r="ID110" s="1709"/>
      <c r="IE110" s="1709"/>
      <c r="IF110" s="1709"/>
      <c r="IG110" s="1709"/>
      <c r="IH110" s="1709"/>
      <c r="II110" s="1709"/>
      <c r="IJ110" s="1709"/>
      <c r="IK110" s="1709"/>
      <c r="IL110" s="1709"/>
      <c r="IM110" s="1709"/>
      <c r="IN110" s="1709"/>
      <c r="IO110" s="1709"/>
      <c r="IP110" s="1709"/>
      <c r="IQ110" s="1709"/>
      <c r="IR110" s="1709"/>
      <c r="IS110" s="1709"/>
      <c r="IT110" s="1709"/>
      <c r="IU110" s="1709"/>
    </row>
    <row r="111" spans="1:255" s="604" customFormat="1" ht="13.5" customHeight="1">
      <c r="A111" s="595"/>
      <c r="B111" s="596"/>
      <c r="C111" s="597"/>
      <c r="D111" s="719" t="s">
        <v>5845</v>
      </c>
      <c r="E111" s="599"/>
      <c r="F111" s="600">
        <f>(26.5)*(0.1)</f>
        <v>2.6500000000000004</v>
      </c>
      <c r="G111" s="289"/>
      <c r="H111" s="601"/>
      <c r="I111" s="602"/>
      <c r="J111" s="606"/>
      <c r="U111" s="605"/>
      <c r="W111" s="605"/>
    </row>
    <row r="112" spans="1:255" s="604" customFormat="1" ht="27" customHeight="1">
      <c r="A112" s="595"/>
      <c r="B112" s="596"/>
      <c r="C112" s="597"/>
      <c r="D112" s="719" t="s">
        <v>5843</v>
      </c>
      <c r="E112" s="599"/>
      <c r="F112" s="600"/>
      <c r="G112" s="289"/>
      <c r="H112" s="601"/>
      <c r="I112" s="602"/>
      <c r="J112" s="1623"/>
      <c r="U112" s="605"/>
      <c r="W112" s="605"/>
    </row>
    <row r="113" spans="1:255" s="1685" customFormat="1" ht="13.5" customHeight="1">
      <c r="A113" s="1707">
        <v>31</v>
      </c>
      <c r="B113" s="1708" t="s">
        <v>5808</v>
      </c>
      <c r="C113" s="1708">
        <v>460451632</v>
      </c>
      <c r="D113" s="1708" t="s">
        <v>5846</v>
      </c>
      <c r="E113" s="1708" t="s">
        <v>141</v>
      </c>
      <c r="F113" s="573">
        <f>ROUND(SUM(F115),3)</f>
        <v>13.41</v>
      </c>
      <c r="G113" s="288"/>
      <c r="H113" s="568">
        <f>ROUND(F113*G113,2)</f>
        <v>0</v>
      </c>
      <c r="I113" s="613" t="s">
        <v>137</v>
      </c>
      <c r="J113" s="1710"/>
      <c r="BJ113" s="1709"/>
      <c r="BK113" s="1709"/>
      <c r="BL113" s="1709"/>
      <c r="BM113" s="1709"/>
      <c r="BN113" s="1709"/>
      <c r="BO113" s="1709"/>
      <c r="BP113" s="1709"/>
      <c r="BQ113" s="1709"/>
      <c r="BR113" s="1709"/>
      <c r="BS113" s="1709"/>
      <c r="BT113" s="1709"/>
      <c r="BU113" s="1709"/>
      <c r="BV113" s="1709"/>
      <c r="BW113" s="1709"/>
      <c r="BX113" s="1709"/>
      <c r="BY113" s="1709"/>
      <c r="BZ113" s="1709"/>
      <c r="CA113" s="1709"/>
      <c r="CB113" s="1709"/>
      <c r="CC113" s="1709"/>
      <c r="CD113" s="1709"/>
      <c r="CE113" s="1709"/>
      <c r="CF113" s="1709"/>
      <c r="CG113" s="1709"/>
      <c r="CH113" s="1709"/>
      <c r="CI113" s="1709"/>
      <c r="CJ113" s="1709"/>
      <c r="CK113" s="1709"/>
      <c r="CL113" s="1709"/>
      <c r="CM113" s="1709"/>
      <c r="CN113" s="1709"/>
      <c r="CO113" s="1709"/>
      <c r="CP113" s="1709"/>
      <c r="CQ113" s="1709"/>
      <c r="CR113" s="1709"/>
      <c r="CS113" s="1709"/>
      <c r="CT113" s="1709"/>
      <c r="CU113" s="1709"/>
      <c r="CV113" s="1709"/>
      <c r="CW113" s="1709"/>
      <c r="CX113" s="1709"/>
      <c r="CY113" s="1709"/>
      <c r="CZ113" s="1709"/>
      <c r="DA113" s="1709"/>
      <c r="DB113" s="1709"/>
      <c r="DC113" s="1709"/>
      <c r="DD113" s="1709"/>
      <c r="DE113" s="1709"/>
      <c r="DF113" s="1709"/>
      <c r="DG113" s="1709"/>
      <c r="DH113" s="1709"/>
      <c r="DI113" s="1709"/>
      <c r="DJ113" s="1709"/>
      <c r="DK113" s="1709"/>
      <c r="DL113" s="1709"/>
      <c r="DM113" s="1709"/>
      <c r="DN113" s="1709"/>
      <c r="DO113" s="1709"/>
      <c r="DP113" s="1709"/>
      <c r="DQ113" s="1709"/>
      <c r="DR113" s="1709"/>
      <c r="DS113" s="1709"/>
      <c r="DT113" s="1709"/>
      <c r="DU113" s="1709"/>
      <c r="DV113" s="1709"/>
      <c r="DW113" s="1709"/>
      <c r="DX113" s="1709"/>
      <c r="DY113" s="1709"/>
      <c r="DZ113" s="1709"/>
      <c r="EA113" s="1709"/>
      <c r="EB113" s="1709"/>
      <c r="EC113" s="1709"/>
      <c r="ED113" s="1709"/>
      <c r="EE113" s="1709"/>
      <c r="EF113" s="1709"/>
      <c r="EG113" s="1709"/>
      <c r="EH113" s="1709"/>
      <c r="EI113" s="1709"/>
      <c r="EJ113" s="1709"/>
      <c r="EK113" s="1709"/>
      <c r="EL113" s="1709"/>
      <c r="EM113" s="1709"/>
      <c r="EN113" s="1709"/>
      <c r="EO113" s="1709"/>
      <c r="EP113" s="1709"/>
      <c r="EQ113" s="1709"/>
      <c r="ER113" s="1709"/>
      <c r="ES113" s="1709"/>
      <c r="ET113" s="1709"/>
      <c r="EU113" s="1709"/>
      <c r="EV113" s="1709"/>
      <c r="EW113" s="1709"/>
      <c r="EX113" s="1709"/>
      <c r="EY113" s="1709"/>
      <c r="EZ113" s="1709"/>
      <c r="FA113" s="1709"/>
      <c r="FB113" s="1709"/>
      <c r="FC113" s="1709"/>
      <c r="FD113" s="1709"/>
      <c r="FE113" s="1709"/>
      <c r="FF113" s="1709"/>
      <c r="FG113" s="1709"/>
      <c r="FH113" s="1709"/>
      <c r="FI113" s="1709"/>
      <c r="FJ113" s="1709"/>
      <c r="FK113" s="1709"/>
      <c r="FL113" s="1709"/>
      <c r="FM113" s="1709"/>
      <c r="FN113" s="1709"/>
      <c r="FO113" s="1709"/>
      <c r="FP113" s="1709"/>
      <c r="FQ113" s="1709"/>
      <c r="FR113" s="1709"/>
      <c r="FS113" s="1709"/>
      <c r="FT113" s="1709"/>
      <c r="FU113" s="1709"/>
      <c r="FV113" s="1709"/>
      <c r="FW113" s="1709"/>
      <c r="FX113" s="1709"/>
      <c r="FY113" s="1709"/>
      <c r="FZ113" s="1709"/>
      <c r="GA113" s="1709"/>
      <c r="GB113" s="1709"/>
      <c r="GC113" s="1709"/>
      <c r="GD113" s="1709"/>
      <c r="GE113" s="1709"/>
      <c r="GF113" s="1709"/>
      <c r="GG113" s="1709"/>
      <c r="GH113" s="1709"/>
      <c r="GI113" s="1709"/>
      <c r="GJ113" s="1709"/>
      <c r="GK113" s="1709"/>
      <c r="GL113" s="1709"/>
      <c r="GM113" s="1709"/>
      <c r="GN113" s="1709"/>
      <c r="GO113" s="1709"/>
      <c r="GP113" s="1709"/>
      <c r="GQ113" s="1709"/>
      <c r="GR113" s="1709"/>
      <c r="GS113" s="1709"/>
      <c r="GT113" s="1709"/>
      <c r="GU113" s="1709"/>
      <c r="GV113" s="1709"/>
      <c r="GW113" s="1709"/>
      <c r="GX113" s="1709"/>
      <c r="GY113" s="1709"/>
      <c r="GZ113" s="1709"/>
      <c r="HA113" s="1709"/>
      <c r="HB113" s="1709"/>
      <c r="HC113" s="1709"/>
      <c r="HD113" s="1709"/>
      <c r="HE113" s="1709"/>
      <c r="HF113" s="1709"/>
      <c r="HG113" s="1709"/>
      <c r="HH113" s="1709"/>
      <c r="HI113" s="1709"/>
      <c r="HJ113" s="1709"/>
      <c r="HK113" s="1709"/>
      <c r="HL113" s="1709"/>
      <c r="HM113" s="1709"/>
      <c r="HN113" s="1709"/>
      <c r="HO113" s="1709"/>
      <c r="HP113" s="1709"/>
      <c r="HQ113" s="1709"/>
      <c r="HR113" s="1709"/>
      <c r="HS113" s="1709"/>
      <c r="HT113" s="1709"/>
      <c r="HU113" s="1709"/>
      <c r="HV113" s="1709"/>
      <c r="HW113" s="1709"/>
      <c r="HX113" s="1709"/>
      <c r="HY113" s="1709"/>
      <c r="HZ113" s="1709"/>
      <c r="IA113" s="1709"/>
      <c r="IB113" s="1709"/>
      <c r="IC113" s="1709"/>
      <c r="ID113" s="1709"/>
      <c r="IE113" s="1709"/>
      <c r="IF113" s="1709"/>
      <c r="IG113" s="1709"/>
      <c r="IH113" s="1709"/>
      <c r="II113" s="1709"/>
      <c r="IJ113" s="1709"/>
      <c r="IK113" s="1709"/>
      <c r="IL113" s="1709"/>
      <c r="IM113" s="1709"/>
      <c r="IN113" s="1709"/>
      <c r="IO113" s="1709"/>
      <c r="IP113" s="1709"/>
      <c r="IQ113" s="1709"/>
      <c r="IR113" s="1709"/>
      <c r="IS113" s="1709"/>
      <c r="IT113" s="1709"/>
      <c r="IU113" s="1709"/>
    </row>
    <row r="114" spans="1:255" s="1685" customFormat="1" ht="13.5" customHeight="1">
      <c r="A114" s="1707"/>
      <c r="B114" s="1708"/>
      <c r="C114" s="1708"/>
      <c r="D114" s="719" t="s">
        <v>5847</v>
      </c>
      <c r="E114" s="1708"/>
      <c r="F114" s="1444"/>
      <c r="G114" s="288"/>
      <c r="H114" s="609"/>
      <c r="I114" s="613"/>
      <c r="J114" s="1705"/>
      <c r="BJ114" s="1709"/>
      <c r="BK114" s="1709"/>
      <c r="BL114" s="1709"/>
      <c r="BM114" s="1709"/>
      <c r="BN114" s="1709"/>
      <c r="BO114" s="1709"/>
      <c r="BP114" s="1709"/>
      <c r="BQ114" s="1709"/>
      <c r="BR114" s="1709"/>
      <c r="BS114" s="1709"/>
      <c r="BT114" s="1709"/>
      <c r="BU114" s="1709"/>
      <c r="BV114" s="1709"/>
      <c r="BW114" s="1709"/>
      <c r="BX114" s="1709"/>
      <c r="BY114" s="1709"/>
      <c r="BZ114" s="1709"/>
      <c r="CA114" s="1709"/>
      <c r="CB114" s="1709"/>
      <c r="CC114" s="1709"/>
      <c r="CD114" s="1709"/>
      <c r="CE114" s="1709"/>
      <c r="CF114" s="1709"/>
      <c r="CG114" s="1709"/>
      <c r="CH114" s="1709"/>
      <c r="CI114" s="1709"/>
      <c r="CJ114" s="1709"/>
      <c r="CK114" s="1709"/>
      <c r="CL114" s="1709"/>
      <c r="CM114" s="1709"/>
      <c r="CN114" s="1709"/>
      <c r="CO114" s="1709"/>
      <c r="CP114" s="1709"/>
      <c r="CQ114" s="1709"/>
      <c r="CR114" s="1709"/>
      <c r="CS114" s="1709"/>
      <c r="CT114" s="1709"/>
      <c r="CU114" s="1709"/>
      <c r="CV114" s="1709"/>
      <c r="CW114" s="1709"/>
      <c r="CX114" s="1709"/>
      <c r="CY114" s="1709"/>
      <c r="CZ114" s="1709"/>
      <c r="DA114" s="1709"/>
      <c r="DB114" s="1709"/>
      <c r="DC114" s="1709"/>
      <c r="DD114" s="1709"/>
      <c r="DE114" s="1709"/>
      <c r="DF114" s="1709"/>
      <c r="DG114" s="1709"/>
      <c r="DH114" s="1709"/>
      <c r="DI114" s="1709"/>
      <c r="DJ114" s="1709"/>
      <c r="DK114" s="1709"/>
      <c r="DL114" s="1709"/>
      <c r="DM114" s="1709"/>
      <c r="DN114" s="1709"/>
      <c r="DO114" s="1709"/>
      <c r="DP114" s="1709"/>
      <c r="DQ114" s="1709"/>
      <c r="DR114" s="1709"/>
      <c r="DS114" s="1709"/>
      <c r="DT114" s="1709"/>
      <c r="DU114" s="1709"/>
      <c r="DV114" s="1709"/>
      <c r="DW114" s="1709"/>
      <c r="DX114" s="1709"/>
      <c r="DY114" s="1709"/>
      <c r="DZ114" s="1709"/>
      <c r="EA114" s="1709"/>
      <c r="EB114" s="1709"/>
      <c r="EC114" s="1709"/>
      <c r="ED114" s="1709"/>
      <c r="EE114" s="1709"/>
      <c r="EF114" s="1709"/>
      <c r="EG114" s="1709"/>
      <c r="EH114" s="1709"/>
      <c r="EI114" s="1709"/>
      <c r="EJ114" s="1709"/>
      <c r="EK114" s="1709"/>
      <c r="EL114" s="1709"/>
      <c r="EM114" s="1709"/>
      <c r="EN114" s="1709"/>
      <c r="EO114" s="1709"/>
      <c r="EP114" s="1709"/>
      <c r="EQ114" s="1709"/>
      <c r="ER114" s="1709"/>
      <c r="ES114" s="1709"/>
      <c r="ET114" s="1709"/>
      <c r="EU114" s="1709"/>
      <c r="EV114" s="1709"/>
      <c r="EW114" s="1709"/>
      <c r="EX114" s="1709"/>
      <c r="EY114" s="1709"/>
      <c r="EZ114" s="1709"/>
      <c r="FA114" s="1709"/>
      <c r="FB114" s="1709"/>
      <c r="FC114" s="1709"/>
      <c r="FD114" s="1709"/>
      <c r="FE114" s="1709"/>
      <c r="FF114" s="1709"/>
      <c r="FG114" s="1709"/>
      <c r="FH114" s="1709"/>
      <c r="FI114" s="1709"/>
      <c r="FJ114" s="1709"/>
      <c r="FK114" s="1709"/>
      <c r="FL114" s="1709"/>
      <c r="FM114" s="1709"/>
      <c r="FN114" s="1709"/>
      <c r="FO114" s="1709"/>
      <c r="FP114" s="1709"/>
      <c r="FQ114" s="1709"/>
      <c r="FR114" s="1709"/>
      <c r="FS114" s="1709"/>
      <c r="FT114" s="1709"/>
      <c r="FU114" s="1709"/>
      <c r="FV114" s="1709"/>
      <c r="FW114" s="1709"/>
      <c r="FX114" s="1709"/>
      <c r="FY114" s="1709"/>
      <c r="FZ114" s="1709"/>
      <c r="GA114" s="1709"/>
      <c r="GB114" s="1709"/>
      <c r="GC114" s="1709"/>
      <c r="GD114" s="1709"/>
      <c r="GE114" s="1709"/>
      <c r="GF114" s="1709"/>
      <c r="GG114" s="1709"/>
      <c r="GH114" s="1709"/>
      <c r="GI114" s="1709"/>
      <c r="GJ114" s="1709"/>
      <c r="GK114" s="1709"/>
      <c r="GL114" s="1709"/>
      <c r="GM114" s="1709"/>
      <c r="GN114" s="1709"/>
      <c r="GO114" s="1709"/>
      <c r="GP114" s="1709"/>
      <c r="GQ114" s="1709"/>
      <c r="GR114" s="1709"/>
      <c r="GS114" s="1709"/>
      <c r="GT114" s="1709"/>
      <c r="GU114" s="1709"/>
      <c r="GV114" s="1709"/>
      <c r="GW114" s="1709"/>
      <c r="GX114" s="1709"/>
      <c r="GY114" s="1709"/>
      <c r="GZ114" s="1709"/>
      <c r="HA114" s="1709"/>
      <c r="HB114" s="1709"/>
      <c r="HC114" s="1709"/>
      <c r="HD114" s="1709"/>
      <c r="HE114" s="1709"/>
      <c r="HF114" s="1709"/>
      <c r="HG114" s="1709"/>
      <c r="HH114" s="1709"/>
      <c r="HI114" s="1709"/>
      <c r="HJ114" s="1709"/>
      <c r="HK114" s="1709"/>
      <c r="HL114" s="1709"/>
      <c r="HM114" s="1709"/>
      <c r="HN114" s="1709"/>
      <c r="HO114" s="1709"/>
      <c r="HP114" s="1709"/>
      <c r="HQ114" s="1709"/>
      <c r="HR114" s="1709"/>
      <c r="HS114" s="1709"/>
      <c r="HT114" s="1709"/>
      <c r="HU114" s="1709"/>
      <c r="HV114" s="1709"/>
      <c r="HW114" s="1709"/>
      <c r="HX114" s="1709"/>
      <c r="HY114" s="1709"/>
      <c r="HZ114" s="1709"/>
      <c r="IA114" s="1709"/>
      <c r="IB114" s="1709"/>
      <c r="IC114" s="1709"/>
      <c r="ID114" s="1709"/>
      <c r="IE114" s="1709"/>
      <c r="IF114" s="1709"/>
      <c r="IG114" s="1709"/>
      <c r="IH114" s="1709"/>
      <c r="II114" s="1709"/>
      <c r="IJ114" s="1709"/>
      <c r="IK114" s="1709"/>
      <c r="IL114" s="1709"/>
      <c r="IM114" s="1709"/>
      <c r="IN114" s="1709"/>
      <c r="IO114" s="1709"/>
      <c r="IP114" s="1709"/>
      <c r="IQ114" s="1709"/>
      <c r="IR114" s="1709"/>
      <c r="IS114" s="1709"/>
      <c r="IT114" s="1709"/>
      <c r="IU114" s="1709"/>
    </row>
    <row r="115" spans="1:255" s="604" customFormat="1" ht="13.5" customHeight="1">
      <c r="A115" s="595"/>
      <c r="B115" s="596"/>
      <c r="C115" s="597"/>
      <c r="D115" s="719" t="s">
        <v>5848</v>
      </c>
      <c r="E115" s="599"/>
      <c r="F115" s="600">
        <f>(14.9)*(0.05+0.85)</f>
        <v>13.41</v>
      </c>
      <c r="G115" s="289"/>
      <c r="H115" s="601"/>
      <c r="I115" s="602"/>
      <c r="J115" s="606"/>
      <c r="U115" s="605"/>
      <c r="W115" s="605"/>
    </row>
    <row r="116" spans="1:255" s="604" customFormat="1" ht="27" customHeight="1">
      <c r="A116" s="595"/>
      <c r="B116" s="596"/>
      <c r="C116" s="597"/>
      <c r="D116" s="719" t="s">
        <v>5843</v>
      </c>
      <c r="E116" s="599"/>
      <c r="F116" s="600"/>
      <c r="G116" s="289"/>
      <c r="H116" s="601"/>
      <c r="I116" s="602"/>
      <c r="J116" s="606"/>
      <c r="U116" s="605"/>
      <c r="W116" s="605"/>
    </row>
    <row r="117" spans="1:255" s="1685" customFormat="1" ht="13.5" customHeight="1">
      <c r="A117" s="1707">
        <v>32</v>
      </c>
      <c r="B117" s="1708" t="s">
        <v>5808</v>
      </c>
      <c r="C117" s="1708">
        <v>460451633</v>
      </c>
      <c r="D117" s="1708" t="s">
        <v>5849</v>
      </c>
      <c r="E117" s="1708" t="s">
        <v>141</v>
      </c>
      <c r="F117" s="573">
        <f>ROUND(SUM(F119),3)</f>
        <v>1.49</v>
      </c>
      <c r="G117" s="288"/>
      <c r="H117" s="568">
        <f>ROUND(F117*G117,2)</f>
        <v>0</v>
      </c>
      <c r="I117" s="613" t="s">
        <v>137</v>
      </c>
      <c r="J117" s="1710"/>
      <c r="BJ117" s="1709"/>
      <c r="BK117" s="1709"/>
      <c r="BL117" s="1709"/>
      <c r="BM117" s="1709"/>
      <c r="BN117" s="1709"/>
      <c r="BO117" s="1709"/>
      <c r="BP117" s="1709"/>
      <c r="BQ117" s="1709"/>
      <c r="BR117" s="1709"/>
      <c r="BS117" s="1709"/>
      <c r="BT117" s="1709"/>
      <c r="BU117" s="1709"/>
      <c r="BV117" s="1709"/>
      <c r="BW117" s="1709"/>
      <c r="BX117" s="1709"/>
      <c r="BY117" s="1709"/>
      <c r="BZ117" s="1709"/>
      <c r="CA117" s="1709"/>
      <c r="CB117" s="1709"/>
      <c r="CC117" s="1709"/>
      <c r="CD117" s="1709"/>
      <c r="CE117" s="1709"/>
      <c r="CF117" s="1709"/>
      <c r="CG117" s="1709"/>
      <c r="CH117" s="1709"/>
      <c r="CI117" s="1709"/>
      <c r="CJ117" s="1709"/>
      <c r="CK117" s="1709"/>
      <c r="CL117" s="1709"/>
      <c r="CM117" s="1709"/>
      <c r="CN117" s="1709"/>
      <c r="CO117" s="1709"/>
      <c r="CP117" s="1709"/>
      <c r="CQ117" s="1709"/>
      <c r="CR117" s="1709"/>
      <c r="CS117" s="1709"/>
      <c r="CT117" s="1709"/>
      <c r="CU117" s="1709"/>
      <c r="CV117" s="1709"/>
      <c r="CW117" s="1709"/>
      <c r="CX117" s="1709"/>
      <c r="CY117" s="1709"/>
      <c r="CZ117" s="1709"/>
      <c r="DA117" s="1709"/>
      <c r="DB117" s="1709"/>
      <c r="DC117" s="1709"/>
      <c r="DD117" s="1709"/>
      <c r="DE117" s="1709"/>
      <c r="DF117" s="1709"/>
      <c r="DG117" s="1709"/>
      <c r="DH117" s="1709"/>
      <c r="DI117" s="1709"/>
      <c r="DJ117" s="1709"/>
      <c r="DK117" s="1709"/>
      <c r="DL117" s="1709"/>
      <c r="DM117" s="1709"/>
      <c r="DN117" s="1709"/>
      <c r="DO117" s="1709"/>
      <c r="DP117" s="1709"/>
      <c r="DQ117" s="1709"/>
      <c r="DR117" s="1709"/>
      <c r="DS117" s="1709"/>
      <c r="DT117" s="1709"/>
      <c r="DU117" s="1709"/>
      <c r="DV117" s="1709"/>
      <c r="DW117" s="1709"/>
      <c r="DX117" s="1709"/>
      <c r="DY117" s="1709"/>
      <c r="DZ117" s="1709"/>
      <c r="EA117" s="1709"/>
      <c r="EB117" s="1709"/>
      <c r="EC117" s="1709"/>
      <c r="ED117" s="1709"/>
      <c r="EE117" s="1709"/>
      <c r="EF117" s="1709"/>
      <c r="EG117" s="1709"/>
      <c r="EH117" s="1709"/>
      <c r="EI117" s="1709"/>
      <c r="EJ117" s="1709"/>
      <c r="EK117" s="1709"/>
      <c r="EL117" s="1709"/>
      <c r="EM117" s="1709"/>
      <c r="EN117" s="1709"/>
      <c r="EO117" s="1709"/>
      <c r="EP117" s="1709"/>
      <c r="EQ117" s="1709"/>
      <c r="ER117" s="1709"/>
      <c r="ES117" s="1709"/>
      <c r="ET117" s="1709"/>
      <c r="EU117" s="1709"/>
      <c r="EV117" s="1709"/>
      <c r="EW117" s="1709"/>
      <c r="EX117" s="1709"/>
      <c r="EY117" s="1709"/>
      <c r="EZ117" s="1709"/>
      <c r="FA117" s="1709"/>
      <c r="FB117" s="1709"/>
      <c r="FC117" s="1709"/>
      <c r="FD117" s="1709"/>
      <c r="FE117" s="1709"/>
      <c r="FF117" s="1709"/>
      <c r="FG117" s="1709"/>
      <c r="FH117" s="1709"/>
      <c r="FI117" s="1709"/>
      <c r="FJ117" s="1709"/>
      <c r="FK117" s="1709"/>
      <c r="FL117" s="1709"/>
      <c r="FM117" s="1709"/>
      <c r="FN117" s="1709"/>
      <c r="FO117" s="1709"/>
      <c r="FP117" s="1709"/>
      <c r="FQ117" s="1709"/>
      <c r="FR117" s="1709"/>
      <c r="FS117" s="1709"/>
      <c r="FT117" s="1709"/>
      <c r="FU117" s="1709"/>
      <c r="FV117" s="1709"/>
      <c r="FW117" s="1709"/>
      <c r="FX117" s="1709"/>
      <c r="FY117" s="1709"/>
      <c r="FZ117" s="1709"/>
      <c r="GA117" s="1709"/>
      <c r="GB117" s="1709"/>
      <c r="GC117" s="1709"/>
      <c r="GD117" s="1709"/>
      <c r="GE117" s="1709"/>
      <c r="GF117" s="1709"/>
      <c r="GG117" s="1709"/>
      <c r="GH117" s="1709"/>
      <c r="GI117" s="1709"/>
      <c r="GJ117" s="1709"/>
      <c r="GK117" s="1709"/>
      <c r="GL117" s="1709"/>
      <c r="GM117" s="1709"/>
      <c r="GN117" s="1709"/>
      <c r="GO117" s="1709"/>
      <c r="GP117" s="1709"/>
      <c r="GQ117" s="1709"/>
      <c r="GR117" s="1709"/>
      <c r="GS117" s="1709"/>
      <c r="GT117" s="1709"/>
      <c r="GU117" s="1709"/>
      <c r="GV117" s="1709"/>
      <c r="GW117" s="1709"/>
      <c r="GX117" s="1709"/>
      <c r="GY117" s="1709"/>
      <c r="GZ117" s="1709"/>
      <c r="HA117" s="1709"/>
      <c r="HB117" s="1709"/>
      <c r="HC117" s="1709"/>
      <c r="HD117" s="1709"/>
      <c r="HE117" s="1709"/>
      <c r="HF117" s="1709"/>
      <c r="HG117" s="1709"/>
      <c r="HH117" s="1709"/>
      <c r="HI117" s="1709"/>
      <c r="HJ117" s="1709"/>
      <c r="HK117" s="1709"/>
      <c r="HL117" s="1709"/>
      <c r="HM117" s="1709"/>
      <c r="HN117" s="1709"/>
      <c r="HO117" s="1709"/>
      <c r="HP117" s="1709"/>
      <c r="HQ117" s="1709"/>
      <c r="HR117" s="1709"/>
      <c r="HS117" s="1709"/>
      <c r="HT117" s="1709"/>
      <c r="HU117" s="1709"/>
      <c r="HV117" s="1709"/>
      <c r="HW117" s="1709"/>
      <c r="HX117" s="1709"/>
      <c r="HY117" s="1709"/>
      <c r="HZ117" s="1709"/>
      <c r="IA117" s="1709"/>
      <c r="IB117" s="1709"/>
      <c r="IC117" s="1709"/>
      <c r="ID117" s="1709"/>
      <c r="IE117" s="1709"/>
      <c r="IF117" s="1709"/>
      <c r="IG117" s="1709"/>
      <c r="IH117" s="1709"/>
      <c r="II117" s="1709"/>
      <c r="IJ117" s="1709"/>
      <c r="IK117" s="1709"/>
      <c r="IL117" s="1709"/>
      <c r="IM117" s="1709"/>
      <c r="IN117" s="1709"/>
      <c r="IO117" s="1709"/>
      <c r="IP117" s="1709"/>
      <c r="IQ117" s="1709"/>
      <c r="IR117" s="1709"/>
      <c r="IS117" s="1709"/>
      <c r="IT117" s="1709"/>
      <c r="IU117" s="1709"/>
    </row>
    <row r="118" spans="1:255" s="1685" customFormat="1" ht="13.5" customHeight="1">
      <c r="A118" s="1707"/>
      <c r="B118" s="1708"/>
      <c r="C118" s="1708"/>
      <c r="D118" s="719" t="s">
        <v>5847</v>
      </c>
      <c r="E118" s="1708"/>
      <c r="F118" s="1444"/>
      <c r="G118" s="288"/>
      <c r="H118" s="609"/>
      <c r="I118" s="613"/>
      <c r="J118" s="1705"/>
      <c r="BJ118" s="1709"/>
      <c r="BK118" s="1709"/>
      <c r="BL118" s="1709"/>
      <c r="BM118" s="1709"/>
      <c r="BN118" s="1709"/>
      <c r="BO118" s="1709"/>
      <c r="BP118" s="1709"/>
      <c r="BQ118" s="1709"/>
      <c r="BR118" s="1709"/>
      <c r="BS118" s="1709"/>
      <c r="BT118" s="1709"/>
      <c r="BU118" s="1709"/>
      <c r="BV118" s="1709"/>
      <c r="BW118" s="1709"/>
      <c r="BX118" s="1709"/>
      <c r="BY118" s="1709"/>
      <c r="BZ118" s="1709"/>
      <c r="CA118" s="1709"/>
      <c r="CB118" s="1709"/>
      <c r="CC118" s="1709"/>
      <c r="CD118" s="1709"/>
      <c r="CE118" s="1709"/>
      <c r="CF118" s="1709"/>
      <c r="CG118" s="1709"/>
      <c r="CH118" s="1709"/>
      <c r="CI118" s="1709"/>
      <c r="CJ118" s="1709"/>
      <c r="CK118" s="1709"/>
      <c r="CL118" s="1709"/>
      <c r="CM118" s="1709"/>
      <c r="CN118" s="1709"/>
      <c r="CO118" s="1709"/>
      <c r="CP118" s="1709"/>
      <c r="CQ118" s="1709"/>
      <c r="CR118" s="1709"/>
      <c r="CS118" s="1709"/>
      <c r="CT118" s="1709"/>
      <c r="CU118" s="1709"/>
      <c r="CV118" s="1709"/>
      <c r="CW118" s="1709"/>
      <c r="CX118" s="1709"/>
      <c r="CY118" s="1709"/>
      <c r="CZ118" s="1709"/>
      <c r="DA118" s="1709"/>
      <c r="DB118" s="1709"/>
      <c r="DC118" s="1709"/>
      <c r="DD118" s="1709"/>
      <c r="DE118" s="1709"/>
      <c r="DF118" s="1709"/>
      <c r="DG118" s="1709"/>
      <c r="DH118" s="1709"/>
      <c r="DI118" s="1709"/>
      <c r="DJ118" s="1709"/>
      <c r="DK118" s="1709"/>
      <c r="DL118" s="1709"/>
      <c r="DM118" s="1709"/>
      <c r="DN118" s="1709"/>
      <c r="DO118" s="1709"/>
      <c r="DP118" s="1709"/>
      <c r="DQ118" s="1709"/>
      <c r="DR118" s="1709"/>
      <c r="DS118" s="1709"/>
      <c r="DT118" s="1709"/>
      <c r="DU118" s="1709"/>
      <c r="DV118" s="1709"/>
      <c r="DW118" s="1709"/>
      <c r="DX118" s="1709"/>
      <c r="DY118" s="1709"/>
      <c r="DZ118" s="1709"/>
      <c r="EA118" s="1709"/>
      <c r="EB118" s="1709"/>
      <c r="EC118" s="1709"/>
      <c r="ED118" s="1709"/>
      <c r="EE118" s="1709"/>
      <c r="EF118" s="1709"/>
      <c r="EG118" s="1709"/>
      <c r="EH118" s="1709"/>
      <c r="EI118" s="1709"/>
      <c r="EJ118" s="1709"/>
      <c r="EK118" s="1709"/>
      <c r="EL118" s="1709"/>
      <c r="EM118" s="1709"/>
      <c r="EN118" s="1709"/>
      <c r="EO118" s="1709"/>
      <c r="EP118" s="1709"/>
      <c r="EQ118" s="1709"/>
      <c r="ER118" s="1709"/>
      <c r="ES118" s="1709"/>
      <c r="ET118" s="1709"/>
      <c r="EU118" s="1709"/>
      <c r="EV118" s="1709"/>
      <c r="EW118" s="1709"/>
      <c r="EX118" s="1709"/>
      <c r="EY118" s="1709"/>
      <c r="EZ118" s="1709"/>
      <c r="FA118" s="1709"/>
      <c r="FB118" s="1709"/>
      <c r="FC118" s="1709"/>
      <c r="FD118" s="1709"/>
      <c r="FE118" s="1709"/>
      <c r="FF118" s="1709"/>
      <c r="FG118" s="1709"/>
      <c r="FH118" s="1709"/>
      <c r="FI118" s="1709"/>
      <c r="FJ118" s="1709"/>
      <c r="FK118" s="1709"/>
      <c r="FL118" s="1709"/>
      <c r="FM118" s="1709"/>
      <c r="FN118" s="1709"/>
      <c r="FO118" s="1709"/>
      <c r="FP118" s="1709"/>
      <c r="FQ118" s="1709"/>
      <c r="FR118" s="1709"/>
      <c r="FS118" s="1709"/>
      <c r="FT118" s="1709"/>
      <c r="FU118" s="1709"/>
      <c r="FV118" s="1709"/>
      <c r="FW118" s="1709"/>
      <c r="FX118" s="1709"/>
      <c r="FY118" s="1709"/>
      <c r="FZ118" s="1709"/>
      <c r="GA118" s="1709"/>
      <c r="GB118" s="1709"/>
      <c r="GC118" s="1709"/>
      <c r="GD118" s="1709"/>
      <c r="GE118" s="1709"/>
      <c r="GF118" s="1709"/>
      <c r="GG118" s="1709"/>
      <c r="GH118" s="1709"/>
      <c r="GI118" s="1709"/>
      <c r="GJ118" s="1709"/>
      <c r="GK118" s="1709"/>
      <c r="GL118" s="1709"/>
      <c r="GM118" s="1709"/>
      <c r="GN118" s="1709"/>
      <c r="GO118" s="1709"/>
      <c r="GP118" s="1709"/>
      <c r="GQ118" s="1709"/>
      <c r="GR118" s="1709"/>
      <c r="GS118" s="1709"/>
      <c r="GT118" s="1709"/>
      <c r="GU118" s="1709"/>
      <c r="GV118" s="1709"/>
      <c r="GW118" s="1709"/>
      <c r="GX118" s="1709"/>
      <c r="GY118" s="1709"/>
      <c r="GZ118" s="1709"/>
      <c r="HA118" s="1709"/>
      <c r="HB118" s="1709"/>
      <c r="HC118" s="1709"/>
      <c r="HD118" s="1709"/>
      <c r="HE118" s="1709"/>
      <c r="HF118" s="1709"/>
      <c r="HG118" s="1709"/>
      <c r="HH118" s="1709"/>
      <c r="HI118" s="1709"/>
      <c r="HJ118" s="1709"/>
      <c r="HK118" s="1709"/>
      <c r="HL118" s="1709"/>
      <c r="HM118" s="1709"/>
      <c r="HN118" s="1709"/>
      <c r="HO118" s="1709"/>
      <c r="HP118" s="1709"/>
      <c r="HQ118" s="1709"/>
      <c r="HR118" s="1709"/>
      <c r="HS118" s="1709"/>
      <c r="HT118" s="1709"/>
      <c r="HU118" s="1709"/>
      <c r="HV118" s="1709"/>
      <c r="HW118" s="1709"/>
      <c r="HX118" s="1709"/>
      <c r="HY118" s="1709"/>
      <c r="HZ118" s="1709"/>
      <c r="IA118" s="1709"/>
      <c r="IB118" s="1709"/>
      <c r="IC118" s="1709"/>
      <c r="ID118" s="1709"/>
      <c r="IE118" s="1709"/>
      <c r="IF118" s="1709"/>
      <c r="IG118" s="1709"/>
      <c r="IH118" s="1709"/>
      <c r="II118" s="1709"/>
      <c r="IJ118" s="1709"/>
      <c r="IK118" s="1709"/>
      <c r="IL118" s="1709"/>
      <c r="IM118" s="1709"/>
      <c r="IN118" s="1709"/>
      <c r="IO118" s="1709"/>
      <c r="IP118" s="1709"/>
      <c r="IQ118" s="1709"/>
      <c r="IR118" s="1709"/>
      <c r="IS118" s="1709"/>
      <c r="IT118" s="1709"/>
      <c r="IU118" s="1709"/>
    </row>
    <row r="119" spans="1:255" s="604" customFormat="1" ht="13.5" customHeight="1">
      <c r="A119" s="595"/>
      <c r="B119" s="596"/>
      <c r="C119" s="597"/>
      <c r="D119" s="719" t="s">
        <v>5850</v>
      </c>
      <c r="E119" s="599"/>
      <c r="F119" s="600">
        <f>(14.9)*(0.1)</f>
        <v>1.4900000000000002</v>
      </c>
      <c r="G119" s="289"/>
      <c r="H119" s="601"/>
      <c r="I119" s="602"/>
      <c r="J119" s="606"/>
      <c r="U119" s="605"/>
      <c r="W119" s="605"/>
    </row>
    <row r="120" spans="1:255" s="604" customFormat="1" ht="27" customHeight="1">
      <c r="A120" s="595"/>
      <c r="B120" s="596"/>
      <c r="C120" s="597"/>
      <c r="D120" s="719" t="s">
        <v>5843</v>
      </c>
      <c r="E120" s="599"/>
      <c r="F120" s="600"/>
      <c r="G120" s="289"/>
      <c r="H120" s="601"/>
      <c r="I120" s="602"/>
      <c r="J120" s="1623"/>
      <c r="U120" s="605"/>
      <c r="W120" s="605"/>
    </row>
    <row r="121" spans="1:255" s="1685" customFormat="1" ht="13.5" customHeight="1">
      <c r="A121" s="1707">
        <v>33</v>
      </c>
      <c r="B121" s="1708" t="s">
        <v>5808</v>
      </c>
      <c r="C121" s="1708">
        <v>460661113</v>
      </c>
      <c r="D121" s="1708" t="s">
        <v>5851</v>
      </c>
      <c r="E121" s="1708" t="s">
        <v>141</v>
      </c>
      <c r="F121" s="573">
        <f>ROUND(SUM(F123),3)</f>
        <v>53</v>
      </c>
      <c r="G121" s="288"/>
      <c r="H121" s="568">
        <f>ROUND(F121*G121,2)</f>
        <v>0</v>
      </c>
      <c r="I121" s="613" t="s">
        <v>137</v>
      </c>
      <c r="J121" s="1705"/>
      <c r="BJ121" s="1709"/>
      <c r="BK121" s="1709"/>
      <c r="BL121" s="1709"/>
      <c r="BM121" s="1709"/>
      <c r="BN121" s="1709"/>
      <c r="BO121" s="1709"/>
      <c r="BP121" s="1709"/>
      <c r="BQ121" s="1709"/>
      <c r="BR121" s="1709"/>
      <c r="BS121" s="1709"/>
      <c r="BT121" s="1709"/>
      <c r="BU121" s="1709"/>
      <c r="BV121" s="1709"/>
      <c r="BW121" s="1709"/>
      <c r="BX121" s="1709"/>
      <c r="BY121" s="1709"/>
      <c r="BZ121" s="1709"/>
      <c r="CA121" s="1709"/>
      <c r="CB121" s="1709"/>
      <c r="CC121" s="1709"/>
      <c r="CD121" s="1709"/>
      <c r="CE121" s="1709"/>
      <c r="CF121" s="1709"/>
      <c r="CG121" s="1709"/>
      <c r="CH121" s="1709"/>
      <c r="CI121" s="1709"/>
      <c r="CJ121" s="1709"/>
      <c r="CK121" s="1709"/>
      <c r="CL121" s="1709"/>
      <c r="CM121" s="1709"/>
      <c r="CN121" s="1709"/>
      <c r="CO121" s="1709"/>
      <c r="CP121" s="1709"/>
      <c r="CQ121" s="1709"/>
      <c r="CR121" s="1709"/>
      <c r="CS121" s="1709"/>
      <c r="CT121" s="1709"/>
      <c r="CU121" s="1709"/>
      <c r="CV121" s="1709"/>
      <c r="CW121" s="1709"/>
      <c r="CX121" s="1709"/>
      <c r="CY121" s="1709"/>
      <c r="CZ121" s="1709"/>
      <c r="DA121" s="1709"/>
      <c r="DB121" s="1709"/>
      <c r="DC121" s="1709"/>
      <c r="DD121" s="1709"/>
      <c r="DE121" s="1709"/>
      <c r="DF121" s="1709"/>
      <c r="DG121" s="1709"/>
      <c r="DH121" s="1709"/>
      <c r="DI121" s="1709"/>
      <c r="DJ121" s="1709"/>
      <c r="DK121" s="1709"/>
      <c r="DL121" s="1709"/>
      <c r="DM121" s="1709"/>
      <c r="DN121" s="1709"/>
      <c r="DO121" s="1709"/>
      <c r="DP121" s="1709"/>
      <c r="DQ121" s="1709"/>
      <c r="DR121" s="1709"/>
      <c r="DS121" s="1709"/>
      <c r="DT121" s="1709"/>
      <c r="DU121" s="1709"/>
      <c r="DV121" s="1709"/>
      <c r="DW121" s="1709"/>
      <c r="DX121" s="1709"/>
      <c r="DY121" s="1709"/>
      <c r="DZ121" s="1709"/>
      <c r="EA121" s="1709"/>
      <c r="EB121" s="1709"/>
      <c r="EC121" s="1709"/>
      <c r="ED121" s="1709"/>
      <c r="EE121" s="1709"/>
      <c r="EF121" s="1709"/>
      <c r="EG121" s="1709"/>
      <c r="EH121" s="1709"/>
      <c r="EI121" s="1709"/>
      <c r="EJ121" s="1709"/>
      <c r="EK121" s="1709"/>
      <c r="EL121" s="1709"/>
      <c r="EM121" s="1709"/>
      <c r="EN121" s="1709"/>
      <c r="EO121" s="1709"/>
      <c r="EP121" s="1709"/>
      <c r="EQ121" s="1709"/>
      <c r="ER121" s="1709"/>
      <c r="ES121" s="1709"/>
      <c r="ET121" s="1709"/>
      <c r="EU121" s="1709"/>
      <c r="EV121" s="1709"/>
      <c r="EW121" s="1709"/>
      <c r="EX121" s="1709"/>
      <c r="EY121" s="1709"/>
      <c r="EZ121" s="1709"/>
      <c r="FA121" s="1709"/>
      <c r="FB121" s="1709"/>
      <c r="FC121" s="1709"/>
      <c r="FD121" s="1709"/>
      <c r="FE121" s="1709"/>
      <c r="FF121" s="1709"/>
      <c r="FG121" s="1709"/>
      <c r="FH121" s="1709"/>
      <c r="FI121" s="1709"/>
      <c r="FJ121" s="1709"/>
      <c r="FK121" s="1709"/>
      <c r="FL121" s="1709"/>
      <c r="FM121" s="1709"/>
      <c r="FN121" s="1709"/>
      <c r="FO121" s="1709"/>
      <c r="FP121" s="1709"/>
      <c r="FQ121" s="1709"/>
      <c r="FR121" s="1709"/>
      <c r="FS121" s="1709"/>
      <c r="FT121" s="1709"/>
      <c r="FU121" s="1709"/>
      <c r="FV121" s="1709"/>
      <c r="FW121" s="1709"/>
      <c r="FX121" s="1709"/>
      <c r="FY121" s="1709"/>
      <c r="FZ121" s="1709"/>
      <c r="GA121" s="1709"/>
      <c r="GB121" s="1709"/>
      <c r="GC121" s="1709"/>
      <c r="GD121" s="1709"/>
      <c r="GE121" s="1709"/>
      <c r="GF121" s="1709"/>
      <c r="GG121" s="1709"/>
      <c r="GH121" s="1709"/>
      <c r="GI121" s="1709"/>
      <c r="GJ121" s="1709"/>
      <c r="GK121" s="1709"/>
      <c r="GL121" s="1709"/>
      <c r="GM121" s="1709"/>
      <c r="GN121" s="1709"/>
      <c r="GO121" s="1709"/>
      <c r="GP121" s="1709"/>
      <c r="GQ121" s="1709"/>
      <c r="GR121" s="1709"/>
      <c r="GS121" s="1709"/>
      <c r="GT121" s="1709"/>
      <c r="GU121" s="1709"/>
      <c r="GV121" s="1709"/>
      <c r="GW121" s="1709"/>
      <c r="GX121" s="1709"/>
      <c r="GY121" s="1709"/>
      <c r="GZ121" s="1709"/>
      <c r="HA121" s="1709"/>
      <c r="HB121" s="1709"/>
      <c r="HC121" s="1709"/>
      <c r="HD121" s="1709"/>
      <c r="HE121" s="1709"/>
      <c r="HF121" s="1709"/>
      <c r="HG121" s="1709"/>
      <c r="HH121" s="1709"/>
      <c r="HI121" s="1709"/>
      <c r="HJ121" s="1709"/>
      <c r="HK121" s="1709"/>
      <c r="HL121" s="1709"/>
      <c r="HM121" s="1709"/>
      <c r="HN121" s="1709"/>
      <c r="HO121" s="1709"/>
      <c r="HP121" s="1709"/>
      <c r="HQ121" s="1709"/>
      <c r="HR121" s="1709"/>
      <c r="HS121" s="1709"/>
      <c r="HT121" s="1709"/>
      <c r="HU121" s="1709"/>
      <c r="HV121" s="1709"/>
      <c r="HW121" s="1709"/>
      <c r="HX121" s="1709"/>
      <c r="HY121" s="1709"/>
      <c r="HZ121" s="1709"/>
      <c r="IA121" s="1709"/>
      <c r="IB121" s="1709"/>
      <c r="IC121" s="1709"/>
      <c r="ID121" s="1709"/>
      <c r="IE121" s="1709"/>
      <c r="IF121" s="1709"/>
      <c r="IG121" s="1709"/>
      <c r="IH121" s="1709"/>
      <c r="II121" s="1709"/>
      <c r="IJ121" s="1709"/>
      <c r="IK121" s="1709"/>
      <c r="IL121" s="1709"/>
      <c r="IM121" s="1709"/>
      <c r="IN121" s="1709"/>
      <c r="IO121" s="1709"/>
      <c r="IP121" s="1709"/>
      <c r="IQ121" s="1709"/>
      <c r="IR121" s="1709"/>
      <c r="IS121" s="1709"/>
      <c r="IT121" s="1709"/>
      <c r="IU121" s="1709"/>
    </row>
    <row r="122" spans="1:255" s="1685" customFormat="1" ht="13.5" customHeight="1">
      <c r="A122" s="1707"/>
      <c r="B122" s="1708"/>
      <c r="C122" s="1708"/>
      <c r="D122" s="719" t="s">
        <v>5852</v>
      </c>
      <c r="E122" s="1708"/>
      <c r="F122" s="1444"/>
      <c r="G122" s="288"/>
      <c r="H122" s="609"/>
      <c r="I122" s="613"/>
      <c r="J122" s="1705"/>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c r="CF122" s="1709"/>
      <c r="CG122" s="1709"/>
      <c r="CH122" s="1709"/>
      <c r="CI122" s="1709"/>
      <c r="CJ122" s="1709"/>
      <c r="CK122" s="1709"/>
      <c r="CL122" s="1709"/>
      <c r="CM122" s="1709"/>
      <c r="CN122" s="1709"/>
      <c r="CO122" s="1709"/>
      <c r="CP122" s="1709"/>
      <c r="CQ122" s="1709"/>
      <c r="CR122" s="1709"/>
      <c r="CS122" s="1709"/>
      <c r="CT122" s="1709"/>
      <c r="CU122" s="1709"/>
      <c r="CV122" s="1709"/>
      <c r="CW122" s="1709"/>
      <c r="CX122" s="1709"/>
      <c r="CY122" s="1709"/>
      <c r="CZ122" s="1709"/>
      <c r="DA122" s="1709"/>
      <c r="DB122" s="1709"/>
      <c r="DC122" s="1709"/>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09"/>
      <c r="ER122" s="1709"/>
      <c r="ES122" s="1709"/>
      <c r="ET122" s="1709"/>
      <c r="EU122" s="1709"/>
      <c r="EV122" s="1709"/>
      <c r="EW122" s="1709"/>
      <c r="EX122" s="1709"/>
      <c r="EY122" s="1709"/>
      <c r="EZ122" s="1709"/>
      <c r="FA122" s="1709"/>
      <c r="FB122" s="1709"/>
      <c r="FC122" s="1709"/>
      <c r="FD122" s="1709"/>
      <c r="FE122" s="1709"/>
      <c r="FF122" s="1709"/>
      <c r="FG122" s="1709"/>
      <c r="FH122" s="1709"/>
      <c r="FI122" s="1709"/>
      <c r="FJ122" s="1709"/>
      <c r="FK122" s="1709"/>
      <c r="FL122" s="1709"/>
      <c r="FM122" s="1709"/>
      <c r="FN122" s="1709"/>
      <c r="FO122" s="1709"/>
      <c r="FP122" s="1709"/>
      <c r="FQ122" s="1709"/>
      <c r="FR122" s="1709"/>
      <c r="FS122" s="1709"/>
      <c r="FT122" s="1709"/>
      <c r="FU122" s="1709"/>
      <c r="FV122" s="1709"/>
      <c r="FW122" s="1709"/>
      <c r="FX122" s="1709"/>
      <c r="FY122" s="1709"/>
      <c r="FZ122" s="1709"/>
      <c r="GA122" s="1709"/>
      <c r="GB122" s="1709"/>
      <c r="GC122" s="1709"/>
      <c r="GD122" s="1709"/>
      <c r="GE122" s="1709"/>
      <c r="GF122" s="1709"/>
      <c r="GG122" s="1709"/>
      <c r="GH122" s="1709"/>
      <c r="GI122" s="1709"/>
      <c r="GJ122" s="1709"/>
      <c r="GK122" s="1709"/>
      <c r="GL122" s="1709"/>
      <c r="GM122" s="1709"/>
      <c r="GN122" s="1709"/>
      <c r="GO122" s="1709"/>
      <c r="GP122" s="1709"/>
      <c r="GQ122" s="1709"/>
      <c r="GR122" s="1709"/>
      <c r="GS122" s="1709"/>
      <c r="GT122" s="1709"/>
      <c r="GU122" s="1709"/>
      <c r="GV122" s="1709"/>
      <c r="GW122" s="1709"/>
      <c r="GX122" s="1709"/>
      <c r="GY122" s="1709"/>
      <c r="GZ122" s="1709"/>
      <c r="HA122" s="1709"/>
      <c r="HB122" s="1709"/>
      <c r="HC122" s="1709"/>
      <c r="HD122" s="1709"/>
      <c r="HE122" s="1709"/>
      <c r="HF122" s="1709"/>
      <c r="HG122" s="1709"/>
      <c r="HH122" s="1709"/>
      <c r="HI122" s="1709"/>
      <c r="HJ122" s="1709"/>
      <c r="HK122" s="1709"/>
      <c r="HL122" s="1709"/>
      <c r="HM122" s="1709"/>
      <c r="HN122" s="1709"/>
      <c r="HO122" s="1709"/>
      <c r="HP122" s="1709"/>
      <c r="HQ122" s="1709"/>
      <c r="HR122" s="1709"/>
      <c r="HS122" s="1709"/>
      <c r="HT122" s="1709"/>
      <c r="HU122" s="1709"/>
      <c r="HV122" s="1709"/>
      <c r="HW122" s="1709"/>
      <c r="HX122" s="1709"/>
      <c r="HY122" s="1709"/>
      <c r="HZ122" s="1709"/>
      <c r="IA122" s="1709"/>
      <c r="IB122" s="1709"/>
      <c r="IC122" s="1709"/>
      <c r="ID122" s="1709"/>
      <c r="IE122" s="1709"/>
      <c r="IF122" s="1709"/>
      <c r="IG122" s="1709"/>
      <c r="IH122" s="1709"/>
      <c r="II122" s="1709"/>
      <c r="IJ122" s="1709"/>
      <c r="IK122" s="1709"/>
      <c r="IL122" s="1709"/>
      <c r="IM122" s="1709"/>
      <c r="IN122" s="1709"/>
      <c r="IO122" s="1709"/>
      <c r="IP122" s="1709"/>
      <c r="IQ122" s="1709"/>
      <c r="IR122" s="1709"/>
      <c r="IS122" s="1709"/>
      <c r="IT122" s="1709"/>
      <c r="IU122" s="1709"/>
    </row>
    <row r="123" spans="1:255" s="604" customFormat="1" ht="13.5" customHeight="1">
      <c r="A123" s="595"/>
      <c r="B123" s="596"/>
      <c r="C123" s="597"/>
      <c r="D123" s="719" t="s">
        <v>5853</v>
      </c>
      <c r="E123" s="599"/>
      <c r="F123" s="600">
        <f>(26.5)*2</f>
        <v>53</v>
      </c>
      <c r="G123" s="289"/>
      <c r="H123" s="601"/>
      <c r="I123" s="602"/>
      <c r="J123" s="606"/>
      <c r="U123" s="605"/>
      <c r="W123" s="605"/>
    </row>
    <row r="124" spans="1:255" s="604" customFormat="1" ht="13.5" customHeight="1">
      <c r="A124" s="595"/>
      <c r="B124" s="596"/>
      <c r="C124" s="597"/>
      <c r="D124" s="719" t="s">
        <v>5854</v>
      </c>
      <c r="E124" s="599"/>
      <c r="F124" s="600"/>
      <c r="G124" s="289"/>
      <c r="H124" s="601"/>
      <c r="I124" s="602"/>
      <c r="J124" s="606"/>
      <c r="U124" s="605"/>
      <c r="W124" s="605"/>
    </row>
    <row r="125" spans="1:255" s="604" customFormat="1" ht="27" customHeight="1">
      <c r="A125" s="595"/>
      <c r="B125" s="596"/>
      <c r="C125" s="597"/>
      <c r="D125" s="719" t="s">
        <v>5855</v>
      </c>
      <c r="E125" s="599"/>
      <c r="F125" s="600"/>
      <c r="G125" s="289"/>
      <c r="H125" s="601"/>
      <c r="I125" s="602"/>
      <c r="J125" s="606"/>
      <c r="U125" s="605"/>
      <c r="W125" s="605"/>
    </row>
    <row r="126" spans="1:255" s="1685" customFormat="1" ht="13.5" customHeight="1">
      <c r="A126" s="1707">
        <v>34</v>
      </c>
      <c r="B126" s="1708" t="s">
        <v>5808</v>
      </c>
      <c r="C126" s="1708">
        <v>460661114</v>
      </c>
      <c r="D126" s="1708" t="s">
        <v>5856</v>
      </c>
      <c r="E126" s="1708" t="s">
        <v>141</v>
      </c>
      <c r="F126" s="573">
        <f>ROUND(SUM(F128),3)</f>
        <v>29.8</v>
      </c>
      <c r="G126" s="288"/>
      <c r="H126" s="568">
        <f>ROUND(F126*G126,2)</f>
        <v>0</v>
      </c>
      <c r="I126" s="613" t="s">
        <v>137</v>
      </c>
      <c r="J126" s="1705"/>
      <c r="BJ126" s="1709"/>
      <c r="BK126" s="1709"/>
      <c r="BL126" s="1709"/>
      <c r="BM126" s="1709"/>
      <c r="BN126" s="1709"/>
      <c r="BO126" s="1709"/>
      <c r="BP126" s="1709"/>
      <c r="BQ126" s="1709"/>
      <c r="BR126" s="1709"/>
      <c r="BS126" s="1709"/>
      <c r="BT126" s="1709"/>
      <c r="BU126" s="1709"/>
      <c r="BV126" s="1709"/>
      <c r="BW126" s="1709"/>
      <c r="BX126" s="1709"/>
      <c r="BY126" s="1709"/>
      <c r="BZ126" s="1709"/>
      <c r="CA126" s="1709"/>
      <c r="CB126" s="1709"/>
      <c r="CC126" s="1709"/>
      <c r="CD126" s="1709"/>
      <c r="CE126" s="1709"/>
      <c r="CF126" s="1709"/>
      <c r="CG126" s="1709"/>
      <c r="CH126" s="1709"/>
      <c r="CI126" s="1709"/>
      <c r="CJ126" s="1709"/>
      <c r="CK126" s="1709"/>
      <c r="CL126" s="1709"/>
      <c r="CM126" s="1709"/>
      <c r="CN126" s="1709"/>
      <c r="CO126" s="1709"/>
      <c r="CP126" s="1709"/>
      <c r="CQ126" s="1709"/>
      <c r="CR126" s="1709"/>
      <c r="CS126" s="1709"/>
      <c r="CT126" s="1709"/>
      <c r="CU126" s="1709"/>
      <c r="CV126" s="1709"/>
      <c r="CW126" s="1709"/>
      <c r="CX126" s="1709"/>
      <c r="CY126" s="1709"/>
      <c r="CZ126" s="1709"/>
      <c r="DA126" s="1709"/>
      <c r="DB126" s="1709"/>
      <c r="DC126" s="1709"/>
      <c r="DD126" s="1709"/>
      <c r="DE126" s="1709"/>
      <c r="DF126" s="1709"/>
      <c r="DG126" s="1709"/>
      <c r="DH126" s="1709"/>
      <c r="DI126" s="1709"/>
      <c r="DJ126" s="1709"/>
      <c r="DK126" s="1709"/>
      <c r="DL126" s="1709"/>
      <c r="DM126" s="1709"/>
      <c r="DN126" s="1709"/>
      <c r="DO126" s="1709"/>
      <c r="DP126" s="1709"/>
      <c r="DQ126" s="1709"/>
      <c r="DR126" s="1709"/>
      <c r="DS126" s="1709"/>
      <c r="DT126" s="1709"/>
      <c r="DU126" s="1709"/>
      <c r="DV126" s="1709"/>
      <c r="DW126" s="1709"/>
      <c r="DX126" s="1709"/>
      <c r="DY126" s="1709"/>
      <c r="DZ126" s="1709"/>
      <c r="EA126" s="1709"/>
      <c r="EB126" s="1709"/>
      <c r="EC126" s="1709"/>
      <c r="ED126" s="1709"/>
      <c r="EE126" s="1709"/>
      <c r="EF126" s="1709"/>
      <c r="EG126" s="1709"/>
      <c r="EH126" s="1709"/>
      <c r="EI126" s="1709"/>
      <c r="EJ126" s="1709"/>
      <c r="EK126" s="1709"/>
      <c r="EL126" s="1709"/>
      <c r="EM126" s="1709"/>
      <c r="EN126" s="1709"/>
      <c r="EO126" s="1709"/>
      <c r="EP126" s="1709"/>
      <c r="EQ126" s="1709"/>
      <c r="ER126" s="1709"/>
      <c r="ES126" s="1709"/>
      <c r="ET126" s="1709"/>
      <c r="EU126" s="1709"/>
      <c r="EV126" s="1709"/>
      <c r="EW126" s="1709"/>
      <c r="EX126" s="1709"/>
      <c r="EY126" s="1709"/>
      <c r="EZ126" s="1709"/>
      <c r="FA126" s="1709"/>
      <c r="FB126" s="1709"/>
      <c r="FC126" s="1709"/>
      <c r="FD126" s="1709"/>
      <c r="FE126" s="1709"/>
      <c r="FF126" s="1709"/>
      <c r="FG126" s="1709"/>
      <c r="FH126" s="1709"/>
      <c r="FI126" s="1709"/>
      <c r="FJ126" s="1709"/>
      <c r="FK126" s="1709"/>
      <c r="FL126" s="1709"/>
      <c r="FM126" s="1709"/>
      <c r="FN126" s="1709"/>
      <c r="FO126" s="1709"/>
      <c r="FP126" s="1709"/>
      <c r="FQ126" s="1709"/>
      <c r="FR126" s="1709"/>
      <c r="FS126" s="1709"/>
      <c r="FT126" s="1709"/>
      <c r="FU126" s="1709"/>
      <c r="FV126" s="1709"/>
      <c r="FW126" s="1709"/>
      <c r="FX126" s="1709"/>
      <c r="FY126" s="1709"/>
      <c r="FZ126" s="1709"/>
      <c r="GA126" s="1709"/>
      <c r="GB126" s="1709"/>
      <c r="GC126" s="1709"/>
      <c r="GD126" s="1709"/>
      <c r="GE126" s="1709"/>
      <c r="GF126" s="1709"/>
      <c r="GG126" s="1709"/>
      <c r="GH126" s="1709"/>
      <c r="GI126" s="1709"/>
      <c r="GJ126" s="1709"/>
      <c r="GK126" s="1709"/>
      <c r="GL126" s="1709"/>
      <c r="GM126" s="1709"/>
      <c r="GN126" s="1709"/>
      <c r="GO126" s="1709"/>
      <c r="GP126" s="1709"/>
      <c r="GQ126" s="1709"/>
      <c r="GR126" s="1709"/>
      <c r="GS126" s="1709"/>
      <c r="GT126" s="1709"/>
      <c r="GU126" s="1709"/>
      <c r="GV126" s="1709"/>
      <c r="GW126" s="1709"/>
      <c r="GX126" s="1709"/>
      <c r="GY126" s="1709"/>
      <c r="GZ126" s="1709"/>
      <c r="HA126" s="1709"/>
      <c r="HB126" s="1709"/>
      <c r="HC126" s="1709"/>
      <c r="HD126" s="1709"/>
      <c r="HE126" s="1709"/>
      <c r="HF126" s="1709"/>
      <c r="HG126" s="1709"/>
      <c r="HH126" s="1709"/>
      <c r="HI126" s="1709"/>
      <c r="HJ126" s="1709"/>
      <c r="HK126" s="1709"/>
      <c r="HL126" s="1709"/>
      <c r="HM126" s="1709"/>
      <c r="HN126" s="1709"/>
      <c r="HO126" s="1709"/>
      <c r="HP126" s="1709"/>
      <c r="HQ126" s="1709"/>
      <c r="HR126" s="1709"/>
      <c r="HS126" s="1709"/>
      <c r="HT126" s="1709"/>
      <c r="HU126" s="1709"/>
      <c r="HV126" s="1709"/>
      <c r="HW126" s="1709"/>
      <c r="HX126" s="1709"/>
      <c r="HY126" s="1709"/>
      <c r="HZ126" s="1709"/>
      <c r="IA126" s="1709"/>
      <c r="IB126" s="1709"/>
      <c r="IC126" s="1709"/>
      <c r="ID126" s="1709"/>
      <c r="IE126" s="1709"/>
      <c r="IF126" s="1709"/>
      <c r="IG126" s="1709"/>
      <c r="IH126" s="1709"/>
      <c r="II126" s="1709"/>
      <c r="IJ126" s="1709"/>
      <c r="IK126" s="1709"/>
      <c r="IL126" s="1709"/>
      <c r="IM126" s="1709"/>
      <c r="IN126" s="1709"/>
      <c r="IO126" s="1709"/>
      <c r="IP126" s="1709"/>
      <c r="IQ126" s="1709"/>
      <c r="IR126" s="1709"/>
      <c r="IS126" s="1709"/>
      <c r="IT126" s="1709"/>
      <c r="IU126" s="1709"/>
    </row>
    <row r="127" spans="1:255" s="1685" customFormat="1" ht="13.5" customHeight="1">
      <c r="A127" s="1707"/>
      <c r="B127" s="1708"/>
      <c r="C127" s="1708"/>
      <c r="D127" s="719" t="s">
        <v>5857</v>
      </c>
      <c r="E127" s="1708"/>
      <c r="F127" s="1444"/>
      <c r="G127" s="288"/>
      <c r="H127" s="609"/>
      <c r="I127" s="613"/>
      <c r="J127" s="1705"/>
      <c r="BJ127" s="1709"/>
      <c r="BK127" s="1709"/>
      <c r="BL127" s="1709"/>
      <c r="BM127" s="1709"/>
      <c r="BN127" s="1709"/>
      <c r="BO127" s="1709"/>
      <c r="BP127" s="1709"/>
      <c r="BQ127" s="1709"/>
      <c r="BR127" s="1709"/>
      <c r="BS127" s="1709"/>
      <c r="BT127" s="1709"/>
      <c r="BU127" s="1709"/>
      <c r="BV127" s="1709"/>
      <c r="BW127" s="1709"/>
      <c r="BX127" s="1709"/>
      <c r="BY127" s="1709"/>
      <c r="BZ127" s="1709"/>
      <c r="CA127" s="1709"/>
      <c r="CB127" s="1709"/>
      <c r="CC127" s="1709"/>
      <c r="CD127" s="1709"/>
      <c r="CE127" s="1709"/>
      <c r="CF127" s="1709"/>
      <c r="CG127" s="1709"/>
      <c r="CH127" s="1709"/>
      <c r="CI127" s="1709"/>
      <c r="CJ127" s="1709"/>
      <c r="CK127" s="1709"/>
      <c r="CL127" s="1709"/>
      <c r="CM127" s="1709"/>
      <c r="CN127" s="1709"/>
      <c r="CO127" s="1709"/>
      <c r="CP127" s="1709"/>
      <c r="CQ127" s="1709"/>
      <c r="CR127" s="1709"/>
      <c r="CS127" s="1709"/>
      <c r="CT127" s="1709"/>
      <c r="CU127" s="1709"/>
      <c r="CV127" s="1709"/>
      <c r="CW127" s="1709"/>
      <c r="CX127" s="1709"/>
      <c r="CY127" s="1709"/>
      <c r="CZ127" s="1709"/>
      <c r="DA127" s="1709"/>
      <c r="DB127" s="1709"/>
      <c r="DC127" s="1709"/>
      <c r="DD127" s="1709"/>
      <c r="DE127" s="1709"/>
      <c r="DF127" s="1709"/>
      <c r="DG127" s="1709"/>
      <c r="DH127" s="1709"/>
      <c r="DI127" s="1709"/>
      <c r="DJ127" s="1709"/>
      <c r="DK127" s="1709"/>
      <c r="DL127" s="1709"/>
      <c r="DM127" s="1709"/>
      <c r="DN127" s="1709"/>
      <c r="DO127" s="1709"/>
      <c r="DP127" s="1709"/>
      <c r="DQ127" s="1709"/>
      <c r="DR127" s="1709"/>
      <c r="DS127" s="1709"/>
      <c r="DT127" s="1709"/>
      <c r="DU127" s="1709"/>
      <c r="DV127" s="1709"/>
      <c r="DW127" s="1709"/>
      <c r="DX127" s="1709"/>
      <c r="DY127" s="1709"/>
      <c r="DZ127" s="1709"/>
      <c r="EA127" s="1709"/>
      <c r="EB127" s="1709"/>
      <c r="EC127" s="1709"/>
      <c r="ED127" s="1709"/>
      <c r="EE127" s="1709"/>
      <c r="EF127" s="1709"/>
      <c r="EG127" s="1709"/>
      <c r="EH127" s="1709"/>
      <c r="EI127" s="1709"/>
      <c r="EJ127" s="1709"/>
      <c r="EK127" s="1709"/>
      <c r="EL127" s="1709"/>
      <c r="EM127" s="1709"/>
      <c r="EN127" s="1709"/>
      <c r="EO127" s="1709"/>
      <c r="EP127" s="1709"/>
      <c r="EQ127" s="1709"/>
      <c r="ER127" s="1709"/>
      <c r="ES127" s="1709"/>
      <c r="ET127" s="1709"/>
      <c r="EU127" s="1709"/>
      <c r="EV127" s="1709"/>
      <c r="EW127" s="1709"/>
      <c r="EX127" s="1709"/>
      <c r="EY127" s="1709"/>
      <c r="EZ127" s="1709"/>
      <c r="FA127" s="1709"/>
      <c r="FB127" s="1709"/>
      <c r="FC127" s="1709"/>
      <c r="FD127" s="1709"/>
      <c r="FE127" s="1709"/>
      <c r="FF127" s="1709"/>
      <c r="FG127" s="1709"/>
      <c r="FH127" s="1709"/>
      <c r="FI127" s="1709"/>
      <c r="FJ127" s="1709"/>
      <c r="FK127" s="1709"/>
      <c r="FL127" s="1709"/>
      <c r="FM127" s="1709"/>
      <c r="FN127" s="1709"/>
      <c r="FO127" s="1709"/>
      <c r="FP127" s="1709"/>
      <c r="FQ127" s="1709"/>
      <c r="FR127" s="1709"/>
      <c r="FS127" s="1709"/>
      <c r="FT127" s="1709"/>
      <c r="FU127" s="1709"/>
      <c r="FV127" s="1709"/>
      <c r="FW127" s="1709"/>
      <c r="FX127" s="1709"/>
      <c r="FY127" s="1709"/>
      <c r="FZ127" s="1709"/>
      <c r="GA127" s="1709"/>
      <c r="GB127" s="1709"/>
      <c r="GC127" s="1709"/>
      <c r="GD127" s="1709"/>
      <c r="GE127" s="1709"/>
      <c r="GF127" s="1709"/>
      <c r="GG127" s="1709"/>
      <c r="GH127" s="1709"/>
      <c r="GI127" s="1709"/>
      <c r="GJ127" s="1709"/>
      <c r="GK127" s="1709"/>
      <c r="GL127" s="1709"/>
      <c r="GM127" s="1709"/>
      <c r="GN127" s="1709"/>
      <c r="GO127" s="1709"/>
      <c r="GP127" s="1709"/>
      <c r="GQ127" s="1709"/>
      <c r="GR127" s="1709"/>
      <c r="GS127" s="1709"/>
      <c r="GT127" s="1709"/>
      <c r="GU127" s="1709"/>
      <c r="GV127" s="1709"/>
      <c r="GW127" s="1709"/>
      <c r="GX127" s="1709"/>
      <c r="GY127" s="1709"/>
      <c r="GZ127" s="1709"/>
      <c r="HA127" s="1709"/>
      <c r="HB127" s="1709"/>
      <c r="HC127" s="1709"/>
      <c r="HD127" s="1709"/>
      <c r="HE127" s="1709"/>
      <c r="HF127" s="1709"/>
      <c r="HG127" s="1709"/>
      <c r="HH127" s="1709"/>
      <c r="HI127" s="1709"/>
      <c r="HJ127" s="1709"/>
      <c r="HK127" s="1709"/>
      <c r="HL127" s="1709"/>
      <c r="HM127" s="1709"/>
      <c r="HN127" s="1709"/>
      <c r="HO127" s="1709"/>
      <c r="HP127" s="1709"/>
      <c r="HQ127" s="1709"/>
      <c r="HR127" s="1709"/>
      <c r="HS127" s="1709"/>
      <c r="HT127" s="1709"/>
      <c r="HU127" s="1709"/>
      <c r="HV127" s="1709"/>
      <c r="HW127" s="1709"/>
      <c r="HX127" s="1709"/>
      <c r="HY127" s="1709"/>
      <c r="HZ127" s="1709"/>
      <c r="IA127" s="1709"/>
      <c r="IB127" s="1709"/>
      <c r="IC127" s="1709"/>
      <c r="ID127" s="1709"/>
      <c r="IE127" s="1709"/>
      <c r="IF127" s="1709"/>
      <c r="IG127" s="1709"/>
      <c r="IH127" s="1709"/>
      <c r="II127" s="1709"/>
      <c r="IJ127" s="1709"/>
      <c r="IK127" s="1709"/>
      <c r="IL127" s="1709"/>
      <c r="IM127" s="1709"/>
      <c r="IN127" s="1709"/>
      <c r="IO127" s="1709"/>
      <c r="IP127" s="1709"/>
      <c r="IQ127" s="1709"/>
      <c r="IR127" s="1709"/>
      <c r="IS127" s="1709"/>
      <c r="IT127" s="1709"/>
      <c r="IU127" s="1709"/>
    </row>
    <row r="128" spans="1:255" s="604" customFormat="1" ht="13.5" customHeight="1">
      <c r="A128" s="595"/>
      <c r="B128" s="596"/>
      <c r="C128" s="597"/>
      <c r="D128" s="719" t="s">
        <v>5858</v>
      </c>
      <c r="E128" s="599"/>
      <c r="F128" s="600">
        <f>(14.9)*2</f>
        <v>29.8</v>
      </c>
      <c r="G128" s="289"/>
      <c r="H128" s="601"/>
      <c r="I128" s="602"/>
      <c r="J128" s="606"/>
      <c r="U128" s="605"/>
      <c r="W128" s="605"/>
    </row>
    <row r="129" spans="1:255" s="604" customFormat="1" ht="13.5" customHeight="1">
      <c r="A129" s="595"/>
      <c r="B129" s="596"/>
      <c r="C129" s="597"/>
      <c r="D129" s="719" t="s">
        <v>5854</v>
      </c>
      <c r="E129" s="599"/>
      <c r="F129" s="600"/>
      <c r="G129" s="289"/>
      <c r="H129" s="601"/>
      <c r="I129" s="602"/>
      <c r="J129" s="606"/>
      <c r="U129" s="605"/>
      <c r="W129" s="605"/>
    </row>
    <row r="130" spans="1:255" s="604" customFormat="1" ht="27" customHeight="1">
      <c r="A130" s="595"/>
      <c r="B130" s="596"/>
      <c r="C130" s="597"/>
      <c r="D130" s="719" t="s">
        <v>5855</v>
      </c>
      <c r="E130" s="599"/>
      <c r="F130" s="600"/>
      <c r="G130" s="289"/>
      <c r="H130" s="601"/>
      <c r="I130" s="602"/>
      <c r="J130" s="606"/>
      <c r="U130" s="605"/>
      <c r="W130" s="605"/>
    </row>
    <row r="131" spans="1:255" s="1685" customFormat="1" ht="13.5" customHeight="1">
      <c r="A131" s="1707">
        <v>35</v>
      </c>
      <c r="B131" s="1708" t="s">
        <v>5808</v>
      </c>
      <c r="C131" s="1708">
        <v>460671113</v>
      </c>
      <c r="D131" s="1708" t="s">
        <v>5859</v>
      </c>
      <c r="E131" s="1708" t="s">
        <v>141</v>
      </c>
      <c r="F131" s="573">
        <f>ROUND(SUM(F133),3)</f>
        <v>53</v>
      </c>
      <c r="G131" s="288"/>
      <c r="H131" s="568">
        <f>ROUND(F131*G131,2)</f>
        <v>0</v>
      </c>
      <c r="I131" s="613" t="s">
        <v>137</v>
      </c>
      <c r="J131" s="1705"/>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c r="CF131" s="1709"/>
      <c r="CG131" s="1709"/>
      <c r="CH131" s="1709"/>
      <c r="CI131" s="1709"/>
      <c r="CJ131" s="1709"/>
      <c r="CK131" s="1709"/>
      <c r="CL131" s="1709"/>
      <c r="CM131" s="1709"/>
      <c r="CN131" s="1709"/>
      <c r="CO131" s="1709"/>
      <c r="CP131" s="1709"/>
      <c r="CQ131" s="1709"/>
      <c r="CR131" s="1709"/>
      <c r="CS131" s="1709"/>
      <c r="CT131" s="1709"/>
      <c r="CU131" s="1709"/>
      <c r="CV131" s="1709"/>
      <c r="CW131" s="1709"/>
      <c r="CX131" s="1709"/>
      <c r="CY131" s="1709"/>
      <c r="CZ131" s="1709"/>
      <c r="DA131" s="1709"/>
      <c r="DB131" s="1709"/>
      <c r="DC131" s="1709"/>
      <c r="DD131" s="1709"/>
      <c r="DE131" s="1709"/>
      <c r="DF131" s="1709"/>
      <c r="DG131" s="1709"/>
      <c r="DH131" s="1709"/>
      <c r="DI131" s="1709"/>
      <c r="DJ131" s="1709"/>
      <c r="DK131" s="1709"/>
      <c r="DL131" s="1709"/>
      <c r="DM131" s="1709"/>
      <c r="DN131" s="1709"/>
      <c r="DO131" s="1709"/>
      <c r="DP131" s="1709"/>
      <c r="DQ131" s="1709"/>
      <c r="DR131" s="1709"/>
      <c r="DS131" s="1709"/>
      <c r="DT131" s="1709"/>
      <c r="DU131" s="1709"/>
      <c r="DV131" s="1709"/>
      <c r="DW131" s="1709"/>
      <c r="DX131" s="1709"/>
      <c r="DY131" s="1709"/>
      <c r="DZ131" s="1709"/>
      <c r="EA131" s="1709"/>
      <c r="EB131" s="1709"/>
      <c r="EC131" s="1709"/>
      <c r="ED131" s="1709"/>
      <c r="EE131" s="1709"/>
      <c r="EF131" s="1709"/>
      <c r="EG131" s="1709"/>
      <c r="EH131" s="1709"/>
      <c r="EI131" s="1709"/>
      <c r="EJ131" s="1709"/>
      <c r="EK131" s="1709"/>
      <c r="EL131" s="1709"/>
      <c r="EM131" s="1709"/>
      <c r="EN131" s="1709"/>
      <c r="EO131" s="1709"/>
      <c r="EP131" s="1709"/>
      <c r="EQ131" s="1709"/>
      <c r="ER131" s="1709"/>
      <c r="ES131" s="1709"/>
      <c r="ET131" s="1709"/>
      <c r="EU131" s="1709"/>
      <c r="EV131" s="1709"/>
      <c r="EW131" s="1709"/>
      <c r="EX131" s="1709"/>
      <c r="EY131" s="1709"/>
      <c r="EZ131" s="1709"/>
      <c r="FA131" s="1709"/>
      <c r="FB131" s="1709"/>
      <c r="FC131" s="1709"/>
      <c r="FD131" s="1709"/>
      <c r="FE131" s="1709"/>
      <c r="FF131" s="1709"/>
      <c r="FG131" s="1709"/>
      <c r="FH131" s="1709"/>
      <c r="FI131" s="1709"/>
      <c r="FJ131" s="1709"/>
      <c r="FK131" s="1709"/>
      <c r="FL131" s="1709"/>
      <c r="FM131" s="1709"/>
      <c r="FN131" s="1709"/>
      <c r="FO131" s="1709"/>
      <c r="FP131" s="1709"/>
      <c r="FQ131" s="1709"/>
      <c r="FR131" s="1709"/>
      <c r="FS131" s="1709"/>
      <c r="FT131" s="1709"/>
      <c r="FU131" s="1709"/>
      <c r="FV131" s="1709"/>
      <c r="FW131" s="1709"/>
      <c r="FX131" s="1709"/>
      <c r="FY131" s="1709"/>
      <c r="FZ131" s="1709"/>
      <c r="GA131" s="1709"/>
      <c r="GB131" s="1709"/>
      <c r="GC131" s="1709"/>
      <c r="GD131" s="1709"/>
      <c r="GE131" s="1709"/>
      <c r="GF131" s="1709"/>
      <c r="GG131" s="1709"/>
      <c r="GH131" s="1709"/>
      <c r="GI131" s="1709"/>
      <c r="GJ131" s="1709"/>
      <c r="GK131" s="1709"/>
      <c r="GL131" s="1709"/>
      <c r="GM131" s="1709"/>
      <c r="GN131" s="1709"/>
      <c r="GO131" s="1709"/>
      <c r="GP131" s="1709"/>
      <c r="GQ131" s="1709"/>
      <c r="GR131" s="1709"/>
      <c r="GS131" s="1709"/>
      <c r="GT131" s="1709"/>
      <c r="GU131" s="1709"/>
      <c r="GV131" s="1709"/>
      <c r="GW131" s="1709"/>
      <c r="GX131" s="1709"/>
      <c r="GY131" s="1709"/>
      <c r="GZ131" s="1709"/>
      <c r="HA131" s="1709"/>
      <c r="HB131" s="1709"/>
      <c r="HC131" s="1709"/>
      <c r="HD131" s="1709"/>
      <c r="HE131" s="1709"/>
      <c r="HF131" s="1709"/>
      <c r="HG131" s="1709"/>
      <c r="HH131" s="1709"/>
      <c r="HI131" s="1709"/>
      <c r="HJ131" s="1709"/>
      <c r="HK131" s="1709"/>
      <c r="HL131" s="1709"/>
      <c r="HM131" s="1709"/>
      <c r="HN131" s="1709"/>
      <c r="HO131" s="1709"/>
      <c r="HP131" s="1709"/>
      <c r="HQ131" s="1709"/>
      <c r="HR131" s="1709"/>
      <c r="HS131" s="1709"/>
      <c r="HT131" s="1709"/>
      <c r="HU131" s="1709"/>
      <c r="HV131" s="1709"/>
      <c r="HW131" s="1709"/>
      <c r="HX131" s="1709"/>
      <c r="HY131" s="1709"/>
      <c r="HZ131" s="1709"/>
      <c r="IA131" s="1709"/>
      <c r="IB131" s="1709"/>
      <c r="IC131" s="1709"/>
      <c r="ID131" s="1709"/>
      <c r="IE131" s="1709"/>
      <c r="IF131" s="1709"/>
      <c r="IG131" s="1709"/>
      <c r="IH131" s="1709"/>
      <c r="II131" s="1709"/>
      <c r="IJ131" s="1709"/>
      <c r="IK131" s="1709"/>
      <c r="IL131" s="1709"/>
      <c r="IM131" s="1709"/>
      <c r="IN131" s="1709"/>
      <c r="IO131" s="1709"/>
      <c r="IP131" s="1709"/>
      <c r="IQ131" s="1709"/>
      <c r="IR131" s="1709"/>
      <c r="IS131" s="1709"/>
      <c r="IT131" s="1709"/>
      <c r="IU131" s="1709"/>
    </row>
    <row r="132" spans="1:255" s="1685" customFormat="1" ht="13.5" customHeight="1">
      <c r="A132" s="1707"/>
      <c r="B132" s="1708"/>
      <c r="C132" s="1708"/>
      <c r="D132" s="719" t="s">
        <v>5860</v>
      </c>
      <c r="E132" s="1708"/>
      <c r="F132" s="1444"/>
      <c r="G132" s="288"/>
      <c r="H132" s="609"/>
      <c r="I132" s="613"/>
      <c r="J132" s="1705"/>
      <c r="BJ132" s="1709"/>
      <c r="BK132" s="1709"/>
      <c r="BL132" s="1709"/>
      <c r="BM132" s="1709"/>
      <c r="BN132" s="1709"/>
      <c r="BO132" s="1709"/>
      <c r="BP132" s="1709"/>
      <c r="BQ132" s="1709"/>
      <c r="BR132" s="1709"/>
      <c r="BS132" s="1709"/>
      <c r="BT132" s="1709"/>
      <c r="BU132" s="1709"/>
      <c r="BV132" s="1709"/>
      <c r="BW132" s="1709"/>
      <c r="BX132" s="1709"/>
      <c r="BY132" s="1709"/>
      <c r="BZ132" s="1709"/>
      <c r="CA132" s="1709"/>
      <c r="CB132" s="1709"/>
      <c r="CC132" s="1709"/>
      <c r="CD132" s="1709"/>
      <c r="CE132" s="1709"/>
      <c r="CF132" s="1709"/>
      <c r="CG132" s="1709"/>
      <c r="CH132" s="1709"/>
      <c r="CI132" s="1709"/>
      <c r="CJ132" s="1709"/>
      <c r="CK132" s="1709"/>
      <c r="CL132" s="1709"/>
      <c r="CM132" s="1709"/>
      <c r="CN132" s="1709"/>
      <c r="CO132" s="1709"/>
      <c r="CP132" s="1709"/>
      <c r="CQ132" s="1709"/>
      <c r="CR132" s="1709"/>
      <c r="CS132" s="1709"/>
      <c r="CT132" s="1709"/>
      <c r="CU132" s="1709"/>
      <c r="CV132" s="1709"/>
      <c r="CW132" s="1709"/>
      <c r="CX132" s="1709"/>
      <c r="CY132" s="1709"/>
      <c r="CZ132" s="1709"/>
      <c r="DA132" s="1709"/>
      <c r="DB132" s="1709"/>
      <c r="DC132" s="1709"/>
      <c r="DD132" s="1709"/>
      <c r="DE132" s="1709"/>
      <c r="DF132" s="1709"/>
      <c r="DG132" s="1709"/>
      <c r="DH132" s="1709"/>
      <c r="DI132" s="1709"/>
      <c r="DJ132" s="1709"/>
      <c r="DK132" s="1709"/>
      <c r="DL132" s="1709"/>
      <c r="DM132" s="1709"/>
      <c r="DN132" s="1709"/>
      <c r="DO132" s="1709"/>
      <c r="DP132" s="1709"/>
      <c r="DQ132" s="1709"/>
      <c r="DR132" s="1709"/>
      <c r="DS132" s="1709"/>
      <c r="DT132" s="1709"/>
      <c r="DU132" s="1709"/>
      <c r="DV132" s="1709"/>
      <c r="DW132" s="1709"/>
      <c r="DX132" s="1709"/>
      <c r="DY132" s="1709"/>
      <c r="DZ132" s="1709"/>
      <c r="EA132" s="1709"/>
      <c r="EB132" s="1709"/>
      <c r="EC132" s="1709"/>
      <c r="ED132" s="1709"/>
      <c r="EE132" s="1709"/>
      <c r="EF132" s="1709"/>
      <c r="EG132" s="1709"/>
      <c r="EH132" s="1709"/>
      <c r="EI132" s="1709"/>
      <c r="EJ132" s="1709"/>
      <c r="EK132" s="1709"/>
      <c r="EL132" s="1709"/>
      <c r="EM132" s="1709"/>
      <c r="EN132" s="1709"/>
      <c r="EO132" s="1709"/>
      <c r="EP132" s="1709"/>
      <c r="EQ132" s="1709"/>
      <c r="ER132" s="1709"/>
      <c r="ES132" s="1709"/>
      <c r="ET132" s="1709"/>
      <c r="EU132" s="1709"/>
      <c r="EV132" s="1709"/>
      <c r="EW132" s="1709"/>
      <c r="EX132" s="1709"/>
      <c r="EY132" s="1709"/>
      <c r="EZ132" s="1709"/>
      <c r="FA132" s="1709"/>
      <c r="FB132" s="1709"/>
      <c r="FC132" s="1709"/>
      <c r="FD132" s="1709"/>
      <c r="FE132" s="1709"/>
      <c r="FF132" s="1709"/>
      <c r="FG132" s="1709"/>
      <c r="FH132" s="1709"/>
      <c r="FI132" s="1709"/>
      <c r="FJ132" s="1709"/>
      <c r="FK132" s="1709"/>
      <c r="FL132" s="1709"/>
      <c r="FM132" s="1709"/>
      <c r="FN132" s="1709"/>
      <c r="FO132" s="1709"/>
      <c r="FP132" s="1709"/>
      <c r="FQ132" s="1709"/>
      <c r="FR132" s="1709"/>
      <c r="FS132" s="1709"/>
      <c r="FT132" s="1709"/>
      <c r="FU132" s="1709"/>
      <c r="FV132" s="1709"/>
      <c r="FW132" s="1709"/>
      <c r="FX132" s="1709"/>
      <c r="FY132" s="1709"/>
      <c r="FZ132" s="1709"/>
      <c r="GA132" s="1709"/>
      <c r="GB132" s="1709"/>
      <c r="GC132" s="1709"/>
      <c r="GD132" s="1709"/>
      <c r="GE132" s="1709"/>
      <c r="GF132" s="1709"/>
      <c r="GG132" s="1709"/>
      <c r="GH132" s="1709"/>
      <c r="GI132" s="1709"/>
      <c r="GJ132" s="1709"/>
      <c r="GK132" s="1709"/>
      <c r="GL132" s="1709"/>
      <c r="GM132" s="1709"/>
      <c r="GN132" s="1709"/>
      <c r="GO132" s="1709"/>
      <c r="GP132" s="1709"/>
      <c r="GQ132" s="1709"/>
      <c r="GR132" s="1709"/>
      <c r="GS132" s="1709"/>
      <c r="GT132" s="1709"/>
      <c r="GU132" s="1709"/>
      <c r="GV132" s="1709"/>
      <c r="GW132" s="1709"/>
      <c r="GX132" s="1709"/>
      <c r="GY132" s="1709"/>
      <c r="GZ132" s="1709"/>
      <c r="HA132" s="1709"/>
      <c r="HB132" s="1709"/>
      <c r="HC132" s="1709"/>
      <c r="HD132" s="1709"/>
      <c r="HE132" s="1709"/>
      <c r="HF132" s="1709"/>
      <c r="HG132" s="1709"/>
      <c r="HH132" s="1709"/>
      <c r="HI132" s="1709"/>
      <c r="HJ132" s="1709"/>
      <c r="HK132" s="1709"/>
      <c r="HL132" s="1709"/>
      <c r="HM132" s="1709"/>
      <c r="HN132" s="1709"/>
      <c r="HO132" s="1709"/>
      <c r="HP132" s="1709"/>
      <c r="HQ132" s="1709"/>
      <c r="HR132" s="1709"/>
      <c r="HS132" s="1709"/>
      <c r="HT132" s="1709"/>
      <c r="HU132" s="1709"/>
      <c r="HV132" s="1709"/>
      <c r="HW132" s="1709"/>
      <c r="HX132" s="1709"/>
      <c r="HY132" s="1709"/>
      <c r="HZ132" s="1709"/>
      <c r="IA132" s="1709"/>
      <c r="IB132" s="1709"/>
      <c r="IC132" s="1709"/>
      <c r="ID132" s="1709"/>
      <c r="IE132" s="1709"/>
      <c r="IF132" s="1709"/>
      <c r="IG132" s="1709"/>
      <c r="IH132" s="1709"/>
      <c r="II132" s="1709"/>
      <c r="IJ132" s="1709"/>
      <c r="IK132" s="1709"/>
      <c r="IL132" s="1709"/>
      <c r="IM132" s="1709"/>
      <c r="IN132" s="1709"/>
      <c r="IO132" s="1709"/>
      <c r="IP132" s="1709"/>
      <c r="IQ132" s="1709"/>
      <c r="IR132" s="1709"/>
      <c r="IS132" s="1709"/>
      <c r="IT132" s="1709"/>
      <c r="IU132" s="1709"/>
    </row>
    <row r="133" spans="1:255" s="604" customFormat="1" ht="13.5" customHeight="1">
      <c r="A133" s="595"/>
      <c r="B133" s="596"/>
      <c r="C133" s="597"/>
      <c r="D133" s="719" t="s">
        <v>5861</v>
      </c>
      <c r="E133" s="599"/>
      <c r="F133" s="600">
        <f>(26.5)*2</f>
        <v>53</v>
      </c>
      <c r="G133" s="289"/>
      <c r="H133" s="601"/>
      <c r="I133" s="602"/>
      <c r="J133" s="606"/>
      <c r="U133" s="605"/>
      <c r="W133" s="605"/>
    </row>
    <row r="134" spans="1:255" s="1685" customFormat="1" ht="13.5" customHeight="1">
      <c r="A134" s="1707">
        <v>36</v>
      </c>
      <c r="B134" s="1708" t="s">
        <v>5808</v>
      </c>
      <c r="C134" s="1708">
        <v>460671114</v>
      </c>
      <c r="D134" s="1708" t="s">
        <v>5862</v>
      </c>
      <c r="E134" s="1708" t="s">
        <v>141</v>
      </c>
      <c r="F134" s="573">
        <f>ROUND(SUM(F136),3)</f>
        <v>29.8</v>
      </c>
      <c r="G134" s="288"/>
      <c r="H134" s="568">
        <f>ROUND(F134*G134,2)</f>
        <v>0</v>
      </c>
      <c r="I134" s="613" t="s">
        <v>137</v>
      </c>
      <c r="J134" s="1705"/>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c r="CF134" s="1709"/>
      <c r="CG134" s="1709"/>
      <c r="CH134" s="1709"/>
      <c r="CI134" s="1709"/>
      <c r="CJ134" s="1709"/>
      <c r="CK134" s="1709"/>
      <c r="CL134" s="1709"/>
      <c r="CM134" s="1709"/>
      <c r="CN134" s="1709"/>
      <c r="CO134" s="1709"/>
      <c r="CP134" s="1709"/>
      <c r="CQ134" s="1709"/>
      <c r="CR134" s="1709"/>
      <c r="CS134" s="1709"/>
      <c r="CT134" s="1709"/>
      <c r="CU134" s="1709"/>
      <c r="CV134" s="1709"/>
      <c r="CW134" s="1709"/>
      <c r="CX134" s="1709"/>
      <c r="CY134" s="1709"/>
      <c r="CZ134" s="1709"/>
      <c r="DA134" s="1709"/>
      <c r="DB134" s="1709"/>
      <c r="DC134" s="1709"/>
      <c r="DD134" s="1709"/>
      <c r="DE134" s="1709"/>
      <c r="DF134" s="1709"/>
      <c r="DG134" s="1709"/>
      <c r="DH134" s="1709"/>
      <c r="DI134" s="1709"/>
      <c r="DJ134" s="1709"/>
      <c r="DK134" s="1709"/>
      <c r="DL134" s="1709"/>
      <c r="DM134" s="1709"/>
      <c r="DN134" s="1709"/>
      <c r="DO134" s="1709"/>
      <c r="DP134" s="1709"/>
      <c r="DQ134" s="1709"/>
      <c r="DR134" s="1709"/>
      <c r="DS134" s="1709"/>
      <c r="DT134" s="1709"/>
      <c r="DU134" s="1709"/>
      <c r="DV134" s="1709"/>
      <c r="DW134" s="1709"/>
      <c r="DX134" s="1709"/>
      <c r="DY134" s="1709"/>
      <c r="DZ134" s="1709"/>
      <c r="EA134" s="1709"/>
      <c r="EB134" s="1709"/>
      <c r="EC134" s="1709"/>
      <c r="ED134" s="1709"/>
      <c r="EE134" s="1709"/>
      <c r="EF134" s="1709"/>
      <c r="EG134" s="1709"/>
      <c r="EH134" s="1709"/>
      <c r="EI134" s="1709"/>
      <c r="EJ134" s="1709"/>
      <c r="EK134" s="1709"/>
      <c r="EL134" s="1709"/>
      <c r="EM134" s="1709"/>
      <c r="EN134" s="1709"/>
      <c r="EO134" s="1709"/>
      <c r="EP134" s="1709"/>
      <c r="EQ134" s="1709"/>
      <c r="ER134" s="1709"/>
      <c r="ES134" s="1709"/>
      <c r="ET134" s="1709"/>
      <c r="EU134" s="1709"/>
      <c r="EV134" s="1709"/>
      <c r="EW134" s="1709"/>
      <c r="EX134" s="1709"/>
      <c r="EY134" s="1709"/>
      <c r="EZ134" s="1709"/>
      <c r="FA134" s="1709"/>
      <c r="FB134" s="1709"/>
      <c r="FC134" s="1709"/>
      <c r="FD134" s="1709"/>
      <c r="FE134" s="1709"/>
      <c r="FF134" s="1709"/>
      <c r="FG134" s="1709"/>
      <c r="FH134" s="1709"/>
      <c r="FI134" s="1709"/>
      <c r="FJ134" s="1709"/>
      <c r="FK134" s="1709"/>
      <c r="FL134" s="1709"/>
      <c r="FM134" s="1709"/>
      <c r="FN134" s="1709"/>
      <c r="FO134" s="1709"/>
      <c r="FP134" s="1709"/>
      <c r="FQ134" s="1709"/>
      <c r="FR134" s="1709"/>
      <c r="FS134" s="1709"/>
      <c r="FT134" s="1709"/>
      <c r="FU134" s="1709"/>
      <c r="FV134" s="1709"/>
      <c r="FW134" s="1709"/>
      <c r="FX134" s="1709"/>
      <c r="FY134" s="1709"/>
      <c r="FZ134" s="1709"/>
      <c r="GA134" s="1709"/>
      <c r="GB134" s="1709"/>
      <c r="GC134" s="1709"/>
      <c r="GD134" s="1709"/>
      <c r="GE134" s="1709"/>
      <c r="GF134" s="1709"/>
      <c r="GG134" s="1709"/>
      <c r="GH134" s="1709"/>
      <c r="GI134" s="1709"/>
      <c r="GJ134" s="1709"/>
      <c r="GK134" s="1709"/>
      <c r="GL134" s="1709"/>
      <c r="GM134" s="1709"/>
      <c r="GN134" s="1709"/>
      <c r="GO134" s="1709"/>
      <c r="GP134" s="1709"/>
      <c r="GQ134" s="1709"/>
      <c r="GR134" s="1709"/>
      <c r="GS134" s="1709"/>
      <c r="GT134" s="1709"/>
      <c r="GU134" s="1709"/>
      <c r="GV134" s="1709"/>
      <c r="GW134" s="1709"/>
      <c r="GX134" s="1709"/>
      <c r="GY134" s="1709"/>
      <c r="GZ134" s="1709"/>
      <c r="HA134" s="1709"/>
      <c r="HB134" s="1709"/>
      <c r="HC134" s="1709"/>
      <c r="HD134" s="1709"/>
      <c r="HE134" s="1709"/>
      <c r="HF134" s="1709"/>
      <c r="HG134" s="1709"/>
      <c r="HH134" s="1709"/>
      <c r="HI134" s="1709"/>
      <c r="HJ134" s="1709"/>
      <c r="HK134" s="1709"/>
      <c r="HL134" s="1709"/>
      <c r="HM134" s="1709"/>
      <c r="HN134" s="1709"/>
      <c r="HO134" s="1709"/>
      <c r="HP134" s="1709"/>
      <c r="HQ134" s="1709"/>
      <c r="HR134" s="1709"/>
      <c r="HS134" s="1709"/>
      <c r="HT134" s="1709"/>
      <c r="HU134" s="1709"/>
      <c r="HV134" s="1709"/>
      <c r="HW134" s="1709"/>
      <c r="HX134" s="1709"/>
      <c r="HY134" s="1709"/>
      <c r="HZ134" s="1709"/>
      <c r="IA134" s="1709"/>
      <c r="IB134" s="1709"/>
      <c r="IC134" s="1709"/>
      <c r="ID134" s="1709"/>
      <c r="IE134" s="1709"/>
      <c r="IF134" s="1709"/>
      <c r="IG134" s="1709"/>
      <c r="IH134" s="1709"/>
      <c r="II134" s="1709"/>
      <c r="IJ134" s="1709"/>
      <c r="IK134" s="1709"/>
      <c r="IL134" s="1709"/>
      <c r="IM134" s="1709"/>
      <c r="IN134" s="1709"/>
      <c r="IO134" s="1709"/>
      <c r="IP134" s="1709"/>
      <c r="IQ134" s="1709"/>
      <c r="IR134" s="1709"/>
      <c r="IS134" s="1709"/>
      <c r="IT134" s="1709"/>
      <c r="IU134" s="1709"/>
    </row>
    <row r="135" spans="1:255" s="1685" customFormat="1" ht="13.5" customHeight="1">
      <c r="A135" s="1707"/>
      <c r="B135" s="1708"/>
      <c r="C135" s="1708"/>
      <c r="D135" s="719" t="s">
        <v>5863</v>
      </c>
      <c r="E135" s="1708"/>
      <c r="F135" s="1444"/>
      <c r="G135" s="288"/>
      <c r="H135" s="609"/>
      <c r="I135" s="613"/>
      <c r="J135" s="1705"/>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c r="CF135" s="1709"/>
      <c r="CG135" s="1709"/>
      <c r="CH135" s="1709"/>
      <c r="CI135" s="1709"/>
      <c r="CJ135" s="1709"/>
      <c r="CK135" s="1709"/>
      <c r="CL135" s="1709"/>
      <c r="CM135" s="1709"/>
      <c r="CN135" s="1709"/>
      <c r="CO135" s="1709"/>
      <c r="CP135" s="1709"/>
      <c r="CQ135" s="1709"/>
      <c r="CR135" s="1709"/>
      <c r="CS135" s="1709"/>
      <c r="CT135" s="1709"/>
      <c r="CU135" s="1709"/>
      <c r="CV135" s="1709"/>
      <c r="CW135" s="1709"/>
      <c r="CX135" s="1709"/>
      <c r="CY135" s="1709"/>
      <c r="CZ135" s="1709"/>
      <c r="DA135" s="1709"/>
      <c r="DB135" s="1709"/>
      <c r="DC135" s="1709"/>
      <c r="DD135" s="1709"/>
      <c r="DE135" s="1709"/>
      <c r="DF135" s="1709"/>
      <c r="DG135" s="1709"/>
      <c r="DH135" s="1709"/>
      <c r="DI135" s="1709"/>
      <c r="DJ135" s="1709"/>
      <c r="DK135" s="1709"/>
      <c r="DL135" s="1709"/>
      <c r="DM135" s="1709"/>
      <c r="DN135" s="1709"/>
      <c r="DO135" s="1709"/>
      <c r="DP135" s="1709"/>
      <c r="DQ135" s="1709"/>
      <c r="DR135" s="1709"/>
      <c r="DS135" s="1709"/>
      <c r="DT135" s="1709"/>
      <c r="DU135" s="1709"/>
      <c r="DV135" s="1709"/>
      <c r="DW135" s="1709"/>
      <c r="DX135" s="1709"/>
      <c r="DY135" s="1709"/>
      <c r="DZ135" s="1709"/>
      <c r="EA135" s="1709"/>
      <c r="EB135" s="1709"/>
      <c r="EC135" s="1709"/>
      <c r="ED135" s="1709"/>
      <c r="EE135" s="1709"/>
      <c r="EF135" s="1709"/>
      <c r="EG135" s="1709"/>
      <c r="EH135" s="1709"/>
      <c r="EI135" s="1709"/>
      <c r="EJ135" s="1709"/>
      <c r="EK135" s="1709"/>
      <c r="EL135" s="1709"/>
      <c r="EM135" s="1709"/>
      <c r="EN135" s="1709"/>
      <c r="EO135" s="1709"/>
      <c r="EP135" s="1709"/>
      <c r="EQ135" s="1709"/>
      <c r="ER135" s="1709"/>
      <c r="ES135" s="1709"/>
      <c r="ET135" s="1709"/>
      <c r="EU135" s="1709"/>
      <c r="EV135" s="1709"/>
      <c r="EW135" s="1709"/>
      <c r="EX135" s="1709"/>
      <c r="EY135" s="1709"/>
      <c r="EZ135" s="1709"/>
      <c r="FA135" s="1709"/>
      <c r="FB135" s="1709"/>
      <c r="FC135" s="1709"/>
      <c r="FD135" s="1709"/>
      <c r="FE135" s="1709"/>
      <c r="FF135" s="1709"/>
      <c r="FG135" s="1709"/>
      <c r="FH135" s="1709"/>
      <c r="FI135" s="1709"/>
      <c r="FJ135" s="1709"/>
      <c r="FK135" s="1709"/>
      <c r="FL135" s="1709"/>
      <c r="FM135" s="1709"/>
      <c r="FN135" s="1709"/>
      <c r="FO135" s="1709"/>
      <c r="FP135" s="1709"/>
      <c r="FQ135" s="1709"/>
      <c r="FR135" s="1709"/>
      <c r="FS135" s="1709"/>
      <c r="FT135" s="1709"/>
      <c r="FU135" s="1709"/>
      <c r="FV135" s="1709"/>
      <c r="FW135" s="1709"/>
      <c r="FX135" s="1709"/>
      <c r="FY135" s="1709"/>
      <c r="FZ135" s="1709"/>
      <c r="GA135" s="1709"/>
      <c r="GB135" s="1709"/>
      <c r="GC135" s="1709"/>
      <c r="GD135" s="1709"/>
      <c r="GE135" s="1709"/>
      <c r="GF135" s="1709"/>
      <c r="GG135" s="1709"/>
      <c r="GH135" s="1709"/>
      <c r="GI135" s="1709"/>
      <c r="GJ135" s="1709"/>
      <c r="GK135" s="1709"/>
      <c r="GL135" s="1709"/>
      <c r="GM135" s="1709"/>
      <c r="GN135" s="1709"/>
      <c r="GO135" s="1709"/>
      <c r="GP135" s="1709"/>
      <c r="GQ135" s="1709"/>
      <c r="GR135" s="1709"/>
      <c r="GS135" s="1709"/>
      <c r="GT135" s="1709"/>
      <c r="GU135" s="1709"/>
      <c r="GV135" s="1709"/>
      <c r="GW135" s="1709"/>
      <c r="GX135" s="1709"/>
      <c r="GY135" s="1709"/>
      <c r="GZ135" s="1709"/>
      <c r="HA135" s="1709"/>
      <c r="HB135" s="1709"/>
      <c r="HC135" s="1709"/>
      <c r="HD135" s="1709"/>
      <c r="HE135" s="1709"/>
      <c r="HF135" s="1709"/>
      <c r="HG135" s="1709"/>
      <c r="HH135" s="1709"/>
      <c r="HI135" s="1709"/>
      <c r="HJ135" s="1709"/>
      <c r="HK135" s="1709"/>
      <c r="HL135" s="1709"/>
      <c r="HM135" s="1709"/>
      <c r="HN135" s="1709"/>
      <c r="HO135" s="1709"/>
      <c r="HP135" s="1709"/>
      <c r="HQ135" s="1709"/>
      <c r="HR135" s="1709"/>
      <c r="HS135" s="1709"/>
      <c r="HT135" s="1709"/>
      <c r="HU135" s="1709"/>
      <c r="HV135" s="1709"/>
      <c r="HW135" s="1709"/>
      <c r="HX135" s="1709"/>
      <c r="HY135" s="1709"/>
      <c r="HZ135" s="1709"/>
      <c r="IA135" s="1709"/>
      <c r="IB135" s="1709"/>
      <c r="IC135" s="1709"/>
      <c r="ID135" s="1709"/>
      <c r="IE135" s="1709"/>
      <c r="IF135" s="1709"/>
      <c r="IG135" s="1709"/>
      <c r="IH135" s="1709"/>
      <c r="II135" s="1709"/>
      <c r="IJ135" s="1709"/>
      <c r="IK135" s="1709"/>
      <c r="IL135" s="1709"/>
      <c r="IM135" s="1709"/>
      <c r="IN135" s="1709"/>
      <c r="IO135" s="1709"/>
      <c r="IP135" s="1709"/>
      <c r="IQ135" s="1709"/>
      <c r="IR135" s="1709"/>
      <c r="IS135" s="1709"/>
      <c r="IT135" s="1709"/>
      <c r="IU135" s="1709"/>
    </row>
    <row r="136" spans="1:255" s="604" customFormat="1" ht="13.5" customHeight="1">
      <c r="A136" s="595"/>
      <c r="B136" s="596"/>
      <c r="C136" s="597"/>
      <c r="D136" s="719" t="s">
        <v>5864</v>
      </c>
      <c r="E136" s="599"/>
      <c r="F136" s="600">
        <f>(14.9)*2</f>
        <v>29.8</v>
      </c>
      <c r="G136" s="289"/>
      <c r="H136" s="601"/>
      <c r="I136" s="602"/>
      <c r="J136" s="606"/>
      <c r="U136" s="605"/>
      <c r="W136" s="605"/>
    </row>
    <row r="137" spans="1:255" s="1248" customFormat="1" ht="13.5" customHeight="1">
      <c r="A137" s="1624" t="s">
        <v>1262</v>
      </c>
      <c r="B137" s="1615" t="s">
        <v>5808</v>
      </c>
      <c r="C137" s="1615" t="s">
        <v>5865</v>
      </c>
      <c r="D137" s="1615" t="s">
        <v>5866</v>
      </c>
      <c r="E137" s="1615" t="s">
        <v>141</v>
      </c>
      <c r="F137" s="573">
        <f>ROUND(SUM(F139:F139),3)</f>
        <v>2.75</v>
      </c>
      <c r="G137" s="288"/>
      <c r="H137" s="568">
        <f>ROUND(F137*G137,2)</f>
        <v>0</v>
      </c>
      <c r="I137" s="1014" t="s">
        <v>111</v>
      </c>
      <c r="J137" s="1697"/>
      <c r="K137" s="612"/>
      <c r="L137" s="1685"/>
      <c r="M137" s="1685"/>
      <c r="N137" s="1685"/>
      <c r="O137" s="1685"/>
      <c r="P137" s="1685"/>
      <c r="Q137" s="1685"/>
      <c r="R137" s="1685"/>
      <c r="S137" s="1685"/>
      <c r="T137" s="1685"/>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5867</v>
      </c>
      <c r="E138" s="599"/>
      <c r="F138" s="600"/>
      <c r="G138" s="410"/>
      <c r="H138" s="1629"/>
      <c r="I138" s="1630"/>
      <c r="J138" s="1698"/>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5868</v>
      </c>
      <c r="E139" s="599"/>
      <c r="F139" s="600">
        <f>(2.5)*1.1</f>
        <v>2.75</v>
      </c>
      <c r="G139" s="410"/>
      <c r="H139" s="1629"/>
      <c r="I139" s="1630"/>
      <c r="J139" s="1633"/>
      <c r="U139" s="1632"/>
      <c r="W139" s="1632"/>
    </row>
    <row r="140" spans="1:255" s="1631" customFormat="1" ht="13.5" customHeight="1">
      <c r="A140" s="1625"/>
      <c r="B140" s="1626"/>
      <c r="C140" s="1627"/>
      <c r="D140" s="1634" t="s">
        <v>5869</v>
      </c>
      <c r="E140" s="599"/>
      <c r="F140" s="600"/>
      <c r="G140" s="410"/>
      <c r="H140" s="1629"/>
      <c r="I140" s="1630"/>
      <c r="J140" s="1635"/>
      <c r="P140" s="1636"/>
      <c r="U140" s="1632"/>
      <c r="W140" s="1632"/>
    </row>
    <row r="141" spans="1:255" s="1631" customFormat="1" ht="13.5" customHeight="1">
      <c r="A141" s="1625"/>
      <c r="B141" s="1626"/>
      <c r="C141" s="1627"/>
      <c r="D141" s="1634" t="s">
        <v>5870</v>
      </c>
      <c r="E141" s="599"/>
      <c r="F141" s="600"/>
      <c r="G141" s="410"/>
      <c r="H141" s="1629"/>
      <c r="I141" s="1630"/>
      <c r="J141" s="1637"/>
      <c r="U141" s="1632"/>
      <c r="W141" s="1632"/>
    </row>
    <row r="142" spans="1:255" s="1248" customFormat="1" ht="13.5" customHeight="1">
      <c r="A142" s="1624" t="s">
        <v>1266</v>
      </c>
      <c r="B142" s="1615" t="s">
        <v>5808</v>
      </c>
      <c r="C142" s="1615" t="s">
        <v>5871</v>
      </c>
      <c r="D142" s="1615" t="s">
        <v>5872</v>
      </c>
      <c r="E142" s="1615" t="s">
        <v>141</v>
      </c>
      <c r="F142" s="573">
        <f>ROUND(SUM(F144),3)</f>
        <v>45.54</v>
      </c>
      <c r="G142" s="288"/>
      <c r="H142" s="568">
        <f>ROUND(F142*G142,2)</f>
        <v>0</v>
      </c>
      <c r="I142" s="1014" t="s">
        <v>111</v>
      </c>
      <c r="J142" s="1697"/>
      <c r="K142" s="612"/>
      <c r="L142" s="1685"/>
      <c r="M142" s="1685"/>
      <c r="N142" s="1685"/>
      <c r="O142" s="1685"/>
      <c r="P142" s="1685"/>
      <c r="Q142" s="1685"/>
      <c r="R142" s="1685"/>
      <c r="S142" s="1685"/>
      <c r="T142" s="1685"/>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5873</v>
      </c>
      <c r="E143" s="599"/>
      <c r="F143" s="600"/>
      <c r="G143" s="410"/>
      <c r="H143" s="1629"/>
      <c r="I143" s="1630"/>
      <c r="J143" s="1698"/>
      <c r="K143" s="1567"/>
      <c r="L143" s="604"/>
      <c r="M143" s="604"/>
      <c r="N143" s="604"/>
      <c r="O143" s="604"/>
      <c r="P143" s="604"/>
      <c r="Q143" s="604"/>
      <c r="R143" s="604"/>
      <c r="S143" s="604"/>
      <c r="T143" s="604"/>
      <c r="U143" s="1572"/>
    </row>
    <row r="144" spans="1:255" s="1631" customFormat="1" ht="13.5" customHeight="1">
      <c r="A144" s="1625"/>
      <c r="B144" s="1626"/>
      <c r="C144" s="1627"/>
      <c r="D144" s="1628" t="s">
        <v>5874</v>
      </c>
      <c r="E144" s="599"/>
      <c r="F144" s="600">
        <f>(14.9+26.5)*1.1</f>
        <v>45.54</v>
      </c>
      <c r="G144" s="410"/>
      <c r="H144" s="1629"/>
      <c r="I144" s="1630"/>
      <c r="J144" s="1633"/>
      <c r="K144" s="1567"/>
      <c r="U144" s="1572"/>
      <c r="W144" s="1638"/>
    </row>
    <row r="145" spans="1:256" s="1631" customFormat="1" ht="13.5" customHeight="1">
      <c r="A145" s="1625"/>
      <c r="B145" s="1626"/>
      <c r="C145" s="1627"/>
      <c r="D145" s="1634" t="s">
        <v>5869</v>
      </c>
      <c r="E145" s="599"/>
      <c r="F145" s="600"/>
      <c r="G145" s="410"/>
      <c r="H145" s="1629"/>
      <c r="I145" s="1630"/>
      <c r="J145" s="1639"/>
      <c r="U145" s="1632"/>
      <c r="W145" s="1632"/>
    </row>
    <row r="146" spans="1:256" s="1631" customFormat="1" ht="13.5" customHeight="1">
      <c r="A146" s="1625"/>
      <c r="B146" s="1626"/>
      <c r="C146" s="1627"/>
      <c r="D146" s="1634" t="s">
        <v>5870</v>
      </c>
      <c r="E146" s="599"/>
      <c r="F146" s="600"/>
      <c r="G146" s="410"/>
      <c r="H146" s="1629"/>
      <c r="I146" s="1630"/>
      <c r="J146" s="1637"/>
      <c r="N146" s="1635"/>
      <c r="U146" s="1632"/>
      <c r="W146" s="1632"/>
    </row>
    <row r="147" spans="1:256" s="1685" customFormat="1" ht="27" customHeight="1">
      <c r="A147" s="1707">
        <v>39</v>
      </c>
      <c r="B147" s="1711">
        <v>946</v>
      </c>
      <c r="C147" s="1703" t="s">
        <v>5875</v>
      </c>
      <c r="D147" s="1703" t="s">
        <v>5876</v>
      </c>
      <c r="E147" s="1703" t="s">
        <v>146</v>
      </c>
      <c r="F147" s="1712">
        <f>ROUND(SUM(F149,F151),3)</f>
        <v>14.573</v>
      </c>
      <c r="G147" s="1641">
        <f>ROUND(SUM(H153:H156)/F147,2)</f>
        <v>0</v>
      </c>
      <c r="H147" s="568">
        <f>ROUND(F147*G147,2)</f>
        <v>0</v>
      </c>
      <c r="I147" s="1704" t="s">
        <v>111</v>
      </c>
    </row>
    <row r="148" spans="1:256" s="1685" customFormat="1" ht="13.5" customHeight="1">
      <c r="A148" s="1713"/>
      <c r="B148" s="1711"/>
      <c r="C148" s="1703"/>
      <c r="D148" s="1695" t="s">
        <v>4784</v>
      </c>
      <c r="E148" s="1703"/>
      <c r="F148" s="1714"/>
      <c r="G148" s="411"/>
      <c r="H148" s="1715"/>
      <c r="I148" s="1704"/>
      <c r="J148" s="1716"/>
      <c r="K148" s="1717"/>
      <c r="L148" s="1717"/>
      <c r="M148" s="1716"/>
      <c r="N148" s="1644"/>
    </row>
    <row r="149" spans="1:256" s="593" customFormat="1" ht="13.5" customHeight="1">
      <c r="A149" s="789"/>
      <c r="B149" s="790"/>
      <c r="C149" s="1703"/>
      <c r="D149" s="756" t="s">
        <v>182</v>
      </c>
      <c r="E149" s="1260"/>
      <c r="F149" s="758">
        <f>SUM(F150)</f>
        <v>13.115250000000001</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685" customFormat="1" ht="27" customHeight="1">
      <c r="A150" s="1718"/>
      <c r="B150" s="1719"/>
      <c r="C150" s="1720"/>
      <c r="D150" s="1695" t="s">
        <v>5877</v>
      </c>
      <c r="E150" s="1695"/>
      <c r="F150" s="1696">
        <f>(14.9*0.8*0.5)*(0.85+0.05)+(26.5*0.65*0.5)*(0.85+0.05)</f>
        <v>13.115250000000001</v>
      </c>
      <c r="G150" s="411"/>
      <c r="H150" s="1715"/>
      <c r="I150" s="1721"/>
      <c r="J150" s="1722"/>
    </row>
    <row r="151" spans="1:256" s="593" customFormat="1" ht="13.5" customHeight="1">
      <c r="A151" s="789"/>
      <c r="B151" s="790"/>
      <c r="C151" s="1703"/>
      <c r="D151" s="756" t="s">
        <v>185</v>
      </c>
      <c r="E151" s="1260"/>
      <c r="F151" s="758">
        <f>SUM(F152)</f>
        <v>1.4572500000000002</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685" customFormat="1" ht="27" customHeight="1">
      <c r="A152" s="1718"/>
      <c r="B152" s="1719"/>
      <c r="C152" s="1720"/>
      <c r="D152" s="1695" t="s">
        <v>5878</v>
      </c>
      <c r="E152" s="1695"/>
      <c r="F152" s="1696">
        <f>(14.9*0.8*0.5)*(0.1)+(26.5*0.65*0.5)*(0.1)</f>
        <v>1.4572500000000002</v>
      </c>
      <c r="G152" s="411"/>
      <c r="H152" s="1715"/>
      <c r="I152" s="1721"/>
      <c r="J152" s="1722"/>
    </row>
    <row r="153" spans="1:256" s="1685" customFormat="1" ht="13.5" customHeight="1">
      <c r="A153" s="1723" t="s">
        <v>5879</v>
      </c>
      <c r="B153" s="1703"/>
      <c r="C153" s="777">
        <v>460371121</v>
      </c>
      <c r="D153" s="1695" t="s">
        <v>5880</v>
      </c>
      <c r="E153" s="1724" t="s">
        <v>146</v>
      </c>
      <c r="F153" s="1696">
        <f>F149</f>
        <v>13.115250000000001</v>
      </c>
      <c r="G153" s="412"/>
      <c r="H153" s="803">
        <f t="shared" ref="H153:H156" si="0">ROUND(F153*G153,2)</f>
        <v>0</v>
      </c>
      <c r="I153" s="781" t="s">
        <v>137</v>
      </c>
      <c r="J153" s="647"/>
      <c r="K153" s="647"/>
      <c r="L153" s="612"/>
      <c r="M153" s="612"/>
      <c r="N153" s="612"/>
      <c r="O153" s="612"/>
      <c r="P153" s="612"/>
      <c r="Q153" s="612"/>
      <c r="R153" s="612"/>
      <c r="S153" s="788"/>
      <c r="V153" s="1646"/>
    </row>
    <row r="154" spans="1:256" s="1685" customFormat="1" ht="13.5" customHeight="1">
      <c r="A154" s="1723" t="s">
        <v>5881</v>
      </c>
      <c r="B154" s="1703"/>
      <c r="C154" s="777">
        <v>460371123</v>
      </c>
      <c r="D154" s="1695" t="s">
        <v>5882</v>
      </c>
      <c r="E154" s="1724" t="s">
        <v>146</v>
      </c>
      <c r="F154" s="1696">
        <f>F151</f>
        <v>1.4572500000000002</v>
      </c>
      <c r="G154" s="412"/>
      <c r="H154" s="803">
        <f t="shared" si="0"/>
        <v>0</v>
      </c>
      <c r="I154" s="781" t="s">
        <v>137</v>
      </c>
      <c r="J154" s="647"/>
      <c r="K154" s="647"/>
      <c r="L154" s="612"/>
      <c r="M154" s="612"/>
      <c r="N154" s="612"/>
      <c r="O154" s="612"/>
      <c r="P154" s="612"/>
      <c r="Q154" s="612"/>
      <c r="R154" s="612"/>
      <c r="S154" s="788"/>
      <c r="V154" s="1646"/>
    </row>
    <row r="155" spans="1:256" s="1685" customFormat="1" ht="27" customHeight="1">
      <c r="A155" s="1723" t="s">
        <v>5883</v>
      </c>
      <c r="B155" s="1703"/>
      <c r="C155" s="777">
        <v>460341112</v>
      </c>
      <c r="D155" s="1695" t="s">
        <v>5884</v>
      </c>
      <c r="E155" s="1724" t="s">
        <v>146</v>
      </c>
      <c r="F155" s="1696">
        <f>F147</f>
        <v>14.573</v>
      </c>
      <c r="G155" s="412"/>
      <c r="H155" s="803">
        <f t="shared" si="0"/>
        <v>0</v>
      </c>
      <c r="I155" s="781" t="s">
        <v>137</v>
      </c>
      <c r="J155" s="647"/>
      <c r="K155" s="647"/>
      <c r="L155" s="612"/>
      <c r="M155" s="612"/>
      <c r="N155" s="612"/>
      <c r="O155" s="612"/>
      <c r="P155" s="612"/>
      <c r="Q155" s="612"/>
      <c r="R155" s="612"/>
      <c r="S155" s="788"/>
      <c r="V155" s="1646"/>
    </row>
    <row r="156" spans="1:256" s="1685" customFormat="1" ht="13.5" customHeight="1">
      <c r="A156" s="1723" t="s">
        <v>5885</v>
      </c>
      <c r="B156" s="1703"/>
      <c r="C156" s="777">
        <v>171251201</v>
      </c>
      <c r="D156" s="1695" t="s">
        <v>4795</v>
      </c>
      <c r="E156" s="1724" t="s">
        <v>146</v>
      </c>
      <c r="F156" s="1696">
        <f>F147</f>
        <v>14.573</v>
      </c>
      <c r="G156" s="412"/>
      <c r="H156" s="803">
        <f t="shared" si="0"/>
        <v>0</v>
      </c>
      <c r="I156" s="781" t="s">
        <v>137</v>
      </c>
      <c r="J156" s="647"/>
      <c r="K156" s="647"/>
      <c r="L156" s="612"/>
      <c r="M156" s="612"/>
      <c r="N156" s="612"/>
      <c r="O156" s="612"/>
      <c r="P156" s="612"/>
      <c r="Q156" s="612"/>
      <c r="R156" s="612"/>
      <c r="S156" s="788"/>
      <c r="V156" s="1646"/>
    </row>
    <row r="157" spans="1:256" s="1685" customFormat="1" ht="13.5" customHeight="1">
      <c r="A157" s="1723"/>
      <c r="B157" s="1703"/>
      <c r="C157" s="777"/>
      <c r="D157" s="1695" t="s">
        <v>4796</v>
      </c>
      <c r="E157" s="1724"/>
      <c r="F157" s="1696"/>
      <c r="G157" s="413"/>
      <c r="H157" s="1725"/>
      <c r="I157" s="781"/>
      <c r="J157" s="647"/>
      <c r="K157" s="647"/>
      <c r="L157" s="612"/>
      <c r="M157" s="612"/>
      <c r="N157" s="612"/>
      <c r="O157" s="612"/>
      <c r="P157" s="612"/>
      <c r="Q157" s="612"/>
      <c r="R157" s="612"/>
      <c r="S157" s="788"/>
      <c r="V157" s="1646"/>
    </row>
    <row r="158" spans="1:256" s="1685" customFormat="1" ht="27" customHeight="1">
      <c r="A158" s="1713">
        <v>40</v>
      </c>
      <c r="B158" s="1711">
        <v>946</v>
      </c>
      <c r="C158" s="1703" t="s">
        <v>5886</v>
      </c>
      <c r="D158" s="1703" t="s">
        <v>5887</v>
      </c>
      <c r="E158" s="1703" t="s">
        <v>146</v>
      </c>
      <c r="F158" s="1712">
        <f>ROUND(SUM(F160,F162),3)</f>
        <v>14.573</v>
      </c>
      <c r="G158" s="1641">
        <f>ROUND(SUM(H164:H166)/F158,2)</f>
        <v>0</v>
      </c>
      <c r="H158" s="568">
        <f>ROUND(F158*G158,2)</f>
        <v>0</v>
      </c>
      <c r="I158" s="1704" t="s">
        <v>111</v>
      </c>
    </row>
    <row r="159" spans="1:256" s="1685" customFormat="1" ht="13.5" customHeight="1">
      <c r="A159" s="1723"/>
      <c r="B159" s="1703"/>
      <c r="C159" s="777"/>
      <c r="D159" s="1695" t="s">
        <v>4799</v>
      </c>
      <c r="E159" s="1724"/>
      <c r="F159" s="1696"/>
      <c r="G159" s="413"/>
      <c r="H159" s="1725"/>
      <c r="I159" s="781"/>
      <c r="J159" s="647"/>
      <c r="K159" s="647"/>
      <c r="L159" s="612"/>
      <c r="M159" s="612"/>
      <c r="N159" s="612"/>
      <c r="O159" s="612"/>
      <c r="P159" s="612"/>
      <c r="Q159" s="612"/>
      <c r="R159" s="612"/>
      <c r="S159" s="788"/>
      <c r="V159" s="1646"/>
    </row>
    <row r="160" spans="1:256" s="593" customFormat="1" ht="13.5" customHeight="1">
      <c r="A160" s="789"/>
      <c r="B160" s="790"/>
      <c r="C160" s="1703"/>
      <c r="D160" s="756" t="s">
        <v>4800</v>
      </c>
      <c r="E160" s="1260"/>
      <c r="F160" s="758">
        <f>SUM(F161)</f>
        <v>13.115250000000001</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685" customFormat="1" ht="27" customHeight="1">
      <c r="A161" s="1718"/>
      <c r="B161" s="1719"/>
      <c r="C161" s="1720"/>
      <c r="D161" s="1695" t="s">
        <v>5888</v>
      </c>
      <c r="E161" s="1695"/>
      <c r="F161" s="1696">
        <f>(14.9*0.8*0.5)*(0.85+0.05)+(26.5*0.65*0.5)*(0.85+0.05)</f>
        <v>13.115250000000001</v>
      </c>
      <c r="G161" s="411"/>
      <c r="H161" s="1715"/>
      <c r="I161" s="1721"/>
      <c r="J161" s="1722"/>
    </row>
    <row r="162" spans="1:256" s="593" customFormat="1" ht="13.5" customHeight="1">
      <c r="A162" s="789"/>
      <c r="B162" s="790"/>
      <c r="C162" s="1703"/>
      <c r="D162" s="756" t="s">
        <v>4802</v>
      </c>
      <c r="E162" s="1260"/>
      <c r="F162" s="758">
        <f>SUM(F163)</f>
        <v>1.4572500000000002</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685" customFormat="1" ht="27" customHeight="1">
      <c r="A163" s="1718"/>
      <c r="B163" s="1719"/>
      <c r="C163" s="1720"/>
      <c r="D163" s="1695" t="s">
        <v>5889</v>
      </c>
      <c r="E163" s="1695"/>
      <c r="F163" s="1696">
        <f>(14.9*0.8*0.5)*(0.1)+(26.5*0.65*0.5)*(0.1)</f>
        <v>1.4572500000000002</v>
      </c>
      <c r="G163" s="411"/>
      <c r="H163" s="1715"/>
      <c r="I163" s="1721"/>
      <c r="J163" s="1722"/>
    </row>
    <row r="164" spans="1:256" s="1685" customFormat="1" ht="13.5" customHeight="1">
      <c r="A164" s="1723" t="s">
        <v>5890</v>
      </c>
      <c r="B164" s="1703"/>
      <c r="C164" s="777">
        <v>460371121</v>
      </c>
      <c r="D164" s="1695" t="s">
        <v>5880</v>
      </c>
      <c r="E164" s="1724" t="s">
        <v>146</v>
      </c>
      <c r="F164" s="1696">
        <f>F161</f>
        <v>13.115250000000001</v>
      </c>
      <c r="G164" s="412"/>
      <c r="H164" s="803">
        <f t="shared" ref="H164:H166" si="1">ROUND(F164*G164,2)</f>
        <v>0</v>
      </c>
      <c r="I164" s="781" t="s">
        <v>137</v>
      </c>
      <c r="J164" s="647"/>
      <c r="K164" s="647"/>
      <c r="L164" s="612"/>
      <c r="M164" s="612"/>
      <c r="N164" s="612"/>
      <c r="O164" s="612"/>
      <c r="P164" s="612"/>
      <c r="Q164" s="612"/>
      <c r="R164" s="612"/>
      <c r="S164" s="788"/>
      <c r="V164" s="1646"/>
    </row>
    <row r="165" spans="1:256" s="1685" customFormat="1" ht="13.5" customHeight="1">
      <c r="A165" s="1723" t="s">
        <v>5891</v>
      </c>
      <c r="B165" s="1703"/>
      <c r="C165" s="777">
        <v>460371123</v>
      </c>
      <c r="D165" s="1695" t="s">
        <v>5882</v>
      </c>
      <c r="E165" s="1724" t="s">
        <v>146</v>
      </c>
      <c r="F165" s="1696">
        <f>F163</f>
        <v>1.4572500000000002</v>
      </c>
      <c r="G165" s="412"/>
      <c r="H165" s="803">
        <f t="shared" si="1"/>
        <v>0</v>
      </c>
      <c r="I165" s="781" t="s">
        <v>137</v>
      </c>
      <c r="J165" s="647"/>
      <c r="K165" s="647"/>
      <c r="L165" s="612"/>
      <c r="M165" s="612"/>
      <c r="N165" s="612"/>
      <c r="O165" s="612"/>
      <c r="P165" s="612"/>
      <c r="Q165" s="612"/>
      <c r="R165" s="612"/>
      <c r="S165" s="788"/>
      <c r="V165" s="1646"/>
    </row>
    <row r="166" spans="1:256" s="1685" customFormat="1" ht="27" customHeight="1">
      <c r="A166" s="1723" t="s">
        <v>5892</v>
      </c>
      <c r="B166" s="1703"/>
      <c r="C166" s="777">
        <v>460341112</v>
      </c>
      <c r="D166" s="1695" t="s">
        <v>5884</v>
      </c>
      <c r="E166" s="1724" t="s">
        <v>146</v>
      </c>
      <c r="F166" s="1696">
        <f>F158</f>
        <v>14.573</v>
      </c>
      <c r="G166" s="412"/>
      <c r="H166" s="803">
        <f t="shared" si="1"/>
        <v>0</v>
      </c>
      <c r="I166" s="781" t="s">
        <v>137</v>
      </c>
      <c r="J166" s="647"/>
      <c r="K166" s="647"/>
      <c r="L166" s="612"/>
      <c r="M166" s="612"/>
      <c r="N166" s="612"/>
      <c r="O166" s="612"/>
      <c r="P166" s="612"/>
      <c r="Q166" s="612"/>
      <c r="R166" s="612"/>
      <c r="S166" s="788"/>
      <c r="V166" s="1646"/>
    </row>
    <row r="167" spans="1:256" s="1685" customFormat="1" ht="27" customHeight="1">
      <c r="A167" s="1723"/>
      <c r="B167" s="1703"/>
      <c r="C167" s="777"/>
      <c r="D167" s="1695" t="s">
        <v>5893</v>
      </c>
      <c r="E167" s="1724"/>
      <c r="F167" s="1696"/>
      <c r="G167" s="413"/>
      <c r="H167" s="1725"/>
      <c r="I167" s="781"/>
      <c r="J167" s="647"/>
      <c r="K167" s="647"/>
      <c r="L167" s="612"/>
      <c r="M167" s="612"/>
      <c r="N167" s="612"/>
      <c r="O167" s="612"/>
      <c r="P167" s="612"/>
      <c r="Q167" s="612"/>
      <c r="R167" s="612"/>
      <c r="S167" s="788"/>
      <c r="V167" s="1646"/>
    </row>
    <row r="168" spans="1:256" s="593" customFormat="1" ht="27" customHeight="1">
      <c r="A168" s="789">
        <v>41</v>
      </c>
      <c r="B168" s="790" t="s">
        <v>5808</v>
      </c>
      <c r="C168" s="1703" t="s">
        <v>5894</v>
      </c>
      <c r="D168" s="776" t="s">
        <v>6326</v>
      </c>
      <c r="E168" s="776" t="s">
        <v>146</v>
      </c>
      <c r="F168" s="1712">
        <f>ROUND(SUM(F170,F172),3)</f>
        <v>11.657999999999999</v>
      </c>
      <c r="G168" s="1641">
        <f>ROUND(SUM(H174:H178)/F168,2)</f>
        <v>0</v>
      </c>
      <c r="H168" s="568">
        <f>ROUND(F168*G168,2)</f>
        <v>0</v>
      </c>
      <c r="I168" s="1704" t="s">
        <v>111</v>
      </c>
      <c r="J168" s="1726"/>
      <c r="K168" s="1685"/>
      <c r="L168" s="1685"/>
      <c r="M168" s="1685"/>
      <c r="N168" s="1685"/>
      <c r="O168" s="1685"/>
      <c r="P168" s="1685"/>
      <c r="Q168" s="1685"/>
      <c r="R168" s="1685"/>
      <c r="S168" s="1685"/>
      <c r="T168" s="1685"/>
      <c r="U168" s="1685"/>
      <c r="V168" s="1685"/>
      <c r="W168" s="1685"/>
      <c r="X168" s="1685"/>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5895</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703"/>
      <c r="D170" s="756" t="s">
        <v>182</v>
      </c>
      <c r="E170" s="757"/>
      <c r="F170" s="758">
        <f>SUM(F171)</f>
        <v>10.4922</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5896</v>
      </c>
      <c r="E171" s="585"/>
      <c r="F171" s="762">
        <f>(14.9*0.8*(0.9-0.5))*(0.85+0.05)+(26.5*0.65*(0.9-0.5))*(0.85+0.05)</f>
        <v>10.4922</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703"/>
      <c r="D172" s="756" t="s">
        <v>185</v>
      </c>
      <c r="E172" s="757"/>
      <c r="F172" s="758">
        <f>SUM(F173)</f>
        <v>1.1658000000000002</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27" customHeight="1">
      <c r="A173" s="761"/>
      <c r="B173" s="582"/>
      <c r="C173" s="583"/>
      <c r="D173" s="585" t="s">
        <v>5897</v>
      </c>
      <c r="E173" s="585"/>
      <c r="F173" s="762">
        <f>(14.9*0.8*(0.9-0.5))*(0.1)+(26.5*0.65*(0.9-0.5))*(0.1)</f>
        <v>1.1658000000000002</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685" customFormat="1" ht="13.5" customHeight="1">
      <c r="A174" s="1723" t="s">
        <v>4076</v>
      </c>
      <c r="B174" s="1703"/>
      <c r="C174" s="777">
        <v>460371121</v>
      </c>
      <c r="D174" s="1695" t="s">
        <v>5880</v>
      </c>
      <c r="E174" s="1724" t="s">
        <v>146</v>
      </c>
      <c r="F174" s="1696">
        <f>F170</f>
        <v>10.4922</v>
      </c>
      <c r="G174" s="412"/>
      <c r="H174" s="803">
        <f t="shared" ref="H174:H178" si="2">ROUND(F174*G174,2)</f>
        <v>0</v>
      </c>
      <c r="I174" s="781" t="s">
        <v>137</v>
      </c>
      <c r="J174" s="647"/>
      <c r="K174" s="647"/>
      <c r="L174" s="612"/>
      <c r="M174" s="612"/>
      <c r="N174" s="612"/>
      <c r="O174" s="612"/>
      <c r="P174" s="612"/>
      <c r="Q174" s="612"/>
      <c r="R174" s="612"/>
      <c r="S174" s="788"/>
      <c r="V174" s="1646"/>
    </row>
    <row r="175" spans="1:256" s="1685" customFormat="1" ht="13.5" customHeight="1">
      <c r="A175" s="1723" t="s">
        <v>4080</v>
      </c>
      <c r="B175" s="1703"/>
      <c r="C175" s="777">
        <v>460371123</v>
      </c>
      <c r="D175" s="1695" t="s">
        <v>5882</v>
      </c>
      <c r="E175" s="1724" t="s">
        <v>146</v>
      </c>
      <c r="F175" s="1696">
        <f>F172</f>
        <v>1.1658000000000002</v>
      </c>
      <c r="G175" s="412"/>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5898</v>
      </c>
      <c r="B176" s="776"/>
      <c r="C176" s="777" t="s">
        <v>6327</v>
      </c>
      <c r="D176" s="585" t="s">
        <v>6333</v>
      </c>
      <c r="E176" s="778" t="s">
        <v>146</v>
      </c>
      <c r="F176" s="779">
        <f>F168</f>
        <v>11.657999999999999</v>
      </c>
      <c r="G176" s="880"/>
      <c r="H176" s="803">
        <f t="shared" si="2"/>
        <v>0</v>
      </c>
      <c r="I176" s="781" t="s">
        <v>112</v>
      </c>
      <c r="J176" s="78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5899</v>
      </c>
      <c r="B177" s="776"/>
      <c r="C177" s="777">
        <v>171251101</v>
      </c>
      <c r="D177" s="585" t="s">
        <v>192</v>
      </c>
      <c r="E177" s="778" t="s">
        <v>146</v>
      </c>
      <c r="F177" s="779">
        <f>F168</f>
        <v>11.657999999999999</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5900</v>
      </c>
      <c r="B178" s="1655"/>
      <c r="C178" s="777" t="s">
        <v>6328</v>
      </c>
      <c r="D178" s="810" t="s">
        <v>6329</v>
      </c>
      <c r="E178" s="1656" t="s">
        <v>175</v>
      </c>
      <c r="F178" s="802">
        <f>F168*2</f>
        <v>23.315999999999999</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2404</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685" customFormat="1" ht="13.5" customHeight="1">
      <c r="A181" s="1707">
        <v>42</v>
      </c>
      <c r="B181" s="1708">
        <v>946</v>
      </c>
      <c r="C181" s="1708">
        <v>469981111</v>
      </c>
      <c r="D181" s="1708" t="s">
        <v>5901</v>
      </c>
      <c r="E181" s="1708" t="s">
        <v>175</v>
      </c>
      <c r="F181" s="573">
        <f>ROUND(SUM(F182:F184),3)</f>
        <v>23.497</v>
      </c>
      <c r="G181" s="288"/>
      <c r="H181" s="568">
        <f>ROUND(F181*G181,2)</f>
        <v>0</v>
      </c>
      <c r="I181" s="613" t="s">
        <v>137</v>
      </c>
      <c r="J181" s="1705"/>
      <c r="BJ181" s="1709"/>
      <c r="BK181" s="1709"/>
      <c r="BL181" s="1709"/>
      <c r="BM181" s="1709"/>
      <c r="BN181" s="1709"/>
      <c r="BO181" s="1709"/>
      <c r="BP181" s="1709"/>
      <c r="BQ181" s="1709"/>
      <c r="BR181" s="1709"/>
      <c r="BS181" s="1709"/>
      <c r="BT181" s="1709"/>
      <c r="BU181" s="1709"/>
      <c r="BV181" s="1709"/>
      <c r="BW181" s="1709"/>
      <c r="BX181" s="1709"/>
      <c r="BY181" s="1709"/>
      <c r="BZ181" s="1709"/>
      <c r="CA181" s="1709"/>
      <c r="CB181" s="1709"/>
      <c r="CC181" s="1709"/>
      <c r="CD181" s="1709"/>
      <c r="CE181" s="1709"/>
      <c r="CF181" s="1709"/>
      <c r="CG181" s="1709"/>
      <c r="CH181" s="1709"/>
      <c r="CI181" s="1709"/>
      <c r="CJ181" s="1709"/>
      <c r="CK181" s="1709"/>
      <c r="CL181" s="1709"/>
      <c r="CM181" s="1709"/>
      <c r="CN181" s="1709"/>
      <c r="CO181" s="1709"/>
      <c r="CP181" s="1709"/>
      <c r="CQ181" s="1709"/>
      <c r="CR181" s="1709"/>
      <c r="CS181" s="1709"/>
      <c r="CT181" s="1709"/>
      <c r="CU181" s="1709"/>
      <c r="CV181" s="1709"/>
      <c r="CW181" s="1709"/>
      <c r="CX181" s="1709"/>
      <c r="CY181" s="1709"/>
      <c r="CZ181" s="1709"/>
      <c r="DA181" s="1709"/>
      <c r="DB181" s="1709"/>
      <c r="DC181" s="1709"/>
      <c r="DD181" s="1709"/>
      <c r="DE181" s="1709"/>
      <c r="DF181" s="1709"/>
      <c r="DG181" s="1709"/>
      <c r="DH181" s="1709"/>
      <c r="DI181" s="1709"/>
      <c r="DJ181" s="1709"/>
      <c r="DK181" s="1709"/>
      <c r="DL181" s="1709"/>
      <c r="DM181" s="1709"/>
      <c r="DN181" s="1709"/>
      <c r="DO181" s="1709"/>
      <c r="DP181" s="1709"/>
      <c r="DQ181" s="1709"/>
      <c r="DR181" s="1709"/>
      <c r="DS181" s="1709"/>
      <c r="DT181" s="1709"/>
      <c r="DU181" s="1709"/>
      <c r="DV181" s="1709"/>
      <c r="DW181" s="1709"/>
      <c r="DX181" s="1709"/>
      <c r="DY181" s="1709"/>
      <c r="DZ181" s="1709"/>
      <c r="EA181" s="1709"/>
      <c r="EB181" s="1709"/>
      <c r="EC181" s="1709"/>
      <c r="ED181" s="1709"/>
      <c r="EE181" s="1709"/>
      <c r="EF181" s="1709"/>
      <c r="EG181" s="1709"/>
      <c r="EH181" s="1709"/>
      <c r="EI181" s="1709"/>
      <c r="EJ181" s="1709"/>
      <c r="EK181" s="1709"/>
      <c r="EL181" s="1709"/>
      <c r="EM181" s="1709"/>
      <c r="EN181" s="1709"/>
      <c r="EO181" s="1709"/>
      <c r="EP181" s="1709"/>
      <c r="EQ181" s="1709"/>
      <c r="ER181" s="1709"/>
      <c r="ES181" s="1709"/>
      <c r="ET181" s="1709"/>
      <c r="EU181" s="1709"/>
      <c r="EV181" s="1709"/>
      <c r="EW181" s="1709"/>
      <c r="EX181" s="1709"/>
      <c r="EY181" s="1709"/>
      <c r="EZ181" s="1709"/>
      <c r="FA181" s="1709"/>
      <c r="FB181" s="1709"/>
      <c r="FC181" s="1709"/>
      <c r="FD181" s="1709"/>
      <c r="FE181" s="1709"/>
      <c r="FF181" s="1709"/>
      <c r="FG181" s="1709"/>
      <c r="FH181" s="1709"/>
      <c r="FI181" s="1709"/>
      <c r="FJ181" s="1709"/>
      <c r="FK181" s="1709"/>
      <c r="FL181" s="1709"/>
      <c r="FM181" s="1709"/>
      <c r="FN181" s="1709"/>
      <c r="FO181" s="1709"/>
      <c r="FP181" s="1709"/>
      <c r="FQ181" s="1709"/>
      <c r="FR181" s="1709"/>
      <c r="FS181" s="1709"/>
      <c r="FT181" s="1709"/>
      <c r="FU181" s="1709"/>
      <c r="FV181" s="1709"/>
      <c r="FW181" s="1709"/>
      <c r="FX181" s="1709"/>
      <c r="FY181" s="1709"/>
      <c r="FZ181" s="1709"/>
      <c r="GA181" s="1709"/>
      <c r="GB181" s="1709"/>
      <c r="GC181" s="1709"/>
      <c r="GD181" s="1709"/>
      <c r="GE181" s="1709"/>
      <c r="GF181" s="1709"/>
      <c r="GG181" s="1709"/>
      <c r="GH181" s="1709"/>
      <c r="GI181" s="1709"/>
      <c r="GJ181" s="1709"/>
      <c r="GK181" s="1709"/>
      <c r="GL181" s="1709"/>
      <c r="GM181" s="1709"/>
      <c r="GN181" s="1709"/>
      <c r="GO181" s="1709"/>
      <c r="GP181" s="1709"/>
      <c r="GQ181" s="1709"/>
      <c r="GR181" s="1709"/>
      <c r="GS181" s="1709"/>
      <c r="GT181" s="1709"/>
      <c r="GU181" s="1709"/>
      <c r="GV181" s="1709"/>
      <c r="GW181" s="1709"/>
      <c r="GX181" s="1709"/>
      <c r="GY181" s="1709"/>
      <c r="GZ181" s="1709"/>
      <c r="HA181" s="1709"/>
      <c r="HB181" s="1709"/>
      <c r="HC181" s="1709"/>
      <c r="HD181" s="1709"/>
      <c r="HE181" s="1709"/>
      <c r="HF181" s="1709"/>
      <c r="HG181" s="1709"/>
      <c r="HH181" s="1709"/>
      <c r="HI181" s="1709"/>
      <c r="HJ181" s="1709"/>
      <c r="HK181" s="1709"/>
      <c r="HL181" s="1709"/>
      <c r="HM181" s="1709"/>
      <c r="HN181" s="1709"/>
      <c r="HO181" s="1709"/>
      <c r="HP181" s="1709"/>
      <c r="HQ181" s="1709"/>
      <c r="HR181" s="1709"/>
      <c r="HS181" s="1709"/>
      <c r="HT181" s="1709"/>
      <c r="HU181" s="1709"/>
      <c r="HV181" s="1709"/>
      <c r="HW181" s="1709"/>
      <c r="HX181" s="1709"/>
      <c r="HY181" s="1709"/>
      <c r="HZ181" s="1709"/>
      <c r="IA181" s="1709"/>
      <c r="IB181" s="1709"/>
      <c r="IC181" s="1709"/>
      <c r="ID181" s="1709"/>
      <c r="IE181" s="1709"/>
      <c r="IF181" s="1709"/>
      <c r="IG181" s="1709"/>
      <c r="IH181" s="1709"/>
      <c r="II181" s="1709"/>
      <c r="IJ181" s="1709"/>
      <c r="IK181" s="1709"/>
      <c r="IL181" s="1709"/>
      <c r="IM181" s="1709"/>
      <c r="IN181" s="1709"/>
      <c r="IO181" s="1709"/>
      <c r="IP181" s="1709"/>
      <c r="IQ181" s="1709"/>
      <c r="IR181" s="1709"/>
      <c r="IS181" s="1709"/>
      <c r="IT181" s="1709"/>
      <c r="IU181" s="1709"/>
    </row>
    <row r="182" spans="1:256" s="604" customFormat="1" ht="13.5" customHeight="1">
      <c r="A182" s="595"/>
      <c r="B182" s="596"/>
      <c r="C182" s="597"/>
      <c r="D182" s="719" t="s">
        <v>5902</v>
      </c>
      <c r="E182" s="599"/>
      <c r="F182" s="600">
        <f>0.047</f>
        <v>4.7E-2</v>
      </c>
      <c r="G182" s="289"/>
      <c r="H182" s="601"/>
      <c r="I182" s="602"/>
      <c r="J182" s="606"/>
      <c r="U182" s="605"/>
      <c r="W182" s="605"/>
    </row>
    <row r="183" spans="1:256" s="604" customFormat="1" ht="13.5" customHeight="1">
      <c r="A183" s="595"/>
      <c r="B183" s="596"/>
      <c r="C183" s="597"/>
      <c r="D183" s="719" t="s">
        <v>5903</v>
      </c>
      <c r="E183" s="599"/>
      <c r="F183" s="600">
        <f>0.001</f>
        <v>1E-3</v>
      </c>
      <c r="G183" s="289"/>
      <c r="H183" s="601"/>
      <c r="I183" s="602"/>
      <c r="J183" s="606"/>
      <c r="U183" s="605"/>
      <c r="W183" s="605"/>
    </row>
    <row r="184" spans="1:256" s="604" customFormat="1" ht="13.5" customHeight="1">
      <c r="A184" s="595"/>
      <c r="B184" s="596"/>
      <c r="C184" s="597"/>
      <c r="D184" s="719" t="s">
        <v>5904</v>
      </c>
      <c r="E184" s="599"/>
      <c r="F184" s="600">
        <f>23.449</f>
        <v>23.449000000000002</v>
      </c>
      <c r="G184" s="289"/>
      <c r="H184" s="601"/>
      <c r="I184" s="602"/>
      <c r="J184" s="606"/>
      <c r="U184" s="605"/>
      <c r="W184" s="605"/>
    </row>
    <row r="185" spans="1:256" s="612" customFormat="1" ht="13.5" customHeight="1">
      <c r="A185" s="608">
        <v>43</v>
      </c>
      <c r="B185" s="557" t="s">
        <v>362</v>
      </c>
      <c r="C185" s="557" t="s">
        <v>1802</v>
      </c>
      <c r="D185" s="557" t="s">
        <v>1803</v>
      </c>
      <c r="E185" s="557" t="s">
        <v>69</v>
      </c>
      <c r="F185" s="573">
        <f>ROUND(SUM(F186),3)</f>
        <v>5</v>
      </c>
      <c r="G185" s="288"/>
      <c r="H185" s="568">
        <f>ROUND(F185*G185,2)</f>
        <v>0</v>
      </c>
      <c r="I185" s="613" t="s">
        <v>137</v>
      </c>
      <c r="J185" s="408"/>
    </row>
    <row r="186" spans="1:256" s="604" customFormat="1" ht="27" customHeight="1">
      <c r="A186" s="595"/>
      <c r="B186" s="596"/>
      <c r="C186" s="597"/>
      <c r="D186" s="719" t="s">
        <v>5778</v>
      </c>
      <c r="E186" s="599"/>
      <c r="F186" s="600">
        <v>5</v>
      </c>
      <c r="G186" s="289"/>
      <c r="H186" s="601"/>
      <c r="I186" s="602"/>
      <c r="J186" s="606"/>
      <c r="U186" s="605"/>
      <c r="W186" s="605"/>
    </row>
    <row r="187" spans="1:256" ht="21" customHeight="1">
      <c r="A187" s="1727"/>
      <c r="B187" s="1728"/>
      <c r="C187" s="1728"/>
      <c r="D187" s="1728" t="s">
        <v>0</v>
      </c>
      <c r="E187" s="1728"/>
      <c r="F187" s="1729"/>
      <c r="G187" s="1730"/>
      <c r="H187" s="1730">
        <f>H9</f>
        <v>0</v>
      </c>
      <c r="I187" s="1685"/>
    </row>
    <row r="188" spans="1:256">
      <c r="A188" s="1731"/>
      <c r="B188" s="1731"/>
      <c r="C188" s="1732"/>
      <c r="D188" s="1732"/>
      <c r="E188" s="1733"/>
      <c r="F188" s="1734"/>
      <c r="G188" s="1735"/>
      <c r="H188" s="1735"/>
      <c r="I188" s="1736"/>
    </row>
    <row r="189" spans="1:256" ht="13.5" customHeight="1">
      <c r="A189" s="5248" t="s">
        <v>862</v>
      </c>
      <c r="B189" s="5249"/>
      <c r="C189" s="5250"/>
      <c r="D189" s="1737" t="s">
        <v>5736</v>
      </c>
      <c r="E189" s="1738"/>
      <c r="F189" s="1739"/>
      <c r="G189" s="1740"/>
      <c r="H189" s="1741">
        <f>H187</f>
        <v>0</v>
      </c>
      <c r="I189" s="1742"/>
    </row>
    <row r="190" spans="1:256" ht="13.5" customHeight="1">
      <c r="A190" s="1743"/>
      <c r="B190" s="1744"/>
      <c r="C190" s="1744"/>
      <c r="D190" s="1745"/>
      <c r="E190" s="1746"/>
      <c r="F190" s="1747"/>
      <c r="G190" s="1748"/>
      <c r="H190" s="1749"/>
      <c r="I190" s="1685"/>
    </row>
    <row r="191" spans="1:256" ht="13.5" customHeight="1">
      <c r="A191" s="689" t="s">
        <v>1</v>
      </c>
      <c r="B191" s="689"/>
      <c r="C191" s="689"/>
      <c r="D191" s="689"/>
      <c r="E191" s="689"/>
      <c r="F191" s="689"/>
      <c r="G191" s="689"/>
      <c r="H191" s="689"/>
      <c r="I191" s="689"/>
    </row>
    <row r="192" spans="1:256" ht="27" customHeight="1">
      <c r="A192" s="5159" t="s">
        <v>864</v>
      </c>
      <c r="B192" s="5159"/>
      <c r="C192" s="5159"/>
      <c r="D192" s="5159"/>
      <c r="E192" s="5159"/>
      <c r="F192" s="5159"/>
      <c r="G192" s="5159"/>
      <c r="H192" s="689"/>
      <c r="I192" s="1685"/>
    </row>
    <row r="193" spans="1:9" ht="93.75" customHeight="1">
      <c r="A193" s="5159" t="s">
        <v>104</v>
      </c>
      <c r="B193" s="5159"/>
      <c r="C193" s="5159"/>
      <c r="D193" s="5159"/>
      <c r="E193" s="5159"/>
      <c r="F193" s="5159"/>
      <c r="G193" s="5159"/>
      <c r="H193" s="689"/>
      <c r="I193" s="689"/>
    </row>
    <row r="194" spans="1:9" ht="13.5" customHeight="1">
      <c r="A194" s="5159" t="s">
        <v>105</v>
      </c>
      <c r="B194" s="5159"/>
      <c r="C194" s="5159"/>
      <c r="D194" s="5159"/>
      <c r="E194" s="5159"/>
      <c r="F194" s="5159"/>
      <c r="G194" s="5159"/>
      <c r="H194" s="691"/>
      <c r="I194" s="691"/>
    </row>
    <row r="195" spans="1:9" ht="13.5" customHeight="1">
      <c r="A195" s="5159" t="s">
        <v>106</v>
      </c>
      <c r="B195" s="5159"/>
      <c r="C195" s="5159"/>
      <c r="D195" s="5159"/>
      <c r="E195" s="5159"/>
      <c r="F195" s="5159"/>
      <c r="G195" s="5159"/>
      <c r="H195" s="691"/>
      <c r="I195" s="691"/>
    </row>
    <row r="196" spans="1:9" s="1750" customFormat="1" ht="13.5" customHeight="1">
      <c r="A196" s="5156" t="s">
        <v>5905</v>
      </c>
      <c r="B196" s="5156"/>
      <c r="C196" s="5156"/>
      <c r="D196" s="5156"/>
      <c r="E196" s="5156"/>
      <c r="F196" s="5156"/>
      <c r="G196" s="5156"/>
      <c r="I196" s="1751"/>
    </row>
    <row r="197" spans="1:9" ht="40.5" customHeight="1">
      <c r="A197" s="5156" t="s">
        <v>865</v>
      </c>
      <c r="B197" s="5156"/>
      <c r="C197" s="5156"/>
      <c r="D197" s="5156"/>
      <c r="E197" s="5156"/>
      <c r="F197" s="5156"/>
      <c r="G197" s="5156"/>
      <c r="I197" s="1685"/>
    </row>
    <row r="198" spans="1:9" s="695" customFormat="1" ht="94.5" customHeight="1">
      <c r="A198" s="5156" t="s">
        <v>1013</v>
      </c>
      <c r="B198" s="5156"/>
      <c r="C198" s="5156"/>
      <c r="D198" s="5156"/>
      <c r="E198" s="5156"/>
      <c r="F198" s="5156"/>
      <c r="G198" s="5156"/>
      <c r="H198" s="693"/>
      <c r="I198" s="694"/>
    </row>
  </sheetData>
  <sheetProtection algorithmName="SHA-512" hashValue="k6R4ZjG2DUI/h2ZL16PjSGvPKeD4dyxf2ugpAtDCXoMR2IvzmGIdZrMpq3usT93f9swjpEAgE5PkPr/APyXFiA==" saltValue="VGzYM0WKCnM+cyluVV1F0w==" spinCount="100000" sheet="1" objects="1" scenarios="1"/>
  <mergeCells count="12">
    <mergeCell ref="A198:G198"/>
    <mergeCell ref="A2:I2"/>
    <mergeCell ref="A3:D3"/>
    <mergeCell ref="A4:D4"/>
    <mergeCell ref="E4:H4"/>
    <mergeCell ref="A189:C189"/>
    <mergeCell ref="A192:G192"/>
    <mergeCell ref="A193:G193"/>
    <mergeCell ref="A194:G194"/>
    <mergeCell ref="A195:G195"/>
    <mergeCell ref="A196:G196"/>
    <mergeCell ref="A197:G19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626-0C7F-4E84-9C4C-2FCD9A21FDDD}">
  <sheetPr>
    <tabColor rgb="FFFF00FF"/>
    <pageSetUpPr fitToPage="1"/>
  </sheetPr>
  <dimension ref="A1:IV198"/>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199" t="s">
        <v>5740</v>
      </c>
      <c r="B2" s="5242"/>
      <c r="C2" s="5242"/>
      <c r="D2" s="5242"/>
      <c r="E2" s="5242"/>
      <c r="F2" s="5242"/>
      <c r="G2" s="5242"/>
      <c r="H2" s="5242"/>
      <c r="I2" s="5242"/>
    </row>
    <row r="3" spans="1:19" ht="13.5" customHeight="1">
      <c r="A3" s="5228" t="s">
        <v>5734</v>
      </c>
      <c r="B3" s="5242"/>
      <c r="C3" s="5242"/>
      <c r="D3" s="5242"/>
      <c r="E3" s="1547"/>
      <c r="F3" s="1548"/>
      <c r="G3" s="1548"/>
      <c r="H3" s="1248"/>
      <c r="I3" s="1248"/>
    </row>
    <row r="4" spans="1:19" s="1550" customFormat="1" ht="13.5" customHeight="1">
      <c r="A4" s="5193" t="s">
        <v>5906</v>
      </c>
      <c r="B4" s="5242"/>
      <c r="C4" s="5242"/>
      <c r="D4" s="5242"/>
      <c r="E4" s="5193"/>
      <c r="F4" s="5242"/>
      <c r="G4" s="5242"/>
      <c r="H4" s="5242"/>
      <c r="I4" s="1549"/>
    </row>
    <row r="5" spans="1:19" ht="13.5" customHeight="1">
      <c r="A5" s="1547" t="s">
        <v>4246</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H10+H42+H66</f>
        <v>0</v>
      </c>
      <c r="I9" s="625"/>
    </row>
    <row r="10" spans="1:19" s="612" customFormat="1" ht="13.5" customHeight="1">
      <c r="A10" s="608"/>
      <c r="B10" s="557"/>
      <c r="C10" s="616" t="s">
        <v>5742</v>
      </c>
      <c r="D10" s="616" t="s">
        <v>5743</v>
      </c>
      <c r="E10" s="616"/>
      <c r="F10" s="909"/>
      <c r="G10" s="828"/>
      <c r="H10" s="828">
        <f>SUM(H11:H41)</f>
        <v>0</v>
      </c>
      <c r="I10" s="613"/>
    </row>
    <row r="11" spans="1:19" s="1564" customFormat="1" ht="27" customHeight="1">
      <c r="A11" s="1559">
        <v>1</v>
      </c>
      <c r="B11" s="1560" t="s">
        <v>5744</v>
      </c>
      <c r="C11" s="400">
        <v>210220020</v>
      </c>
      <c r="D11" s="401" t="s">
        <v>5745</v>
      </c>
      <c r="E11" s="1561" t="s">
        <v>141</v>
      </c>
      <c r="F11" s="573">
        <f>ROUND(SUM(F13:F14),3)</f>
        <v>34.4</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5746</v>
      </c>
      <c r="E12" s="557"/>
      <c r="F12" s="1249"/>
      <c r="G12" s="288"/>
      <c r="H12" s="609"/>
      <c r="I12" s="613"/>
      <c r="J12" s="1565"/>
    </row>
    <row r="13" spans="1:19" s="612" customFormat="1" ht="27" customHeight="1">
      <c r="A13" s="608"/>
      <c r="B13" s="557"/>
      <c r="C13" s="557"/>
      <c r="D13" s="1255" t="s">
        <v>5747</v>
      </c>
      <c r="E13" s="557"/>
      <c r="F13" s="1249">
        <f>(14.9)</f>
        <v>14.9</v>
      </c>
      <c r="G13" s="288"/>
      <c r="H13" s="609"/>
      <c r="I13" s="613"/>
      <c r="J13" s="1565"/>
    </row>
    <row r="14" spans="1:19" s="612" customFormat="1" ht="27" customHeight="1">
      <c r="A14" s="608"/>
      <c r="B14" s="557"/>
      <c r="C14" s="557"/>
      <c r="D14" s="1255" t="s">
        <v>5907</v>
      </c>
      <c r="E14" s="557"/>
      <c r="F14" s="1249">
        <f>(19.5)</f>
        <v>19.5</v>
      </c>
      <c r="G14" s="288"/>
      <c r="H14" s="609"/>
      <c r="I14" s="613"/>
      <c r="J14" s="1565"/>
    </row>
    <row r="15" spans="1:19" s="612" customFormat="1" ht="13.5" customHeight="1">
      <c r="A15" s="608"/>
      <c r="B15" s="557"/>
      <c r="C15" s="557"/>
      <c r="D15" s="1255" t="s">
        <v>5749</v>
      </c>
      <c r="E15" s="557"/>
      <c r="F15" s="1249"/>
      <c r="G15" s="288"/>
      <c r="H15" s="609"/>
      <c r="I15" s="613"/>
      <c r="J15" s="1565"/>
    </row>
    <row r="16" spans="1:19" s="1567" customFormat="1" ht="13.5" customHeight="1">
      <c r="A16" s="729">
        <v>2</v>
      </c>
      <c r="B16" s="730" t="s">
        <v>5750</v>
      </c>
      <c r="C16" s="730">
        <v>35442062</v>
      </c>
      <c r="D16" s="730" t="s">
        <v>5751</v>
      </c>
      <c r="E16" s="730" t="s">
        <v>853</v>
      </c>
      <c r="F16" s="731">
        <f>ROUND(SUM(F18:F19),3)</f>
        <v>34.314</v>
      </c>
      <c r="G16" s="292"/>
      <c r="H16" s="733">
        <f>ROUND(F16*G16,2)</f>
        <v>0</v>
      </c>
      <c r="I16" s="734" t="s">
        <v>137</v>
      </c>
      <c r="J16" s="1566"/>
    </row>
    <row r="17" spans="1:27" s="1567" customFormat="1" ht="13.5" customHeight="1">
      <c r="A17" s="729"/>
      <c r="B17" s="730"/>
      <c r="C17" s="730"/>
      <c r="D17" s="1481" t="s">
        <v>5752</v>
      </c>
      <c r="E17" s="730"/>
      <c r="F17" s="1482"/>
      <c r="G17" s="292"/>
      <c r="H17" s="732"/>
      <c r="I17" s="734"/>
      <c r="J17" s="1566"/>
    </row>
    <row r="18" spans="1:27" s="1567" customFormat="1" ht="13.5" customHeight="1">
      <c r="A18" s="729"/>
      <c r="B18" s="730"/>
      <c r="C18" s="730"/>
      <c r="D18" s="1481" t="s">
        <v>5753</v>
      </c>
      <c r="E18" s="730"/>
      <c r="F18" s="1482">
        <f>((14.9)*0.95)*1.05</f>
        <v>14.86275</v>
      </c>
      <c r="G18" s="292"/>
      <c r="H18" s="732"/>
      <c r="I18" s="734"/>
      <c r="J18" s="1566"/>
    </row>
    <row r="19" spans="1:27" s="1567" customFormat="1" ht="13.5" customHeight="1">
      <c r="A19" s="729"/>
      <c r="B19" s="730"/>
      <c r="C19" s="730"/>
      <c r="D19" s="1481" t="s">
        <v>5908</v>
      </c>
      <c r="E19" s="730"/>
      <c r="F19" s="1482">
        <f>((19.5)*0.95)*1.05</f>
        <v>19.451249999999998</v>
      </c>
      <c r="G19" s="292"/>
      <c r="H19" s="732"/>
      <c r="I19" s="734"/>
      <c r="J19" s="1566"/>
    </row>
    <row r="20" spans="1:27" s="1567" customFormat="1" ht="13.5" customHeight="1">
      <c r="A20" s="729"/>
      <c r="B20" s="730"/>
      <c r="C20" s="730"/>
      <c r="D20" s="1481" t="s">
        <v>5755</v>
      </c>
      <c r="E20" s="730"/>
      <c r="F20" s="1482"/>
      <c r="G20" s="292"/>
      <c r="H20" s="732"/>
      <c r="I20" s="734"/>
      <c r="J20" s="1568"/>
    </row>
    <row r="21" spans="1:27" s="612" customFormat="1" ht="13.5" customHeight="1">
      <c r="A21" s="608">
        <v>3</v>
      </c>
      <c r="B21" s="557" t="s">
        <v>5744</v>
      </c>
      <c r="C21" s="557" t="s">
        <v>5756</v>
      </c>
      <c r="D21" s="557" t="s">
        <v>5757</v>
      </c>
      <c r="E21" s="557" t="s">
        <v>205</v>
      </c>
      <c r="F21" s="573">
        <f>ROUND(SUM(F22),3)</f>
        <v>18</v>
      </c>
      <c r="G21" s="288"/>
      <c r="H21" s="568">
        <f>ROUND(F21*G21,2)</f>
        <v>0</v>
      </c>
      <c r="I21" s="613" t="s">
        <v>111</v>
      </c>
      <c r="J21" s="1565"/>
      <c r="U21" s="1569"/>
    </row>
    <row r="22" spans="1:27" s="1564" customFormat="1" ht="13.5" customHeight="1">
      <c r="A22" s="1570"/>
      <c r="B22" s="1560"/>
      <c r="C22" s="1245"/>
      <c r="D22" s="1255" t="s">
        <v>5758</v>
      </c>
      <c r="E22" s="402"/>
      <c r="F22" s="1249">
        <v>18</v>
      </c>
      <c r="G22" s="1413"/>
      <c r="H22" s="1261"/>
      <c r="I22" s="1280"/>
      <c r="J22" s="1566"/>
      <c r="K22" s="1567"/>
      <c r="L22" s="1571"/>
      <c r="M22" s="1571"/>
      <c r="N22" s="1571"/>
      <c r="O22" s="1571"/>
      <c r="Q22" s="1571"/>
      <c r="R22" s="1571"/>
      <c r="S22" s="1571"/>
      <c r="T22" s="1571"/>
      <c r="U22" s="1572"/>
      <c r="V22" s="193"/>
      <c r="W22" s="193"/>
      <c r="X22" s="193"/>
      <c r="Y22" s="193"/>
      <c r="Z22" s="193"/>
      <c r="AA22" s="193"/>
    </row>
    <row r="23" spans="1:27" s="1564" customFormat="1" ht="13.5" customHeight="1">
      <c r="A23" s="1570"/>
      <c r="B23" s="1560"/>
      <c r="C23" s="1245"/>
      <c r="D23" s="1255" t="s">
        <v>5759</v>
      </c>
      <c r="E23" s="402"/>
      <c r="F23" s="1249"/>
      <c r="G23" s="1413"/>
      <c r="H23" s="1261"/>
      <c r="I23" s="1280"/>
      <c r="J23" s="1566"/>
      <c r="K23" s="1567"/>
      <c r="L23" s="1571"/>
      <c r="M23" s="1571"/>
      <c r="N23" s="1571"/>
      <c r="O23" s="1571"/>
      <c r="P23" s="1571"/>
      <c r="Q23" s="1571"/>
      <c r="R23" s="1571"/>
      <c r="S23" s="1571"/>
      <c r="T23" s="1571"/>
      <c r="U23" s="1572"/>
      <c r="V23" s="193"/>
      <c r="W23" s="193"/>
      <c r="X23" s="193"/>
      <c r="Y23" s="193"/>
      <c r="Z23" s="193"/>
      <c r="AA23" s="193"/>
    </row>
    <row r="24" spans="1:27" s="247" customFormat="1" ht="13.5" customHeight="1">
      <c r="A24" s="1573">
        <v>4</v>
      </c>
      <c r="B24" s="1574">
        <v>921</v>
      </c>
      <c r="C24" s="557" t="s">
        <v>5760</v>
      </c>
      <c r="D24" s="403" t="s">
        <v>3903</v>
      </c>
      <c r="E24" s="1574" t="s">
        <v>49</v>
      </c>
      <c r="F24" s="573">
        <f>ROUND(SUM(F25),3)</f>
        <v>1</v>
      </c>
      <c r="G24" s="404"/>
      <c r="H24" s="568">
        <f>ROUND(F24*G24,2)</f>
        <v>0</v>
      </c>
      <c r="I24" s="613" t="s">
        <v>111</v>
      </c>
      <c r="J24" s="1575"/>
      <c r="L24" s="248"/>
      <c r="S24" s="1576"/>
    </row>
    <row r="25" spans="1:27" s="247" customFormat="1" ht="13.5" customHeight="1">
      <c r="A25" s="1573"/>
      <c r="B25" s="1574"/>
      <c r="C25" s="1574"/>
      <c r="D25" s="1577" t="s">
        <v>3904</v>
      </c>
      <c r="E25" s="1574"/>
      <c r="F25" s="1578">
        <v>1</v>
      </c>
      <c r="G25" s="404"/>
      <c r="H25" s="1253"/>
      <c r="I25" s="1579"/>
      <c r="J25" s="1305"/>
      <c r="R25" s="1569"/>
      <c r="S25" s="1576"/>
    </row>
    <row r="26" spans="1:27" s="247" customFormat="1" ht="40.5" customHeight="1">
      <c r="A26" s="1573"/>
      <c r="B26" s="1574"/>
      <c r="C26" s="1574"/>
      <c r="D26" s="1577" t="s">
        <v>5761</v>
      </c>
      <c r="E26" s="1574"/>
      <c r="F26" s="1578"/>
      <c r="G26" s="404"/>
      <c r="H26" s="1253"/>
      <c r="I26" s="1579"/>
      <c r="J26" s="1580"/>
      <c r="K26" s="1581"/>
      <c r="R26" s="1582"/>
      <c r="S26" s="1576"/>
      <c r="T26" s="406"/>
    </row>
    <row r="27" spans="1:27" s="612" customFormat="1" ht="13.5" customHeight="1">
      <c r="A27" s="1583" t="s">
        <v>129</v>
      </c>
      <c r="B27" s="557" t="s">
        <v>5744</v>
      </c>
      <c r="C27" s="557" t="s">
        <v>5762</v>
      </c>
      <c r="D27" s="1584" t="s">
        <v>5763</v>
      </c>
      <c r="E27" s="557" t="s">
        <v>141</v>
      </c>
      <c r="F27" s="573">
        <f>ROUND(SUM(F29:F29),3)</f>
        <v>2.75</v>
      </c>
      <c r="G27" s="288"/>
      <c r="H27" s="568">
        <f>ROUND(F27*G27,2)</f>
        <v>0</v>
      </c>
      <c r="I27" s="613" t="s">
        <v>111</v>
      </c>
      <c r="J27" s="1580"/>
      <c r="K27" s="1581"/>
      <c r="L27" s="604"/>
      <c r="M27" s="604"/>
      <c r="N27" s="604"/>
      <c r="O27" s="604"/>
      <c r="P27" s="604"/>
      <c r="Q27" s="604"/>
      <c r="R27" s="604"/>
      <c r="S27" s="604"/>
      <c r="T27" s="604"/>
      <c r="V27" s="1585"/>
    </row>
    <row r="28" spans="1:27" s="604" customFormat="1" ht="13.5" customHeight="1">
      <c r="A28" s="1586"/>
      <c r="B28" s="596"/>
      <c r="C28" s="597"/>
      <c r="D28" s="1255" t="s">
        <v>5909</v>
      </c>
      <c r="E28" s="599"/>
      <c r="F28" s="600"/>
      <c r="G28" s="289"/>
      <c r="H28" s="601"/>
      <c r="I28" s="602"/>
      <c r="J28" s="1587"/>
      <c r="L28" s="1588"/>
      <c r="M28" s="1588"/>
      <c r="N28" s="1588"/>
      <c r="O28" s="1588"/>
      <c r="P28" s="1588"/>
      <c r="Q28" s="1588"/>
      <c r="R28" s="1588"/>
      <c r="S28" s="1588"/>
      <c r="T28" s="1588"/>
      <c r="V28" s="1581"/>
    </row>
    <row r="29" spans="1:27" s="604" customFormat="1" ht="27" customHeight="1">
      <c r="A29" s="1586"/>
      <c r="B29" s="596"/>
      <c r="C29" s="597"/>
      <c r="D29" s="1255" t="s">
        <v>5910</v>
      </c>
      <c r="E29" s="599"/>
      <c r="F29" s="600">
        <f>(2.5)*1.1</f>
        <v>2.75</v>
      </c>
      <c r="G29" s="289"/>
      <c r="H29" s="601"/>
      <c r="I29" s="602"/>
      <c r="J29" s="1589"/>
    </row>
    <row r="30" spans="1:27" s="604" customFormat="1" ht="13.5" customHeight="1">
      <c r="A30" s="1586"/>
      <c r="B30" s="596"/>
      <c r="C30" s="597"/>
      <c r="D30" s="1255" t="s">
        <v>5766</v>
      </c>
      <c r="E30" s="599"/>
      <c r="F30" s="600"/>
      <c r="G30" s="289"/>
      <c r="H30" s="601"/>
      <c r="I30" s="602"/>
      <c r="J30" s="1589"/>
    </row>
    <row r="31" spans="1:27" s="604" customFormat="1" ht="40.5" customHeight="1">
      <c r="A31" s="1586"/>
      <c r="B31" s="596"/>
      <c r="C31" s="597"/>
      <c r="D31" s="597" t="s">
        <v>5767</v>
      </c>
      <c r="E31" s="597"/>
      <c r="F31" s="607"/>
      <c r="G31" s="289"/>
      <c r="H31" s="601"/>
      <c r="I31" s="1590"/>
      <c r="J31" s="1580"/>
      <c r="K31" s="1581"/>
      <c r="U31" s="605"/>
      <c r="W31" s="605"/>
    </row>
    <row r="32" spans="1:27" s="612" customFormat="1" ht="13.5" customHeight="1">
      <c r="A32" s="1583" t="s">
        <v>130</v>
      </c>
      <c r="B32" s="557" t="s">
        <v>5744</v>
      </c>
      <c r="C32" s="557" t="s">
        <v>5768</v>
      </c>
      <c r="D32" s="557" t="s">
        <v>5769</v>
      </c>
      <c r="E32" s="557" t="s">
        <v>49</v>
      </c>
      <c r="F32" s="573">
        <f>ROUND(SUM(F34),3)</f>
        <v>1</v>
      </c>
      <c r="G32" s="288"/>
      <c r="H32" s="568">
        <f>ROUND(F32*G32,2)</f>
        <v>0</v>
      </c>
      <c r="I32" s="613" t="s">
        <v>111</v>
      </c>
      <c r="J32" s="1591"/>
      <c r="K32" s="1592"/>
    </row>
    <row r="33" spans="1:256" s="612" customFormat="1" ht="13.5" customHeight="1">
      <c r="A33" s="1583"/>
      <c r="B33" s="557"/>
      <c r="C33" s="557"/>
      <c r="D33" s="1255" t="s">
        <v>5911</v>
      </c>
      <c r="E33" s="557"/>
      <c r="F33" s="615"/>
      <c r="G33" s="288"/>
      <c r="H33" s="609"/>
      <c r="I33" s="613"/>
      <c r="J33" s="1565"/>
    </row>
    <row r="34" spans="1:256" s="612" customFormat="1" ht="27" customHeight="1">
      <c r="A34" s="1583"/>
      <c r="B34" s="557"/>
      <c r="C34" s="557"/>
      <c r="D34" s="1255" t="s">
        <v>5912</v>
      </c>
      <c r="E34" s="557"/>
      <c r="F34" s="1249">
        <v>1</v>
      </c>
      <c r="G34" s="288"/>
      <c r="H34" s="609"/>
      <c r="I34" s="613"/>
      <c r="J34" s="1565"/>
    </row>
    <row r="35" spans="1:256" s="1600" customFormat="1" ht="54" customHeight="1">
      <c r="A35" s="1593"/>
      <c r="B35" s="1594"/>
      <c r="C35" s="1595"/>
      <c r="D35" s="584" t="s">
        <v>5772</v>
      </c>
      <c r="E35" s="1596"/>
      <c r="F35" s="1597"/>
      <c r="G35" s="407"/>
      <c r="H35" s="1598"/>
      <c r="I35" s="1599"/>
      <c r="L35" s="1601"/>
      <c r="M35" s="1601"/>
      <c r="N35" s="1601"/>
      <c r="O35" s="1601"/>
      <c r="P35" s="1601"/>
      <c r="Q35" s="1601"/>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c r="FD35" s="1601"/>
      <c r="FE35" s="1601"/>
      <c r="FF35" s="1601"/>
      <c r="FG35" s="1601"/>
      <c r="FH35" s="1601"/>
      <c r="FI35" s="1601"/>
      <c r="FJ35" s="1601"/>
      <c r="FK35" s="1601"/>
      <c r="FL35" s="1601"/>
      <c r="FM35" s="1601"/>
      <c r="FN35" s="1601"/>
      <c r="FO35" s="1601"/>
      <c r="FP35" s="1601"/>
      <c r="FQ35" s="1601"/>
      <c r="FR35" s="1601"/>
      <c r="FS35" s="1601"/>
      <c r="FT35" s="1601"/>
      <c r="FU35" s="1601"/>
      <c r="FV35" s="1601"/>
      <c r="FW35" s="1601"/>
      <c r="FX35" s="1601"/>
      <c r="FY35" s="1601"/>
      <c r="FZ35" s="1601"/>
      <c r="GA35" s="1601"/>
      <c r="GB35" s="1601"/>
      <c r="GC35" s="1601"/>
      <c r="GD35" s="1601"/>
      <c r="GE35" s="1601"/>
      <c r="GF35" s="1601"/>
      <c r="GG35" s="1601"/>
      <c r="GH35" s="1601"/>
      <c r="GI35" s="1601"/>
      <c r="GJ35" s="1601"/>
      <c r="GK35" s="1601"/>
      <c r="GL35" s="1601"/>
      <c r="GM35" s="1601"/>
      <c r="GN35" s="1601"/>
      <c r="GO35" s="1601"/>
      <c r="GP35" s="1601"/>
      <c r="GQ35" s="1601"/>
      <c r="GR35" s="1601"/>
      <c r="GS35" s="1601"/>
      <c r="GT35" s="1601"/>
      <c r="GU35" s="1601"/>
      <c r="GV35" s="1601"/>
      <c r="GW35" s="1601"/>
      <c r="GX35" s="1601"/>
      <c r="GY35" s="1601"/>
      <c r="GZ35" s="1601"/>
      <c r="HA35" s="1601"/>
      <c r="HB35" s="1601"/>
      <c r="HC35" s="1601"/>
      <c r="HD35" s="1601"/>
      <c r="HE35" s="1601"/>
      <c r="HF35" s="1601"/>
      <c r="HG35" s="1601"/>
      <c r="HH35" s="1601"/>
      <c r="HI35" s="1601"/>
      <c r="HJ35" s="1601"/>
      <c r="HK35" s="1601"/>
      <c r="HL35" s="1601"/>
      <c r="HM35" s="1601"/>
      <c r="HN35" s="1601"/>
      <c r="HO35" s="1601"/>
      <c r="HP35" s="1601"/>
      <c r="HQ35" s="1601"/>
      <c r="HR35" s="1601"/>
      <c r="HS35" s="1601"/>
      <c r="HT35" s="1601"/>
      <c r="HU35" s="1601"/>
      <c r="HV35" s="1601"/>
      <c r="HW35" s="1601"/>
      <c r="HX35" s="1601"/>
      <c r="HY35" s="1601"/>
      <c r="HZ35" s="1601"/>
      <c r="IA35" s="1601"/>
      <c r="IB35" s="1601"/>
      <c r="IC35" s="1601"/>
      <c r="ID35" s="1601"/>
      <c r="IE35" s="1601"/>
      <c r="IF35" s="1601"/>
      <c r="IG35" s="1601"/>
      <c r="IH35" s="1601"/>
      <c r="II35" s="1601"/>
      <c r="IJ35" s="1601"/>
      <c r="IK35" s="1601"/>
      <c r="IL35" s="1601"/>
      <c r="IM35" s="1601"/>
      <c r="IN35" s="1601"/>
      <c r="IO35" s="1601"/>
      <c r="IP35" s="1601"/>
      <c r="IQ35" s="1601"/>
      <c r="IR35" s="1601"/>
      <c r="IS35" s="1601"/>
      <c r="IT35" s="1601"/>
      <c r="IU35" s="1601"/>
      <c r="IV35" s="1601"/>
    </row>
    <row r="36" spans="1:256" s="612" customFormat="1" ht="27" customHeight="1">
      <c r="A36" s="608">
        <v>7</v>
      </c>
      <c r="B36" s="557" t="s">
        <v>5744</v>
      </c>
      <c r="C36" s="557" t="s">
        <v>5773</v>
      </c>
      <c r="D36" s="557" t="s">
        <v>5774</v>
      </c>
      <c r="E36" s="557" t="s">
        <v>49</v>
      </c>
      <c r="F36" s="573">
        <f>ROUND(SUM(F38),3)</f>
        <v>1</v>
      </c>
      <c r="G36" s="288"/>
      <c r="H36" s="568">
        <f>ROUND(F36*G36,2)</f>
        <v>0</v>
      </c>
      <c r="I36" s="613" t="s">
        <v>111</v>
      </c>
      <c r="J36" s="1565"/>
    </row>
    <row r="37" spans="1:256" s="612" customFormat="1" ht="27" customHeight="1">
      <c r="A37" s="608"/>
      <c r="B37" s="557"/>
      <c r="C37" s="557"/>
      <c r="D37" s="1255" t="s">
        <v>5775</v>
      </c>
      <c r="E37" s="557"/>
      <c r="F37" s="615"/>
      <c r="G37" s="288"/>
      <c r="H37" s="609"/>
      <c r="I37" s="613"/>
      <c r="J37" s="1565"/>
    </row>
    <row r="38" spans="1:256" s="612" customFormat="1" ht="13.5" customHeight="1">
      <c r="A38" s="608"/>
      <c r="B38" s="557"/>
      <c r="C38" s="557"/>
      <c r="D38" s="1255" t="s">
        <v>5913</v>
      </c>
      <c r="E38" s="557"/>
      <c r="F38" s="1249">
        <v>1</v>
      </c>
      <c r="G38" s="288"/>
      <c r="H38" s="609"/>
      <c r="I38" s="613"/>
      <c r="J38" s="1565"/>
    </row>
    <row r="39" spans="1:256" s="1587" customFormat="1" ht="67.5" customHeight="1">
      <c r="A39" s="1602"/>
      <c r="B39" s="1603"/>
      <c r="C39" s="1604"/>
      <c r="D39" s="584" t="s">
        <v>5777</v>
      </c>
      <c r="E39" s="1605"/>
      <c r="F39" s="1606"/>
      <c r="G39" s="299"/>
      <c r="H39" s="1607"/>
      <c r="I39" s="160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1588"/>
      <c r="BT39" s="1588"/>
      <c r="BU39" s="1588"/>
      <c r="BV39" s="1588"/>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CW39" s="1588"/>
      <c r="CX39" s="1588"/>
      <c r="CY39" s="1588"/>
      <c r="CZ39" s="1588"/>
      <c r="DA39" s="1588"/>
      <c r="DB39" s="1588"/>
      <c r="DC39" s="1588"/>
      <c r="DD39" s="1588"/>
      <c r="DE39" s="1588"/>
      <c r="DF39" s="1588"/>
      <c r="DG39" s="1588"/>
      <c r="DH39" s="1588"/>
      <c r="DI39" s="1588"/>
      <c r="DJ39" s="1588"/>
      <c r="DK39" s="1588"/>
      <c r="DL39" s="1588"/>
      <c r="DM39" s="1588"/>
      <c r="DN39" s="1588"/>
      <c r="DO39" s="1588"/>
      <c r="DP39" s="1588"/>
      <c r="DQ39" s="1588"/>
      <c r="DR39" s="1588"/>
      <c r="DS39" s="1588"/>
      <c r="DT39" s="1588"/>
      <c r="DU39" s="1588"/>
      <c r="DV39" s="1588"/>
      <c r="DW39" s="1588"/>
      <c r="DX39" s="1588"/>
      <c r="DY39" s="1588"/>
      <c r="DZ39" s="1588"/>
      <c r="EA39" s="1588"/>
      <c r="EB39" s="1588"/>
      <c r="EC39" s="1588"/>
      <c r="ED39" s="1588"/>
      <c r="EE39" s="1588"/>
      <c r="EF39" s="1588"/>
      <c r="EG39" s="1588"/>
      <c r="EH39" s="1588"/>
      <c r="EI39" s="1588"/>
      <c r="EJ39" s="1588"/>
      <c r="EK39" s="1588"/>
      <c r="EL39" s="1588"/>
      <c r="EM39" s="1588"/>
      <c r="EN39" s="1588"/>
      <c r="EO39" s="1588"/>
      <c r="EP39" s="1588"/>
      <c r="EQ39" s="1588"/>
      <c r="ER39" s="1588"/>
      <c r="ES39" s="1588"/>
      <c r="ET39" s="1588"/>
      <c r="EU39" s="1588"/>
      <c r="EV39" s="1588"/>
      <c r="EW39" s="1588"/>
      <c r="EX39" s="1588"/>
      <c r="EY39" s="1588"/>
      <c r="EZ39" s="1588"/>
      <c r="FA39" s="1588"/>
      <c r="FB39" s="1588"/>
      <c r="FC39" s="1588"/>
      <c r="FD39" s="1588"/>
      <c r="FE39" s="1588"/>
      <c r="FF39" s="1588"/>
      <c r="FG39" s="1588"/>
      <c r="FH39" s="1588"/>
      <c r="FI39" s="1588"/>
      <c r="FJ39" s="1588"/>
      <c r="FK39" s="1588"/>
      <c r="FL39" s="1588"/>
      <c r="FM39" s="1588"/>
      <c r="FN39" s="1588"/>
      <c r="FO39" s="1588"/>
      <c r="FP39" s="1588"/>
      <c r="FQ39" s="1588"/>
      <c r="FR39" s="1588"/>
      <c r="FS39" s="1588"/>
      <c r="FT39" s="1588"/>
      <c r="FU39" s="1588"/>
      <c r="FV39" s="1588"/>
      <c r="FW39" s="1588"/>
      <c r="FX39" s="1588"/>
      <c r="FY39" s="1588"/>
      <c r="FZ39" s="1588"/>
      <c r="GA39" s="1588"/>
      <c r="GB39" s="1588"/>
      <c r="GC39" s="1588"/>
      <c r="GD39" s="1588"/>
      <c r="GE39" s="1588"/>
      <c r="GF39" s="1588"/>
      <c r="GG39" s="1588"/>
      <c r="GH39" s="1588"/>
      <c r="GI39" s="1588"/>
      <c r="GJ39" s="1588"/>
      <c r="GK39" s="1588"/>
      <c r="GL39" s="1588"/>
      <c r="GM39" s="1588"/>
      <c r="GN39" s="1588"/>
      <c r="GO39" s="1588"/>
      <c r="GP39" s="1588"/>
      <c r="GQ39" s="1588"/>
      <c r="GR39" s="1588"/>
      <c r="GS39" s="1588"/>
      <c r="GT39" s="1588"/>
      <c r="GU39" s="1588"/>
      <c r="GV39" s="1588"/>
      <c r="GW39" s="1588"/>
      <c r="GX39" s="1588"/>
      <c r="GY39" s="1588"/>
      <c r="GZ39" s="1588"/>
      <c r="HA39" s="1588"/>
      <c r="HB39" s="1588"/>
      <c r="HC39" s="1588"/>
      <c r="HD39" s="1588"/>
      <c r="HE39" s="1588"/>
      <c r="HF39" s="1588"/>
      <c r="HG39" s="1588"/>
      <c r="HH39" s="1588"/>
      <c r="HI39" s="1588"/>
      <c r="HJ39" s="1588"/>
      <c r="HK39" s="1588"/>
      <c r="HL39" s="1588"/>
      <c r="HM39" s="1588"/>
      <c r="HN39" s="1588"/>
      <c r="HO39" s="1588"/>
      <c r="HP39" s="1588"/>
      <c r="HQ39" s="1588"/>
      <c r="HR39" s="1588"/>
      <c r="HS39" s="1588"/>
      <c r="HT39" s="1588"/>
      <c r="HU39" s="1588"/>
      <c r="HV39" s="1588"/>
      <c r="HW39" s="1588"/>
      <c r="HX39" s="1588"/>
      <c r="HY39" s="1588"/>
      <c r="HZ39" s="1588"/>
      <c r="IA39" s="1588"/>
      <c r="IB39" s="1588"/>
      <c r="IC39" s="1588"/>
      <c r="ID39" s="1588"/>
      <c r="IE39" s="1588"/>
      <c r="IF39" s="1588"/>
      <c r="IG39" s="1588"/>
      <c r="IH39" s="1588"/>
      <c r="II39" s="1588"/>
      <c r="IJ39" s="1588"/>
      <c r="IK39" s="1588"/>
      <c r="IL39" s="1588"/>
      <c r="IM39" s="1588"/>
      <c r="IN39" s="1588"/>
      <c r="IO39" s="1588"/>
      <c r="IP39" s="1588"/>
      <c r="IQ39" s="1588"/>
      <c r="IR39" s="1588"/>
      <c r="IS39" s="1588"/>
      <c r="IT39" s="1588"/>
      <c r="IU39" s="1588"/>
      <c r="IV39" s="1588"/>
    </row>
    <row r="40" spans="1:256" s="612" customFormat="1" ht="13.5" customHeight="1">
      <c r="A40" s="608">
        <v>8</v>
      </c>
      <c r="B40" s="557" t="s">
        <v>362</v>
      </c>
      <c r="C40" s="557" t="s">
        <v>1802</v>
      </c>
      <c r="D40" s="557" t="s">
        <v>1803</v>
      </c>
      <c r="E40" s="557" t="s">
        <v>69</v>
      </c>
      <c r="F40" s="573">
        <f>ROUND(SUM(F41),3)</f>
        <v>2</v>
      </c>
      <c r="G40" s="288"/>
      <c r="H40" s="568">
        <f>ROUND(F40*G40,2)</f>
        <v>0</v>
      </c>
      <c r="I40" s="613" t="s">
        <v>137</v>
      </c>
      <c r="J40" s="408"/>
    </row>
    <row r="41" spans="1:256" s="1564" customFormat="1" ht="27" customHeight="1">
      <c r="A41" s="1570"/>
      <c r="B41" s="1560"/>
      <c r="C41" s="1245"/>
      <c r="D41" s="1255" t="s">
        <v>5778</v>
      </c>
      <c r="E41" s="402"/>
      <c r="F41" s="1249">
        <v>2</v>
      </c>
      <c r="G41" s="1413"/>
      <c r="H41" s="1261"/>
      <c r="I41" s="1280"/>
      <c r="J41" s="612"/>
      <c r="K41" s="612"/>
      <c r="L41" s="612"/>
      <c r="M41" s="612"/>
      <c r="N41" s="612"/>
    </row>
    <row r="42" spans="1:256" s="612" customFormat="1" ht="13.5" customHeight="1">
      <c r="A42" s="608"/>
      <c r="B42" s="557"/>
      <c r="C42" s="616" t="s">
        <v>5779</v>
      </c>
      <c r="D42" s="616" t="s">
        <v>5780</v>
      </c>
      <c r="E42" s="616"/>
      <c r="F42" s="909"/>
      <c r="G42" s="303"/>
      <c r="H42" s="828">
        <f>SUM(H43:H65)</f>
        <v>0</v>
      </c>
      <c r="I42" s="613"/>
    </row>
    <row r="43" spans="1:256" s="612" customFormat="1" ht="13.5" customHeight="1">
      <c r="A43" s="1583" t="s">
        <v>311</v>
      </c>
      <c r="B43" s="557">
        <v>922</v>
      </c>
      <c r="C43" s="557" t="s">
        <v>5781</v>
      </c>
      <c r="D43" s="557" t="s">
        <v>5782</v>
      </c>
      <c r="E43" s="557" t="s">
        <v>141</v>
      </c>
      <c r="F43" s="573">
        <f>ROUND(SUM(F45:F47),3)</f>
        <v>40.590000000000003</v>
      </c>
      <c r="G43" s="288"/>
      <c r="H43" s="568">
        <f>ROUND(F43*G43,2)</f>
        <v>0</v>
      </c>
      <c r="I43" s="613" t="s">
        <v>111</v>
      </c>
      <c r="J43" s="1580"/>
      <c r="K43" s="604"/>
      <c r="L43" s="604"/>
      <c r="M43" s="604"/>
      <c r="N43" s="604"/>
      <c r="O43" s="604"/>
      <c r="P43" s="604"/>
      <c r="Q43" s="1581"/>
      <c r="S43" s="637"/>
    </row>
    <row r="44" spans="1:256" s="604" customFormat="1" ht="27" customHeight="1">
      <c r="A44" s="1586"/>
      <c r="B44" s="596"/>
      <c r="C44" s="597"/>
      <c r="D44" s="1255" t="s">
        <v>5783</v>
      </c>
      <c r="E44" s="599"/>
      <c r="F44" s="1609"/>
      <c r="G44" s="289"/>
      <c r="H44" s="601"/>
      <c r="I44" s="602"/>
      <c r="J44" s="1580"/>
      <c r="K44" s="1581"/>
      <c r="R44" s="1581"/>
      <c r="U44" s="605"/>
      <c r="W44" s="605"/>
    </row>
    <row r="45" spans="1:256" s="604" customFormat="1" ht="13.5" customHeight="1">
      <c r="A45" s="1586"/>
      <c r="B45" s="596"/>
      <c r="C45" s="597"/>
      <c r="D45" s="1255" t="s">
        <v>5784</v>
      </c>
      <c r="E45" s="599"/>
      <c r="F45" s="1609">
        <f>(14.9)*1.1</f>
        <v>16.39</v>
      </c>
      <c r="G45" s="289"/>
      <c r="H45" s="601"/>
      <c r="I45" s="602"/>
      <c r="J45" s="612"/>
      <c r="K45" s="612"/>
      <c r="L45" s="612"/>
      <c r="M45" s="612"/>
      <c r="N45" s="612"/>
      <c r="O45" s="612"/>
      <c r="Q45" s="621"/>
      <c r="R45" s="612"/>
      <c r="S45" s="612"/>
      <c r="U45" s="605"/>
      <c r="W45" s="605"/>
    </row>
    <row r="46" spans="1:256" s="604" customFormat="1" ht="13.5" customHeight="1">
      <c r="A46" s="1586"/>
      <c r="B46" s="596"/>
      <c r="C46" s="597"/>
      <c r="D46" s="1255" t="s">
        <v>5914</v>
      </c>
      <c r="E46" s="599"/>
      <c r="F46" s="1609">
        <f>(19.5)*1.1</f>
        <v>21.450000000000003</v>
      </c>
      <c r="G46" s="289"/>
      <c r="H46" s="601"/>
      <c r="I46" s="602"/>
      <c r="J46" s="612"/>
      <c r="K46" s="612"/>
      <c r="L46" s="612"/>
      <c r="M46" s="612"/>
      <c r="N46" s="612"/>
      <c r="O46" s="612"/>
      <c r="Q46" s="621"/>
      <c r="R46" s="612"/>
      <c r="S46" s="612"/>
      <c r="U46" s="605"/>
      <c r="W46" s="605"/>
    </row>
    <row r="47" spans="1:256" s="604" customFormat="1" ht="13.5" customHeight="1">
      <c r="A47" s="1586"/>
      <c r="B47" s="596"/>
      <c r="C47" s="597"/>
      <c r="D47" s="1255" t="s">
        <v>5786</v>
      </c>
      <c r="E47" s="599"/>
      <c r="F47" s="1609">
        <f>(2.5)*1.1</f>
        <v>2.75</v>
      </c>
      <c r="G47" s="289"/>
      <c r="H47" s="601"/>
      <c r="I47" s="602"/>
      <c r="J47" s="612"/>
      <c r="K47" s="612"/>
      <c r="L47" s="612"/>
      <c r="M47" s="612"/>
      <c r="N47" s="612"/>
      <c r="O47" s="612"/>
      <c r="Q47" s="621"/>
      <c r="R47" s="612"/>
      <c r="S47" s="612"/>
      <c r="U47" s="605"/>
      <c r="W47" s="605"/>
    </row>
    <row r="48" spans="1:256" s="604" customFormat="1" ht="27" customHeight="1">
      <c r="A48" s="1586"/>
      <c r="B48" s="596"/>
      <c r="C48" s="597"/>
      <c r="D48" s="597" t="s">
        <v>5787</v>
      </c>
      <c r="E48" s="597"/>
      <c r="F48" s="1610"/>
      <c r="G48" s="289"/>
      <c r="H48" s="601"/>
      <c r="I48" s="1590"/>
      <c r="J48" s="606"/>
      <c r="U48" s="605"/>
      <c r="W48" s="605"/>
    </row>
    <row r="49" spans="1:256" s="612" customFormat="1" ht="13.5" customHeight="1">
      <c r="A49" s="608">
        <v>10</v>
      </c>
      <c r="B49" s="557">
        <v>922</v>
      </c>
      <c r="C49" s="557" t="s">
        <v>5788</v>
      </c>
      <c r="D49" s="557" t="s">
        <v>5789</v>
      </c>
      <c r="E49" s="557" t="s">
        <v>205</v>
      </c>
      <c r="F49" s="573">
        <f>ROUND(SUM(F51:F51),3)</f>
        <v>1</v>
      </c>
      <c r="G49" s="288"/>
      <c r="H49" s="568">
        <f>ROUND(F49*G49,2)</f>
        <v>0</v>
      </c>
      <c r="I49" s="613" t="s">
        <v>111</v>
      </c>
      <c r="J49" s="409"/>
    </row>
    <row r="50" spans="1:256" s="604" customFormat="1" ht="13.5" customHeight="1">
      <c r="A50" s="1586"/>
      <c r="B50" s="596"/>
      <c r="C50" s="597"/>
      <c r="D50" s="1255" t="s">
        <v>5790</v>
      </c>
      <c r="E50" s="599"/>
      <c r="F50" s="600"/>
      <c r="G50" s="289"/>
      <c r="H50" s="601"/>
      <c r="I50" s="602"/>
      <c r="J50" s="1580"/>
      <c r="U50" s="605"/>
      <c r="W50" s="605"/>
    </row>
    <row r="51" spans="1:256" s="604" customFormat="1" ht="13.5" customHeight="1">
      <c r="A51" s="1586"/>
      <c r="B51" s="596"/>
      <c r="C51" s="597"/>
      <c r="D51" s="1255" t="s">
        <v>5915</v>
      </c>
      <c r="E51" s="599"/>
      <c r="F51" s="600">
        <v>1</v>
      </c>
      <c r="G51" s="289"/>
      <c r="H51" s="601"/>
      <c r="I51" s="602"/>
      <c r="J51" s="1580"/>
      <c r="U51" s="605"/>
      <c r="W51" s="605"/>
    </row>
    <row r="52" spans="1:256" s="604" customFormat="1" ht="27" customHeight="1">
      <c r="A52" s="1586"/>
      <c r="B52" s="596"/>
      <c r="C52" s="597"/>
      <c r="D52" s="597" t="s">
        <v>5792</v>
      </c>
      <c r="E52" s="597"/>
      <c r="F52" s="607"/>
      <c r="G52" s="289"/>
      <c r="H52" s="601"/>
      <c r="I52" s="602"/>
      <c r="J52" s="606"/>
      <c r="U52" s="605"/>
      <c r="W52" s="605"/>
    </row>
    <row r="53" spans="1:256" s="612" customFormat="1" ht="13.5" customHeight="1">
      <c r="A53" s="1583" t="s">
        <v>882</v>
      </c>
      <c r="B53" s="557" t="s">
        <v>5744</v>
      </c>
      <c r="C53" s="557" t="s">
        <v>5793</v>
      </c>
      <c r="D53" s="557" t="s">
        <v>5916</v>
      </c>
      <c r="E53" s="557" t="s">
        <v>49</v>
      </c>
      <c r="F53" s="573">
        <f>ROUND(SUM(F55),3)</f>
        <v>1</v>
      </c>
      <c r="G53" s="288"/>
      <c r="H53" s="568">
        <f>ROUND(F53*G53,2)</f>
        <v>0</v>
      </c>
      <c r="I53" s="613" t="s">
        <v>111</v>
      </c>
      <c r="J53" s="1591"/>
    </row>
    <row r="54" spans="1:256" s="612" customFormat="1" ht="13.5" customHeight="1">
      <c r="A54" s="1583"/>
      <c r="B54" s="557"/>
      <c r="C54" s="557"/>
      <c r="D54" s="1255" t="s">
        <v>5917</v>
      </c>
      <c r="E54" s="557"/>
      <c r="F54" s="615"/>
      <c r="G54" s="288"/>
      <c r="H54" s="609"/>
      <c r="I54" s="613"/>
      <c r="J54" s="1565"/>
    </row>
    <row r="55" spans="1:256" s="612" customFormat="1" ht="27" customHeight="1">
      <c r="A55" s="1583"/>
      <c r="B55" s="557"/>
      <c r="C55" s="557"/>
      <c r="D55" s="1255" t="s">
        <v>5918</v>
      </c>
      <c r="E55" s="557"/>
      <c r="F55" s="1249">
        <v>1</v>
      </c>
      <c r="G55" s="288"/>
      <c r="H55" s="609"/>
      <c r="I55" s="613"/>
      <c r="J55" s="1592"/>
    </row>
    <row r="56" spans="1:256" s="1600" customFormat="1" ht="54" customHeight="1">
      <c r="A56" s="1593"/>
      <c r="B56" s="1594"/>
      <c r="C56" s="1595"/>
      <c r="D56" s="584" t="s">
        <v>5797</v>
      </c>
      <c r="E56" s="1596"/>
      <c r="F56" s="1597"/>
      <c r="G56" s="407"/>
      <c r="H56" s="1598"/>
      <c r="I56" s="1599"/>
      <c r="J56" s="1592"/>
      <c r="L56" s="1601"/>
      <c r="M56" s="1601"/>
      <c r="N56" s="1601"/>
      <c r="O56" s="1611"/>
      <c r="P56" s="1601"/>
      <c r="Q56" s="1601"/>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c r="FD56" s="1601"/>
      <c r="FE56" s="1601"/>
      <c r="FF56" s="1601"/>
      <c r="FG56" s="1601"/>
      <c r="FH56" s="1601"/>
      <c r="FI56" s="1601"/>
      <c r="FJ56" s="1601"/>
      <c r="FK56" s="1601"/>
      <c r="FL56" s="1601"/>
      <c r="FM56" s="1601"/>
      <c r="FN56" s="1601"/>
      <c r="FO56" s="1601"/>
      <c r="FP56" s="1601"/>
      <c r="FQ56" s="1601"/>
      <c r="FR56" s="1601"/>
      <c r="FS56" s="1601"/>
      <c r="FT56" s="1601"/>
      <c r="FU56" s="1601"/>
      <c r="FV56" s="1601"/>
      <c r="FW56" s="1601"/>
      <c r="FX56" s="1601"/>
      <c r="FY56" s="1601"/>
      <c r="FZ56" s="1601"/>
      <c r="GA56" s="1601"/>
      <c r="GB56" s="1601"/>
      <c r="GC56" s="1601"/>
      <c r="GD56" s="1601"/>
      <c r="GE56" s="1601"/>
      <c r="GF56" s="1601"/>
      <c r="GG56" s="1601"/>
      <c r="GH56" s="1601"/>
      <c r="GI56" s="1601"/>
      <c r="GJ56" s="1601"/>
      <c r="GK56" s="1601"/>
      <c r="GL56" s="1601"/>
      <c r="GM56" s="1601"/>
      <c r="GN56" s="1601"/>
      <c r="GO56" s="1601"/>
      <c r="GP56" s="1601"/>
      <c r="GQ56" s="1601"/>
      <c r="GR56" s="1601"/>
      <c r="GS56" s="1601"/>
      <c r="GT56" s="1601"/>
      <c r="GU56" s="1601"/>
      <c r="GV56" s="1601"/>
      <c r="GW56" s="1601"/>
      <c r="GX56" s="1601"/>
      <c r="GY56" s="1601"/>
      <c r="GZ56" s="1601"/>
      <c r="HA56" s="1601"/>
      <c r="HB56" s="1601"/>
      <c r="HC56" s="1601"/>
      <c r="HD56" s="1601"/>
      <c r="HE56" s="1601"/>
      <c r="HF56" s="1601"/>
      <c r="HG56" s="1601"/>
      <c r="HH56" s="1601"/>
      <c r="HI56" s="1601"/>
      <c r="HJ56" s="1601"/>
      <c r="HK56" s="1601"/>
      <c r="HL56" s="1601"/>
      <c r="HM56" s="1601"/>
      <c r="HN56" s="1601"/>
      <c r="HO56" s="1601"/>
      <c r="HP56" s="1601"/>
      <c r="HQ56" s="1601"/>
      <c r="HR56" s="1601"/>
      <c r="HS56" s="1601"/>
      <c r="HT56" s="1601"/>
      <c r="HU56" s="1601"/>
      <c r="HV56" s="1601"/>
      <c r="HW56" s="1601"/>
      <c r="HX56" s="1601"/>
      <c r="HY56" s="1601"/>
      <c r="HZ56" s="1601"/>
      <c r="IA56" s="1601"/>
      <c r="IB56" s="1601"/>
      <c r="IC56" s="1601"/>
      <c r="ID56" s="1601"/>
      <c r="IE56" s="1601"/>
      <c r="IF56" s="1601"/>
      <c r="IG56" s="1601"/>
      <c r="IH56" s="1601"/>
      <c r="II56" s="1601"/>
      <c r="IJ56" s="1601"/>
      <c r="IK56" s="1601"/>
      <c r="IL56" s="1601"/>
      <c r="IM56" s="1601"/>
      <c r="IN56" s="1601"/>
      <c r="IO56" s="1601"/>
      <c r="IP56" s="1601"/>
      <c r="IQ56" s="1601"/>
      <c r="IR56" s="1601"/>
      <c r="IS56" s="1601"/>
      <c r="IT56" s="1601"/>
      <c r="IU56" s="1601"/>
      <c r="IV56" s="1601"/>
    </row>
    <row r="57" spans="1:256" s="612" customFormat="1" ht="13.5" customHeight="1">
      <c r="A57" s="608">
        <v>12</v>
      </c>
      <c r="B57" s="557">
        <v>922</v>
      </c>
      <c r="C57" s="557" t="s">
        <v>5798</v>
      </c>
      <c r="D57" s="557" t="s">
        <v>5799</v>
      </c>
      <c r="E57" s="557" t="s">
        <v>49</v>
      </c>
      <c r="F57" s="573">
        <f>ROUND(SUM(F58),3)</f>
        <v>1</v>
      </c>
      <c r="G57" s="288"/>
      <c r="H57" s="568">
        <f>ROUND(F57*G57,2)</f>
        <v>0</v>
      </c>
      <c r="I57" s="613" t="s">
        <v>111</v>
      </c>
      <c r="J57" s="408"/>
    </row>
    <row r="58" spans="1:256" s="1564" customFormat="1" ht="27" customHeight="1">
      <c r="A58" s="1570"/>
      <c r="B58" s="1560"/>
      <c r="C58" s="1245"/>
      <c r="D58" s="1255" t="s">
        <v>5800</v>
      </c>
      <c r="E58" s="402"/>
      <c r="F58" s="1249">
        <v>1</v>
      </c>
      <c r="G58" s="1413"/>
      <c r="H58" s="1261"/>
      <c r="I58" s="1280"/>
      <c r="K58" s="593"/>
    </row>
    <row r="59" spans="1:256" s="1564" customFormat="1" ht="13.5" customHeight="1">
      <c r="A59" s="1570"/>
      <c r="B59" s="1560"/>
      <c r="C59" s="1245"/>
      <c r="D59" s="1255" t="s">
        <v>278</v>
      </c>
      <c r="E59" s="402"/>
      <c r="F59" s="1249"/>
      <c r="G59" s="1413"/>
      <c r="H59" s="1261"/>
      <c r="I59" s="1280"/>
      <c r="K59" s="593"/>
    </row>
    <row r="60" spans="1:256" s="612" customFormat="1" ht="13.5" customHeight="1">
      <c r="A60" s="608">
        <v>13</v>
      </c>
      <c r="B60" s="557">
        <v>922</v>
      </c>
      <c r="C60" s="557" t="s">
        <v>5801</v>
      </c>
      <c r="D60" s="557" t="s">
        <v>1618</v>
      </c>
      <c r="E60" s="557" t="s">
        <v>205</v>
      </c>
      <c r="F60" s="573">
        <f>ROUND(SUM(F61),3)</f>
        <v>1</v>
      </c>
      <c r="G60" s="288"/>
      <c r="H60" s="568">
        <f>ROUND(F60*G60,2)</f>
        <v>0</v>
      </c>
      <c r="I60" s="613" t="s">
        <v>111</v>
      </c>
      <c r="J60" s="408"/>
    </row>
    <row r="61" spans="1:256" s="1564" customFormat="1" ht="13.5" customHeight="1">
      <c r="A61" s="1570"/>
      <c r="B61" s="1560"/>
      <c r="C61" s="1245"/>
      <c r="D61" s="1255" t="s">
        <v>5802</v>
      </c>
      <c r="E61" s="402"/>
      <c r="F61" s="1249">
        <v>1</v>
      </c>
      <c r="G61" s="1413"/>
      <c r="H61" s="1261"/>
      <c r="I61" s="1280"/>
      <c r="K61" s="593"/>
    </row>
    <row r="62" spans="1:256" s="612" customFormat="1" ht="13.5" customHeight="1">
      <c r="A62" s="608">
        <v>14</v>
      </c>
      <c r="B62" s="557">
        <v>922</v>
      </c>
      <c r="C62" s="557" t="s">
        <v>5803</v>
      </c>
      <c r="D62" s="557" t="s">
        <v>5804</v>
      </c>
      <c r="E62" s="557" t="s">
        <v>49</v>
      </c>
      <c r="F62" s="573">
        <f>ROUND(SUM(F63),3)</f>
        <v>1</v>
      </c>
      <c r="G62" s="288"/>
      <c r="H62" s="568">
        <f>ROUND(F62*G62,2)</f>
        <v>0</v>
      </c>
      <c r="I62" s="613" t="s">
        <v>111</v>
      </c>
      <c r="J62" s="408"/>
    </row>
    <row r="63" spans="1:256" s="1564" customFormat="1" ht="13.5" customHeight="1">
      <c r="A63" s="1570"/>
      <c r="B63" s="1560"/>
      <c r="C63" s="1245"/>
      <c r="D63" s="1255" t="s">
        <v>5805</v>
      </c>
      <c r="E63" s="402"/>
      <c r="F63" s="1249">
        <v>1</v>
      </c>
      <c r="G63" s="1413"/>
      <c r="H63" s="1261"/>
      <c r="I63" s="1280"/>
      <c r="K63" s="593"/>
    </row>
    <row r="64" spans="1:256" s="612" customFormat="1" ht="13.5" customHeight="1">
      <c r="A64" s="608">
        <v>15</v>
      </c>
      <c r="B64" s="557" t="s">
        <v>362</v>
      </c>
      <c r="C64" s="557" t="s">
        <v>1802</v>
      </c>
      <c r="D64" s="557" t="s">
        <v>1803</v>
      </c>
      <c r="E64" s="557" t="s">
        <v>69</v>
      </c>
      <c r="F64" s="573">
        <f>ROUND(SUM(F65),3)</f>
        <v>2</v>
      </c>
      <c r="G64" s="288"/>
      <c r="H64" s="568">
        <f>ROUND(F64*G64,2)</f>
        <v>0</v>
      </c>
      <c r="I64" s="613" t="s">
        <v>137</v>
      </c>
      <c r="J64" s="408"/>
    </row>
    <row r="65" spans="1:255" s="1564" customFormat="1" ht="27" customHeight="1">
      <c r="A65" s="1570"/>
      <c r="B65" s="1560"/>
      <c r="C65" s="1245"/>
      <c r="D65" s="1255" t="s">
        <v>5778</v>
      </c>
      <c r="E65" s="402"/>
      <c r="F65" s="1249">
        <v>2</v>
      </c>
      <c r="G65" s="1413"/>
      <c r="H65" s="1261"/>
      <c r="I65" s="1280"/>
      <c r="J65" s="612"/>
      <c r="K65" s="612"/>
      <c r="L65" s="612"/>
      <c r="M65" s="612"/>
      <c r="N65" s="612"/>
    </row>
    <row r="66" spans="1:255" s="612" customFormat="1" ht="13.5" customHeight="1">
      <c r="A66" s="608"/>
      <c r="B66" s="557"/>
      <c r="C66" s="616" t="s">
        <v>5806</v>
      </c>
      <c r="D66" s="616" t="s">
        <v>5807</v>
      </c>
      <c r="E66" s="616"/>
      <c r="F66" s="617"/>
      <c r="G66" s="303"/>
      <c r="H66" s="828">
        <f>SUM(H67:H152,H157:H163,H167:H173,H179:H186)</f>
        <v>0</v>
      </c>
      <c r="I66" s="613"/>
      <c r="J66" s="1612"/>
      <c r="K66" s="1248"/>
      <c r="L66" s="1613"/>
      <c r="M66" s="1613"/>
      <c r="N66" s="1613"/>
    </row>
    <row r="67" spans="1:255" s="1248" customFormat="1" ht="13.5" customHeight="1">
      <c r="A67" s="1614">
        <v>16</v>
      </c>
      <c r="B67" s="1615" t="s">
        <v>5808</v>
      </c>
      <c r="C67" s="1615">
        <v>460010024</v>
      </c>
      <c r="D67" s="1615" t="s">
        <v>5809</v>
      </c>
      <c r="E67" s="1615" t="s">
        <v>5810</v>
      </c>
      <c r="F67" s="573">
        <f>ROUND(SUM(F68),3)</f>
        <v>3.4000000000000002E-2</v>
      </c>
      <c r="G67" s="288"/>
      <c r="H67" s="568">
        <f>ROUND(F67*G67,2)</f>
        <v>0</v>
      </c>
      <c r="I67" s="613" t="s">
        <v>137</v>
      </c>
      <c r="J67" s="603"/>
      <c r="K67" s="604"/>
      <c r="L67" s="604"/>
      <c r="M67" s="604"/>
      <c r="N67" s="604"/>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616"/>
      <c r="CH67" s="1616"/>
      <c r="CI67" s="1616"/>
      <c r="CJ67" s="1616"/>
      <c r="CK67" s="1616"/>
      <c r="CL67" s="1616"/>
      <c r="CM67" s="1616"/>
      <c r="CN67" s="1616"/>
      <c r="CO67" s="1616"/>
      <c r="CP67" s="1616"/>
      <c r="CQ67" s="1616"/>
      <c r="CR67" s="1616"/>
      <c r="CS67" s="1616"/>
      <c r="CT67" s="1616"/>
      <c r="CU67" s="1616"/>
      <c r="CV67" s="1616"/>
      <c r="CW67" s="1616"/>
      <c r="CX67" s="1616"/>
      <c r="CY67" s="1616"/>
      <c r="CZ67" s="1616"/>
      <c r="DA67" s="1616"/>
      <c r="DB67" s="1616"/>
      <c r="DC67" s="1616"/>
      <c r="DD67" s="1616"/>
      <c r="DE67" s="1616"/>
      <c r="DF67" s="1616"/>
      <c r="DG67" s="1616"/>
      <c r="DH67" s="1616"/>
      <c r="DI67" s="1616"/>
      <c r="DJ67" s="1616"/>
      <c r="DK67" s="1616"/>
      <c r="DL67" s="1616"/>
      <c r="DM67" s="1616"/>
      <c r="DN67" s="1616"/>
      <c r="DO67" s="1616"/>
      <c r="DP67" s="1616"/>
      <c r="DQ67" s="1616"/>
      <c r="DR67" s="1616"/>
      <c r="DS67" s="1616"/>
      <c r="DT67" s="1616"/>
      <c r="DU67" s="1616"/>
      <c r="DV67" s="1616"/>
      <c r="DW67" s="1616"/>
      <c r="DX67" s="1616"/>
      <c r="DY67" s="1616"/>
      <c r="DZ67" s="1616"/>
      <c r="EA67" s="1616"/>
      <c r="EB67" s="1616"/>
      <c r="EC67" s="1616"/>
      <c r="ED67" s="1616"/>
      <c r="EE67" s="1616"/>
      <c r="EF67" s="1616"/>
      <c r="EG67" s="1616"/>
      <c r="EH67" s="1616"/>
      <c r="EI67" s="1616"/>
      <c r="EJ67" s="1616"/>
      <c r="EK67" s="1616"/>
      <c r="EL67" s="1616"/>
      <c r="EM67" s="1616"/>
      <c r="EN67" s="1616"/>
      <c r="EO67" s="1616"/>
      <c r="EP67" s="1616"/>
      <c r="EQ67" s="1616"/>
      <c r="ER67" s="1616"/>
      <c r="ES67" s="1616"/>
      <c r="ET67" s="1616"/>
      <c r="EU67" s="1616"/>
      <c r="EV67" s="1616"/>
      <c r="EW67" s="1616"/>
      <c r="EX67" s="1616"/>
      <c r="EY67" s="1616"/>
      <c r="EZ67" s="1616"/>
      <c r="FA67" s="1616"/>
      <c r="FB67" s="1616"/>
      <c r="FC67" s="1616"/>
      <c r="FD67" s="1616"/>
      <c r="FE67" s="1616"/>
      <c r="FF67" s="1616"/>
      <c r="FG67" s="1616"/>
      <c r="FH67" s="1616"/>
      <c r="FI67" s="1616"/>
      <c r="FJ67" s="1616"/>
      <c r="FK67" s="1616"/>
      <c r="FL67" s="1616"/>
      <c r="FM67" s="1616"/>
      <c r="FN67" s="1616"/>
      <c r="FO67" s="1616"/>
      <c r="FP67" s="1616"/>
      <c r="FQ67" s="1616"/>
      <c r="FR67" s="1616"/>
      <c r="FS67" s="1616"/>
      <c r="FT67" s="1616"/>
      <c r="FU67" s="1616"/>
      <c r="FV67" s="1616"/>
      <c r="FW67" s="1616"/>
      <c r="FX67" s="1616"/>
      <c r="FY67" s="1616"/>
      <c r="FZ67" s="1616"/>
      <c r="GA67" s="1616"/>
      <c r="GB67" s="1616"/>
      <c r="GC67" s="1616"/>
      <c r="GD67" s="1616"/>
      <c r="GE67" s="1616"/>
      <c r="GF67" s="1616"/>
      <c r="GG67" s="1616"/>
      <c r="GH67" s="1616"/>
      <c r="GI67" s="1616"/>
      <c r="GJ67" s="1616"/>
      <c r="GK67" s="1616"/>
      <c r="GL67" s="1616"/>
      <c r="GM67" s="1616"/>
      <c r="GN67" s="1616"/>
      <c r="GO67" s="1616"/>
      <c r="GP67" s="1616"/>
      <c r="GQ67" s="1616"/>
      <c r="GR67" s="1616"/>
      <c r="GS67" s="1616"/>
      <c r="GT67" s="1616"/>
      <c r="GU67" s="1616"/>
      <c r="GV67" s="1616"/>
      <c r="GW67" s="1616"/>
      <c r="GX67" s="1616"/>
      <c r="GY67" s="1616"/>
      <c r="GZ67" s="1616"/>
      <c r="HA67" s="1616"/>
      <c r="HB67" s="1616"/>
      <c r="HC67" s="1616"/>
      <c r="HD67" s="1616"/>
      <c r="HE67" s="1616"/>
      <c r="HF67" s="1616"/>
      <c r="HG67" s="1616"/>
      <c r="HH67" s="1616"/>
      <c r="HI67" s="1616"/>
      <c r="HJ67" s="1616"/>
      <c r="HK67" s="1616"/>
      <c r="HL67" s="1616"/>
      <c r="HM67" s="1616"/>
      <c r="HN67" s="1616"/>
      <c r="HO67" s="1616"/>
      <c r="HP67" s="1616"/>
      <c r="HQ67" s="1616"/>
      <c r="HR67" s="1616"/>
      <c r="HS67" s="1616"/>
      <c r="HT67" s="1616"/>
      <c r="HU67" s="1616"/>
      <c r="HV67" s="1616"/>
      <c r="HW67" s="1616"/>
      <c r="HX67" s="1616"/>
      <c r="HY67" s="1616"/>
      <c r="HZ67" s="1616"/>
      <c r="IA67" s="1616"/>
      <c r="IB67" s="1616"/>
      <c r="IC67" s="1616"/>
      <c r="ID67" s="1616"/>
      <c r="IE67" s="1616"/>
      <c r="IF67" s="1616"/>
      <c r="IG67" s="1616"/>
      <c r="IH67" s="1616"/>
      <c r="II67" s="1616"/>
      <c r="IJ67" s="1616"/>
      <c r="IK67" s="1616"/>
      <c r="IL67" s="1616"/>
      <c r="IM67" s="1616"/>
      <c r="IN67" s="1616"/>
      <c r="IO67" s="1616"/>
      <c r="IP67" s="1616"/>
      <c r="IQ67" s="1616"/>
      <c r="IR67" s="1616"/>
      <c r="IS67" s="1616"/>
      <c r="IT67" s="1616"/>
      <c r="IU67" s="1616"/>
    </row>
    <row r="68" spans="1:255" s="604" customFormat="1" ht="13.5" customHeight="1">
      <c r="A68" s="595"/>
      <c r="B68" s="596"/>
      <c r="C68" s="597"/>
      <c r="D68" s="719" t="s">
        <v>5919</v>
      </c>
      <c r="E68" s="599"/>
      <c r="F68" s="600">
        <f>(14.9+19.5)/1000</f>
        <v>3.44E-2</v>
      </c>
      <c r="G68" s="289"/>
      <c r="H68" s="601"/>
      <c r="I68" s="602"/>
      <c r="J68" s="603"/>
      <c r="N68" s="1248"/>
      <c r="U68" s="605"/>
      <c r="W68" s="605"/>
    </row>
    <row r="69" spans="1:255" s="1248" customFormat="1" ht="13.5" customHeight="1">
      <c r="A69" s="1614">
        <v>17</v>
      </c>
      <c r="B69" s="1615" t="s">
        <v>5808</v>
      </c>
      <c r="C69" s="1615">
        <v>460041111</v>
      </c>
      <c r="D69" s="1615" t="s">
        <v>5812</v>
      </c>
      <c r="E69" s="1615" t="s">
        <v>69</v>
      </c>
      <c r="F69" s="573">
        <f>ROUND(SUM(F70),3)</f>
        <v>2</v>
      </c>
      <c r="G69" s="288"/>
      <c r="H69" s="568">
        <f>ROUND(F69*G69,2)</f>
        <v>0</v>
      </c>
      <c r="I69" s="613" t="s">
        <v>137</v>
      </c>
      <c r="J69" s="603"/>
      <c r="K69" s="604"/>
      <c r="L69" s="604"/>
      <c r="M69" s="604"/>
      <c r="N69" s="604"/>
      <c r="BF69" s="1616"/>
      <c r="BG69" s="1616"/>
      <c r="BH69" s="1616"/>
      <c r="BI69" s="1616"/>
      <c r="BJ69" s="1616"/>
      <c r="BK69" s="1616"/>
      <c r="BL69" s="1616"/>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616"/>
      <c r="CH69" s="1616"/>
      <c r="CI69" s="1616"/>
      <c r="CJ69" s="1616"/>
      <c r="CK69" s="1616"/>
      <c r="CL69" s="1616"/>
      <c r="CM69" s="1616"/>
      <c r="CN69" s="1616"/>
      <c r="CO69" s="1616"/>
      <c r="CP69" s="1616"/>
      <c r="CQ69" s="1616"/>
      <c r="CR69" s="1616"/>
      <c r="CS69" s="1616"/>
      <c r="CT69" s="1616"/>
      <c r="CU69" s="1616"/>
      <c r="CV69" s="1616"/>
      <c r="CW69" s="1616"/>
      <c r="CX69" s="1616"/>
      <c r="CY69" s="1616"/>
      <c r="CZ69" s="1616"/>
      <c r="DA69" s="1616"/>
      <c r="DB69" s="1616"/>
      <c r="DC69" s="1616"/>
      <c r="DD69" s="1616"/>
      <c r="DE69" s="1616"/>
      <c r="DF69" s="1616"/>
      <c r="DG69" s="1616"/>
      <c r="DH69" s="1616"/>
      <c r="DI69" s="1616"/>
      <c r="DJ69" s="1616"/>
      <c r="DK69" s="1616"/>
      <c r="DL69" s="1616"/>
      <c r="DM69" s="1616"/>
      <c r="DN69" s="1616"/>
      <c r="DO69" s="1616"/>
      <c r="DP69" s="1616"/>
      <c r="DQ69" s="1616"/>
      <c r="DR69" s="1616"/>
      <c r="DS69" s="1616"/>
      <c r="DT69" s="1616"/>
      <c r="DU69" s="1616"/>
      <c r="DV69" s="1616"/>
      <c r="DW69" s="1616"/>
      <c r="DX69" s="1616"/>
      <c r="DY69" s="1616"/>
      <c r="DZ69" s="1616"/>
      <c r="EA69" s="1616"/>
      <c r="EB69" s="1616"/>
      <c r="EC69" s="1616"/>
      <c r="ED69" s="1616"/>
      <c r="EE69" s="1616"/>
      <c r="EF69" s="1616"/>
      <c r="EG69" s="1616"/>
      <c r="EH69" s="1616"/>
      <c r="EI69" s="1616"/>
      <c r="EJ69" s="1616"/>
      <c r="EK69" s="1616"/>
      <c r="EL69" s="1616"/>
      <c r="EM69" s="1616"/>
      <c r="EN69" s="1616"/>
      <c r="EO69" s="1616"/>
      <c r="EP69" s="1616"/>
      <c r="EQ69" s="1616"/>
      <c r="ER69" s="1616"/>
      <c r="ES69" s="1616"/>
      <c r="ET69" s="1616"/>
      <c r="EU69" s="1616"/>
      <c r="EV69" s="1616"/>
      <c r="EW69" s="1616"/>
      <c r="EX69" s="1616"/>
      <c r="EY69" s="1616"/>
      <c r="EZ69" s="1616"/>
      <c r="FA69" s="1616"/>
      <c r="FB69" s="1616"/>
      <c r="FC69" s="1616"/>
      <c r="FD69" s="1616"/>
      <c r="FE69" s="1616"/>
      <c r="FF69" s="1616"/>
      <c r="FG69" s="1616"/>
      <c r="FH69" s="1616"/>
      <c r="FI69" s="1616"/>
      <c r="FJ69" s="1616"/>
      <c r="FK69" s="1616"/>
      <c r="FL69" s="1616"/>
      <c r="FM69" s="1616"/>
      <c r="FN69" s="1616"/>
      <c r="FO69" s="1616"/>
      <c r="FP69" s="1616"/>
      <c r="FQ69" s="1616"/>
      <c r="FR69" s="1616"/>
      <c r="FS69" s="1616"/>
      <c r="FT69" s="1616"/>
      <c r="FU69" s="1616"/>
      <c r="FV69" s="1616"/>
      <c r="FW69" s="1616"/>
      <c r="FX69" s="1616"/>
      <c r="FY69" s="1616"/>
      <c r="FZ69" s="1616"/>
      <c r="GA69" s="1616"/>
      <c r="GB69" s="1616"/>
      <c r="GC69" s="1616"/>
      <c r="GD69" s="1616"/>
      <c r="GE69" s="1616"/>
      <c r="GF69" s="1616"/>
      <c r="GG69" s="1616"/>
      <c r="GH69" s="1616"/>
      <c r="GI69" s="1616"/>
      <c r="GJ69" s="1616"/>
      <c r="GK69" s="1616"/>
      <c r="GL69" s="1616"/>
      <c r="GM69" s="1616"/>
      <c r="GN69" s="1616"/>
      <c r="GO69" s="1616"/>
      <c r="GP69" s="1616"/>
      <c r="GQ69" s="1616"/>
      <c r="GR69" s="1616"/>
      <c r="GS69" s="1616"/>
      <c r="GT69" s="1616"/>
      <c r="GU69" s="1616"/>
      <c r="GV69" s="1616"/>
      <c r="GW69" s="1616"/>
      <c r="GX69" s="1616"/>
      <c r="GY69" s="1616"/>
      <c r="GZ69" s="1616"/>
      <c r="HA69" s="1616"/>
      <c r="HB69" s="1616"/>
      <c r="HC69" s="1616"/>
      <c r="HD69" s="1616"/>
      <c r="HE69" s="1616"/>
      <c r="HF69" s="1616"/>
      <c r="HG69" s="1616"/>
      <c r="HH69" s="1616"/>
      <c r="HI69" s="1616"/>
      <c r="HJ69" s="1616"/>
      <c r="HK69" s="1616"/>
      <c r="HL69" s="1616"/>
      <c r="HM69" s="1616"/>
      <c r="HN69" s="1616"/>
      <c r="HO69" s="1616"/>
      <c r="HP69" s="1616"/>
      <c r="HQ69" s="1616"/>
      <c r="HR69" s="1616"/>
      <c r="HS69" s="1616"/>
      <c r="HT69" s="1616"/>
      <c r="HU69" s="1616"/>
      <c r="HV69" s="1616"/>
      <c r="HW69" s="1616"/>
      <c r="HX69" s="1616"/>
      <c r="HY69" s="1616"/>
      <c r="HZ69" s="1616"/>
      <c r="IA69" s="1616"/>
      <c r="IB69" s="1616"/>
      <c r="IC69" s="1616"/>
      <c r="ID69" s="1616"/>
      <c r="IE69" s="1616"/>
      <c r="IF69" s="1616"/>
      <c r="IG69" s="1616"/>
      <c r="IH69" s="1616"/>
      <c r="II69" s="1616"/>
      <c r="IJ69" s="1616"/>
      <c r="IK69" s="1616"/>
      <c r="IL69" s="1616"/>
      <c r="IM69" s="1616"/>
      <c r="IN69" s="1616"/>
      <c r="IO69" s="1616"/>
      <c r="IP69" s="1616"/>
      <c r="IQ69" s="1616"/>
      <c r="IR69" s="1616"/>
      <c r="IS69" s="1616"/>
      <c r="IT69" s="1616"/>
      <c r="IU69" s="1616"/>
    </row>
    <row r="70" spans="1:255" s="604" customFormat="1" ht="13.5" customHeight="1">
      <c r="A70" s="595"/>
      <c r="B70" s="596"/>
      <c r="C70" s="597"/>
      <c r="D70" s="719" t="s">
        <v>5813</v>
      </c>
      <c r="E70" s="599"/>
      <c r="F70" s="600">
        <v>2</v>
      </c>
      <c r="G70" s="289"/>
      <c r="H70" s="601"/>
      <c r="I70" s="602"/>
      <c r="J70" s="603"/>
      <c r="U70" s="605"/>
      <c r="W70" s="605"/>
    </row>
    <row r="71" spans="1:255" s="1248" customFormat="1" ht="13.5" customHeight="1">
      <c r="A71" s="1614">
        <v>18</v>
      </c>
      <c r="B71" s="1615" t="s">
        <v>5808</v>
      </c>
      <c r="C71" s="1615">
        <v>460161452</v>
      </c>
      <c r="D71" s="1615" t="s">
        <v>5814</v>
      </c>
      <c r="E71" s="1615" t="s">
        <v>141</v>
      </c>
      <c r="F71" s="573">
        <f>ROUND(SUM(F73),3)</f>
        <v>0.97499999999999998</v>
      </c>
      <c r="G71" s="288"/>
      <c r="H71" s="568">
        <f>ROUND(F71*G71,2)</f>
        <v>0</v>
      </c>
      <c r="I71" s="613" t="s">
        <v>137</v>
      </c>
      <c r="J71" s="1612"/>
      <c r="L71" s="1613"/>
      <c r="BF71" s="1616"/>
      <c r="BG71" s="1616"/>
      <c r="BH71" s="1616"/>
      <c r="BI71" s="1616"/>
      <c r="BJ71" s="1616"/>
      <c r="BK71" s="1616"/>
      <c r="BL71" s="1616"/>
      <c r="BM71" s="1616"/>
      <c r="BN71" s="1616"/>
      <c r="BO71" s="1616"/>
      <c r="BP71" s="1616"/>
      <c r="BQ71" s="1616"/>
      <c r="BR71" s="1616"/>
      <c r="BS71" s="1616"/>
      <c r="BT71" s="1616"/>
      <c r="BU71" s="1616"/>
      <c r="BV71" s="1616"/>
      <c r="BW71" s="1616"/>
      <c r="BX71" s="1616"/>
      <c r="BY71" s="1616"/>
      <c r="BZ71" s="1616"/>
      <c r="CA71" s="1616"/>
      <c r="CB71" s="1616"/>
      <c r="CC71" s="1616"/>
      <c r="CD71" s="1616"/>
      <c r="CE71" s="1616"/>
      <c r="CF71" s="1616"/>
      <c r="CG71" s="1616"/>
      <c r="CH71" s="1616"/>
      <c r="CI71" s="1616"/>
      <c r="CJ71" s="1616"/>
      <c r="CK71" s="1616"/>
      <c r="CL71" s="1616"/>
      <c r="CM71" s="1616"/>
      <c r="CN71" s="1616"/>
      <c r="CO71" s="1616"/>
      <c r="CP71" s="1616"/>
      <c r="CQ71" s="1616"/>
      <c r="CR71" s="1616"/>
      <c r="CS71" s="1616"/>
      <c r="CT71" s="1616"/>
      <c r="CU71" s="1616"/>
      <c r="CV71" s="1616"/>
      <c r="CW71" s="1616"/>
      <c r="CX71" s="1616"/>
      <c r="CY71" s="1616"/>
      <c r="CZ71" s="1616"/>
      <c r="DA71" s="1616"/>
      <c r="DB71" s="1616"/>
      <c r="DC71" s="1616"/>
      <c r="DD71" s="1616"/>
      <c r="DE71" s="1616"/>
      <c r="DF71" s="1616"/>
      <c r="DG71" s="1616"/>
      <c r="DH71" s="1616"/>
      <c r="DI71" s="1616"/>
      <c r="DJ71" s="1616"/>
      <c r="DK71" s="1616"/>
      <c r="DL71" s="1616"/>
      <c r="DM71" s="1616"/>
      <c r="DN71" s="1616"/>
      <c r="DO71" s="1616"/>
      <c r="DP71" s="1616"/>
      <c r="DQ71" s="1616"/>
      <c r="DR71" s="1616"/>
      <c r="DS71" s="1616"/>
      <c r="DT71" s="1616"/>
      <c r="DU71" s="1616"/>
      <c r="DV71" s="1616"/>
      <c r="DW71" s="1616"/>
      <c r="DX71" s="1616"/>
      <c r="DY71" s="1616"/>
      <c r="DZ71" s="1616"/>
      <c r="EA71" s="1616"/>
      <c r="EB71" s="1616"/>
      <c r="EC71" s="1616"/>
      <c r="ED71" s="1616"/>
      <c r="EE71" s="1616"/>
      <c r="EF71" s="1616"/>
      <c r="EG71" s="1616"/>
      <c r="EH71" s="1616"/>
      <c r="EI71" s="1616"/>
      <c r="EJ71" s="1616"/>
      <c r="EK71" s="1616"/>
      <c r="EL71" s="1616"/>
      <c r="EM71" s="1616"/>
      <c r="EN71" s="1616"/>
      <c r="EO71" s="1616"/>
      <c r="EP71" s="1616"/>
      <c r="EQ71" s="1616"/>
      <c r="ER71" s="1616"/>
      <c r="ES71" s="1616"/>
      <c r="ET71" s="1616"/>
      <c r="EU71" s="1616"/>
      <c r="EV71" s="1616"/>
      <c r="EW71" s="1616"/>
      <c r="EX71" s="1616"/>
      <c r="EY71" s="1616"/>
      <c r="EZ71" s="1616"/>
      <c r="FA71" s="1616"/>
      <c r="FB71" s="1616"/>
      <c r="FC71" s="1616"/>
      <c r="FD71" s="1616"/>
      <c r="FE71" s="1616"/>
      <c r="FF71" s="1616"/>
      <c r="FG71" s="1616"/>
      <c r="FH71" s="1616"/>
      <c r="FI71" s="1616"/>
      <c r="FJ71" s="1616"/>
      <c r="FK71" s="1616"/>
      <c r="FL71" s="1616"/>
      <c r="FM71" s="1616"/>
      <c r="FN71" s="1616"/>
      <c r="FO71" s="1616"/>
      <c r="FP71" s="1616"/>
      <c r="FQ71" s="1616"/>
      <c r="FR71" s="1616"/>
      <c r="FS71" s="1616"/>
      <c r="FT71" s="1616"/>
      <c r="FU71" s="1616"/>
      <c r="FV71" s="1616"/>
      <c r="FW71" s="1616"/>
      <c r="FX71" s="1616"/>
      <c r="FY71" s="1616"/>
      <c r="FZ71" s="1616"/>
      <c r="GA71" s="1616"/>
      <c r="GB71" s="1616"/>
      <c r="GC71" s="1616"/>
      <c r="GD71" s="1616"/>
      <c r="GE71" s="1616"/>
      <c r="GF71" s="1616"/>
      <c r="GG71" s="1616"/>
      <c r="GH71" s="1616"/>
      <c r="GI71" s="1616"/>
      <c r="GJ71" s="1616"/>
      <c r="GK71" s="1616"/>
      <c r="GL71" s="1616"/>
      <c r="GM71" s="1616"/>
      <c r="GN71" s="1616"/>
      <c r="GO71" s="1616"/>
      <c r="GP71" s="1616"/>
      <c r="GQ71" s="1616"/>
      <c r="GR71" s="1616"/>
      <c r="GS71" s="1616"/>
      <c r="GT71" s="1616"/>
      <c r="GU71" s="1616"/>
      <c r="GV71" s="1616"/>
      <c r="GW71" s="1616"/>
      <c r="GX71" s="1616"/>
      <c r="GY71" s="1616"/>
      <c r="GZ71" s="1616"/>
      <c r="HA71" s="1616"/>
      <c r="HB71" s="1616"/>
      <c r="HC71" s="1616"/>
      <c r="HD71" s="1616"/>
      <c r="HE71" s="1616"/>
      <c r="HF71" s="1616"/>
      <c r="HG71" s="1616"/>
      <c r="HH71" s="1616"/>
      <c r="HI71" s="1616"/>
      <c r="HJ71" s="1616"/>
      <c r="HK71" s="1616"/>
      <c r="HL71" s="1616"/>
      <c r="HM71" s="1616"/>
      <c r="HN71" s="1616"/>
      <c r="HO71" s="1616"/>
      <c r="HP71" s="1616"/>
      <c r="HQ71" s="1616"/>
      <c r="HR71" s="1616"/>
      <c r="HS71" s="1616"/>
      <c r="HT71" s="1616"/>
      <c r="HU71" s="1616"/>
      <c r="HV71" s="1616"/>
      <c r="HW71" s="1616"/>
      <c r="HX71" s="1616"/>
      <c r="HY71" s="1616"/>
      <c r="HZ71" s="1616"/>
      <c r="IA71" s="1616"/>
      <c r="IB71" s="1616"/>
      <c r="IC71" s="1616"/>
      <c r="ID71" s="1616"/>
      <c r="IE71" s="1616"/>
      <c r="IF71" s="1616"/>
      <c r="IG71" s="1616"/>
      <c r="IH71" s="1616"/>
      <c r="II71" s="1616"/>
      <c r="IJ71" s="1616"/>
      <c r="IK71" s="1616"/>
      <c r="IL71" s="1616"/>
      <c r="IM71" s="1616"/>
      <c r="IN71" s="1616"/>
      <c r="IO71" s="1616"/>
      <c r="IP71" s="1616"/>
      <c r="IQ71" s="1616"/>
      <c r="IR71" s="1616"/>
      <c r="IS71" s="1616"/>
      <c r="IT71" s="1616"/>
      <c r="IU71" s="1616"/>
    </row>
    <row r="72" spans="1:255" s="604" customFormat="1" ht="27" customHeight="1">
      <c r="A72" s="595"/>
      <c r="B72" s="596"/>
      <c r="C72" s="597"/>
      <c r="D72" s="1617" t="s">
        <v>5920</v>
      </c>
      <c r="E72" s="599"/>
      <c r="F72" s="600"/>
      <c r="G72" s="289"/>
      <c r="H72" s="601"/>
      <c r="I72" s="602"/>
      <c r="J72" s="603"/>
      <c r="U72" s="605"/>
      <c r="W72" s="605"/>
    </row>
    <row r="73" spans="1:255" s="604" customFormat="1" ht="27" customHeight="1">
      <c r="A73" s="595"/>
      <c r="B73" s="596"/>
      <c r="C73" s="597"/>
      <c r="D73" s="1618" t="s">
        <v>5921</v>
      </c>
      <c r="E73" s="599"/>
      <c r="F73" s="600">
        <f>(19.5)*0.05</f>
        <v>0.97500000000000009</v>
      </c>
      <c r="G73" s="289"/>
      <c r="H73" s="601"/>
      <c r="I73" s="602"/>
      <c r="J73" s="603"/>
      <c r="U73" s="605"/>
      <c r="W73" s="605"/>
    </row>
    <row r="74" spans="1:255" s="604" customFormat="1" ht="27" customHeight="1">
      <c r="A74" s="595"/>
      <c r="B74" s="596"/>
      <c r="C74" s="597"/>
      <c r="D74" s="1619" t="s">
        <v>4323</v>
      </c>
      <c r="E74" s="599"/>
      <c r="F74" s="600"/>
      <c r="G74" s="289"/>
      <c r="H74" s="601"/>
      <c r="I74" s="602"/>
      <c r="U74" s="605"/>
      <c r="W74" s="605"/>
    </row>
    <row r="75" spans="1:255" s="1248" customFormat="1" ht="27" customHeight="1">
      <c r="A75" s="1614">
        <v>19</v>
      </c>
      <c r="B75" s="1615" t="s">
        <v>5808</v>
      </c>
      <c r="C75" s="1615">
        <v>460161652</v>
      </c>
      <c r="D75" s="1615" t="s">
        <v>5817</v>
      </c>
      <c r="E75" s="1615" t="s">
        <v>141</v>
      </c>
      <c r="F75" s="573">
        <f>ROUND(SUM(F77),3)</f>
        <v>0.745</v>
      </c>
      <c r="G75" s="5246" t="s">
        <v>5922</v>
      </c>
      <c r="H75" s="5247"/>
      <c r="I75" s="613" t="s">
        <v>137</v>
      </c>
      <c r="J75" s="1612"/>
      <c r="L75" s="1613"/>
      <c r="BF75" s="1616"/>
      <c r="BG75" s="1616"/>
      <c r="BH75" s="1616"/>
      <c r="BI75" s="1616"/>
      <c r="BJ75" s="1616"/>
      <c r="BK75" s="1616"/>
      <c r="BL75" s="1616"/>
      <c r="BM75" s="1616"/>
      <c r="BN75" s="1616"/>
      <c r="BO75" s="1616"/>
      <c r="BP75" s="1616"/>
      <c r="BQ75" s="1616"/>
      <c r="BR75" s="1616"/>
      <c r="BS75" s="1616"/>
      <c r="BT75" s="1616"/>
      <c r="BU75" s="1616"/>
      <c r="BV75" s="1616"/>
      <c r="BW75" s="1616"/>
      <c r="BX75" s="1616"/>
      <c r="BY75" s="1616"/>
      <c r="BZ75" s="1616"/>
      <c r="CA75" s="1616"/>
      <c r="CB75" s="1616"/>
      <c r="CC75" s="1616"/>
      <c r="CD75" s="1616"/>
      <c r="CE75" s="1616"/>
      <c r="CF75" s="1616"/>
      <c r="CG75" s="1616"/>
      <c r="CH75" s="1616"/>
      <c r="CI75" s="1616"/>
      <c r="CJ75" s="1616"/>
      <c r="CK75" s="1616"/>
      <c r="CL75" s="1616"/>
      <c r="CM75" s="1616"/>
      <c r="CN75" s="1616"/>
      <c r="CO75" s="1616"/>
      <c r="CP75" s="1616"/>
      <c r="CQ75" s="1616"/>
      <c r="CR75" s="1616"/>
      <c r="CS75" s="1616"/>
      <c r="CT75" s="1616"/>
      <c r="CU75" s="1616"/>
      <c r="CV75" s="1616"/>
      <c r="CW75" s="1616"/>
      <c r="CX75" s="1616"/>
      <c r="CY75" s="1616"/>
      <c r="CZ75" s="1616"/>
      <c r="DA75" s="1616"/>
      <c r="DB75" s="1616"/>
      <c r="DC75" s="1616"/>
      <c r="DD75" s="1616"/>
      <c r="DE75" s="1616"/>
      <c r="DF75" s="1616"/>
      <c r="DG75" s="1616"/>
      <c r="DH75" s="1616"/>
      <c r="DI75" s="1616"/>
      <c r="DJ75" s="1616"/>
      <c r="DK75" s="1616"/>
      <c r="DL75" s="1616"/>
      <c r="DM75" s="1616"/>
      <c r="DN75" s="1616"/>
      <c r="DO75" s="1616"/>
      <c r="DP75" s="1616"/>
      <c r="DQ75" s="1616"/>
      <c r="DR75" s="1616"/>
      <c r="DS75" s="1616"/>
      <c r="DT75" s="1616"/>
      <c r="DU75" s="1616"/>
      <c r="DV75" s="1616"/>
      <c r="DW75" s="1616"/>
      <c r="DX75" s="1616"/>
      <c r="DY75" s="1616"/>
      <c r="DZ75" s="1616"/>
      <c r="EA75" s="1616"/>
      <c r="EB75" s="1616"/>
      <c r="EC75" s="1616"/>
      <c r="ED75" s="1616"/>
      <c r="EE75" s="1616"/>
      <c r="EF75" s="1616"/>
      <c r="EG75" s="1616"/>
      <c r="EH75" s="1616"/>
      <c r="EI75" s="1616"/>
      <c r="EJ75" s="1616"/>
      <c r="EK75" s="1616"/>
      <c r="EL75" s="1616"/>
      <c r="EM75" s="1616"/>
      <c r="EN75" s="1616"/>
      <c r="EO75" s="1616"/>
      <c r="EP75" s="1616"/>
      <c r="EQ75" s="1616"/>
      <c r="ER75" s="1616"/>
      <c r="ES75" s="1616"/>
      <c r="ET75" s="1616"/>
      <c r="EU75" s="1616"/>
      <c r="EV75" s="1616"/>
      <c r="EW75" s="1616"/>
      <c r="EX75" s="1616"/>
      <c r="EY75" s="1616"/>
      <c r="EZ75" s="1616"/>
      <c r="FA75" s="1616"/>
      <c r="FB75" s="1616"/>
      <c r="FC75" s="1616"/>
      <c r="FD75" s="1616"/>
      <c r="FE75" s="1616"/>
      <c r="FF75" s="1616"/>
      <c r="FG75" s="1616"/>
      <c r="FH75" s="1616"/>
      <c r="FI75" s="1616"/>
      <c r="FJ75" s="1616"/>
      <c r="FK75" s="1616"/>
      <c r="FL75" s="1616"/>
      <c r="FM75" s="1616"/>
      <c r="FN75" s="1616"/>
      <c r="FO75" s="1616"/>
      <c r="FP75" s="1616"/>
      <c r="FQ75" s="1616"/>
      <c r="FR75" s="1616"/>
      <c r="FS75" s="1616"/>
      <c r="FT75" s="1616"/>
      <c r="FU75" s="1616"/>
      <c r="FV75" s="1616"/>
      <c r="FW75" s="1616"/>
      <c r="FX75" s="1616"/>
      <c r="FY75" s="1616"/>
      <c r="FZ75" s="1616"/>
      <c r="GA75" s="1616"/>
      <c r="GB75" s="1616"/>
      <c r="GC75" s="1616"/>
      <c r="GD75" s="1616"/>
      <c r="GE75" s="1616"/>
      <c r="GF75" s="1616"/>
      <c r="GG75" s="1616"/>
      <c r="GH75" s="1616"/>
      <c r="GI75" s="1616"/>
      <c r="GJ75" s="1616"/>
      <c r="GK75" s="1616"/>
      <c r="GL75" s="1616"/>
      <c r="GM75" s="1616"/>
      <c r="GN75" s="1616"/>
      <c r="GO75" s="1616"/>
      <c r="GP75" s="1616"/>
      <c r="GQ75" s="1616"/>
      <c r="GR75" s="1616"/>
      <c r="GS75" s="1616"/>
      <c r="GT75" s="1616"/>
      <c r="GU75" s="1616"/>
      <c r="GV75" s="1616"/>
      <c r="GW75" s="1616"/>
      <c r="GX75" s="1616"/>
      <c r="GY75" s="1616"/>
      <c r="GZ75" s="1616"/>
      <c r="HA75" s="1616"/>
      <c r="HB75" s="1616"/>
      <c r="HC75" s="1616"/>
      <c r="HD75" s="1616"/>
      <c r="HE75" s="1616"/>
      <c r="HF75" s="1616"/>
      <c r="HG75" s="1616"/>
      <c r="HH75" s="1616"/>
      <c r="HI75" s="1616"/>
      <c r="HJ75" s="1616"/>
      <c r="HK75" s="1616"/>
      <c r="HL75" s="1616"/>
      <c r="HM75" s="1616"/>
      <c r="HN75" s="1616"/>
      <c r="HO75" s="1616"/>
      <c r="HP75" s="1616"/>
      <c r="HQ75" s="1616"/>
      <c r="HR75" s="1616"/>
      <c r="HS75" s="1616"/>
      <c r="HT75" s="1616"/>
      <c r="HU75" s="1616"/>
      <c r="HV75" s="1616"/>
      <c r="HW75" s="1616"/>
      <c r="HX75" s="1616"/>
      <c r="HY75" s="1616"/>
      <c r="HZ75" s="1616"/>
      <c r="IA75" s="1616"/>
      <c r="IB75" s="1616"/>
      <c r="IC75" s="1616"/>
      <c r="ID75" s="1616"/>
      <c r="IE75" s="1616"/>
      <c r="IF75" s="1616"/>
      <c r="IG75" s="1616"/>
      <c r="IH75" s="1616"/>
      <c r="II75" s="1616"/>
      <c r="IJ75" s="1616"/>
      <c r="IK75" s="1616"/>
      <c r="IL75" s="1616"/>
      <c r="IM75" s="1616"/>
      <c r="IN75" s="1616"/>
      <c r="IO75" s="1616"/>
      <c r="IP75" s="1616"/>
      <c r="IQ75" s="1616"/>
      <c r="IR75" s="1616"/>
      <c r="IS75" s="1616"/>
      <c r="IT75" s="1616"/>
      <c r="IU75" s="1616"/>
    </row>
    <row r="76" spans="1:255" s="604" customFormat="1" ht="27" customHeight="1">
      <c r="A76" s="595"/>
      <c r="B76" s="596"/>
      <c r="C76" s="597"/>
      <c r="D76" s="1617" t="s">
        <v>5818</v>
      </c>
      <c r="E76" s="599"/>
      <c r="F76" s="600"/>
      <c r="G76" s="289"/>
      <c r="H76" s="601"/>
      <c r="I76" s="602"/>
      <c r="J76" s="603"/>
      <c r="U76" s="605"/>
      <c r="W76" s="605"/>
    </row>
    <row r="77" spans="1:255" s="604" customFormat="1" ht="27" customHeight="1">
      <c r="A77" s="595"/>
      <c r="B77" s="596"/>
      <c r="C77" s="597"/>
      <c r="D77" s="1618" t="s">
        <v>5819</v>
      </c>
      <c r="E77" s="599"/>
      <c r="F77" s="600">
        <f>(14.9)*0.05</f>
        <v>0.74500000000000011</v>
      </c>
      <c r="G77" s="289"/>
      <c r="H77" s="601"/>
      <c r="I77" s="602"/>
      <c r="J77" s="603"/>
      <c r="U77" s="605"/>
      <c r="W77" s="605"/>
    </row>
    <row r="78" spans="1:255" s="604" customFormat="1" ht="27" customHeight="1">
      <c r="A78" s="595"/>
      <c r="B78" s="596"/>
      <c r="C78" s="597"/>
      <c r="D78" s="1619" t="s">
        <v>4323</v>
      </c>
      <c r="E78" s="599"/>
      <c r="F78" s="600"/>
      <c r="G78" s="289"/>
      <c r="H78" s="601"/>
      <c r="I78" s="602"/>
      <c r="U78" s="605"/>
      <c r="W78" s="605"/>
    </row>
    <row r="79" spans="1:255" s="1248" customFormat="1" ht="13.5" customHeight="1">
      <c r="A79" s="1614">
        <v>20</v>
      </c>
      <c r="B79" s="1615" t="s">
        <v>5808</v>
      </c>
      <c r="C79" s="1615">
        <v>460171452</v>
      </c>
      <c r="D79" s="1615" t="s">
        <v>5820</v>
      </c>
      <c r="E79" s="1615" t="s">
        <v>141</v>
      </c>
      <c r="F79" s="573">
        <f>ROUND(SUM(F81),3)</f>
        <v>16.574999999999999</v>
      </c>
      <c r="G79" s="288"/>
      <c r="H79" s="568">
        <f>ROUND(F79*G79,2)</f>
        <v>0</v>
      </c>
      <c r="I79" s="613" t="s">
        <v>137</v>
      </c>
      <c r="J79" s="1612"/>
      <c r="L79" s="1613"/>
      <c r="BF79" s="1616"/>
      <c r="BG79" s="1616"/>
      <c r="BH79" s="1616"/>
      <c r="BI79" s="1616"/>
      <c r="BJ79" s="1616"/>
      <c r="BK79" s="1616"/>
      <c r="BL79" s="1616"/>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6"/>
      <c r="CI79" s="1616"/>
      <c r="CJ79" s="1616"/>
      <c r="CK79" s="1616"/>
      <c r="CL79" s="1616"/>
      <c r="CM79" s="1616"/>
      <c r="CN79" s="1616"/>
      <c r="CO79" s="1616"/>
      <c r="CP79" s="1616"/>
      <c r="CQ79" s="1616"/>
      <c r="CR79" s="1616"/>
      <c r="CS79" s="1616"/>
      <c r="CT79" s="1616"/>
      <c r="CU79" s="1616"/>
      <c r="CV79" s="1616"/>
      <c r="CW79" s="1616"/>
      <c r="CX79" s="1616"/>
      <c r="CY79" s="1616"/>
      <c r="CZ79" s="1616"/>
      <c r="DA79" s="1616"/>
      <c r="DB79" s="1616"/>
      <c r="DC79" s="1616"/>
      <c r="DD79" s="1616"/>
      <c r="DE79" s="1616"/>
      <c r="DF79" s="1616"/>
      <c r="DG79" s="1616"/>
      <c r="DH79" s="1616"/>
      <c r="DI79" s="1616"/>
      <c r="DJ79" s="1616"/>
      <c r="DK79" s="1616"/>
      <c r="DL79" s="1616"/>
      <c r="DM79" s="1616"/>
      <c r="DN79" s="1616"/>
      <c r="DO79" s="1616"/>
      <c r="DP79" s="1616"/>
      <c r="DQ79" s="1616"/>
      <c r="DR79" s="1616"/>
      <c r="DS79" s="1616"/>
      <c r="DT79" s="1616"/>
      <c r="DU79" s="1616"/>
      <c r="DV79" s="1616"/>
      <c r="DW79" s="1616"/>
      <c r="DX79" s="1616"/>
      <c r="DY79" s="1616"/>
      <c r="DZ79" s="1616"/>
      <c r="EA79" s="1616"/>
      <c r="EB79" s="1616"/>
      <c r="EC79" s="1616"/>
      <c r="ED79" s="1616"/>
      <c r="EE79" s="1616"/>
      <c r="EF79" s="1616"/>
      <c r="EG79" s="1616"/>
      <c r="EH79" s="1616"/>
      <c r="EI79" s="1616"/>
      <c r="EJ79" s="1616"/>
      <c r="EK79" s="1616"/>
      <c r="EL79" s="1616"/>
      <c r="EM79" s="1616"/>
      <c r="EN79" s="1616"/>
      <c r="EO79" s="1616"/>
      <c r="EP79" s="1616"/>
      <c r="EQ79" s="1616"/>
      <c r="ER79" s="1616"/>
      <c r="ES79" s="1616"/>
      <c r="ET79" s="1616"/>
      <c r="EU79" s="1616"/>
      <c r="EV79" s="1616"/>
      <c r="EW79" s="1616"/>
      <c r="EX79" s="1616"/>
      <c r="EY79" s="1616"/>
      <c r="EZ79" s="1616"/>
      <c r="FA79" s="1616"/>
      <c r="FB79" s="1616"/>
      <c r="FC79" s="1616"/>
      <c r="FD79" s="1616"/>
      <c r="FE79" s="1616"/>
      <c r="FF79" s="1616"/>
      <c r="FG79" s="1616"/>
      <c r="FH79" s="1616"/>
      <c r="FI79" s="1616"/>
      <c r="FJ79" s="1616"/>
      <c r="FK79" s="1616"/>
      <c r="FL79" s="1616"/>
      <c r="FM79" s="1616"/>
      <c r="FN79" s="1616"/>
      <c r="FO79" s="1616"/>
      <c r="FP79" s="1616"/>
      <c r="FQ79" s="1616"/>
      <c r="FR79" s="1616"/>
      <c r="FS79" s="1616"/>
      <c r="FT79" s="1616"/>
      <c r="FU79" s="1616"/>
      <c r="FV79" s="1616"/>
      <c r="FW79" s="1616"/>
      <c r="FX79" s="1616"/>
      <c r="FY79" s="1616"/>
      <c r="FZ79" s="1616"/>
      <c r="GA79" s="1616"/>
      <c r="GB79" s="1616"/>
      <c r="GC79" s="1616"/>
      <c r="GD79" s="1616"/>
      <c r="GE79" s="1616"/>
      <c r="GF79" s="1616"/>
      <c r="GG79" s="1616"/>
      <c r="GH79" s="1616"/>
      <c r="GI79" s="1616"/>
      <c r="GJ79" s="1616"/>
      <c r="GK79" s="1616"/>
      <c r="GL79" s="1616"/>
      <c r="GM79" s="1616"/>
      <c r="GN79" s="1616"/>
      <c r="GO79" s="1616"/>
      <c r="GP79" s="1616"/>
      <c r="GQ79" s="1616"/>
      <c r="GR79" s="1616"/>
      <c r="GS79" s="1616"/>
      <c r="GT79" s="1616"/>
      <c r="GU79" s="1616"/>
      <c r="GV79" s="1616"/>
      <c r="GW79" s="1616"/>
      <c r="GX79" s="1616"/>
      <c r="GY79" s="1616"/>
      <c r="GZ79" s="1616"/>
      <c r="HA79" s="1616"/>
      <c r="HB79" s="1616"/>
      <c r="HC79" s="1616"/>
      <c r="HD79" s="1616"/>
      <c r="HE79" s="1616"/>
      <c r="HF79" s="1616"/>
      <c r="HG79" s="1616"/>
      <c r="HH79" s="1616"/>
      <c r="HI79" s="1616"/>
      <c r="HJ79" s="1616"/>
      <c r="HK79" s="1616"/>
      <c r="HL79" s="1616"/>
      <c r="HM79" s="1616"/>
      <c r="HN79" s="1616"/>
      <c r="HO79" s="1616"/>
      <c r="HP79" s="1616"/>
      <c r="HQ79" s="1616"/>
      <c r="HR79" s="1616"/>
      <c r="HS79" s="1616"/>
      <c r="HT79" s="1616"/>
      <c r="HU79" s="1616"/>
      <c r="HV79" s="1616"/>
      <c r="HW79" s="1616"/>
      <c r="HX79" s="1616"/>
      <c r="HY79" s="1616"/>
      <c r="HZ79" s="1616"/>
      <c r="IA79" s="1616"/>
      <c r="IB79" s="1616"/>
      <c r="IC79" s="1616"/>
      <c r="ID79" s="1616"/>
      <c r="IE79" s="1616"/>
      <c r="IF79" s="1616"/>
      <c r="IG79" s="1616"/>
      <c r="IH79" s="1616"/>
      <c r="II79" s="1616"/>
      <c r="IJ79" s="1616"/>
      <c r="IK79" s="1616"/>
      <c r="IL79" s="1616"/>
      <c r="IM79" s="1616"/>
      <c r="IN79" s="1616"/>
      <c r="IO79" s="1616"/>
      <c r="IP79" s="1616"/>
      <c r="IQ79" s="1616"/>
      <c r="IR79" s="1616"/>
      <c r="IS79" s="1616"/>
      <c r="IT79" s="1616"/>
      <c r="IU79" s="1616"/>
    </row>
    <row r="80" spans="1:255" s="604" customFormat="1" ht="27" customHeight="1">
      <c r="A80" s="595"/>
      <c r="B80" s="596"/>
      <c r="C80" s="597"/>
      <c r="D80" s="1617" t="s">
        <v>5923</v>
      </c>
      <c r="E80" s="599"/>
      <c r="F80" s="600"/>
      <c r="G80" s="289"/>
      <c r="H80" s="601"/>
      <c r="I80" s="602"/>
      <c r="J80" s="603"/>
      <c r="U80" s="605"/>
      <c r="W80" s="605"/>
    </row>
    <row r="81" spans="1:255" s="604" customFormat="1" ht="27" customHeight="1">
      <c r="A81" s="595"/>
      <c r="B81" s="596"/>
      <c r="C81" s="597"/>
      <c r="D81" s="1618" t="s">
        <v>5924</v>
      </c>
      <c r="E81" s="599"/>
      <c r="F81" s="600">
        <f>(19.5)*0.85</f>
        <v>16.574999999999999</v>
      </c>
      <c r="G81" s="289"/>
      <c r="H81" s="601"/>
      <c r="I81" s="602"/>
      <c r="J81" s="603"/>
      <c r="U81" s="605"/>
      <c r="W81" s="605"/>
    </row>
    <row r="82" spans="1:255" s="604" customFormat="1" ht="27" customHeight="1">
      <c r="A82" s="595"/>
      <c r="B82" s="596"/>
      <c r="C82" s="597"/>
      <c r="D82" s="1619" t="s">
        <v>4323</v>
      </c>
      <c r="E82" s="599"/>
      <c r="F82" s="600"/>
      <c r="G82" s="289"/>
      <c r="H82" s="601"/>
      <c r="I82" s="602"/>
      <c r="U82" s="605"/>
      <c r="W82" s="605"/>
    </row>
    <row r="83" spans="1:255" s="1248" customFormat="1" ht="13.5" customHeight="1">
      <c r="A83" s="1614">
        <v>21</v>
      </c>
      <c r="B83" s="1615" t="s">
        <v>5808</v>
      </c>
      <c r="C83" s="1615">
        <v>460171453</v>
      </c>
      <c r="D83" s="1615" t="s">
        <v>5823</v>
      </c>
      <c r="E83" s="1615" t="s">
        <v>141</v>
      </c>
      <c r="F83" s="573">
        <f>ROUND(SUM(F85),3)</f>
        <v>1.95</v>
      </c>
      <c r="G83" s="288"/>
      <c r="H83" s="568">
        <f>ROUND(F83*G83,2)</f>
        <v>0</v>
      </c>
      <c r="I83" s="613" t="s">
        <v>137</v>
      </c>
      <c r="J83" s="1612"/>
      <c r="L83" s="1613"/>
      <c r="BF83" s="1616"/>
      <c r="BG83" s="1616"/>
      <c r="BH83" s="1616"/>
      <c r="BI83" s="1616"/>
      <c r="BJ83" s="1616"/>
      <c r="BK83" s="1616"/>
      <c r="BL83" s="1616"/>
      <c r="BM83" s="1616"/>
      <c r="BN83" s="1616"/>
      <c r="BO83" s="1616"/>
      <c r="BP83" s="1616"/>
      <c r="BQ83" s="1616"/>
      <c r="BR83" s="1616"/>
      <c r="BS83" s="1616"/>
      <c r="BT83" s="1616"/>
      <c r="BU83" s="1616"/>
      <c r="BV83" s="1616"/>
      <c r="BW83" s="1616"/>
      <c r="BX83" s="1616"/>
      <c r="BY83" s="1616"/>
      <c r="BZ83" s="1616"/>
      <c r="CA83" s="1616"/>
      <c r="CB83" s="1616"/>
      <c r="CC83" s="1616"/>
      <c r="CD83" s="1616"/>
      <c r="CE83" s="1616"/>
      <c r="CF83" s="1616"/>
      <c r="CG83" s="1616"/>
      <c r="CH83" s="1616"/>
      <c r="CI83" s="1616"/>
      <c r="CJ83" s="1616"/>
      <c r="CK83" s="1616"/>
      <c r="CL83" s="1616"/>
      <c r="CM83" s="1616"/>
      <c r="CN83" s="1616"/>
      <c r="CO83" s="1616"/>
      <c r="CP83" s="1616"/>
      <c r="CQ83" s="1616"/>
      <c r="CR83" s="1616"/>
      <c r="CS83" s="1616"/>
      <c r="CT83" s="1616"/>
      <c r="CU83" s="1616"/>
      <c r="CV83" s="1616"/>
      <c r="CW83" s="1616"/>
      <c r="CX83" s="1616"/>
      <c r="CY83" s="1616"/>
      <c r="CZ83" s="1616"/>
      <c r="DA83" s="1616"/>
      <c r="DB83" s="1616"/>
      <c r="DC83" s="1616"/>
      <c r="DD83" s="1616"/>
      <c r="DE83" s="1616"/>
      <c r="DF83" s="1616"/>
      <c r="DG83" s="1616"/>
      <c r="DH83" s="1616"/>
      <c r="DI83" s="1616"/>
      <c r="DJ83" s="1616"/>
      <c r="DK83" s="1616"/>
      <c r="DL83" s="1616"/>
      <c r="DM83" s="1616"/>
      <c r="DN83" s="1616"/>
      <c r="DO83" s="1616"/>
      <c r="DP83" s="1616"/>
      <c r="DQ83" s="1616"/>
      <c r="DR83" s="1616"/>
      <c r="DS83" s="1616"/>
      <c r="DT83" s="1616"/>
      <c r="DU83" s="1616"/>
      <c r="DV83" s="1616"/>
      <c r="DW83" s="1616"/>
      <c r="DX83" s="1616"/>
      <c r="DY83" s="1616"/>
      <c r="DZ83" s="1616"/>
      <c r="EA83" s="1616"/>
      <c r="EB83" s="1616"/>
      <c r="EC83" s="1616"/>
      <c r="ED83" s="1616"/>
      <c r="EE83" s="1616"/>
      <c r="EF83" s="1616"/>
      <c r="EG83" s="1616"/>
      <c r="EH83" s="1616"/>
      <c r="EI83" s="1616"/>
      <c r="EJ83" s="1616"/>
      <c r="EK83" s="1616"/>
      <c r="EL83" s="1616"/>
      <c r="EM83" s="1616"/>
      <c r="EN83" s="1616"/>
      <c r="EO83" s="1616"/>
      <c r="EP83" s="1616"/>
      <c r="EQ83" s="1616"/>
      <c r="ER83" s="1616"/>
      <c r="ES83" s="1616"/>
      <c r="ET83" s="1616"/>
      <c r="EU83" s="1616"/>
      <c r="EV83" s="1616"/>
      <c r="EW83" s="1616"/>
      <c r="EX83" s="1616"/>
      <c r="EY83" s="1616"/>
      <c r="EZ83" s="1616"/>
      <c r="FA83" s="1616"/>
      <c r="FB83" s="1616"/>
      <c r="FC83" s="1616"/>
      <c r="FD83" s="1616"/>
      <c r="FE83" s="1616"/>
      <c r="FF83" s="1616"/>
      <c r="FG83" s="1616"/>
      <c r="FH83" s="1616"/>
      <c r="FI83" s="1616"/>
      <c r="FJ83" s="1616"/>
      <c r="FK83" s="1616"/>
      <c r="FL83" s="1616"/>
      <c r="FM83" s="1616"/>
      <c r="FN83" s="1616"/>
      <c r="FO83" s="1616"/>
      <c r="FP83" s="1616"/>
      <c r="FQ83" s="1616"/>
      <c r="FR83" s="1616"/>
      <c r="FS83" s="1616"/>
      <c r="FT83" s="1616"/>
      <c r="FU83" s="1616"/>
      <c r="FV83" s="1616"/>
      <c r="FW83" s="1616"/>
      <c r="FX83" s="1616"/>
      <c r="FY83" s="1616"/>
      <c r="FZ83" s="1616"/>
      <c r="GA83" s="1616"/>
      <c r="GB83" s="1616"/>
      <c r="GC83" s="1616"/>
      <c r="GD83" s="1616"/>
      <c r="GE83" s="1616"/>
      <c r="GF83" s="1616"/>
      <c r="GG83" s="1616"/>
      <c r="GH83" s="1616"/>
      <c r="GI83" s="1616"/>
      <c r="GJ83" s="1616"/>
      <c r="GK83" s="1616"/>
      <c r="GL83" s="1616"/>
      <c r="GM83" s="1616"/>
      <c r="GN83" s="1616"/>
      <c r="GO83" s="1616"/>
      <c r="GP83" s="1616"/>
      <c r="GQ83" s="1616"/>
      <c r="GR83" s="1616"/>
      <c r="GS83" s="1616"/>
      <c r="GT83" s="1616"/>
      <c r="GU83" s="1616"/>
      <c r="GV83" s="1616"/>
      <c r="GW83" s="1616"/>
      <c r="GX83" s="1616"/>
      <c r="GY83" s="1616"/>
      <c r="GZ83" s="1616"/>
      <c r="HA83" s="1616"/>
      <c r="HB83" s="1616"/>
      <c r="HC83" s="1616"/>
      <c r="HD83" s="1616"/>
      <c r="HE83" s="1616"/>
      <c r="HF83" s="1616"/>
      <c r="HG83" s="1616"/>
      <c r="HH83" s="1616"/>
      <c r="HI83" s="1616"/>
      <c r="HJ83" s="1616"/>
      <c r="HK83" s="1616"/>
      <c r="HL83" s="1616"/>
      <c r="HM83" s="1616"/>
      <c r="HN83" s="1616"/>
      <c r="HO83" s="1616"/>
      <c r="HP83" s="1616"/>
      <c r="HQ83" s="1616"/>
      <c r="HR83" s="1616"/>
      <c r="HS83" s="1616"/>
      <c r="HT83" s="1616"/>
      <c r="HU83" s="1616"/>
      <c r="HV83" s="1616"/>
      <c r="HW83" s="1616"/>
      <c r="HX83" s="1616"/>
      <c r="HY83" s="1616"/>
      <c r="HZ83" s="1616"/>
      <c r="IA83" s="1616"/>
      <c r="IB83" s="1616"/>
      <c r="IC83" s="1616"/>
      <c r="ID83" s="1616"/>
      <c r="IE83" s="1616"/>
      <c r="IF83" s="1616"/>
      <c r="IG83" s="1616"/>
      <c r="IH83" s="1616"/>
      <c r="II83" s="1616"/>
      <c r="IJ83" s="1616"/>
      <c r="IK83" s="1616"/>
      <c r="IL83" s="1616"/>
      <c r="IM83" s="1616"/>
      <c r="IN83" s="1616"/>
      <c r="IO83" s="1616"/>
      <c r="IP83" s="1616"/>
      <c r="IQ83" s="1616"/>
      <c r="IR83" s="1616"/>
      <c r="IS83" s="1616"/>
      <c r="IT83" s="1616"/>
      <c r="IU83" s="1616"/>
    </row>
    <row r="84" spans="1:255" s="604" customFormat="1" ht="27" customHeight="1">
      <c r="A84" s="595"/>
      <c r="B84" s="596"/>
      <c r="C84" s="597"/>
      <c r="D84" s="1617" t="s">
        <v>5925</v>
      </c>
      <c r="E84" s="599"/>
      <c r="F84" s="600"/>
      <c r="G84" s="289"/>
      <c r="H84" s="601"/>
      <c r="I84" s="602"/>
      <c r="J84" s="603"/>
      <c r="U84" s="605"/>
      <c r="W84" s="605"/>
    </row>
    <row r="85" spans="1:255" s="604" customFormat="1" ht="27" customHeight="1">
      <c r="A85" s="595"/>
      <c r="B85" s="596"/>
      <c r="C85" s="597"/>
      <c r="D85" s="1618" t="s">
        <v>5926</v>
      </c>
      <c r="E85" s="599"/>
      <c r="F85" s="600">
        <f>(19.5)*0.1</f>
        <v>1.9500000000000002</v>
      </c>
      <c r="G85" s="289"/>
      <c r="H85" s="601"/>
      <c r="I85" s="602"/>
      <c r="J85" s="603"/>
      <c r="U85" s="605"/>
      <c r="W85" s="605"/>
    </row>
    <row r="86" spans="1:255" s="604" customFormat="1" ht="27" customHeight="1">
      <c r="A86" s="595"/>
      <c r="B86" s="596"/>
      <c r="C86" s="597"/>
      <c r="D86" s="1619" t="s">
        <v>4323</v>
      </c>
      <c r="E86" s="599"/>
      <c r="F86" s="600"/>
      <c r="G86" s="289"/>
      <c r="H86" s="601"/>
      <c r="I86" s="602"/>
      <c r="U86" s="605"/>
      <c r="W86" s="605"/>
    </row>
    <row r="87" spans="1:255" s="1248" customFormat="1" ht="27" customHeight="1">
      <c r="A87" s="1614">
        <v>22</v>
      </c>
      <c r="B87" s="1615" t="s">
        <v>5808</v>
      </c>
      <c r="C87" s="1615">
        <v>460171652</v>
      </c>
      <c r="D87" s="1615" t="s">
        <v>5826</v>
      </c>
      <c r="E87" s="1615" t="s">
        <v>141</v>
      </c>
      <c r="F87" s="573">
        <f>ROUND(SUM(F89),3)</f>
        <v>12.664999999999999</v>
      </c>
      <c r="G87" s="5246" t="s">
        <v>5922</v>
      </c>
      <c r="H87" s="5247"/>
      <c r="I87" s="613" t="s">
        <v>137</v>
      </c>
      <c r="J87" s="1612"/>
      <c r="L87" s="1613"/>
      <c r="BF87" s="1616"/>
      <c r="BG87" s="1616"/>
      <c r="BH87" s="1616"/>
      <c r="BI87" s="1616"/>
      <c r="BJ87" s="1616"/>
      <c r="BK87" s="1616"/>
      <c r="BL87" s="1616"/>
      <c r="BM87" s="1616"/>
      <c r="BN87" s="1616"/>
      <c r="BO87" s="1616"/>
      <c r="BP87" s="1616"/>
      <c r="BQ87" s="1616"/>
      <c r="BR87" s="1616"/>
      <c r="BS87" s="1616"/>
      <c r="BT87" s="1616"/>
      <c r="BU87" s="1616"/>
      <c r="BV87" s="1616"/>
      <c r="BW87" s="1616"/>
      <c r="BX87" s="1616"/>
      <c r="BY87" s="1616"/>
      <c r="BZ87" s="1616"/>
      <c r="CA87" s="1616"/>
      <c r="CB87" s="1616"/>
      <c r="CC87" s="1616"/>
      <c r="CD87" s="1616"/>
      <c r="CE87" s="1616"/>
      <c r="CF87" s="1616"/>
      <c r="CG87" s="1616"/>
      <c r="CH87" s="1616"/>
      <c r="CI87" s="1616"/>
      <c r="CJ87" s="1616"/>
      <c r="CK87" s="1616"/>
      <c r="CL87" s="1616"/>
      <c r="CM87" s="1616"/>
      <c r="CN87" s="1616"/>
      <c r="CO87" s="1616"/>
      <c r="CP87" s="1616"/>
      <c r="CQ87" s="1616"/>
      <c r="CR87" s="1616"/>
      <c r="CS87" s="1616"/>
      <c r="CT87" s="1616"/>
      <c r="CU87" s="1616"/>
      <c r="CV87" s="1616"/>
      <c r="CW87" s="1616"/>
      <c r="CX87" s="1616"/>
      <c r="CY87" s="1616"/>
      <c r="CZ87" s="1616"/>
      <c r="DA87" s="1616"/>
      <c r="DB87" s="1616"/>
      <c r="DC87" s="1616"/>
      <c r="DD87" s="1616"/>
      <c r="DE87" s="1616"/>
      <c r="DF87" s="1616"/>
      <c r="DG87" s="1616"/>
      <c r="DH87" s="1616"/>
      <c r="DI87" s="1616"/>
      <c r="DJ87" s="1616"/>
      <c r="DK87" s="1616"/>
      <c r="DL87" s="1616"/>
      <c r="DM87" s="1616"/>
      <c r="DN87" s="1616"/>
      <c r="DO87" s="1616"/>
      <c r="DP87" s="1616"/>
      <c r="DQ87" s="1616"/>
      <c r="DR87" s="1616"/>
      <c r="DS87" s="1616"/>
      <c r="DT87" s="1616"/>
      <c r="DU87" s="1616"/>
      <c r="DV87" s="1616"/>
      <c r="DW87" s="1616"/>
      <c r="DX87" s="1616"/>
      <c r="DY87" s="1616"/>
      <c r="DZ87" s="1616"/>
      <c r="EA87" s="1616"/>
      <c r="EB87" s="1616"/>
      <c r="EC87" s="1616"/>
      <c r="ED87" s="1616"/>
      <c r="EE87" s="1616"/>
      <c r="EF87" s="1616"/>
      <c r="EG87" s="1616"/>
      <c r="EH87" s="1616"/>
      <c r="EI87" s="1616"/>
      <c r="EJ87" s="1616"/>
      <c r="EK87" s="1616"/>
      <c r="EL87" s="1616"/>
      <c r="EM87" s="1616"/>
      <c r="EN87" s="1616"/>
      <c r="EO87" s="1616"/>
      <c r="EP87" s="1616"/>
      <c r="EQ87" s="1616"/>
      <c r="ER87" s="1616"/>
      <c r="ES87" s="1616"/>
      <c r="ET87" s="1616"/>
      <c r="EU87" s="1616"/>
      <c r="EV87" s="1616"/>
      <c r="EW87" s="1616"/>
      <c r="EX87" s="1616"/>
      <c r="EY87" s="1616"/>
      <c r="EZ87" s="1616"/>
      <c r="FA87" s="1616"/>
      <c r="FB87" s="1616"/>
      <c r="FC87" s="1616"/>
      <c r="FD87" s="1616"/>
      <c r="FE87" s="1616"/>
      <c r="FF87" s="1616"/>
      <c r="FG87" s="1616"/>
      <c r="FH87" s="1616"/>
      <c r="FI87" s="1616"/>
      <c r="FJ87" s="1616"/>
      <c r="FK87" s="1616"/>
      <c r="FL87" s="1616"/>
      <c r="FM87" s="1616"/>
      <c r="FN87" s="1616"/>
      <c r="FO87" s="1616"/>
      <c r="FP87" s="1616"/>
      <c r="FQ87" s="1616"/>
      <c r="FR87" s="1616"/>
      <c r="FS87" s="1616"/>
      <c r="FT87" s="1616"/>
      <c r="FU87" s="1616"/>
      <c r="FV87" s="1616"/>
      <c r="FW87" s="1616"/>
      <c r="FX87" s="1616"/>
      <c r="FY87" s="1616"/>
      <c r="FZ87" s="1616"/>
      <c r="GA87" s="1616"/>
      <c r="GB87" s="1616"/>
      <c r="GC87" s="1616"/>
      <c r="GD87" s="1616"/>
      <c r="GE87" s="1616"/>
      <c r="GF87" s="1616"/>
      <c r="GG87" s="1616"/>
      <c r="GH87" s="1616"/>
      <c r="GI87" s="1616"/>
      <c r="GJ87" s="1616"/>
      <c r="GK87" s="1616"/>
      <c r="GL87" s="1616"/>
      <c r="GM87" s="1616"/>
      <c r="GN87" s="1616"/>
      <c r="GO87" s="1616"/>
      <c r="GP87" s="1616"/>
      <c r="GQ87" s="1616"/>
      <c r="GR87" s="1616"/>
      <c r="GS87" s="1616"/>
      <c r="GT87" s="1616"/>
      <c r="GU87" s="1616"/>
      <c r="GV87" s="1616"/>
      <c r="GW87" s="1616"/>
      <c r="GX87" s="1616"/>
      <c r="GY87" s="1616"/>
      <c r="GZ87" s="1616"/>
      <c r="HA87" s="1616"/>
      <c r="HB87" s="1616"/>
      <c r="HC87" s="1616"/>
      <c r="HD87" s="1616"/>
      <c r="HE87" s="1616"/>
      <c r="HF87" s="1616"/>
      <c r="HG87" s="1616"/>
      <c r="HH87" s="1616"/>
      <c r="HI87" s="1616"/>
      <c r="HJ87" s="1616"/>
      <c r="HK87" s="1616"/>
      <c r="HL87" s="1616"/>
      <c r="HM87" s="1616"/>
      <c r="HN87" s="1616"/>
      <c r="HO87" s="1616"/>
      <c r="HP87" s="1616"/>
      <c r="HQ87" s="1616"/>
      <c r="HR87" s="1616"/>
      <c r="HS87" s="1616"/>
      <c r="HT87" s="1616"/>
      <c r="HU87" s="1616"/>
      <c r="HV87" s="1616"/>
      <c r="HW87" s="1616"/>
      <c r="HX87" s="1616"/>
      <c r="HY87" s="1616"/>
      <c r="HZ87" s="1616"/>
      <c r="IA87" s="1616"/>
      <c r="IB87" s="1616"/>
      <c r="IC87" s="1616"/>
      <c r="ID87" s="1616"/>
      <c r="IE87" s="1616"/>
      <c r="IF87" s="1616"/>
      <c r="IG87" s="1616"/>
      <c r="IH87" s="1616"/>
      <c r="II87" s="1616"/>
      <c r="IJ87" s="1616"/>
      <c r="IK87" s="1616"/>
      <c r="IL87" s="1616"/>
      <c r="IM87" s="1616"/>
      <c r="IN87" s="1616"/>
      <c r="IO87" s="1616"/>
      <c r="IP87" s="1616"/>
      <c r="IQ87" s="1616"/>
      <c r="IR87" s="1616"/>
      <c r="IS87" s="1616"/>
      <c r="IT87" s="1616"/>
      <c r="IU87" s="1616"/>
    </row>
    <row r="88" spans="1:255" s="604" customFormat="1" ht="27" customHeight="1">
      <c r="A88" s="595"/>
      <c r="B88" s="596"/>
      <c r="C88" s="597"/>
      <c r="D88" s="1617" t="s">
        <v>5827</v>
      </c>
      <c r="E88" s="599"/>
      <c r="F88" s="600"/>
      <c r="G88" s="289"/>
      <c r="H88" s="601"/>
      <c r="I88" s="602"/>
      <c r="J88" s="603"/>
      <c r="U88" s="605"/>
      <c r="W88" s="605"/>
    </row>
    <row r="89" spans="1:255" s="604" customFormat="1" ht="27" customHeight="1">
      <c r="A89" s="595"/>
      <c r="B89" s="596"/>
      <c r="C89" s="597"/>
      <c r="D89" s="1618" t="s">
        <v>5828</v>
      </c>
      <c r="E89" s="599"/>
      <c r="F89" s="600">
        <f>(14.9)*0.85</f>
        <v>12.664999999999999</v>
      </c>
      <c r="G89" s="289"/>
      <c r="H89" s="601"/>
      <c r="I89" s="602"/>
      <c r="J89" s="603"/>
      <c r="U89" s="605"/>
      <c r="W89" s="605"/>
    </row>
    <row r="90" spans="1:255" s="604" customFormat="1" ht="27" customHeight="1">
      <c r="A90" s="595"/>
      <c r="B90" s="596"/>
      <c r="C90" s="597"/>
      <c r="D90" s="719" t="s">
        <v>4323</v>
      </c>
      <c r="E90" s="599"/>
      <c r="F90" s="600"/>
      <c r="G90" s="289"/>
      <c r="H90" s="601"/>
      <c r="I90" s="602"/>
      <c r="J90" s="603"/>
      <c r="U90" s="605"/>
      <c r="W90" s="605"/>
    </row>
    <row r="91" spans="1:255" s="1248" customFormat="1" ht="27" customHeight="1">
      <c r="A91" s="1614">
        <v>23</v>
      </c>
      <c r="B91" s="1615" t="s">
        <v>5808</v>
      </c>
      <c r="C91" s="1615">
        <v>460171653</v>
      </c>
      <c r="D91" s="1615" t="s">
        <v>5829</v>
      </c>
      <c r="E91" s="1615" t="s">
        <v>141</v>
      </c>
      <c r="F91" s="573">
        <f>ROUND(SUM(F93),3)</f>
        <v>1.49</v>
      </c>
      <c r="G91" s="5246" t="s">
        <v>5922</v>
      </c>
      <c r="H91" s="5247"/>
      <c r="I91" s="613" t="s">
        <v>137</v>
      </c>
      <c r="J91" s="1612"/>
      <c r="K91" s="606"/>
      <c r="BF91" s="1616"/>
      <c r="BG91" s="1616"/>
      <c r="BH91" s="1616"/>
      <c r="BI91" s="1616"/>
      <c r="BJ91" s="1616"/>
      <c r="BK91" s="1616"/>
      <c r="BL91" s="161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604" customFormat="1" ht="27" customHeight="1">
      <c r="A92" s="595"/>
      <c r="B92" s="596"/>
      <c r="C92" s="597"/>
      <c r="D92" s="1617" t="s">
        <v>5830</v>
      </c>
      <c r="E92" s="599"/>
      <c r="F92" s="600"/>
      <c r="G92" s="289"/>
      <c r="H92" s="601"/>
      <c r="I92" s="602"/>
      <c r="J92" s="603"/>
      <c r="U92" s="605"/>
      <c r="W92" s="605"/>
    </row>
    <row r="93" spans="1:255" s="604" customFormat="1" ht="27" customHeight="1">
      <c r="A93" s="595"/>
      <c r="B93" s="596"/>
      <c r="C93" s="597"/>
      <c r="D93" s="1618" t="s">
        <v>5831</v>
      </c>
      <c r="E93" s="599"/>
      <c r="F93" s="600">
        <f>(14.9)*0.1</f>
        <v>1.4900000000000002</v>
      </c>
      <c r="G93" s="289"/>
      <c r="H93" s="601"/>
      <c r="I93" s="602"/>
      <c r="J93" s="606"/>
      <c r="U93" s="605"/>
      <c r="W93" s="605"/>
    </row>
    <row r="94" spans="1:255" s="604" customFormat="1" ht="27" customHeight="1">
      <c r="A94" s="595"/>
      <c r="B94" s="596"/>
      <c r="C94" s="597"/>
      <c r="D94" s="719" t="s">
        <v>4323</v>
      </c>
      <c r="E94" s="599"/>
      <c r="F94" s="600"/>
      <c r="G94" s="289"/>
      <c r="H94" s="601"/>
      <c r="I94" s="602"/>
      <c r="J94" s="606"/>
      <c r="U94" s="605"/>
      <c r="W94" s="605"/>
    </row>
    <row r="95" spans="1:255" s="1248" customFormat="1" ht="13.5" customHeight="1">
      <c r="A95" s="1614">
        <v>24</v>
      </c>
      <c r="B95" s="1615" t="s">
        <v>5808</v>
      </c>
      <c r="C95" s="1615">
        <v>460241111</v>
      </c>
      <c r="D95" s="1615" t="s">
        <v>5832</v>
      </c>
      <c r="E95" s="1615" t="s">
        <v>146</v>
      </c>
      <c r="F95" s="573">
        <f>ROUND(SUM(F96),3)</f>
        <v>0.56999999999999995</v>
      </c>
      <c r="G95" s="288"/>
      <c r="H95" s="568">
        <f>ROUND(F95*G95,2)</f>
        <v>0</v>
      </c>
      <c r="I95" s="613" t="s">
        <v>137</v>
      </c>
      <c r="J95" s="1612"/>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5927</v>
      </c>
      <c r="E96" s="599"/>
      <c r="F96" s="600">
        <f>((19.5*0.65*0.9))*0.05</f>
        <v>0.57037500000000008</v>
      </c>
      <c r="G96" s="289"/>
      <c r="H96" s="601"/>
      <c r="I96" s="602"/>
      <c r="J96" s="606"/>
      <c r="U96" s="605"/>
      <c r="W96" s="605"/>
    </row>
    <row r="97" spans="1:255" s="1248" customFormat="1" ht="13.5" customHeight="1">
      <c r="A97" s="1614">
        <v>25</v>
      </c>
      <c r="B97" s="1615" t="s">
        <v>5808</v>
      </c>
      <c r="C97" s="1615">
        <v>460242111</v>
      </c>
      <c r="D97" s="1615" t="s">
        <v>5834</v>
      </c>
      <c r="E97" s="1615" t="s">
        <v>205</v>
      </c>
      <c r="F97" s="573">
        <f>ROUND(SUM(F98),3)</f>
        <v>4</v>
      </c>
      <c r="G97" s="288"/>
      <c r="H97" s="568">
        <f>ROUND(F97*G97,2)</f>
        <v>0</v>
      </c>
      <c r="I97" s="613" t="s">
        <v>137</v>
      </c>
      <c r="J97" s="1612"/>
      <c r="BF97" s="1616"/>
      <c r="BG97" s="1616"/>
      <c r="BH97" s="1616"/>
      <c r="BI97" s="1616"/>
      <c r="BJ97" s="1616"/>
      <c r="BK97" s="1616"/>
      <c r="BL97" s="1616"/>
      <c r="BM97" s="1616"/>
      <c r="BN97" s="1616"/>
      <c r="BO97" s="1616"/>
      <c r="BP97" s="1616"/>
      <c r="BQ97" s="1616"/>
      <c r="BR97" s="1616"/>
      <c r="BS97" s="1616"/>
      <c r="BT97" s="1616"/>
      <c r="BU97" s="1616"/>
      <c r="BV97" s="1616"/>
      <c r="BW97" s="1616"/>
      <c r="BX97" s="1616"/>
      <c r="BY97" s="1616"/>
      <c r="BZ97" s="1616"/>
      <c r="CA97" s="1616"/>
      <c r="CB97" s="1616"/>
      <c r="CC97" s="1616"/>
      <c r="CD97" s="1616"/>
      <c r="CE97" s="1616"/>
      <c r="CF97" s="1616"/>
      <c r="CG97" s="1616"/>
      <c r="CH97" s="1616"/>
      <c r="CI97" s="1616"/>
      <c r="CJ97" s="1616"/>
      <c r="CK97" s="1616"/>
      <c r="CL97" s="1616"/>
      <c r="CM97" s="1616"/>
      <c r="CN97" s="1616"/>
      <c r="CO97" s="1616"/>
      <c r="CP97" s="1616"/>
      <c r="CQ97" s="1616"/>
      <c r="CR97" s="1616"/>
      <c r="CS97" s="1616"/>
      <c r="CT97" s="1616"/>
      <c r="CU97" s="1616"/>
      <c r="CV97" s="1616"/>
      <c r="CW97" s="1616"/>
      <c r="CX97" s="1616"/>
      <c r="CY97" s="1616"/>
      <c r="CZ97" s="1616"/>
      <c r="DA97" s="1616"/>
      <c r="DB97" s="1616"/>
      <c r="DC97" s="1616"/>
      <c r="DD97" s="1616"/>
      <c r="DE97" s="1616"/>
      <c r="DF97" s="1616"/>
      <c r="DG97" s="1616"/>
      <c r="DH97" s="1616"/>
      <c r="DI97" s="1616"/>
      <c r="DJ97" s="1616"/>
      <c r="DK97" s="1616"/>
      <c r="DL97" s="1616"/>
      <c r="DM97" s="1616"/>
      <c r="DN97" s="1616"/>
      <c r="DO97" s="1616"/>
      <c r="DP97" s="1616"/>
      <c r="DQ97" s="1616"/>
      <c r="DR97" s="1616"/>
      <c r="DS97" s="1616"/>
      <c r="DT97" s="1616"/>
      <c r="DU97" s="1616"/>
      <c r="DV97" s="1616"/>
      <c r="DW97" s="1616"/>
      <c r="DX97" s="1616"/>
      <c r="DY97" s="1616"/>
      <c r="DZ97" s="1616"/>
      <c r="EA97" s="1616"/>
      <c r="EB97" s="1616"/>
      <c r="EC97" s="1616"/>
      <c r="ED97" s="1616"/>
      <c r="EE97" s="1616"/>
      <c r="EF97" s="1616"/>
      <c r="EG97" s="1616"/>
      <c r="EH97" s="1616"/>
      <c r="EI97" s="1616"/>
      <c r="EJ97" s="1616"/>
      <c r="EK97" s="1616"/>
      <c r="EL97" s="1616"/>
      <c r="EM97" s="1616"/>
      <c r="EN97" s="1616"/>
      <c r="EO97" s="1616"/>
      <c r="EP97" s="1616"/>
      <c r="EQ97" s="1616"/>
      <c r="ER97" s="1616"/>
      <c r="ES97" s="1616"/>
      <c r="ET97" s="1616"/>
      <c r="EU97" s="1616"/>
      <c r="EV97" s="1616"/>
      <c r="EW97" s="1616"/>
      <c r="EX97" s="1616"/>
      <c r="EY97" s="1616"/>
      <c r="EZ97" s="1616"/>
      <c r="FA97" s="1616"/>
      <c r="FB97" s="1616"/>
      <c r="FC97" s="1616"/>
      <c r="FD97" s="1616"/>
      <c r="FE97" s="1616"/>
      <c r="FF97" s="1616"/>
      <c r="FG97" s="1616"/>
      <c r="FH97" s="1616"/>
      <c r="FI97" s="1616"/>
      <c r="FJ97" s="1616"/>
      <c r="FK97" s="1616"/>
      <c r="FL97" s="1616"/>
      <c r="FM97" s="1616"/>
      <c r="FN97" s="1616"/>
      <c r="FO97" s="1616"/>
      <c r="FP97" s="1616"/>
      <c r="FQ97" s="1616"/>
      <c r="FR97" s="1616"/>
      <c r="FS97" s="1616"/>
      <c r="FT97" s="1616"/>
      <c r="FU97" s="1616"/>
      <c r="FV97" s="1616"/>
      <c r="FW97" s="1616"/>
      <c r="FX97" s="1616"/>
      <c r="FY97" s="1616"/>
      <c r="FZ97" s="1616"/>
      <c r="GA97" s="1616"/>
      <c r="GB97" s="1616"/>
      <c r="GC97" s="1616"/>
      <c r="GD97" s="1616"/>
      <c r="GE97" s="1616"/>
      <c r="GF97" s="1616"/>
      <c r="GG97" s="1616"/>
      <c r="GH97" s="1616"/>
      <c r="GI97" s="1616"/>
      <c r="GJ97" s="1616"/>
      <c r="GK97" s="1616"/>
      <c r="GL97" s="1616"/>
      <c r="GM97" s="1616"/>
      <c r="GN97" s="1616"/>
      <c r="GO97" s="1616"/>
      <c r="GP97" s="1616"/>
      <c r="GQ97" s="1616"/>
      <c r="GR97" s="1616"/>
      <c r="GS97" s="1616"/>
      <c r="GT97" s="1616"/>
      <c r="GU97" s="1616"/>
      <c r="GV97" s="1616"/>
      <c r="GW97" s="1616"/>
      <c r="GX97" s="1616"/>
      <c r="GY97" s="1616"/>
      <c r="GZ97" s="1616"/>
      <c r="HA97" s="1616"/>
      <c r="HB97" s="1616"/>
      <c r="HC97" s="1616"/>
      <c r="HD97" s="1616"/>
      <c r="HE97" s="1616"/>
      <c r="HF97" s="1616"/>
      <c r="HG97" s="1616"/>
      <c r="HH97" s="1616"/>
      <c r="HI97" s="1616"/>
      <c r="HJ97" s="1616"/>
      <c r="HK97" s="1616"/>
      <c r="HL97" s="1616"/>
      <c r="HM97" s="1616"/>
      <c r="HN97" s="1616"/>
      <c r="HO97" s="1616"/>
      <c r="HP97" s="1616"/>
      <c r="HQ97" s="1616"/>
      <c r="HR97" s="1616"/>
      <c r="HS97" s="1616"/>
      <c r="HT97" s="1616"/>
      <c r="HU97" s="1616"/>
      <c r="HV97" s="1616"/>
      <c r="HW97" s="1616"/>
      <c r="HX97" s="1616"/>
      <c r="HY97" s="1616"/>
      <c r="HZ97" s="1616"/>
      <c r="IA97" s="1616"/>
      <c r="IB97" s="1616"/>
      <c r="IC97" s="1616"/>
      <c r="ID97" s="1616"/>
      <c r="IE97" s="1616"/>
      <c r="IF97" s="1616"/>
      <c r="IG97" s="1616"/>
      <c r="IH97" s="1616"/>
      <c r="II97" s="1616"/>
      <c r="IJ97" s="1616"/>
      <c r="IK97" s="1616"/>
      <c r="IL97" s="1616"/>
      <c r="IM97" s="1616"/>
      <c r="IN97" s="1616"/>
      <c r="IO97" s="1616"/>
      <c r="IP97" s="1616"/>
      <c r="IQ97" s="1616"/>
      <c r="IR97" s="1616"/>
      <c r="IS97" s="1616"/>
      <c r="IT97" s="1616"/>
      <c r="IU97" s="1616"/>
    </row>
    <row r="98" spans="1:255" s="604" customFormat="1" ht="13.5" customHeight="1">
      <c r="A98" s="595"/>
      <c r="B98" s="596"/>
      <c r="C98" s="597"/>
      <c r="D98" s="719" t="s">
        <v>5835</v>
      </c>
      <c r="E98" s="599"/>
      <c r="F98" s="600">
        <v>4</v>
      </c>
      <c r="G98" s="289"/>
      <c r="H98" s="601"/>
      <c r="I98" s="1620"/>
      <c r="J98" s="606"/>
      <c r="U98" s="605"/>
      <c r="W98" s="605"/>
    </row>
    <row r="99" spans="1:255" s="1248" customFormat="1" ht="13.5" customHeight="1">
      <c r="A99" s="1614">
        <v>26</v>
      </c>
      <c r="B99" s="1615" t="s">
        <v>5808</v>
      </c>
      <c r="C99" s="1615">
        <v>460242121</v>
      </c>
      <c r="D99" s="1615" t="s">
        <v>5836</v>
      </c>
      <c r="E99" s="1615" t="s">
        <v>141</v>
      </c>
      <c r="F99" s="573">
        <f>ROUND(SUM(F100),3)</f>
        <v>5</v>
      </c>
      <c r="G99" s="288"/>
      <c r="H99" s="568">
        <f>ROUND(F99*G99,2)</f>
        <v>0</v>
      </c>
      <c r="I99" s="613" t="s">
        <v>137</v>
      </c>
      <c r="J99" s="1612"/>
      <c r="BF99" s="1616"/>
      <c r="BG99" s="1616"/>
      <c r="BH99" s="1616"/>
      <c r="BI99" s="1616"/>
      <c r="BJ99" s="1616"/>
      <c r="BK99" s="1616"/>
      <c r="BL99" s="1616"/>
      <c r="BM99" s="1616"/>
      <c r="BN99" s="1616"/>
      <c r="BO99" s="1616"/>
      <c r="BP99" s="1616"/>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5835</v>
      </c>
      <c r="E100" s="599"/>
      <c r="F100" s="600">
        <v>5</v>
      </c>
      <c r="G100" s="289"/>
      <c r="H100" s="601"/>
      <c r="I100" s="1620"/>
      <c r="J100" s="606"/>
      <c r="U100" s="605"/>
      <c r="W100" s="605"/>
    </row>
    <row r="101" spans="1:255" s="1248" customFormat="1" ht="13.5" customHeight="1">
      <c r="A101" s="1614">
        <v>27</v>
      </c>
      <c r="B101" s="1615" t="s">
        <v>5808</v>
      </c>
      <c r="C101" s="1615">
        <v>460242211</v>
      </c>
      <c r="D101" s="1615" t="s">
        <v>5837</v>
      </c>
      <c r="E101" s="1615" t="s">
        <v>205</v>
      </c>
      <c r="F101" s="573">
        <f>ROUND(SUM(F102),3)</f>
        <v>5</v>
      </c>
      <c r="G101" s="288"/>
      <c r="H101" s="568">
        <f>ROUND(F101*G101,2)</f>
        <v>0</v>
      </c>
      <c r="I101" s="613" t="s">
        <v>137</v>
      </c>
      <c r="J101" s="1612"/>
      <c r="BF101" s="1616"/>
      <c r="BG101" s="1616"/>
      <c r="BH101" s="1616"/>
      <c r="BI101" s="1616"/>
      <c r="BJ101" s="1616"/>
      <c r="BK101" s="1616"/>
      <c r="BL101" s="1616"/>
      <c r="BM101" s="1616"/>
      <c r="BN101" s="1616"/>
      <c r="BO101" s="1616"/>
      <c r="BP101" s="1616"/>
      <c r="BQ101" s="1616"/>
      <c r="BR101" s="1616"/>
      <c r="BS101" s="1616"/>
      <c r="BT101" s="1616"/>
      <c r="BU101" s="1616"/>
      <c r="BV101" s="1616"/>
      <c r="BW101" s="1616"/>
      <c r="BX101" s="1616"/>
      <c r="BY101" s="1616"/>
      <c r="BZ101" s="1616"/>
      <c r="CA101" s="1616"/>
      <c r="CB101" s="1616"/>
      <c r="CC101" s="1616"/>
      <c r="CD101" s="1616"/>
      <c r="CE101" s="1616"/>
      <c r="CF101" s="1616"/>
      <c r="CG101" s="1616"/>
      <c r="CH101" s="1616"/>
      <c r="CI101" s="1616"/>
      <c r="CJ101" s="1616"/>
      <c r="CK101" s="1616"/>
      <c r="CL101" s="1616"/>
      <c r="CM101" s="1616"/>
      <c r="CN101" s="1616"/>
      <c r="CO101" s="1616"/>
      <c r="CP101" s="1616"/>
      <c r="CQ101" s="1616"/>
      <c r="CR101" s="1616"/>
      <c r="CS101" s="1616"/>
      <c r="CT101" s="1616"/>
      <c r="CU101" s="1616"/>
      <c r="CV101" s="1616"/>
      <c r="CW101" s="1616"/>
      <c r="CX101" s="1616"/>
      <c r="CY101" s="1616"/>
      <c r="CZ101" s="1616"/>
      <c r="DA101" s="1616"/>
      <c r="DB101" s="1616"/>
      <c r="DC101" s="1616"/>
      <c r="DD101" s="1616"/>
      <c r="DE101" s="1616"/>
      <c r="DF101" s="1616"/>
      <c r="DG101" s="1616"/>
      <c r="DH101" s="1616"/>
      <c r="DI101" s="1616"/>
      <c r="DJ101" s="1616"/>
      <c r="DK101" s="1616"/>
      <c r="DL101" s="1616"/>
      <c r="DM101" s="1616"/>
      <c r="DN101" s="1616"/>
      <c r="DO101" s="1616"/>
      <c r="DP101" s="1616"/>
      <c r="DQ101" s="1616"/>
      <c r="DR101" s="1616"/>
      <c r="DS101" s="1616"/>
      <c r="DT101" s="1616"/>
      <c r="DU101" s="1616"/>
      <c r="DV101" s="1616"/>
      <c r="DW101" s="1616"/>
      <c r="DX101" s="1616"/>
      <c r="DY101" s="1616"/>
      <c r="DZ101" s="1616"/>
      <c r="EA101" s="1616"/>
      <c r="EB101" s="1616"/>
      <c r="EC101" s="1616"/>
      <c r="ED101" s="1616"/>
      <c r="EE101" s="1616"/>
      <c r="EF101" s="1616"/>
      <c r="EG101" s="1616"/>
      <c r="EH101" s="1616"/>
      <c r="EI101" s="1616"/>
      <c r="EJ101" s="1616"/>
      <c r="EK101" s="1616"/>
      <c r="EL101" s="1616"/>
      <c r="EM101" s="1616"/>
      <c r="EN101" s="1616"/>
      <c r="EO101" s="1616"/>
      <c r="EP101" s="1616"/>
      <c r="EQ101" s="1616"/>
      <c r="ER101" s="1616"/>
      <c r="ES101" s="1616"/>
      <c r="ET101" s="1616"/>
      <c r="EU101" s="1616"/>
      <c r="EV101" s="1616"/>
      <c r="EW101" s="1616"/>
      <c r="EX101" s="1616"/>
      <c r="EY101" s="1616"/>
      <c r="EZ101" s="1616"/>
      <c r="FA101" s="1616"/>
      <c r="FB101" s="1616"/>
      <c r="FC101" s="1616"/>
      <c r="FD101" s="1616"/>
      <c r="FE101" s="1616"/>
      <c r="FF101" s="1616"/>
      <c r="FG101" s="1616"/>
      <c r="FH101" s="1616"/>
      <c r="FI101" s="1616"/>
      <c r="FJ101" s="1616"/>
      <c r="FK101" s="1616"/>
      <c r="FL101" s="1616"/>
      <c r="FM101" s="1616"/>
      <c r="FN101" s="1616"/>
      <c r="FO101" s="1616"/>
      <c r="FP101" s="1616"/>
      <c r="FQ101" s="1616"/>
      <c r="FR101" s="1616"/>
      <c r="FS101" s="1616"/>
      <c r="FT101" s="1616"/>
      <c r="FU101" s="1616"/>
      <c r="FV101" s="1616"/>
      <c r="FW101" s="1616"/>
      <c r="FX101" s="1616"/>
      <c r="FY101" s="1616"/>
      <c r="FZ101" s="1616"/>
      <c r="GA101" s="1616"/>
      <c r="GB101" s="1616"/>
      <c r="GC101" s="1616"/>
      <c r="GD101" s="1616"/>
      <c r="GE101" s="1616"/>
      <c r="GF101" s="1616"/>
      <c r="GG101" s="1616"/>
      <c r="GH101" s="1616"/>
      <c r="GI101" s="1616"/>
      <c r="GJ101" s="1616"/>
      <c r="GK101" s="1616"/>
      <c r="GL101" s="1616"/>
      <c r="GM101" s="1616"/>
      <c r="GN101" s="1616"/>
      <c r="GO101" s="1616"/>
      <c r="GP101" s="1616"/>
      <c r="GQ101" s="1616"/>
      <c r="GR101" s="1616"/>
      <c r="GS101" s="1616"/>
      <c r="GT101" s="1616"/>
      <c r="GU101" s="1616"/>
      <c r="GV101" s="1616"/>
      <c r="GW101" s="1616"/>
      <c r="GX101" s="1616"/>
      <c r="GY101" s="1616"/>
      <c r="GZ101" s="1616"/>
      <c r="HA101" s="1616"/>
      <c r="HB101" s="1616"/>
      <c r="HC101" s="1616"/>
      <c r="HD101" s="1616"/>
      <c r="HE101" s="1616"/>
      <c r="HF101" s="1616"/>
      <c r="HG101" s="1616"/>
      <c r="HH101" s="1616"/>
      <c r="HI101" s="1616"/>
      <c r="HJ101" s="1616"/>
      <c r="HK101" s="1616"/>
      <c r="HL101" s="1616"/>
      <c r="HM101" s="1616"/>
      <c r="HN101" s="1616"/>
      <c r="HO101" s="1616"/>
      <c r="HP101" s="1616"/>
      <c r="HQ101" s="1616"/>
      <c r="HR101" s="1616"/>
      <c r="HS101" s="1616"/>
      <c r="HT101" s="1616"/>
      <c r="HU101" s="1616"/>
      <c r="HV101" s="1616"/>
      <c r="HW101" s="1616"/>
      <c r="HX101" s="1616"/>
      <c r="HY101" s="1616"/>
      <c r="HZ101" s="1616"/>
      <c r="IA101" s="1616"/>
      <c r="IB101" s="1616"/>
      <c r="IC101" s="1616"/>
      <c r="ID101" s="1616"/>
      <c r="IE101" s="1616"/>
      <c r="IF101" s="1616"/>
      <c r="IG101" s="1616"/>
      <c r="IH101" s="1616"/>
      <c r="II101" s="1616"/>
      <c r="IJ101" s="1616"/>
      <c r="IK101" s="1616"/>
      <c r="IL101" s="1616"/>
      <c r="IM101" s="1616"/>
      <c r="IN101" s="1616"/>
      <c r="IO101" s="1616"/>
      <c r="IP101" s="1616"/>
      <c r="IQ101" s="1616"/>
      <c r="IR101" s="1616"/>
      <c r="IS101" s="1616"/>
      <c r="IT101" s="1616"/>
      <c r="IU101" s="1616"/>
    </row>
    <row r="102" spans="1:255" s="604" customFormat="1" ht="13.5" customHeight="1">
      <c r="A102" s="595"/>
      <c r="B102" s="596"/>
      <c r="C102" s="597"/>
      <c r="D102" s="719" t="s">
        <v>5838</v>
      </c>
      <c r="E102" s="599"/>
      <c r="F102" s="600">
        <v>5</v>
      </c>
      <c r="G102" s="289"/>
      <c r="H102" s="601"/>
      <c r="I102" s="1620"/>
      <c r="J102" s="606"/>
      <c r="U102" s="605"/>
      <c r="W102" s="605"/>
    </row>
    <row r="103" spans="1:255" s="1248" customFormat="1" ht="13.5" customHeight="1">
      <c r="A103" s="1614">
        <v>28</v>
      </c>
      <c r="B103" s="1615" t="s">
        <v>5808</v>
      </c>
      <c r="C103" s="1615">
        <v>460242221</v>
      </c>
      <c r="D103" s="1615" t="s">
        <v>5839</v>
      </c>
      <c r="E103" s="1615" t="s">
        <v>141</v>
      </c>
      <c r="F103" s="573">
        <f>ROUND(SUM(F104),3)</f>
        <v>15</v>
      </c>
      <c r="G103" s="288"/>
      <c r="H103" s="568">
        <f>ROUND(F103*G103,2)</f>
        <v>0</v>
      </c>
      <c r="I103" s="613" t="s">
        <v>137</v>
      </c>
      <c r="J103" s="1612"/>
      <c r="BF103" s="1616"/>
      <c r="BG103" s="1616"/>
      <c r="BH103" s="1616"/>
      <c r="BI103" s="1616"/>
      <c r="BJ103" s="1616"/>
      <c r="BK103" s="1616"/>
      <c r="BL103" s="1616"/>
      <c r="BM103" s="1616"/>
      <c r="BN103" s="1616"/>
      <c r="BO103" s="1616"/>
      <c r="BP103" s="1616"/>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604" customFormat="1" ht="13.5" customHeight="1">
      <c r="A104" s="595"/>
      <c r="B104" s="596"/>
      <c r="C104" s="597"/>
      <c r="D104" s="719" t="s">
        <v>5838</v>
      </c>
      <c r="E104" s="599"/>
      <c r="F104" s="600">
        <v>15</v>
      </c>
      <c r="G104" s="289"/>
      <c r="H104" s="601"/>
      <c r="I104" s="1620"/>
      <c r="J104" s="606"/>
      <c r="U104" s="605"/>
      <c r="W104" s="605"/>
    </row>
    <row r="105" spans="1:255" s="1248" customFormat="1" ht="13.5" customHeight="1">
      <c r="A105" s="1614">
        <v>29</v>
      </c>
      <c r="B105" s="1615" t="s">
        <v>5808</v>
      </c>
      <c r="C105" s="1615">
        <v>460451432</v>
      </c>
      <c r="D105" s="1615" t="s">
        <v>5840</v>
      </c>
      <c r="E105" s="1615" t="s">
        <v>141</v>
      </c>
      <c r="F105" s="573">
        <f>ROUND(SUM(F107),3)</f>
        <v>17.55</v>
      </c>
      <c r="G105" s="288"/>
      <c r="H105" s="568">
        <f>ROUND(F105*G105,2)</f>
        <v>0</v>
      </c>
      <c r="I105" s="613" t="s">
        <v>137</v>
      </c>
      <c r="J105" s="1621"/>
      <c r="BF105" s="1616"/>
      <c r="BG105" s="1616"/>
      <c r="BH105" s="1616"/>
      <c r="BI105" s="1616"/>
      <c r="BJ105" s="1616"/>
      <c r="BK105" s="1616"/>
      <c r="BL105" s="1616"/>
      <c r="BM105" s="1616"/>
      <c r="BN105" s="1616"/>
      <c r="BO105" s="1616"/>
      <c r="BP105" s="1616"/>
      <c r="BQ105" s="1616"/>
      <c r="BR105" s="1616"/>
      <c r="BS105" s="1616"/>
      <c r="BT105" s="1616"/>
      <c r="BU105" s="1616"/>
      <c r="BV105" s="1616"/>
      <c r="BW105" s="1616"/>
      <c r="BX105" s="1616"/>
      <c r="BY105" s="1616"/>
      <c r="BZ105" s="1616"/>
      <c r="CA105" s="1616"/>
      <c r="CB105" s="1616"/>
      <c r="CC105" s="1616"/>
      <c r="CD105" s="1616"/>
      <c r="CE105" s="1616"/>
      <c r="CF105" s="1616"/>
      <c r="CG105" s="1616"/>
      <c r="CH105" s="1616"/>
      <c r="CI105" s="1616"/>
      <c r="CJ105" s="1616"/>
      <c r="CK105" s="1616"/>
      <c r="CL105" s="1616"/>
      <c r="CM105" s="1616"/>
      <c r="CN105" s="1616"/>
      <c r="CO105" s="1616"/>
      <c r="CP105" s="1616"/>
      <c r="CQ105" s="1616"/>
      <c r="CR105" s="1616"/>
      <c r="CS105" s="1616"/>
      <c r="CT105" s="1616"/>
      <c r="CU105" s="1616"/>
      <c r="CV105" s="1616"/>
      <c r="CW105" s="1616"/>
      <c r="CX105" s="1616"/>
      <c r="CY105" s="1616"/>
      <c r="CZ105" s="1616"/>
      <c r="DA105" s="1616"/>
      <c r="DB105" s="1616"/>
      <c r="DC105" s="1616"/>
      <c r="DD105" s="1616"/>
      <c r="DE105" s="1616"/>
      <c r="DF105" s="1616"/>
      <c r="DG105" s="1616"/>
      <c r="DH105" s="1616"/>
      <c r="DI105" s="1616"/>
      <c r="DJ105" s="1616"/>
      <c r="DK105" s="1616"/>
      <c r="DL105" s="1616"/>
      <c r="DM105" s="1616"/>
      <c r="DN105" s="1616"/>
      <c r="DO105" s="1616"/>
      <c r="DP105" s="1616"/>
      <c r="DQ105" s="1616"/>
      <c r="DR105" s="1616"/>
      <c r="DS105" s="1616"/>
      <c r="DT105" s="1616"/>
      <c r="DU105" s="1616"/>
      <c r="DV105" s="1616"/>
      <c r="DW105" s="1616"/>
      <c r="DX105" s="1616"/>
      <c r="DY105" s="1616"/>
      <c r="DZ105" s="1616"/>
      <c r="EA105" s="1616"/>
      <c r="EB105" s="1616"/>
      <c r="EC105" s="1616"/>
      <c r="ED105" s="1616"/>
      <c r="EE105" s="1616"/>
      <c r="EF105" s="1616"/>
      <c r="EG105" s="1616"/>
      <c r="EH105" s="1616"/>
      <c r="EI105" s="1616"/>
      <c r="EJ105" s="1616"/>
      <c r="EK105" s="1616"/>
      <c r="EL105" s="1616"/>
      <c r="EM105" s="1616"/>
      <c r="EN105" s="1616"/>
      <c r="EO105" s="1616"/>
      <c r="EP105" s="1616"/>
      <c r="EQ105" s="1616"/>
      <c r="ER105" s="1616"/>
      <c r="ES105" s="1616"/>
      <c r="ET105" s="1616"/>
      <c r="EU105" s="1616"/>
      <c r="EV105" s="1616"/>
      <c r="EW105" s="1616"/>
      <c r="EX105" s="1616"/>
      <c r="EY105" s="1616"/>
      <c r="EZ105" s="1616"/>
      <c r="FA105" s="1616"/>
      <c r="FB105" s="1616"/>
      <c r="FC105" s="1616"/>
      <c r="FD105" s="1616"/>
      <c r="FE105" s="1616"/>
      <c r="FF105" s="1616"/>
      <c r="FG105" s="1616"/>
      <c r="FH105" s="1616"/>
      <c r="FI105" s="1616"/>
      <c r="FJ105" s="1616"/>
      <c r="FK105" s="1616"/>
      <c r="FL105" s="1616"/>
      <c r="FM105" s="1616"/>
      <c r="FN105" s="1616"/>
      <c r="FO105" s="1616"/>
      <c r="FP105" s="1616"/>
      <c r="FQ105" s="1616"/>
      <c r="FR105" s="1616"/>
      <c r="FS105" s="1616"/>
      <c r="FT105" s="1616"/>
      <c r="FU105" s="1616"/>
      <c r="FV105" s="1616"/>
      <c r="FW105" s="1616"/>
      <c r="FX105" s="1616"/>
      <c r="FY105" s="1616"/>
      <c r="FZ105" s="1616"/>
      <c r="GA105" s="1616"/>
      <c r="GB105" s="1616"/>
      <c r="GC105" s="1616"/>
      <c r="GD105" s="1616"/>
      <c r="GE105" s="1616"/>
      <c r="GF105" s="1616"/>
      <c r="GG105" s="1616"/>
      <c r="GH105" s="1616"/>
      <c r="GI105" s="1616"/>
      <c r="GJ105" s="1616"/>
      <c r="GK105" s="1616"/>
      <c r="GL105" s="1616"/>
      <c r="GM105" s="1616"/>
      <c r="GN105" s="1616"/>
      <c r="GO105" s="1616"/>
      <c r="GP105" s="1616"/>
      <c r="GQ105" s="1616"/>
      <c r="GR105" s="1616"/>
      <c r="GS105" s="1616"/>
      <c r="GT105" s="1616"/>
      <c r="GU105" s="1616"/>
      <c r="GV105" s="1616"/>
      <c r="GW105" s="1616"/>
      <c r="GX105" s="1616"/>
      <c r="GY105" s="1616"/>
      <c r="GZ105" s="1616"/>
      <c r="HA105" s="1616"/>
      <c r="HB105" s="1616"/>
      <c r="HC105" s="1616"/>
      <c r="HD105" s="1616"/>
      <c r="HE105" s="1616"/>
      <c r="HF105" s="1616"/>
      <c r="HG105" s="1616"/>
      <c r="HH105" s="1616"/>
      <c r="HI105" s="1616"/>
      <c r="HJ105" s="1616"/>
      <c r="HK105" s="1616"/>
      <c r="HL105" s="1616"/>
      <c r="HM105" s="1616"/>
      <c r="HN105" s="1616"/>
      <c r="HO105" s="1616"/>
      <c r="HP105" s="1616"/>
      <c r="HQ105" s="1616"/>
      <c r="HR105" s="1616"/>
      <c r="HS105" s="1616"/>
      <c r="HT105" s="1616"/>
      <c r="HU105" s="1616"/>
      <c r="HV105" s="1616"/>
      <c r="HW105" s="1616"/>
      <c r="HX105" s="1616"/>
      <c r="HY105" s="1616"/>
      <c r="HZ105" s="1616"/>
      <c r="IA105" s="1616"/>
      <c r="IB105" s="1616"/>
      <c r="IC105" s="1616"/>
      <c r="ID105" s="1616"/>
      <c r="IE105" s="1616"/>
      <c r="IF105" s="1616"/>
      <c r="IG105" s="1616"/>
      <c r="IH105" s="1616"/>
      <c r="II105" s="1616"/>
      <c r="IJ105" s="1616"/>
      <c r="IK105" s="1616"/>
      <c r="IL105" s="1616"/>
      <c r="IM105" s="1616"/>
      <c r="IN105" s="1616"/>
      <c r="IO105" s="1616"/>
      <c r="IP105" s="1616"/>
      <c r="IQ105" s="1616"/>
      <c r="IR105" s="1616"/>
      <c r="IS105" s="1616"/>
      <c r="IT105" s="1616"/>
      <c r="IU105" s="1616"/>
    </row>
    <row r="106" spans="1:255" s="1248" customFormat="1" ht="13.5" customHeight="1">
      <c r="A106" s="1614"/>
      <c r="B106" s="1615"/>
      <c r="C106" s="1615"/>
      <c r="D106" s="719" t="s">
        <v>5928</v>
      </c>
      <c r="E106" s="1615"/>
      <c r="F106" s="1444"/>
      <c r="G106" s="288"/>
      <c r="H106" s="609"/>
      <c r="I106" s="613"/>
      <c r="J106" s="1612"/>
      <c r="BF106" s="1616"/>
      <c r="BG106" s="1616"/>
      <c r="BH106" s="1616"/>
      <c r="BI106" s="1616"/>
      <c r="BJ106" s="1616"/>
      <c r="BK106" s="1616"/>
      <c r="BL106" s="1616"/>
      <c r="BM106" s="1616"/>
      <c r="BN106" s="1616"/>
      <c r="BO106" s="1616"/>
      <c r="BP106" s="1616"/>
      <c r="BQ106" s="1616"/>
      <c r="BR106" s="1616"/>
      <c r="BS106" s="1616"/>
      <c r="BT106" s="1616"/>
      <c r="BU106" s="1616"/>
      <c r="BV106" s="1616"/>
      <c r="BW106" s="1616"/>
      <c r="BX106" s="1616"/>
      <c r="BY106" s="1616"/>
      <c r="BZ106" s="1616"/>
      <c r="CA106" s="1616"/>
      <c r="CB106" s="1616"/>
      <c r="CC106" s="1616"/>
      <c r="CD106" s="1616"/>
      <c r="CE106" s="1616"/>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248" customFormat="1" ht="13.5" customHeight="1">
      <c r="A107" s="1614"/>
      <c r="B107" s="1615"/>
      <c r="C107" s="1615"/>
      <c r="D107" s="719" t="s">
        <v>5929</v>
      </c>
      <c r="E107" s="1615"/>
      <c r="F107" s="600">
        <f>(19.5)*(0.05+0.85)</f>
        <v>17.55</v>
      </c>
      <c r="G107" s="308"/>
      <c r="H107" s="609"/>
      <c r="I107" s="613"/>
      <c r="J107" s="1612"/>
      <c r="BF107" s="1616"/>
      <c r="BG107" s="1616"/>
      <c r="BH107" s="1616"/>
      <c r="BI107" s="1616"/>
      <c r="BJ107" s="1616"/>
      <c r="BK107" s="1616"/>
      <c r="BL107" s="1616"/>
      <c r="BM107" s="1616"/>
      <c r="BN107" s="1616"/>
      <c r="BO107" s="1616"/>
      <c r="BP107" s="1616"/>
      <c r="BQ107" s="1616"/>
      <c r="BR107" s="1616"/>
      <c r="BS107" s="1616"/>
      <c r="BT107" s="1616"/>
      <c r="BU107" s="1616"/>
      <c r="BV107" s="1616"/>
      <c r="BW107" s="1616"/>
      <c r="BX107" s="1616"/>
      <c r="BY107" s="1616"/>
      <c r="BZ107" s="1616"/>
      <c r="CA107" s="1616"/>
      <c r="CB107" s="1616"/>
      <c r="CC107" s="1616"/>
      <c r="CD107" s="1616"/>
      <c r="CE107" s="1616"/>
      <c r="CF107" s="1616"/>
      <c r="CG107" s="1616"/>
      <c r="CH107" s="1616"/>
      <c r="CI107" s="1616"/>
      <c r="CJ107" s="1616"/>
      <c r="CK107" s="1616"/>
      <c r="CL107" s="1616"/>
      <c r="CM107" s="1616"/>
      <c r="CN107" s="1616"/>
      <c r="CO107" s="1616"/>
      <c r="CP107" s="1616"/>
      <c r="CQ107" s="1616"/>
      <c r="CR107" s="1616"/>
      <c r="CS107" s="1616"/>
      <c r="CT107" s="1616"/>
      <c r="CU107" s="1616"/>
      <c r="CV107" s="1616"/>
      <c r="CW107" s="1616"/>
      <c r="CX107" s="1616"/>
      <c r="CY107" s="1616"/>
      <c r="CZ107" s="1616"/>
      <c r="DA107" s="1616"/>
      <c r="DB107" s="1616"/>
      <c r="DC107" s="1616"/>
      <c r="DD107" s="1616"/>
      <c r="DE107" s="1616"/>
      <c r="DF107" s="1616"/>
      <c r="DG107" s="1616"/>
      <c r="DH107" s="1616"/>
      <c r="DI107" s="1616"/>
      <c r="DJ107" s="1616"/>
      <c r="DK107" s="1616"/>
      <c r="DL107" s="1616"/>
      <c r="DM107" s="1616"/>
      <c r="DN107" s="1616"/>
      <c r="DO107" s="1616"/>
      <c r="DP107" s="1616"/>
      <c r="DQ107" s="1616"/>
      <c r="DR107" s="1616"/>
      <c r="DS107" s="1616"/>
      <c r="DT107" s="1616"/>
      <c r="DU107" s="1616"/>
      <c r="DV107" s="1616"/>
      <c r="DW107" s="1616"/>
      <c r="DX107" s="1616"/>
      <c r="DY107" s="1616"/>
      <c r="DZ107" s="1616"/>
      <c r="EA107" s="1616"/>
      <c r="EB107" s="1616"/>
      <c r="EC107" s="1616"/>
      <c r="ED107" s="1616"/>
      <c r="EE107" s="1616"/>
      <c r="EF107" s="1616"/>
      <c r="EG107" s="1616"/>
      <c r="EH107" s="1616"/>
      <c r="EI107" s="1616"/>
      <c r="EJ107" s="1616"/>
      <c r="EK107" s="1616"/>
      <c r="EL107" s="1616"/>
      <c r="EM107" s="1616"/>
      <c r="EN107" s="1616"/>
      <c r="EO107" s="1616"/>
      <c r="EP107" s="1616"/>
      <c r="EQ107" s="1616"/>
      <c r="ER107" s="1616"/>
      <c r="ES107" s="1616"/>
      <c r="ET107" s="1616"/>
      <c r="EU107" s="1616"/>
      <c r="EV107" s="1616"/>
      <c r="EW107" s="1616"/>
      <c r="EX107" s="1616"/>
      <c r="EY107" s="1616"/>
      <c r="EZ107" s="1616"/>
      <c r="FA107" s="1616"/>
      <c r="FB107" s="1616"/>
      <c r="FC107" s="1616"/>
      <c r="FD107" s="1616"/>
      <c r="FE107" s="1616"/>
      <c r="FF107" s="1616"/>
      <c r="FG107" s="1616"/>
      <c r="FH107" s="1616"/>
      <c r="FI107" s="1616"/>
      <c r="FJ107" s="1616"/>
      <c r="FK107" s="1616"/>
      <c r="FL107" s="1616"/>
      <c r="FM107" s="1616"/>
      <c r="FN107" s="1616"/>
      <c r="FO107" s="1616"/>
      <c r="FP107" s="1616"/>
      <c r="FQ107" s="1616"/>
      <c r="FR107" s="1616"/>
      <c r="FS107" s="1616"/>
      <c r="FT107" s="1616"/>
      <c r="FU107" s="1616"/>
      <c r="FV107" s="1616"/>
      <c r="FW107" s="1616"/>
      <c r="FX107" s="1616"/>
      <c r="FY107" s="1616"/>
      <c r="FZ107" s="1616"/>
      <c r="GA107" s="1616"/>
      <c r="GB107" s="1616"/>
      <c r="GC107" s="1616"/>
      <c r="GD107" s="1616"/>
      <c r="GE107" s="1616"/>
      <c r="GF107" s="1616"/>
      <c r="GG107" s="1616"/>
      <c r="GH107" s="1616"/>
      <c r="GI107" s="1616"/>
      <c r="GJ107" s="1616"/>
      <c r="GK107" s="1616"/>
      <c r="GL107" s="1616"/>
      <c r="GM107" s="1616"/>
      <c r="GN107" s="1616"/>
      <c r="GO107" s="1616"/>
      <c r="GP107" s="1616"/>
      <c r="GQ107" s="1616"/>
      <c r="GR107" s="1616"/>
      <c r="GS107" s="1616"/>
      <c r="GT107" s="1616"/>
      <c r="GU107" s="1616"/>
      <c r="GV107" s="1616"/>
      <c r="GW107" s="1616"/>
      <c r="GX107" s="1616"/>
      <c r="GY107" s="1616"/>
      <c r="GZ107" s="1616"/>
      <c r="HA107" s="1616"/>
      <c r="HB107" s="1616"/>
      <c r="HC107" s="1616"/>
      <c r="HD107" s="1616"/>
      <c r="HE107" s="1616"/>
      <c r="HF107" s="1616"/>
      <c r="HG107" s="1616"/>
      <c r="HH107" s="1616"/>
      <c r="HI107" s="1616"/>
      <c r="HJ107" s="1616"/>
      <c r="HK107" s="1616"/>
      <c r="HL107" s="1616"/>
      <c r="HM107" s="1616"/>
      <c r="HN107" s="1616"/>
      <c r="HO107" s="1616"/>
      <c r="HP107" s="1616"/>
      <c r="HQ107" s="1616"/>
      <c r="HR107" s="1616"/>
      <c r="HS107" s="1616"/>
      <c r="HT107" s="1616"/>
      <c r="HU107" s="1616"/>
      <c r="HV107" s="1616"/>
      <c r="HW107" s="1616"/>
      <c r="HX107" s="1616"/>
      <c r="HY107" s="1616"/>
      <c r="HZ107" s="1616"/>
      <c r="IA107" s="1616"/>
      <c r="IB107" s="1616"/>
      <c r="IC107" s="1616"/>
      <c r="ID107" s="1616"/>
      <c r="IE107" s="1616"/>
      <c r="IF107" s="1616"/>
      <c r="IG107" s="1616"/>
      <c r="IH107" s="1616"/>
      <c r="II107" s="1616"/>
      <c r="IJ107" s="1616"/>
      <c r="IK107" s="1616"/>
      <c r="IL107" s="1616"/>
      <c r="IM107" s="1616"/>
      <c r="IN107" s="1616"/>
      <c r="IO107" s="1616"/>
      <c r="IP107" s="1616"/>
      <c r="IQ107" s="1616"/>
      <c r="IR107" s="1616"/>
      <c r="IS107" s="1616"/>
      <c r="IT107" s="1616"/>
      <c r="IU107" s="1616"/>
    </row>
    <row r="108" spans="1:255" s="604" customFormat="1" ht="27" customHeight="1">
      <c r="A108" s="595"/>
      <c r="B108" s="596"/>
      <c r="C108" s="597"/>
      <c r="D108" s="719" t="s">
        <v>5843</v>
      </c>
      <c r="E108" s="599"/>
      <c r="F108" s="600"/>
      <c r="G108" s="289"/>
      <c r="H108" s="601"/>
      <c r="I108" s="602"/>
      <c r="J108" s="606"/>
      <c r="U108" s="605"/>
      <c r="W108" s="605"/>
    </row>
    <row r="109" spans="1:255" s="1248" customFormat="1" ht="13.5" customHeight="1">
      <c r="A109" s="1614">
        <v>30</v>
      </c>
      <c r="B109" s="1615" t="s">
        <v>5808</v>
      </c>
      <c r="C109" s="1615">
        <v>460451433</v>
      </c>
      <c r="D109" s="1615" t="s">
        <v>5844</v>
      </c>
      <c r="E109" s="1615" t="s">
        <v>141</v>
      </c>
      <c r="F109" s="573">
        <f>ROUND(SUM(F111),3)</f>
        <v>1.95</v>
      </c>
      <c r="G109" s="288"/>
      <c r="H109" s="568">
        <f>ROUND(F109*G109,2)</f>
        <v>0</v>
      </c>
      <c r="I109" s="613" t="s">
        <v>137</v>
      </c>
      <c r="J109" s="1621"/>
      <c r="BF109" s="1616"/>
      <c r="BG109" s="1616"/>
      <c r="BH109" s="1616"/>
      <c r="BI109" s="1616"/>
      <c r="BJ109" s="1616"/>
      <c r="BK109" s="1616"/>
      <c r="BL109" s="1616"/>
      <c r="BM109" s="1616"/>
      <c r="BN109" s="1616"/>
      <c r="BO109" s="1616"/>
      <c r="BP109" s="1616"/>
      <c r="BQ109" s="1616"/>
      <c r="BR109" s="1616"/>
      <c r="BS109" s="1616"/>
      <c r="BT109" s="1616"/>
      <c r="BU109" s="1616"/>
      <c r="BV109" s="1616"/>
      <c r="BW109" s="1616"/>
      <c r="BX109" s="1616"/>
      <c r="BY109" s="1616"/>
      <c r="BZ109" s="1616"/>
      <c r="CA109" s="1616"/>
      <c r="CB109" s="1616"/>
      <c r="CC109" s="1616"/>
      <c r="CD109" s="1616"/>
      <c r="CE109" s="1616"/>
      <c r="CF109" s="1616"/>
      <c r="CG109" s="1616"/>
      <c r="CH109" s="1616"/>
      <c r="CI109" s="1616"/>
      <c r="CJ109" s="1616"/>
      <c r="CK109" s="1616"/>
      <c r="CL109" s="1616"/>
      <c r="CM109" s="1616"/>
      <c r="CN109" s="1616"/>
      <c r="CO109" s="1616"/>
      <c r="CP109" s="1616"/>
      <c r="CQ109" s="1616"/>
      <c r="CR109" s="1616"/>
      <c r="CS109" s="1616"/>
      <c r="CT109" s="1616"/>
      <c r="CU109" s="1616"/>
      <c r="CV109" s="1616"/>
      <c r="CW109" s="1616"/>
      <c r="CX109" s="1616"/>
      <c r="CY109" s="1616"/>
      <c r="CZ109" s="1616"/>
      <c r="DA109" s="1616"/>
      <c r="DB109" s="1616"/>
      <c r="DC109" s="1616"/>
      <c r="DD109" s="1616"/>
      <c r="DE109" s="1616"/>
      <c r="DF109" s="1616"/>
      <c r="DG109" s="1616"/>
      <c r="DH109" s="1616"/>
      <c r="DI109" s="1616"/>
      <c r="DJ109" s="1616"/>
      <c r="DK109" s="1616"/>
      <c r="DL109" s="1616"/>
      <c r="DM109" s="1616"/>
      <c r="DN109" s="1616"/>
      <c r="DO109" s="1616"/>
      <c r="DP109" s="1616"/>
      <c r="DQ109" s="1616"/>
      <c r="DR109" s="1616"/>
      <c r="DS109" s="1616"/>
      <c r="DT109" s="1616"/>
      <c r="DU109" s="1616"/>
      <c r="DV109" s="1616"/>
      <c r="DW109" s="1616"/>
      <c r="DX109" s="1616"/>
      <c r="DY109" s="1616"/>
      <c r="DZ109" s="1616"/>
      <c r="EA109" s="1616"/>
      <c r="EB109" s="1616"/>
      <c r="EC109" s="1616"/>
      <c r="ED109" s="1616"/>
      <c r="EE109" s="1616"/>
      <c r="EF109" s="1616"/>
      <c r="EG109" s="1616"/>
      <c r="EH109" s="1616"/>
      <c r="EI109" s="1616"/>
      <c r="EJ109" s="1616"/>
      <c r="EK109" s="1616"/>
      <c r="EL109" s="1616"/>
      <c r="EM109" s="1616"/>
      <c r="EN109" s="1616"/>
      <c r="EO109" s="1616"/>
      <c r="EP109" s="1616"/>
      <c r="EQ109" s="1616"/>
      <c r="ER109" s="1616"/>
      <c r="ES109" s="1616"/>
      <c r="ET109" s="1616"/>
      <c r="EU109" s="1616"/>
      <c r="EV109" s="1616"/>
      <c r="EW109" s="1616"/>
      <c r="EX109" s="1616"/>
      <c r="EY109" s="1616"/>
      <c r="EZ109" s="1616"/>
      <c r="FA109" s="1616"/>
      <c r="FB109" s="1616"/>
      <c r="FC109" s="1616"/>
      <c r="FD109" s="1616"/>
      <c r="FE109" s="1616"/>
      <c r="FF109" s="1616"/>
      <c r="FG109" s="1616"/>
      <c r="FH109" s="1616"/>
      <c r="FI109" s="1616"/>
      <c r="FJ109" s="1616"/>
      <c r="FK109" s="1616"/>
      <c r="FL109" s="1616"/>
      <c r="FM109" s="1616"/>
      <c r="FN109" s="1616"/>
      <c r="FO109" s="1616"/>
      <c r="FP109" s="1616"/>
      <c r="FQ109" s="1616"/>
      <c r="FR109" s="1616"/>
      <c r="FS109" s="1616"/>
      <c r="FT109" s="1616"/>
      <c r="FU109" s="1616"/>
      <c r="FV109" s="1616"/>
      <c r="FW109" s="1616"/>
      <c r="FX109" s="1616"/>
      <c r="FY109" s="1616"/>
      <c r="FZ109" s="1616"/>
      <c r="GA109" s="1616"/>
      <c r="GB109" s="1616"/>
      <c r="GC109" s="1616"/>
      <c r="GD109" s="1616"/>
      <c r="GE109" s="1616"/>
      <c r="GF109" s="1616"/>
      <c r="GG109" s="1616"/>
      <c r="GH109" s="1616"/>
      <c r="GI109" s="1616"/>
      <c r="GJ109" s="1616"/>
      <c r="GK109" s="1616"/>
      <c r="GL109" s="1616"/>
      <c r="GM109" s="1616"/>
      <c r="GN109" s="1616"/>
      <c r="GO109" s="1616"/>
      <c r="GP109" s="1616"/>
      <c r="GQ109" s="1616"/>
      <c r="GR109" s="1616"/>
      <c r="GS109" s="1616"/>
      <c r="GT109" s="1616"/>
      <c r="GU109" s="1616"/>
      <c r="GV109" s="1616"/>
      <c r="GW109" s="1616"/>
      <c r="GX109" s="1616"/>
      <c r="GY109" s="1616"/>
      <c r="GZ109" s="1616"/>
      <c r="HA109" s="1616"/>
      <c r="HB109" s="1616"/>
      <c r="HC109" s="1616"/>
      <c r="HD109" s="1616"/>
      <c r="HE109" s="1616"/>
      <c r="HF109" s="1616"/>
      <c r="HG109" s="1616"/>
      <c r="HH109" s="1616"/>
      <c r="HI109" s="1616"/>
      <c r="HJ109" s="1616"/>
      <c r="HK109" s="1616"/>
      <c r="HL109" s="1616"/>
      <c r="HM109" s="1616"/>
      <c r="HN109" s="1616"/>
      <c r="HO109" s="1616"/>
      <c r="HP109" s="1616"/>
      <c r="HQ109" s="1616"/>
      <c r="HR109" s="1616"/>
      <c r="HS109" s="1616"/>
      <c r="HT109" s="1616"/>
      <c r="HU109" s="1616"/>
      <c r="HV109" s="1616"/>
      <c r="HW109" s="1616"/>
      <c r="HX109" s="1616"/>
      <c r="HY109" s="1616"/>
      <c r="HZ109" s="1616"/>
      <c r="IA109" s="1616"/>
      <c r="IB109" s="1616"/>
      <c r="IC109" s="1616"/>
      <c r="ID109" s="1616"/>
      <c r="IE109" s="1616"/>
      <c r="IF109" s="1616"/>
      <c r="IG109" s="1616"/>
      <c r="IH109" s="1616"/>
      <c r="II109" s="1616"/>
      <c r="IJ109" s="1616"/>
      <c r="IK109" s="1616"/>
      <c r="IL109" s="1616"/>
      <c r="IM109" s="1616"/>
      <c r="IN109" s="1616"/>
      <c r="IO109" s="1616"/>
      <c r="IP109" s="1616"/>
      <c r="IQ109" s="1616"/>
      <c r="IR109" s="1616"/>
      <c r="IS109" s="1616"/>
      <c r="IT109" s="1616"/>
      <c r="IU109" s="1616"/>
    </row>
    <row r="110" spans="1:255" s="1248" customFormat="1" ht="13.5" customHeight="1">
      <c r="A110" s="1614"/>
      <c r="B110" s="1615"/>
      <c r="C110" s="1615"/>
      <c r="D110" s="719" t="s">
        <v>5928</v>
      </c>
      <c r="E110" s="1615"/>
      <c r="F110" s="1444"/>
      <c r="G110" s="288"/>
      <c r="H110" s="609"/>
      <c r="I110" s="613"/>
      <c r="J110" s="1612"/>
      <c r="BF110" s="1616"/>
      <c r="BG110" s="1616"/>
      <c r="BH110" s="1616"/>
      <c r="BI110" s="1616"/>
      <c r="BJ110" s="1616"/>
      <c r="BK110" s="1616"/>
      <c r="BL110" s="1616"/>
      <c r="BM110" s="1616"/>
      <c r="BN110" s="1616"/>
      <c r="BO110" s="1616"/>
      <c r="BP110" s="1616"/>
      <c r="BQ110" s="1616"/>
      <c r="BR110" s="1616"/>
      <c r="BS110" s="1616"/>
      <c r="BT110" s="1616"/>
      <c r="BU110" s="1616"/>
      <c r="BV110" s="1616"/>
      <c r="BW110" s="1616"/>
      <c r="BX110" s="1616"/>
      <c r="BY110" s="1616"/>
      <c r="BZ110" s="1616"/>
      <c r="CA110" s="1616"/>
      <c r="CB110" s="1616"/>
      <c r="CC110" s="1616"/>
      <c r="CD110" s="1616"/>
      <c r="CE110" s="1616"/>
      <c r="CF110" s="1616"/>
      <c r="CG110" s="1616"/>
      <c r="CH110" s="1616"/>
      <c r="CI110" s="1616"/>
      <c r="CJ110" s="1616"/>
      <c r="CK110" s="1616"/>
      <c r="CL110" s="1616"/>
      <c r="CM110" s="1616"/>
      <c r="CN110" s="1616"/>
      <c r="CO110" s="1616"/>
      <c r="CP110" s="1616"/>
      <c r="CQ110" s="1616"/>
      <c r="CR110" s="1616"/>
      <c r="CS110" s="1616"/>
      <c r="CT110" s="1616"/>
      <c r="CU110" s="1616"/>
      <c r="CV110" s="1616"/>
      <c r="CW110" s="1616"/>
      <c r="CX110" s="1616"/>
      <c r="CY110" s="1616"/>
      <c r="CZ110" s="1616"/>
      <c r="DA110" s="1616"/>
      <c r="DB110" s="1616"/>
      <c r="DC110" s="1616"/>
      <c r="DD110" s="1616"/>
      <c r="DE110" s="1616"/>
      <c r="DF110" s="1616"/>
      <c r="DG110" s="1616"/>
      <c r="DH110" s="1616"/>
      <c r="DI110" s="1616"/>
      <c r="DJ110" s="1616"/>
      <c r="DK110" s="1616"/>
      <c r="DL110" s="1616"/>
      <c r="DM110" s="1616"/>
      <c r="DN110" s="1616"/>
      <c r="DO110" s="1616"/>
      <c r="DP110" s="1616"/>
      <c r="DQ110" s="1616"/>
      <c r="DR110" s="1616"/>
      <c r="DS110" s="1616"/>
      <c r="DT110" s="1616"/>
      <c r="DU110" s="1616"/>
      <c r="DV110" s="1616"/>
      <c r="DW110" s="1616"/>
      <c r="DX110" s="1616"/>
      <c r="DY110" s="1616"/>
      <c r="DZ110" s="1616"/>
      <c r="EA110" s="1616"/>
      <c r="EB110" s="1616"/>
      <c r="EC110" s="1616"/>
      <c r="ED110" s="1616"/>
      <c r="EE110" s="1616"/>
      <c r="EF110" s="1616"/>
      <c r="EG110" s="1616"/>
      <c r="EH110" s="1616"/>
      <c r="EI110" s="1616"/>
      <c r="EJ110" s="1616"/>
      <c r="EK110" s="1616"/>
      <c r="EL110" s="1616"/>
      <c r="EM110" s="1616"/>
      <c r="EN110" s="1616"/>
      <c r="EO110" s="1616"/>
      <c r="EP110" s="1616"/>
      <c r="EQ110" s="1616"/>
      <c r="ER110" s="1616"/>
      <c r="ES110" s="1616"/>
      <c r="ET110" s="1616"/>
      <c r="EU110" s="1616"/>
      <c r="EV110" s="1616"/>
      <c r="EW110" s="1616"/>
      <c r="EX110" s="1616"/>
      <c r="EY110" s="1616"/>
      <c r="EZ110" s="1616"/>
      <c r="FA110" s="1616"/>
      <c r="FB110" s="1616"/>
      <c r="FC110" s="1616"/>
      <c r="FD110" s="1616"/>
      <c r="FE110" s="1616"/>
      <c r="FF110" s="1616"/>
      <c r="FG110" s="1616"/>
      <c r="FH110" s="1616"/>
      <c r="FI110" s="1616"/>
      <c r="FJ110" s="1616"/>
      <c r="FK110" s="1616"/>
      <c r="FL110" s="1616"/>
      <c r="FM110" s="1616"/>
      <c r="FN110" s="1616"/>
      <c r="FO110" s="1616"/>
      <c r="FP110" s="1616"/>
      <c r="FQ110" s="1616"/>
      <c r="FR110" s="1616"/>
      <c r="FS110" s="1616"/>
      <c r="FT110" s="1616"/>
      <c r="FU110" s="1616"/>
      <c r="FV110" s="1616"/>
      <c r="FW110" s="1616"/>
      <c r="FX110" s="1616"/>
      <c r="FY110" s="1616"/>
      <c r="FZ110" s="1616"/>
      <c r="GA110" s="1616"/>
      <c r="GB110" s="1616"/>
      <c r="GC110" s="1616"/>
      <c r="GD110" s="1616"/>
      <c r="GE110" s="1616"/>
      <c r="GF110" s="1616"/>
      <c r="GG110" s="1616"/>
      <c r="GH110" s="1616"/>
      <c r="GI110" s="1616"/>
      <c r="GJ110" s="1616"/>
      <c r="GK110" s="1616"/>
      <c r="GL110" s="1616"/>
      <c r="GM110" s="1616"/>
      <c r="GN110" s="1616"/>
      <c r="GO110" s="1616"/>
      <c r="GP110" s="1616"/>
      <c r="GQ110" s="1616"/>
      <c r="GR110" s="1616"/>
      <c r="GS110" s="1616"/>
      <c r="GT110" s="1616"/>
      <c r="GU110" s="1616"/>
      <c r="GV110" s="1616"/>
      <c r="GW110" s="1616"/>
      <c r="GX110" s="1616"/>
      <c r="GY110" s="1616"/>
      <c r="GZ110" s="1616"/>
      <c r="HA110" s="1616"/>
      <c r="HB110" s="1616"/>
      <c r="HC110" s="1616"/>
      <c r="HD110" s="1616"/>
      <c r="HE110" s="1616"/>
      <c r="HF110" s="1616"/>
      <c r="HG110" s="1616"/>
      <c r="HH110" s="1616"/>
      <c r="HI110" s="1616"/>
      <c r="HJ110" s="1616"/>
      <c r="HK110" s="1616"/>
      <c r="HL110" s="1616"/>
      <c r="HM110" s="1616"/>
      <c r="HN110" s="1616"/>
      <c r="HO110" s="1616"/>
      <c r="HP110" s="1616"/>
      <c r="HQ110" s="1616"/>
      <c r="HR110" s="1616"/>
      <c r="HS110" s="1616"/>
      <c r="HT110" s="1616"/>
      <c r="HU110" s="1616"/>
      <c r="HV110" s="1616"/>
      <c r="HW110" s="1616"/>
      <c r="HX110" s="1616"/>
      <c r="HY110" s="1616"/>
      <c r="HZ110" s="1616"/>
      <c r="IA110" s="1616"/>
      <c r="IB110" s="1616"/>
      <c r="IC110" s="1616"/>
      <c r="ID110" s="1616"/>
      <c r="IE110" s="1616"/>
      <c r="IF110" s="1616"/>
      <c r="IG110" s="1616"/>
      <c r="IH110" s="1616"/>
      <c r="II110" s="1616"/>
      <c r="IJ110" s="1616"/>
      <c r="IK110" s="1616"/>
      <c r="IL110" s="1616"/>
      <c r="IM110" s="1616"/>
      <c r="IN110" s="1616"/>
      <c r="IO110" s="1616"/>
      <c r="IP110" s="1616"/>
      <c r="IQ110" s="1616"/>
      <c r="IR110" s="1616"/>
      <c r="IS110" s="1616"/>
      <c r="IT110" s="1616"/>
      <c r="IU110" s="1616"/>
    </row>
    <row r="111" spans="1:255" s="604" customFormat="1" ht="13.5" customHeight="1">
      <c r="A111" s="595"/>
      <c r="B111" s="596"/>
      <c r="C111" s="597"/>
      <c r="D111" s="719" t="s">
        <v>5930</v>
      </c>
      <c r="E111" s="599"/>
      <c r="F111" s="600">
        <f>(19.5)*(0.1)</f>
        <v>1.9500000000000002</v>
      </c>
      <c r="G111" s="289"/>
      <c r="H111" s="601"/>
      <c r="I111" s="602"/>
      <c r="J111" s="606"/>
      <c r="U111" s="605"/>
      <c r="W111" s="605"/>
    </row>
    <row r="112" spans="1:255" s="604" customFormat="1" ht="27" customHeight="1">
      <c r="A112" s="595"/>
      <c r="B112" s="596"/>
      <c r="C112" s="597"/>
      <c r="D112" s="719" t="s">
        <v>5843</v>
      </c>
      <c r="E112" s="599"/>
      <c r="F112" s="600"/>
      <c r="G112" s="289"/>
      <c r="H112" s="601"/>
      <c r="I112" s="602"/>
      <c r="J112" s="1623"/>
      <c r="U112" s="605"/>
      <c r="W112" s="605"/>
    </row>
    <row r="113" spans="1:255" s="1248" customFormat="1" ht="27" customHeight="1">
      <c r="A113" s="1614">
        <v>31</v>
      </c>
      <c r="B113" s="1615" t="s">
        <v>5808</v>
      </c>
      <c r="C113" s="1615">
        <v>460451632</v>
      </c>
      <c r="D113" s="1615" t="s">
        <v>5846</v>
      </c>
      <c r="E113" s="1615" t="s">
        <v>141</v>
      </c>
      <c r="F113" s="573">
        <f>ROUND(SUM(F115),3)</f>
        <v>13.41</v>
      </c>
      <c r="G113" s="5246" t="s">
        <v>5922</v>
      </c>
      <c r="H113" s="5247"/>
      <c r="I113" s="613" t="s">
        <v>137</v>
      </c>
      <c r="J113" s="1621"/>
      <c r="BF113" s="1616"/>
      <c r="BG113" s="1616"/>
      <c r="BH113" s="1616"/>
      <c r="BI113" s="1616"/>
      <c r="BJ113" s="1616"/>
      <c r="BK113" s="1616"/>
      <c r="BL113" s="1616"/>
      <c r="BM113" s="1616"/>
      <c r="BN113" s="1616"/>
      <c r="BO113" s="1616"/>
      <c r="BP113" s="1616"/>
      <c r="BQ113" s="1616"/>
      <c r="BR113" s="1616"/>
      <c r="BS113" s="1616"/>
      <c r="BT113" s="1616"/>
      <c r="BU113" s="1616"/>
      <c r="BV113" s="1616"/>
      <c r="BW113" s="1616"/>
      <c r="BX113" s="1616"/>
      <c r="BY113" s="1616"/>
      <c r="BZ113" s="1616"/>
      <c r="CA113" s="1616"/>
      <c r="CB113" s="1616"/>
      <c r="CC113" s="1616"/>
      <c r="CD113" s="1616"/>
      <c r="CE113" s="1616"/>
      <c r="CF113" s="1616"/>
      <c r="CG113" s="1616"/>
      <c r="CH113" s="1616"/>
      <c r="CI113" s="1616"/>
      <c r="CJ113" s="1616"/>
      <c r="CK113" s="1616"/>
      <c r="CL113" s="1616"/>
      <c r="CM113" s="1616"/>
      <c r="CN113" s="1616"/>
      <c r="CO113" s="1616"/>
      <c r="CP113" s="1616"/>
      <c r="CQ113" s="1616"/>
      <c r="CR113" s="1616"/>
      <c r="CS113" s="1616"/>
      <c r="CT113" s="1616"/>
      <c r="CU113" s="1616"/>
      <c r="CV113" s="1616"/>
      <c r="CW113" s="1616"/>
      <c r="CX113" s="1616"/>
      <c r="CY113" s="1616"/>
      <c r="CZ113" s="1616"/>
      <c r="DA113" s="1616"/>
      <c r="DB113" s="1616"/>
      <c r="DC113" s="1616"/>
      <c r="DD113" s="1616"/>
      <c r="DE113" s="1616"/>
      <c r="DF113" s="1616"/>
      <c r="DG113" s="1616"/>
      <c r="DH113" s="1616"/>
      <c r="DI113" s="1616"/>
      <c r="DJ113" s="1616"/>
      <c r="DK113" s="1616"/>
      <c r="DL113" s="1616"/>
      <c r="DM113" s="1616"/>
      <c r="DN113" s="1616"/>
      <c r="DO113" s="1616"/>
      <c r="DP113" s="1616"/>
      <c r="DQ113" s="1616"/>
      <c r="DR113" s="1616"/>
      <c r="DS113" s="1616"/>
      <c r="DT113" s="1616"/>
      <c r="DU113" s="1616"/>
      <c r="DV113" s="1616"/>
      <c r="DW113" s="1616"/>
      <c r="DX113" s="1616"/>
      <c r="DY113" s="1616"/>
      <c r="DZ113" s="1616"/>
      <c r="EA113" s="1616"/>
      <c r="EB113" s="1616"/>
      <c r="EC113" s="1616"/>
      <c r="ED113" s="1616"/>
      <c r="EE113" s="1616"/>
      <c r="EF113" s="1616"/>
      <c r="EG113" s="1616"/>
      <c r="EH113" s="1616"/>
      <c r="EI113" s="1616"/>
      <c r="EJ113" s="1616"/>
      <c r="EK113" s="1616"/>
      <c r="EL113" s="1616"/>
      <c r="EM113" s="1616"/>
      <c r="EN113" s="1616"/>
      <c r="EO113" s="1616"/>
      <c r="EP113" s="1616"/>
      <c r="EQ113" s="1616"/>
      <c r="ER113" s="1616"/>
      <c r="ES113" s="1616"/>
      <c r="ET113" s="1616"/>
      <c r="EU113" s="1616"/>
      <c r="EV113" s="1616"/>
      <c r="EW113" s="1616"/>
      <c r="EX113" s="1616"/>
      <c r="EY113" s="1616"/>
      <c r="EZ113" s="1616"/>
      <c r="FA113" s="1616"/>
      <c r="FB113" s="1616"/>
      <c r="FC113" s="1616"/>
      <c r="FD113" s="1616"/>
      <c r="FE113" s="1616"/>
      <c r="FF113" s="1616"/>
      <c r="FG113" s="1616"/>
      <c r="FH113" s="1616"/>
      <c r="FI113" s="1616"/>
      <c r="FJ113" s="1616"/>
      <c r="FK113" s="1616"/>
      <c r="FL113" s="1616"/>
      <c r="FM113" s="1616"/>
      <c r="FN113" s="1616"/>
      <c r="FO113" s="1616"/>
      <c r="FP113" s="1616"/>
      <c r="FQ113" s="1616"/>
      <c r="FR113" s="1616"/>
      <c r="FS113" s="1616"/>
      <c r="FT113" s="1616"/>
      <c r="FU113" s="1616"/>
      <c r="FV113" s="1616"/>
      <c r="FW113" s="1616"/>
      <c r="FX113" s="1616"/>
      <c r="FY113" s="1616"/>
      <c r="FZ113" s="1616"/>
      <c r="GA113" s="1616"/>
      <c r="GB113" s="1616"/>
      <c r="GC113" s="1616"/>
      <c r="GD113" s="1616"/>
      <c r="GE113" s="1616"/>
      <c r="GF113" s="1616"/>
      <c r="GG113" s="1616"/>
      <c r="GH113" s="1616"/>
      <c r="GI113" s="1616"/>
      <c r="GJ113" s="1616"/>
      <c r="GK113" s="1616"/>
      <c r="GL113" s="1616"/>
      <c r="GM113" s="1616"/>
      <c r="GN113" s="1616"/>
      <c r="GO113" s="1616"/>
      <c r="GP113" s="1616"/>
      <c r="GQ113" s="1616"/>
      <c r="GR113" s="1616"/>
      <c r="GS113" s="1616"/>
      <c r="GT113" s="1616"/>
      <c r="GU113" s="1616"/>
      <c r="GV113" s="1616"/>
      <c r="GW113" s="1616"/>
      <c r="GX113" s="1616"/>
      <c r="GY113" s="1616"/>
      <c r="GZ113" s="1616"/>
      <c r="HA113" s="1616"/>
      <c r="HB113" s="1616"/>
      <c r="HC113" s="1616"/>
      <c r="HD113" s="1616"/>
      <c r="HE113" s="1616"/>
      <c r="HF113" s="1616"/>
      <c r="HG113" s="1616"/>
      <c r="HH113" s="1616"/>
      <c r="HI113" s="1616"/>
      <c r="HJ113" s="1616"/>
      <c r="HK113" s="1616"/>
      <c r="HL113" s="1616"/>
      <c r="HM113" s="1616"/>
      <c r="HN113" s="1616"/>
      <c r="HO113" s="1616"/>
      <c r="HP113" s="1616"/>
      <c r="HQ113" s="1616"/>
      <c r="HR113" s="1616"/>
      <c r="HS113" s="1616"/>
      <c r="HT113" s="1616"/>
      <c r="HU113" s="1616"/>
      <c r="HV113" s="1616"/>
      <c r="HW113" s="1616"/>
      <c r="HX113" s="1616"/>
      <c r="HY113" s="1616"/>
      <c r="HZ113" s="1616"/>
      <c r="IA113" s="1616"/>
      <c r="IB113" s="1616"/>
      <c r="IC113" s="1616"/>
      <c r="ID113" s="1616"/>
      <c r="IE113" s="1616"/>
      <c r="IF113" s="1616"/>
      <c r="IG113" s="1616"/>
      <c r="IH113" s="1616"/>
      <c r="II113" s="1616"/>
      <c r="IJ113" s="1616"/>
      <c r="IK113" s="1616"/>
      <c r="IL113" s="1616"/>
      <c r="IM113" s="1616"/>
      <c r="IN113" s="1616"/>
      <c r="IO113" s="1616"/>
      <c r="IP113" s="1616"/>
      <c r="IQ113" s="1616"/>
      <c r="IR113" s="1616"/>
      <c r="IS113" s="1616"/>
      <c r="IT113" s="1616"/>
      <c r="IU113" s="1616"/>
    </row>
    <row r="114" spans="1:255" s="1248" customFormat="1" ht="13.5" customHeight="1">
      <c r="A114" s="1614"/>
      <c r="B114" s="1615"/>
      <c r="C114" s="1615"/>
      <c r="D114" s="719" t="s">
        <v>5847</v>
      </c>
      <c r="E114" s="1615"/>
      <c r="F114" s="1444"/>
      <c r="G114" s="288"/>
      <c r="H114" s="609"/>
      <c r="I114" s="613"/>
      <c r="J114" s="1612"/>
      <c r="BF114" s="1616"/>
      <c r="BG114" s="1616"/>
      <c r="BH114" s="1616"/>
      <c r="BI114" s="1616"/>
      <c r="BJ114" s="1616"/>
      <c r="BK114" s="1616"/>
      <c r="BL114" s="1616"/>
      <c r="BM114" s="1616"/>
      <c r="BN114" s="1616"/>
      <c r="BO114" s="1616"/>
      <c r="BP114" s="1616"/>
      <c r="BQ114" s="1616"/>
      <c r="BR114" s="1616"/>
      <c r="BS114" s="1616"/>
      <c r="BT114" s="1616"/>
      <c r="BU114" s="1616"/>
      <c r="BV114" s="1616"/>
      <c r="BW114" s="1616"/>
      <c r="BX114" s="1616"/>
      <c r="BY114" s="1616"/>
      <c r="BZ114" s="1616"/>
      <c r="CA114" s="1616"/>
      <c r="CB114" s="1616"/>
      <c r="CC114" s="1616"/>
      <c r="CD114" s="1616"/>
      <c r="CE114" s="1616"/>
      <c r="CF114" s="1616"/>
      <c r="CG114" s="1616"/>
      <c r="CH114" s="1616"/>
      <c r="CI114" s="1616"/>
      <c r="CJ114" s="1616"/>
      <c r="CK114" s="1616"/>
      <c r="CL114" s="1616"/>
      <c r="CM114" s="1616"/>
      <c r="CN114" s="1616"/>
      <c r="CO114" s="1616"/>
      <c r="CP114" s="1616"/>
      <c r="CQ114" s="1616"/>
      <c r="CR114" s="1616"/>
      <c r="CS114" s="1616"/>
      <c r="CT114" s="1616"/>
      <c r="CU114" s="1616"/>
      <c r="CV114" s="1616"/>
      <c r="CW114" s="1616"/>
      <c r="CX114" s="1616"/>
      <c r="CY114" s="1616"/>
      <c r="CZ114" s="1616"/>
      <c r="DA114" s="1616"/>
      <c r="DB114" s="1616"/>
      <c r="DC114" s="1616"/>
      <c r="DD114" s="1616"/>
      <c r="DE114" s="1616"/>
      <c r="DF114" s="1616"/>
      <c r="DG114" s="1616"/>
      <c r="DH114" s="1616"/>
      <c r="DI114" s="1616"/>
      <c r="DJ114" s="1616"/>
      <c r="DK114" s="1616"/>
      <c r="DL114" s="1616"/>
      <c r="DM114" s="1616"/>
      <c r="DN114" s="1616"/>
      <c r="DO114" s="1616"/>
      <c r="DP114" s="1616"/>
      <c r="DQ114" s="1616"/>
      <c r="DR114" s="1616"/>
      <c r="DS114" s="1616"/>
      <c r="DT114" s="1616"/>
      <c r="DU114" s="1616"/>
      <c r="DV114" s="1616"/>
      <c r="DW114" s="1616"/>
      <c r="DX114" s="1616"/>
      <c r="DY114" s="1616"/>
      <c r="DZ114" s="1616"/>
      <c r="EA114" s="1616"/>
      <c r="EB114" s="1616"/>
      <c r="EC114" s="1616"/>
      <c r="ED114" s="1616"/>
      <c r="EE114" s="1616"/>
      <c r="EF114" s="1616"/>
      <c r="EG114" s="1616"/>
      <c r="EH114" s="1616"/>
      <c r="EI114" s="1616"/>
      <c r="EJ114" s="1616"/>
      <c r="EK114" s="1616"/>
      <c r="EL114" s="1616"/>
      <c r="EM114" s="1616"/>
      <c r="EN114" s="1616"/>
      <c r="EO114" s="1616"/>
      <c r="EP114" s="1616"/>
      <c r="EQ114" s="1616"/>
      <c r="ER114" s="1616"/>
      <c r="ES114" s="1616"/>
      <c r="ET114" s="1616"/>
      <c r="EU114" s="1616"/>
      <c r="EV114" s="1616"/>
      <c r="EW114" s="1616"/>
      <c r="EX114" s="1616"/>
      <c r="EY114" s="1616"/>
      <c r="EZ114" s="1616"/>
      <c r="FA114" s="1616"/>
      <c r="FB114" s="1616"/>
      <c r="FC114" s="1616"/>
      <c r="FD114" s="1616"/>
      <c r="FE114" s="1616"/>
      <c r="FF114" s="1616"/>
      <c r="FG114" s="1616"/>
      <c r="FH114" s="1616"/>
      <c r="FI114" s="1616"/>
      <c r="FJ114" s="1616"/>
      <c r="FK114" s="1616"/>
      <c r="FL114" s="1616"/>
      <c r="FM114" s="1616"/>
      <c r="FN114" s="1616"/>
      <c r="FO114" s="1616"/>
      <c r="FP114" s="1616"/>
      <c r="FQ114" s="1616"/>
      <c r="FR114" s="1616"/>
      <c r="FS114" s="1616"/>
      <c r="FT114" s="1616"/>
      <c r="FU114" s="1616"/>
      <c r="FV114" s="1616"/>
      <c r="FW114" s="1616"/>
      <c r="FX114" s="1616"/>
      <c r="FY114" s="1616"/>
      <c r="FZ114" s="1616"/>
      <c r="GA114" s="1616"/>
      <c r="GB114" s="1616"/>
      <c r="GC114" s="1616"/>
      <c r="GD114" s="1616"/>
      <c r="GE114" s="1616"/>
      <c r="GF114" s="1616"/>
      <c r="GG114" s="1616"/>
      <c r="GH114" s="1616"/>
      <c r="GI114" s="1616"/>
      <c r="GJ114" s="1616"/>
      <c r="GK114" s="1616"/>
      <c r="GL114" s="1616"/>
      <c r="GM114" s="1616"/>
      <c r="GN114" s="1616"/>
      <c r="GO114" s="1616"/>
      <c r="GP114" s="1616"/>
      <c r="GQ114" s="1616"/>
      <c r="GR114" s="1616"/>
      <c r="GS114" s="1616"/>
      <c r="GT114" s="1616"/>
      <c r="GU114" s="1616"/>
      <c r="GV114" s="1616"/>
      <c r="GW114" s="1616"/>
      <c r="GX114" s="1616"/>
      <c r="GY114" s="1616"/>
      <c r="GZ114" s="1616"/>
      <c r="HA114" s="1616"/>
      <c r="HB114" s="1616"/>
      <c r="HC114" s="1616"/>
      <c r="HD114" s="1616"/>
      <c r="HE114" s="1616"/>
      <c r="HF114" s="1616"/>
      <c r="HG114" s="1616"/>
      <c r="HH114" s="1616"/>
      <c r="HI114" s="1616"/>
      <c r="HJ114" s="1616"/>
      <c r="HK114" s="1616"/>
      <c r="HL114" s="1616"/>
      <c r="HM114" s="1616"/>
      <c r="HN114" s="1616"/>
      <c r="HO114" s="1616"/>
      <c r="HP114" s="1616"/>
      <c r="HQ114" s="1616"/>
      <c r="HR114" s="1616"/>
      <c r="HS114" s="1616"/>
      <c r="HT114" s="1616"/>
      <c r="HU114" s="1616"/>
      <c r="HV114" s="1616"/>
      <c r="HW114" s="1616"/>
      <c r="HX114" s="1616"/>
      <c r="HY114" s="1616"/>
      <c r="HZ114" s="1616"/>
      <c r="IA114" s="1616"/>
      <c r="IB114" s="1616"/>
      <c r="IC114" s="1616"/>
      <c r="ID114" s="1616"/>
      <c r="IE114" s="1616"/>
      <c r="IF114" s="1616"/>
      <c r="IG114" s="1616"/>
      <c r="IH114" s="1616"/>
      <c r="II114" s="1616"/>
      <c r="IJ114" s="1616"/>
      <c r="IK114" s="1616"/>
      <c r="IL114" s="1616"/>
      <c r="IM114" s="1616"/>
      <c r="IN114" s="1616"/>
      <c r="IO114" s="1616"/>
      <c r="IP114" s="1616"/>
      <c r="IQ114" s="1616"/>
      <c r="IR114" s="1616"/>
      <c r="IS114" s="1616"/>
      <c r="IT114" s="1616"/>
      <c r="IU114" s="1616"/>
    </row>
    <row r="115" spans="1:255" s="604" customFormat="1" ht="13.5" customHeight="1">
      <c r="A115" s="595"/>
      <c r="B115" s="596"/>
      <c r="C115" s="597"/>
      <c r="D115" s="719" t="s">
        <v>5848</v>
      </c>
      <c r="E115" s="599"/>
      <c r="F115" s="600">
        <f>(14.9)*(0.05+0.85)</f>
        <v>13.41</v>
      </c>
      <c r="G115" s="289"/>
      <c r="H115" s="601"/>
      <c r="I115" s="602"/>
      <c r="J115" s="606"/>
      <c r="U115" s="605"/>
      <c r="W115" s="605"/>
    </row>
    <row r="116" spans="1:255" s="604" customFormat="1" ht="27" customHeight="1">
      <c r="A116" s="595"/>
      <c r="B116" s="596"/>
      <c r="C116" s="597"/>
      <c r="D116" s="719" t="s">
        <v>5843</v>
      </c>
      <c r="E116" s="599"/>
      <c r="F116" s="600"/>
      <c r="G116" s="289"/>
      <c r="H116" s="601"/>
      <c r="I116" s="602"/>
      <c r="J116" s="606"/>
      <c r="U116" s="605"/>
      <c r="W116" s="605"/>
    </row>
    <row r="117" spans="1:255" s="1248" customFormat="1" ht="27" customHeight="1">
      <c r="A117" s="1614">
        <v>32</v>
      </c>
      <c r="B117" s="1615" t="s">
        <v>5808</v>
      </c>
      <c r="C117" s="1615">
        <v>460451633</v>
      </c>
      <c r="D117" s="1615" t="s">
        <v>5849</v>
      </c>
      <c r="E117" s="1615" t="s">
        <v>141</v>
      </c>
      <c r="F117" s="573">
        <f>ROUND(SUM(F119),3)</f>
        <v>1.49</v>
      </c>
      <c r="G117" s="5246" t="s">
        <v>5922</v>
      </c>
      <c r="H117" s="5247"/>
      <c r="I117" s="613" t="s">
        <v>137</v>
      </c>
      <c r="J117" s="1621"/>
      <c r="BF117" s="1616"/>
      <c r="BG117" s="1616"/>
      <c r="BH117" s="1616"/>
      <c r="BI117" s="1616"/>
      <c r="BJ117" s="1616"/>
      <c r="BK117" s="1616"/>
      <c r="BL117" s="1616"/>
      <c r="BM117" s="1616"/>
      <c r="BN117" s="1616"/>
      <c r="BO117" s="1616"/>
      <c r="BP117" s="1616"/>
      <c r="BQ117" s="1616"/>
      <c r="BR117" s="1616"/>
      <c r="BS117" s="1616"/>
      <c r="BT117" s="1616"/>
      <c r="BU117" s="1616"/>
      <c r="BV117" s="1616"/>
      <c r="BW117" s="1616"/>
      <c r="BX117" s="1616"/>
      <c r="BY117" s="1616"/>
      <c r="BZ117" s="1616"/>
      <c r="CA117" s="1616"/>
      <c r="CB117" s="1616"/>
      <c r="CC117" s="1616"/>
      <c r="CD117" s="1616"/>
      <c r="CE117" s="1616"/>
      <c r="CF117" s="1616"/>
      <c r="CG117" s="1616"/>
      <c r="CH117" s="1616"/>
      <c r="CI117" s="1616"/>
      <c r="CJ117" s="1616"/>
      <c r="CK117" s="1616"/>
      <c r="CL117" s="1616"/>
      <c r="CM117" s="1616"/>
      <c r="CN117" s="1616"/>
      <c r="CO117" s="1616"/>
      <c r="CP117" s="1616"/>
      <c r="CQ117" s="1616"/>
      <c r="CR117" s="1616"/>
      <c r="CS117" s="1616"/>
      <c r="CT117" s="1616"/>
      <c r="CU117" s="1616"/>
      <c r="CV117" s="1616"/>
      <c r="CW117" s="1616"/>
      <c r="CX117" s="1616"/>
      <c r="CY117" s="1616"/>
      <c r="CZ117" s="1616"/>
      <c r="DA117" s="1616"/>
      <c r="DB117" s="1616"/>
      <c r="DC117" s="1616"/>
      <c r="DD117" s="1616"/>
      <c r="DE117" s="1616"/>
      <c r="DF117" s="1616"/>
      <c r="DG117" s="1616"/>
      <c r="DH117" s="1616"/>
      <c r="DI117" s="1616"/>
      <c r="DJ117" s="1616"/>
      <c r="DK117" s="1616"/>
      <c r="DL117" s="1616"/>
      <c r="DM117" s="1616"/>
      <c r="DN117" s="1616"/>
      <c r="DO117" s="1616"/>
      <c r="DP117" s="1616"/>
      <c r="DQ117" s="1616"/>
      <c r="DR117" s="1616"/>
      <c r="DS117" s="1616"/>
      <c r="DT117" s="1616"/>
      <c r="DU117" s="1616"/>
      <c r="DV117" s="1616"/>
      <c r="DW117" s="1616"/>
      <c r="DX117" s="1616"/>
      <c r="DY117" s="1616"/>
      <c r="DZ117" s="1616"/>
      <c r="EA117" s="1616"/>
      <c r="EB117" s="1616"/>
      <c r="EC117" s="1616"/>
      <c r="ED117" s="1616"/>
      <c r="EE117" s="1616"/>
      <c r="EF117" s="1616"/>
      <c r="EG117" s="1616"/>
      <c r="EH117" s="1616"/>
      <c r="EI117" s="1616"/>
      <c r="EJ117" s="1616"/>
      <c r="EK117" s="1616"/>
      <c r="EL117" s="1616"/>
      <c r="EM117" s="1616"/>
      <c r="EN117" s="1616"/>
      <c r="EO117" s="1616"/>
      <c r="EP117" s="1616"/>
      <c r="EQ117" s="1616"/>
      <c r="ER117" s="1616"/>
      <c r="ES117" s="1616"/>
      <c r="ET117" s="1616"/>
      <c r="EU117" s="1616"/>
      <c r="EV117" s="1616"/>
      <c r="EW117" s="1616"/>
      <c r="EX117" s="1616"/>
      <c r="EY117" s="1616"/>
      <c r="EZ117" s="1616"/>
      <c r="FA117" s="1616"/>
      <c r="FB117" s="1616"/>
      <c r="FC117" s="1616"/>
      <c r="FD117" s="1616"/>
      <c r="FE117" s="1616"/>
      <c r="FF117" s="1616"/>
      <c r="FG117" s="1616"/>
      <c r="FH117" s="1616"/>
      <c r="FI117" s="1616"/>
      <c r="FJ117" s="1616"/>
      <c r="FK117" s="1616"/>
      <c r="FL117" s="1616"/>
      <c r="FM117" s="1616"/>
      <c r="FN117" s="1616"/>
      <c r="FO117" s="1616"/>
      <c r="FP117" s="1616"/>
      <c r="FQ117" s="1616"/>
      <c r="FR117" s="1616"/>
      <c r="FS117" s="1616"/>
      <c r="FT117" s="1616"/>
      <c r="FU117" s="1616"/>
      <c r="FV117" s="1616"/>
      <c r="FW117" s="1616"/>
      <c r="FX117" s="1616"/>
      <c r="FY117" s="1616"/>
      <c r="FZ117" s="1616"/>
      <c r="GA117" s="1616"/>
      <c r="GB117" s="1616"/>
      <c r="GC117" s="1616"/>
      <c r="GD117" s="1616"/>
      <c r="GE117" s="1616"/>
      <c r="GF117" s="1616"/>
      <c r="GG117" s="1616"/>
      <c r="GH117" s="1616"/>
      <c r="GI117" s="1616"/>
      <c r="GJ117" s="1616"/>
      <c r="GK117" s="1616"/>
      <c r="GL117" s="1616"/>
      <c r="GM117" s="1616"/>
      <c r="GN117" s="1616"/>
      <c r="GO117" s="1616"/>
      <c r="GP117" s="1616"/>
      <c r="GQ117" s="1616"/>
      <c r="GR117" s="1616"/>
      <c r="GS117" s="1616"/>
      <c r="GT117" s="1616"/>
      <c r="GU117" s="1616"/>
      <c r="GV117" s="1616"/>
      <c r="GW117" s="1616"/>
      <c r="GX117" s="1616"/>
      <c r="GY117" s="1616"/>
      <c r="GZ117" s="1616"/>
      <c r="HA117" s="1616"/>
      <c r="HB117" s="1616"/>
      <c r="HC117" s="1616"/>
      <c r="HD117" s="1616"/>
      <c r="HE117" s="1616"/>
      <c r="HF117" s="1616"/>
      <c r="HG117" s="1616"/>
      <c r="HH117" s="1616"/>
      <c r="HI117" s="1616"/>
      <c r="HJ117" s="1616"/>
      <c r="HK117" s="1616"/>
      <c r="HL117" s="1616"/>
      <c r="HM117" s="1616"/>
      <c r="HN117" s="1616"/>
      <c r="HO117" s="1616"/>
      <c r="HP117" s="1616"/>
      <c r="HQ117" s="1616"/>
      <c r="HR117" s="1616"/>
      <c r="HS117" s="1616"/>
      <c r="HT117" s="1616"/>
      <c r="HU117" s="1616"/>
      <c r="HV117" s="1616"/>
      <c r="HW117" s="1616"/>
      <c r="HX117" s="1616"/>
      <c r="HY117" s="1616"/>
      <c r="HZ117" s="1616"/>
      <c r="IA117" s="1616"/>
      <c r="IB117" s="1616"/>
      <c r="IC117" s="1616"/>
      <c r="ID117" s="1616"/>
      <c r="IE117" s="1616"/>
      <c r="IF117" s="1616"/>
      <c r="IG117" s="1616"/>
      <c r="IH117" s="1616"/>
      <c r="II117" s="1616"/>
      <c r="IJ117" s="1616"/>
      <c r="IK117" s="1616"/>
      <c r="IL117" s="1616"/>
      <c r="IM117" s="1616"/>
      <c r="IN117" s="1616"/>
      <c r="IO117" s="1616"/>
      <c r="IP117" s="1616"/>
      <c r="IQ117" s="1616"/>
      <c r="IR117" s="1616"/>
      <c r="IS117" s="1616"/>
      <c r="IT117" s="1616"/>
      <c r="IU117" s="1616"/>
    </row>
    <row r="118" spans="1:255" s="1248" customFormat="1" ht="13.5" customHeight="1">
      <c r="A118" s="1614"/>
      <c r="B118" s="1615"/>
      <c r="C118" s="1615"/>
      <c r="D118" s="719" t="s">
        <v>5847</v>
      </c>
      <c r="E118" s="1615"/>
      <c r="F118" s="1444"/>
      <c r="G118" s="288"/>
      <c r="H118" s="609"/>
      <c r="I118" s="613"/>
      <c r="J118" s="1612"/>
      <c r="BF118" s="1616"/>
      <c r="BG118" s="1616"/>
      <c r="BH118" s="1616"/>
      <c r="BI118" s="1616"/>
      <c r="BJ118" s="1616"/>
      <c r="BK118" s="1616"/>
      <c r="BL118" s="1616"/>
      <c r="BM118" s="1616"/>
      <c r="BN118" s="1616"/>
      <c r="BO118" s="1616"/>
      <c r="BP118" s="1616"/>
      <c r="BQ118" s="1616"/>
      <c r="BR118" s="1616"/>
      <c r="BS118" s="1616"/>
      <c r="BT118" s="1616"/>
      <c r="BU118" s="1616"/>
      <c r="BV118" s="1616"/>
      <c r="BW118" s="1616"/>
      <c r="BX118" s="1616"/>
      <c r="BY118" s="1616"/>
      <c r="BZ118" s="1616"/>
      <c r="CA118" s="1616"/>
      <c r="CB118" s="1616"/>
      <c r="CC118" s="1616"/>
      <c r="CD118" s="1616"/>
      <c r="CE118" s="1616"/>
      <c r="CF118" s="1616"/>
      <c r="CG118" s="1616"/>
      <c r="CH118" s="1616"/>
      <c r="CI118" s="1616"/>
      <c r="CJ118" s="1616"/>
      <c r="CK118" s="1616"/>
      <c r="CL118" s="1616"/>
      <c r="CM118" s="1616"/>
      <c r="CN118" s="1616"/>
      <c r="CO118" s="1616"/>
      <c r="CP118" s="1616"/>
      <c r="CQ118" s="1616"/>
      <c r="CR118" s="1616"/>
      <c r="CS118" s="1616"/>
      <c r="CT118" s="1616"/>
      <c r="CU118" s="1616"/>
      <c r="CV118" s="1616"/>
      <c r="CW118" s="1616"/>
      <c r="CX118" s="1616"/>
      <c r="CY118" s="1616"/>
      <c r="CZ118" s="1616"/>
      <c r="DA118" s="1616"/>
      <c r="DB118" s="1616"/>
      <c r="DC118" s="1616"/>
      <c r="DD118" s="1616"/>
      <c r="DE118" s="1616"/>
      <c r="DF118" s="1616"/>
      <c r="DG118" s="1616"/>
      <c r="DH118" s="1616"/>
      <c r="DI118" s="1616"/>
      <c r="DJ118" s="1616"/>
      <c r="DK118" s="1616"/>
      <c r="DL118" s="1616"/>
      <c r="DM118" s="1616"/>
      <c r="DN118" s="1616"/>
      <c r="DO118" s="1616"/>
      <c r="DP118" s="1616"/>
      <c r="DQ118" s="1616"/>
      <c r="DR118" s="1616"/>
      <c r="DS118" s="1616"/>
      <c r="DT118" s="1616"/>
      <c r="DU118" s="1616"/>
      <c r="DV118" s="1616"/>
      <c r="DW118" s="1616"/>
      <c r="DX118" s="1616"/>
      <c r="DY118" s="1616"/>
      <c r="DZ118" s="1616"/>
      <c r="EA118" s="1616"/>
      <c r="EB118" s="1616"/>
      <c r="EC118" s="1616"/>
      <c r="ED118" s="1616"/>
      <c r="EE118" s="1616"/>
      <c r="EF118" s="1616"/>
      <c r="EG118" s="1616"/>
      <c r="EH118" s="1616"/>
      <c r="EI118" s="1616"/>
      <c r="EJ118" s="1616"/>
      <c r="EK118" s="1616"/>
      <c r="EL118" s="1616"/>
      <c r="EM118" s="1616"/>
      <c r="EN118" s="1616"/>
      <c r="EO118" s="1616"/>
      <c r="EP118" s="1616"/>
      <c r="EQ118" s="1616"/>
      <c r="ER118" s="1616"/>
      <c r="ES118" s="1616"/>
      <c r="ET118" s="1616"/>
      <c r="EU118" s="1616"/>
      <c r="EV118" s="1616"/>
      <c r="EW118" s="1616"/>
      <c r="EX118" s="1616"/>
      <c r="EY118" s="1616"/>
      <c r="EZ118" s="1616"/>
      <c r="FA118" s="1616"/>
      <c r="FB118" s="1616"/>
      <c r="FC118" s="1616"/>
      <c r="FD118" s="1616"/>
      <c r="FE118" s="1616"/>
      <c r="FF118" s="1616"/>
      <c r="FG118" s="1616"/>
      <c r="FH118" s="1616"/>
      <c r="FI118" s="1616"/>
      <c r="FJ118" s="1616"/>
      <c r="FK118" s="1616"/>
      <c r="FL118" s="1616"/>
      <c r="FM118" s="1616"/>
      <c r="FN118" s="1616"/>
      <c r="FO118" s="1616"/>
      <c r="FP118" s="1616"/>
      <c r="FQ118" s="1616"/>
      <c r="FR118" s="1616"/>
      <c r="FS118" s="1616"/>
      <c r="FT118" s="1616"/>
      <c r="FU118" s="1616"/>
      <c r="FV118" s="1616"/>
      <c r="FW118" s="1616"/>
      <c r="FX118" s="1616"/>
      <c r="FY118" s="1616"/>
      <c r="FZ118" s="1616"/>
      <c r="GA118" s="1616"/>
      <c r="GB118" s="1616"/>
      <c r="GC118" s="1616"/>
      <c r="GD118" s="1616"/>
      <c r="GE118" s="1616"/>
      <c r="GF118" s="1616"/>
      <c r="GG118" s="1616"/>
      <c r="GH118" s="1616"/>
      <c r="GI118" s="1616"/>
      <c r="GJ118" s="1616"/>
      <c r="GK118" s="1616"/>
      <c r="GL118" s="1616"/>
      <c r="GM118" s="1616"/>
      <c r="GN118" s="1616"/>
      <c r="GO118" s="1616"/>
      <c r="GP118" s="1616"/>
      <c r="GQ118" s="1616"/>
      <c r="GR118" s="1616"/>
      <c r="GS118" s="1616"/>
      <c r="GT118" s="1616"/>
      <c r="GU118" s="1616"/>
      <c r="GV118" s="1616"/>
      <c r="GW118" s="1616"/>
      <c r="GX118" s="1616"/>
      <c r="GY118" s="1616"/>
      <c r="GZ118" s="1616"/>
      <c r="HA118" s="1616"/>
      <c r="HB118" s="1616"/>
      <c r="HC118" s="1616"/>
      <c r="HD118" s="1616"/>
      <c r="HE118" s="1616"/>
      <c r="HF118" s="1616"/>
      <c r="HG118" s="1616"/>
      <c r="HH118" s="1616"/>
      <c r="HI118" s="1616"/>
      <c r="HJ118" s="1616"/>
      <c r="HK118" s="1616"/>
      <c r="HL118" s="1616"/>
      <c r="HM118" s="1616"/>
      <c r="HN118" s="1616"/>
      <c r="HO118" s="1616"/>
      <c r="HP118" s="1616"/>
      <c r="HQ118" s="1616"/>
      <c r="HR118" s="1616"/>
      <c r="HS118" s="1616"/>
      <c r="HT118" s="1616"/>
      <c r="HU118" s="1616"/>
      <c r="HV118" s="1616"/>
      <c r="HW118" s="1616"/>
      <c r="HX118" s="1616"/>
      <c r="HY118" s="1616"/>
      <c r="HZ118" s="1616"/>
      <c r="IA118" s="1616"/>
      <c r="IB118" s="1616"/>
      <c r="IC118" s="1616"/>
      <c r="ID118" s="1616"/>
      <c r="IE118" s="1616"/>
      <c r="IF118" s="1616"/>
      <c r="IG118" s="1616"/>
      <c r="IH118" s="1616"/>
      <c r="II118" s="1616"/>
      <c r="IJ118" s="1616"/>
      <c r="IK118" s="1616"/>
      <c r="IL118" s="1616"/>
      <c r="IM118" s="1616"/>
      <c r="IN118" s="1616"/>
      <c r="IO118" s="1616"/>
      <c r="IP118" s="1616"/>
      <c r="IQ118" s="1616"/>
      <c r="IR118" s="1616"/>
      <c r="IS118" s="1616"/>
      <c r="IT118" s="1616"/>
      <c r="IU118" s="1616"/>
    </row>
    <row r="119" spans="1:255" s="604" customFormat="1" ht="13.5" customHeight="1">
      <c r="A119" s="595"/>
      <c r="B119" s="596"/>
      <c r="C119" s="597"/>
      <c r="D119" s="719" t="s">
        <v>5850</v>
      </c>
      <c r="E119" s="599"/>
      <c r="F119" s="600">
        <f>(14.9)*(0.1)</f>
        <v>1.4900000000000002</v>
      </c>
      <c r="G119" s="289"/>
      <c r="H119" s="601"/>
      <c r="I119" s="602"/>
      <c r="J119" s="606"/>
      <c r="U119" s="605"/>
      <c r="W119" s="605"/>
    </row>
    <row r="120" spans="1:255" s="604" customFormat="1" ht="27" customHeight="1">
      <c r="A120" s="595"/>
      <c r="B120" s="596"/>
      <c r="C120" s="597"/>
      <c r="D120" s="719" t="s">
        <v>5843</v>
      </c>
      <c r="E120" s="599"/>
      <c r="F120" s="600"/>
      <c r="G120" s="289"/>
      <c r="H120" s="601"/>
      <c r="I120" s="602"/>
      <c r="J120" s="1623"/>
      <c r="U120" s="605"/>
      <c r="W120" s="605"/>
    </row>
    <row r="121" spans="1:255" s="1248" customFormat="1" ht="13.5" customHeight="1">
      <c r="A121" s="1614">
        <v>33</v>
      </c>
      <c r="B121" s="1615" t="s">
        <v>5808</v>
      </c>
      <c r="C121" s="1615">
        <v>460661113</v>
      </c>
      <c r="D121" s="1615" t="s">
        <v>5851</v>
      </c>
      <c r="E121" s="1615" t="s">
        <v>141</v>
      </c>
      <c r="F121" s="573">
        <f>ROUND(SUM(F123),3)</f>
        <v>39</v>
      </c>
      <c r="G121" s="288"/>
      <c r="H121" s="568">
        <f>ROUND(F121*G121,2)</f>
        <v>0</v>
      </c>
      <c r="I121" s="613" t="s">
        <v>137</v>
      </c>
      <c r="J121" s="1612"/>
      <c r="BF121" s="1616"/>
      <c r="BG121" s="1616"/>
      <c r="BH121" s="1616"/>
      <c r="BI121" s="1616"/>
      <c r="BJ121" s="1616"/>
      <c r="BK121" s="1616"/>
      <c r="BL121" s="1616"/>
      <c r="BM121" s="1616"/>
      <c r="BN121" s="1616"/>
      <c r="BO121" s="1616"/>
      <c r="BP121" s="1616"/>
      <c r="BQ121" s="1616"/>
      <c r="BR121" s="1616"/>
      <c r="BS121" s="1616"/>
      <c r="BT121" s="1616"/>
      <c r="BU121" s="1616"/>
      <c r="BV121" s="1616"/>
      <c r="BW121" s="1616"/>
      <c r="BX121" s="1616"/>
      <c r="BY121" s="1616"/>
      <c r="BZ121" s="1616"/>
      <c r="CA121" s="1616"/>
      <c r="CB121" s="1616"/>
      <c r="CC121" s="1616"/>
      <c r="CD121" s="1616"/>
      <c r="CE121" s="1616"/>
      <c r="CF121" s="1616"/>
      <c r="CG121" s="1616"/>
      <c r="CH121" s="1616"/>
      <c r="CI121" s="1616"/>
      <c r="CJ121" s="1616"/>
      <c r="CK121" s="1616"/>
      <c r="CL121" s="1616"/>
      <c r="CM121" s="1616"/>
      <c r="CN121" s="1616"/>
      <c r="CO121" s="1616"/>
      <c r="CP121" s="1616"/>
      <c r="CQ121" s="1616"/>
      <c r="CR121" s="1616"/>
      <c r="CS121" s="1616"/>
      <c r="CT121" s="1616"/>
      <c r="CU121" s="1616"/>
      <c r="CV121" s="1616"/>
      <c r="CW121" s="1616"/>
      <c r="CX121" s="1616"/>
      <c r="CY121" s="1616"/>
      <c r="CZ121" s="1616"/>
      <c r="DA121" s="1616"/>
      <c r="DB121" s="1616"/>
      <c r="DC121" s="1616"/>
      <c r="DD121" s="1616"/>
      <c r="DE121" s="1616"/>
      <c r="DF121" s="1616"/>
      <c r="DG121" s="1616"/>
      <c r="DH121" s="1616"/>
      <c r="DI121" s="1616"/>
      <c r="DJ121" s="1616"/>
      <c r="DK121" s="1616"/>
      <c r="DL121" s="1616"/>
      <c r="DM121" s="1616"/>
      <c r="DN121" s="1616"/>
      <c r="DO121" s="1616"/>
      <c r="DP121" s="1616"/>
      <c r="DQ121" s="1616"/>
      <c r="DR121" s="1616"/>
      <c r="DS121" s="1616"/>
      <c r="DT121" s="1616"/>
      <c r="DU121" s="1616"/>
      <c r="DV121" s="1616"/>
      <c r="DW121" s="1616"/>
      <c r="DX121" s="1616"/>
      <c r="DY121" s="1616"/>
      <c r="DZ121" s="1616"/>
      <c r="EA121" s="1616"/>
      <c r="EB121" s="1616"/>
      <c r="EC121" s="1616"/>
      <c r="ED121" s="1616"/>
      <c r="EE121" s="1616"/>
      <c r="EF121" s="1616"/>
      <c r="EG121" s="1616"/>
      <c r="EH121" s="1616"/>
      <c r="EI121" s="1616"/>
      <c r="EJ121" s="1616"/>
      <c r="EK121" s="1616"/>
      <c r="EL121" s="1616"/>
      <c r="EM121" s="1616"/>
      <c r="EN121" s="1616"/>
      <c r="EO121" s="1616"/>
      <c r="EP121" s="1616"/>
      <c r="EQ121" s="1616"/>
      <c r="ER121" s="1616"/>
      <c r="ES121" s="1616"/>
      <c r="ET121" s="1616"/>
      <c r="EU121" s="1616"/>
      <c r="EV121" s="1616"/>
      <c r="EW121" s="1616"/>
      <c r="EX121" s="1616"/>
      <c r="EY121" s="1616"/>
      <c r="EZ121" s="1616"/>
      <c r="FA121" s="1616"/>
      <c r="FB121" s="1616"/>
      <c r="FC121" s="1616"/>
      <c r="FD121" s="1616"/>
      <c r="FE121" s="1616"/>
      <c r="FF121" s="1616"/>
      <c r="FG121" s="1616"/>
      <c r="FH121" s="1616"/>
      <c r="FI121" s="1616"/>
      <c r="FJ121" s="1616"/>
      <c r="FK121" s="1616"/>
      <c r="FL121" s="1616"/>
      <c r="FM121" s="1616"/>
      <c r="FN121" s="1616"/>
      <c r="FO121" s="1616"/>
      <c r="FP121" s="1616"/>
      <c r="FQ121" s="1616"/>
      <c r="FR121" s="1616"/>
      <c r="FS121" s="1616"/>
      <c r="FT121" s="1616"/>
      <c r="FU121" s="1616"/>
      <c r="FV121" s="1616"/>
      <c r="FW121" s="1616"/>
      <c r="FX121" s="1616"/>
      <c r="FY121" s="1616"/>
      <c r="FZ121" s="1616"/>
      <c r="GA121" s="1616"/>
      <c r="GB121" s="1616"/>
      <c r="GC121" s="1616"/>
      <c r="GD121" s="1616"/>
      <c r="GE121" s="1616"/>
      <c r="GF121" s="1616"/>
      <c r="GG121" s="1616"/>
      <c r="GH121" s="1616"/>
      <c r="GI121" s="1616"/>
      <c r="GJ121" s="1616"/>
      <c r="GK121" s="1616"/>
      <c r="GL121" s="1616"/>
      <c r="GM121" s="1616"/>
      <c r="GN121" s="1616"/>
      <c r="GO121" s="1616"/>
      <c r="GP121" s="1616"/>
      <c r="GQ121" s="1616"/>
      <c r="GR121" s="1616"/>
      <c r="GS121" s="1616"/>
      <c r="GT121" s="1616"/>
      <c r="GU121" s="1616"/>
      <c r="GV121" s="1616"/>
      <c r="GW121" s="1616"/>
      <c r="GX121" s="1616"/>
      <c r="GY121" s="1616"/>
      <c r="GZ121" s="1616"/>
      <c r="HA121" s="1616"/>
      <c r="HB121" s="1616"/>
      <c r="HC121" s="1616"/>
      <c r="HD121" s="1616"/>
      <c r="HE121" s="1616"/>
      <c r="HF121" s="1616"/>
      <c r="HG121" s="1616"/>
      <c r="HH121" s="1616"/>
      <c r="HI121" s="1616"/>
      <c r="HJ121" s="1616"/>
      <c r="HK121" s="1616"/>
      <c r="HL121" s="1616"/>
      <c r="HM121" s="1616"/>
      <c r="HN121" s="1616"/>
      <c r="HO121" s="1616"/>
      <c r="HP121" s="1616"/>
      <c r="HQ121" s="1616"/>
      <c r="HR121" s="1616"/>
      <c r="HS121" s="1616"/>
      <c r="HT121" s="1616"/>
      <c r="HU121" s="1616"/>
      <c r="HV121" s="1616"/>
      <c r="HW121" s="1616"/>
      <c r="HX121" s="1616"/>
      <c r="HY121" s="1616"/>
      <c r="HZ121" s="1616"/>
      <c r="IA121" s="1616"/>
      <c r="IB121" s="1616"/>
      <c r="IC121" s="1616"/>
      <c r="ID121" s="1616"/>
      <c r="IE121" s="1616"/>
      <c r="IF121" s="1616"/>
      <c r="IG121" s="1616"/>
      <c r="IH121" s="1616"/>
      <c r="II121" s="1616"/>
      <c r="IJ121" s="1616"/>
      <c r="IK121" s="1616"/>
      <c r="IL121" s="1616"/>
      <c r="IM121" s="1616"/>
      <c r="IN121" s="1616"/>
      <c r="IO121" s="1616"/>
      <c r="IP121" s="1616"/>
      <c r="IQ121" s="1616"/>
      <c r="IR121" s="1616"/>
      <c r="IS121" s="1616"/>
      <c r="IT121" s="1616"/>
      <c r="IU121" s="1616"/>
    </row>
    <row r="122" spans="1:255" s="1248" customFormat="1" ht="13.5" customHeight="1">
      <c r="A122" s="1614"/>
      <c r="B122" s="1615"/>
      <c r="C122" s="1615"/>
      <c r="D122" s="719" t="s">
        <v>5931</v>
      </c>
      <c r="E122" s="1615"/>
      <c r="F122" s="1444"/>
      <c r="G122" s="288"/>
      <c r="H122" s="609"/>
      <c r="I122" s="613"/>
      <c r="J122" s="1612"/>
      <c r="BF122" s="1616"/>
      <c r="BG122" s="1616"/>
      <c r="BH122" s="1616"/>
      <c r="BI122" s="1616"/>
      <c r="BJ122" s="1616"/>
      <c r="BK122" s="1616"/>
      <c r="BL122" s="1616"/>
      <c r="BM122" s="1616"/>
      <c r="BN122" s="1616"/>
      <c r="BO122" s="1616"/>
      <c r="BP122" s="1616"/>
      <c r="BQ122" s="1616"/>
      <c r="BR122" s="1616"/>
      <c r="BS122" s="1616"/>
      <c r="BT122" s="1616"/>
      <c r="BU122" s="1616"/>
      <c r="BV122" s="1616"/>
      <c r="BW122" s="1616"/>
      <c r="BX122" s="1616"/>
      <c r="BY122" s="1616"/>
      <c r="BZ122" s="1616"/>
      <c r="CA122" s="1616"/>
      <c r="CB122" s="1616"/>
      <c r="CC122" s="1616"/>
      <c r="CD122" s="1616"/>
      <c r="CE122" s="1616"/>
      <c r="CF122" s="1616"/>
      <c r="CG122" s="1616"/>
      <c r="CH122" s="1616"/>
      <c r="CI122" s="1616"/>
      <c r="CJ122" s="1616"/>
      <c r="CK122" s="1616"/>
      <c r="CL122" s="1616"/>
      <c r="CM122" s="1616"/>
      <c r="CN122" s="1616"/>
      <c r="CO122" s="1616"/>
      <c r="CP122" s="1616"/>
      <c r="CQ122" s="1616"/>
      <c r="CR122" s="1616"/>
      <c r="CS122" s="1616"/>
      <c r="CT122" s="1616"/>
      <c r="CU122" s="1616"/>
      <c r="CV122" s="1616"/>
      <c r="CW122" s="1616"/>
      <c r="CX122" s="1616"/>
      <c r="CY122" s="1616"/>
      <c r="CZ122" s="1616"/>
      <c r="DA122" s="1616"/>
      <c r="DB122" s="1616"/>
      <c r="DC122" s="1616"/>
      <c r="DD122" s="1616"/>
      <c r="DE122" s="1616"/>
      <c r="DF122" s="1616"/>
      <c r="DG122" s="1616"/>
      <c r="DH122" s="1616"/>
      <c r="DI122" s="1616"/>
      <c r="DJ122" s="1616"/>
      <c r="DK122" s="1616"/>
      <c r="DL122" s="1616"/>
      <c r="DM122" s="1616"/>
      <c r="DN122" s="1616"/>
      <c r="DO122" s="1616"/>
      <c r="DP122" s="1616"/>
      <c r="DQ122" s="1616"/>
      <c r="DR122" s="1616"/>
      <c r="DS122" s="1616"/>
      <c r="DT122" s="1616"/>
      <c r="DU122" s="1616"/>
      <c r="DV122" s="1616"/>
      <c r="DW122" s="1616"/>
      <c r="DX122" s="1616"/>
      <c r="DY122" s="1616"/>
      <c r="DZ122" s="1616"/>
      <c r="EA122" s="1616"/>
      <c r="EB122" s="1616"/>
      <c r="EC122" s="1616"/>
      <c r="ED122" s="1616"/>
      <c r="EE122" s="1616"/>
      <c r="EF122" s="1616"/>
      <c r="EG122" s="1616"/>
      <c r="EH122" s="1616"/>
      <c r="EI122" s="1616"/>
      <c r="EJ122" s="1616"/>
      <c r="EK122" s="1616"/>
      <c r="EL122" s="1616"/>
      <c r="EM122" s="1616"/>
      <c r="EN122" s="1616"/>
      <c r="EO122" s="1616"/>
      <c r="EP122" s="1616"/>
      <c r="EQ122" s="1616"/>
      <c r="ER122" s="1616"/>
      <c r="ES122" s="1616"/>
      <c r="ET122" s="1616"/>
      <c r="EU122" s="1616"/>
      <c r="EV122" s="1616"/>
      <c r="EW122" s="1616"/>
      <c r="EX122" s="1616"/>
      <c r="EY122" s="1616"/>
      <c r="EZ122" s="1616"/>
      <c r="FA122" s="1616"/>
      <c r="FB122" s="1616"/>
      <c r="FC122" s="1616"/>
      <c r="FD122" s="1616"/>
      <c r="FE122" s="1616"/>
      <c r="FF122" s="1616"/>
      <c r="FG122" s="1616"/>
      <c r="FH122" s="1616"/>
      <c r="FI122" s="1616"/>
      <c r="FJ122" s="1616"/>
      <c r="FK122" s="1616"/>
      <c r="FL122" s="1616"/>
      <c r="FM122" s="1616"/>
      <c r="FN122" s="1616"/>
      <c r="FO122" s="1616"/>
      <c r="FP122" s="1616"/>
      <c r="FQ122" s="1616"/>
      <c r="FR122" s="1616"/>
      <c r="FS122" s="1616"/>
      <c r="FT122" s="1616"/>
      <c r="FU122" s="1616"/>
      <c r="FV122" s="1616"/>
      <c r="FW122" s="1616"/>
      <c r="FX122" s="1616"/>
      <c r="FY122" s="1616"/>
      <c r="FZ122" s="1616"/>
      <c r="GA122" s="1616"/>
      <c r="GB122" s="1616"/>
      <c r="GC122" s="1616"/>
      <c r="GD122" s="1616"/>
      <c r="GE122" s="1616"/>
      <c r="GF122" s="1616"/>
      <c r="GG122" s="1616"/>
      <c r="GH122" s="1616"/>
      <c r="GI122" s="1616"/>
      <c r="GJ122" s="1616"/>
      <c r="GK122" s="1616"/>
      <c r="GL122" s="1616"/>
      <c r="GM122" s="1616"/>
      <c r="GN122" s="1616"/>
      <c r="GO122" s="1616"/>
      <c r="GP122" s="1616"/>
      <c r="GQ122" s="1616"/>
      <c r="GR122" s="1616"/>
      <c r="GS122" s="1616"/>
      <c r="GT122" s="1616"/>
      <c r="GU122" s="1616"/>
      <c r="GV122" s="1616"/>
      <c r="GW122" s="1616"/>
      <c r="GX122" s="1616"/>
      <c r="GY122" s="1616"/>
      <c r="GZ122" s="1616"/>
      <c r="HA122" s="1616"/>
      <c r="HB122" s="1616"/>
      <c r="HC122" s="1616"/>
      <c r="HD122" s="1616"/>
      <c r="HE122" s="1616"/>
      <c r="HF122" s="1616"/>
      <c r="HG122" s="1616"/>
      <c r="HH122" s="1616"/>
      <c r="HI122" s="1616"/>
      <c r="HJ122" s="1616"/>
      <c r="HK122" s="1616"/>
      <c r="HL122" s="1616"/>
      <c r="HM122" s="1616"/>
      <c r="HN122" s="1616"/>
      <c r="HO122" s="1616"/>
      <c r="HP122" s="1616"/>
      <c r="HQ122" s="1616"/>
      <c r="HR122" s="1616"/>
      <c r="HS122" s="1616"/>
      <c r="HT122" s="1616"/>
      <c r="HU122" s="1616"/>
      <c r="HV122" s="1616"/>
      <c r="HW122" s="1616"/>
      <c r="HX122" s="1616"/>
      <c r="HY122" s="1616"/>
      <c r="HZ122" s="1616"/>
      <c r="IA122" s="1616"/>
      <c r="IB122" s="1616"/>
      <c r="IC122" s="1616"/>
      <c r="ID122" s="1616"/>
      <c r="IE122" s="1616"/>
      <c r="IF122" s="1616"/>
      <c r="IG122" s="1616"/>
      <c r="IH122" s="1616"/>
      <c r="II122" s="1616"/>
      <c r="IJ122" s="1616"/>
      <c r="IK122" s="1616"/>
      <c r="IL122" s="1616"/>
      <c r="IM122" s="1616"/>
      <c r="IN122" s="1616"/>
      <c r="IO122" s="1616"/>
      <c r="IP122" s="1616"/>
      <c r="IQ122" s="1616"/>
      <c r="IR122" s="1616"/>
      <c r="IS122" s="1616"/>
      <c r="IT122" s="1616"/>
      <c r="IU122" s="1616"/>
    </row>
    <row r="123" spans="1:255" s="604" customFormat="1" ht="13.5" customHeight="1">
      <c r="A123" s="595"/>
      <c r="B123" s="596"/>
      <c r="C123" s="597"/>
      <c r="D123" s="719" t="s">
        <v>5932</v>
      </c>
      <c r="E123" s="599"/>
      <c r="F123" s="600">
        <f>(19.5)*2</f>
        <v>39</v>
      </c>
      <c r="G123" s="289"/>
      <c r="H123" s="601"/>
      <c r="I123" s="602"/>
      <c r="J123" s="606"/>
      <c r="U123" s="605"/>
      <c r="W123" s="605"/>
    </row>
    <row r="124" spans="1:255" s="604" customFormat="1" ht="13.5" customHeight="1">
      <c r="A124" s="595"/>
      <c r="B124" s="596"/>
      <c r="C124" s="597"/>
      <c r="D124" s="719" t="s">
        <v>5854</v>
      </c>
      <c r="E124" s="599"/>
      <c r="F124" s="600"/>
      <c r="G124" s="289"/>
      <c r="H124" s="601"/>
      <c r="I124" s="602"/>
      <c r="J124" s="606"/>
      <c r="U124" s="605"/>
      <c r="W124" s="605"/>
    </row>
    <row r="125" spans="1:255" s="604" customFormat="1" ht="27" customHeight="1">
      <c r="A125" s="595"/>
      <c r="B125" s="596"/>
      <c r="C125" s="597"/>
      <c r="D125" s="719" t="s">
        <v>5855</v>
      </c>
      <c r="E125" s="599"/>
      <c r="F125" s="600"/>
      <c r="G125" s="289"/>
      <c r="H125" s="601"/>
      <c r="I125" s="602"/>
      <c r="J125" s="606"/>
      <c r="U125" s="605"/>
      <c r="W125" s="605"/>
    </row>
    <row r="126" spans="1:255" s="1248" customFormat="1" ht="27" customHeight="1">
      <c r="A126" s="1614">
        <v>34</v>
      </c>
      <c r="B126" s="1615" t="s">
        <v>5808</v>
      </c>
      <c r="C126" s="1615">
        <v>460661114</v>
      </c>
      <c r="D126" s="1615" t="s">
        <v>5856</v>
      </c>
      <c r="E126" s="1615" t="s">
        <v>141</v>
      </c>
      <c r="F126" s="573">
        <f>ROUND(SUM(F128),3)</f>
        <v>29.8</v>
      </c>
      <c r="G126" s="5246" t="s">
        <v>5922</v>
      </c>
      <c r="H126" s="5247"/>
      <c r="I126" s="613" t="s">
        <v>137</v>
      </c>
      <c r="J126" s="1612"/>
      <c r="BF126" s="1616"/>
      <c r="BG126" s="1616"/>
      <c r="BH126" s="1616"/>
      <c r="BI126" s="1616"/>
      <c r="BJ126" s="1616"/>
      <c r="BK126" s="1616"/>
      <c r="BL126" s="1616"/>
      <c r="BM126" s="1616"/>
      <c r="BN126" s="1616"/>
      <c r="BO126" s="1616"/>
      <c r="BP126" s="1616"/>
      <c r="BQ126" s="1616"/>
      <c r="BR126" s="1616"/>
      <c r="BS126" s="1616"/>
      <c r="BT126" s="1616"/>
      <c r="BU126" s="1616"/>
      <c r="BV126" s="1616"/>
      <c r="BW126" s="1616"/>
      <c r="BX126" s="1616"/>
      <c r="BY126" s="1616"/>
      <c r="BZ126" s="1616"/>
      <c r="CA126" s="1616"/>
      <c r="CB126" s="1616"/>
      <c r="CC126" s="1616"/>
      <c r="CD126" s="1616"/>
      <c r="CE126" s="1616"/>
      <c r="CF126" s="1616"/>
      <c r="CG126" s="1616"/>
      <c r="CH126" s="1616"/>
      <c r="CI126" s="1616"/>
      <c r="CJ126" s="1616"/>
      <c r="CK126" s="1616"/>
      <c r="CL126" s="1616"/>
      <c r="CM126" s="1616"/>
      <c r="CN126" s="1616"/>
      <c r="CO126" s="1616"/>
      <c r="CP126" s="1616"/>
      <c r="CQ126" s="1616"/>
      <c r="CR126" s="1616"/>
      <c r="CS126" s="1616"/>
      <c r="CT126" s="1616"/>
      <c r="CU126" s="1616"/>
      <c r="CV126" s="1616"/>
      <c r="CW126" s="1616"/>
      <c r="CX126" s="1616"/>
      <c r="CY126" s="1616"/>
      <c r="CZ126" s="1616"/>
      <c r="DA126" s="1616"/>
      <c r="DB126" s="1616"/>
      <c r="DC126" s="1616"/>
      <c r="DD126" s="1616"/>
      <c r="DE126" s="1616"/>
      <c r="DF126" s="1616"/>
      <c r="DG126" s="1616"/>
      <c r="DH126" s="1616"/>
      <c r="DI126" s="1616"/>
      <c r="DJ126" s="1616"/>
      <c r="DK126" s="1616"/>
      <c r="DL126" s="1616"/>
      <c r="DM126" s="1616"/>
      <c r="DN126" s="1616"/>
      <c r="DO126" s="1616"/>
      <c r="DP126" s="1616"/>
      <c r="DQ126" s="1616"/>
      <c r="DR126" s="1616"/>
      <c r="DS126" s="1616"/>
      <c r="DT126" s="1616"/>
      <c r="DU126" s="1616"/>
      <c r="DV126" s="1616"/>
      <c r="DW126" s="1616"/>
      <c r="DX126" s="1616"/>
      <c r="DY126" s="1616"/>
      <c r="DZ126" s="1616"/>
      <c r="EA126" s="1616"/>
      <c r="EB126" s="1616"/>
      <c r="EC126" s="1616"/>
      <c r="ED126" s="1616"/>
      <c r="EE126" s="1616"/>
      <c r="EF126" s="1616"/>
      <c r="EG126" s="1616"/>
      <c r="EH126" s="1616"/>
      <c r="EI126" s="1616"/>
      <c r="EJ126" s="1616"/>
      <c r="EK126" s="1616"/>
      <c r="EL126" s="1616"/>
      <c r="EM126" s="1616"/>
      <c r="EN126" s="1616"/>
      <c r="EO126" s="1616"/>
      <c r="EP126" s="1616"/>
      <c r="EQ126" s="1616"/>
      <c r="ER126" s="1616"/>
      <c r="ES126" s="1616"/>
      <c r="ET126" s="1616"/>
      <c r="EU126" s="1616"/>
      <c r="EV126" s="1616"/>
      <c r="EW126" s="1616"/>
      <c r="EX126" s="1616"/>
      <c r="EY126" s="1616"/>
      <c r="EZ126" s="1616"/>
      <c r="FA126" s="1616"/>
      <c r="FB126" s="1616"/>
      <c r="FC126" s="1616"/>
      <c r="FD126" s="1616"/>
      <c r="FE126" s="1616"/>
      <c r="FF126" s="1616"/>
      <c r="FG126" s="1616"/>
      <c r="FH126" s="1616"/>
      <c r="FI126" s="1616"/>
      <c r="FJ126" s="1616"/>
      <c r="FK126" s="1616"/>
      <c r="FL126" s="1616"/>
      <c r="FM126" s="1616"/>
      <c r="FN126" s="1616"/>
      <c r="FO126" s="1616"/>
      <c r="FP126" s="1616"/>
      <c r="FQ126" s="1616"/>
      <c r="FR126" s="1616"/>
      <c r="FS126" s="1616"/>
      <c r="FT126" s="1616"/>
      <c r="FU126" s="1616"/>
      <c r="FV126" s="1616"/>
      <c r="FW126" s="1616"/>
      <c r="FX126" s="1616"/>
      <c r="FY126" s="1616"/>
      <c r="FZ126" s="1616"/>
      <c r="GA126" s="1616"/>
      <c r="GB126" s="1616"/>
      <c r="GC126" s="1616"/>
      <c r="GD126" s="1616"/>
      <c r="GE126" s="1616"/>
      <c r="GF126" s="1616"/>
      <c r="GG126" s="1616"/>
      <c r="GH126" s="1616"/>
      <c r="GI126" s="1616"/>
      <c r="GJ126" s="1616"/>
      <c r="GK126" s="1616"/>
      <c r="GL126" s="1616"/>
      <c r="GM126" s="1616"/>
      <c r="GN126" s="1616"/>
      <c r="GO126" s="1616"/>
      <c r="GP126" s="1616"/>
      <c r="GQ126" s="1616"/>
      <c r="GR126" s="1616"/>
      <c r="GS126" s="1616"/>
      <c r="GT126" s="1616"/>
      <c r="GU126" s="1616"/>
      <c r="GV126" s="1616"/>
      <c r="GW126" s="1616"/>
      <c r="GX126" s="1616"/>
      <c r="GY126" s="1616"/>
      <c r="GZ126" s="1616"/>
      <c r="HA126" s="1616"/>
      <c r="HB126" s="1616"/>
      <c r="HC126" s="1616"/>
      <c r="HD126" s="1616"/>
      <c r="HE126" s="1616"/>
      <c r="HF126" s="1616"/>
      <c r="HG126" s="1616"/>
      <c r="HH126" s="1616"/>
      <c r="HI126" s="1616"/>
      <c r="HJ126" s="1616"/>
      <c r="HK126" s="1616"/>
      <c r="HL126" s="1616"/>
      <c r="HM126" s="1616"/>
      <c r="HN126" s="1616"/>
      <c r="HO126" s="1616"/>
      <c r="HP126" s="1616"/>
      <c r="HQ126" s="1616"/>
      <c r="HR126" s="1616"/>
      <c r="HS126" s="1616"/>
      <c r="HT126" s="1616"/>
      <c r="HU126" s="1616"/>
      <c r="HV126" s="1616"/>
      <c r="HW126" s="1616"/>
      <c r="HX126" s="1616"/>
      <c r="HY126" s="1616"/>
      <c r="HZ126" s="1616"/>
      <c r="IA126" s="1616"/>
      <c r="IB126" s="1616"/>
      <c r="IC126" s="1616"/>
      <c r="ID126" s="1616"/>
      <c r="IE126" s="1616"/>
      <c r="IF126" s="1616"/>
      <c r="IG126" s="1616"/>
      <c r="IH126" s="1616"/>
      <c r="II126" s="1616"/>
      <c r="IJ126" s="1616"/>
      <c r="IK126" s="1616"/>
      <c r="IL126" s="1616"/>
      <c r="IM126" s="1616"/>
      <c r="IN126" s="1616"/>
      <c r="IO126" s="1616"/>
      <c r="IP126" s="1616"/>
      <c r="IQ126" s="1616"/>
      <c r="IR126" s="1616"/>
      <c r="IS126" s="1616"/>
      <c r="IT126" s="1616"/>
      <c r="IU126" s="1616"/>
    </row>
    <row r="127" spans="1:255" s="1248" customFormat="1" ht="13.5" customHeight="1">
      <c r="A127" s="1614"/>
      <c r="B127" s="1615"/>
      <c r="C127" s="1615"/>
      <c r="D127" s="719" t="s">
        <v>5857</v>
      </c>
      <c r="E127" s="1615"/>
      <c r="F127" s="1444"/>
      <c r="G127" s="288"/>
      <c r="H127" s="609"/>
      <c r="I127" s="613"/>
      <c r="J127" s="1612"/>
      <c r="BF127" s="1616"/>
      <c r="BG127" s="1616"/>
      <c r="BH127" s="1616"/>
      <c r="BI127" s="1616"/>
      <c r="BJ127" s="1616"/>
      <c r="BK127" s="1616"/>
      <c r="BL127" s="1616"/>
      <c r="BM127" s="1616"/>
      <c r="BN127" s="1616"/>
      <c r="BO127" s="1616"/>
      <c r="BP127" s="1616"/>
      <c r="BQ127" s="1616"/>
      <c r="BR127" s="1616"/>
      <c r="BS127" s="1616"/>
      <c r="BT127" s="1616"/>
      <c r="BU127" s="1616"/>
      <c r="BV127" s="1616"/>
      <c r="BW127" s="1616"/>
      <c r="BX127" s="1616"/>
      <c r="BY127" s="1616"/>
      <c r="BZ127" s="1616"/>
      <c r="CA127" s="1616"/>
      <c r="CB127" s="1616"/>
      <c r="CC127" s="1616"/>
      <c r="CD127" s="1616"/>
      <c r="CE127" s="1616"/>
      <c r="CF127" s="1616"/>
      <c r="CG127" s="1616"/>
      <c r="CH127" s="1616"/>
      <c r="CI127" s="1616"/>
      <c r="CJ127" s="1616"/>
      <c r="CK127" s="1616"/>
      <c r="CL127" s="1616"/>
      <c r="CM127" s="1616"/>
      <c r="CN127" s="1616"/>
      <c r="CO127" s="1616"/>
      <c r="CP127" s="1616"/>
      <c r="CQ127" s="1616"/>
      <c r="CR127" s="1616"/>
      <c r="CS127" s="1616"/>
      <c r="CT127" s="1616"/>
      <c r="CU127" s="1616"/>
      <c r="CV127" s="1616"/>
      <c r="CW127" s="1616"/>
      <c r="CX127" s="1616"/>
      <c r="CY127" s="1616"/>
      <c r="CZ127" s="1616"/>
      <c r="DA127" s="1616"/>
      <c r="DB127" s="1616"/>
      <c r="DC127" s="1616"/>
      <c r="DD127" s="1616"/>
      <c r="DE127" s="1616"/>
      <c r="DF127" s="1616"/>
      <c r="DG127" s="1616"/>
      <c r="DH127" s="1616"/>
      <c r="DI127" s="1616"/>
      <c r="DJ127" s="1616"/>
      <c r="DK127" s="1616"/>
      <c r="DL127" s="1616"/>
      <c r="DM127" s="1616"/>
      <c r="DN127" s="1616"/>
      <c r="DO127" s="1616"/>
      <c r="DP127" s="1616"/>
      <c r="DQ127" s="1616"/>
      <c r="DR127" s="1616"/>
      <c r="DS127" s="1616"/>
      <c r="DT127" s="1616"/>
      <c r="DU127" s="1616"/>
      <c r="DV127" s="1616"/>
      <c r="DW127" s="1616"/>
      <c r="DX127" s="1616"/>
      <c r="DY127" s="1616"/>
      <c r="DZ127" s="1616"/>
      <c r="EA127" s="1616"/>
      <c r="EB127" s="1616"/>
      <c r="EC127" s="1616"/>
      <c r="ED127" s="1616"/>
      <c r="EE127" s="1616"/>
      <c r="EF127" s="1616"/>
      <c r="EG127" s="1616"/>
      <c r="EH127" s="1616"/>
      <c r="EI127" s="1616"/>
      <c r="EJ127" s="1616"/>
      <c r="EK127" s="1616"/>
      <c r="EL127" s="1616"/>
      <c r="EM127" s="1616"/>
      <c r="EN127" s="1616"/>
      <c r="EO127" s="1616"/>
      <c r="EP127" s="1616"/>
      <c r="EQ127" s="1616"/>
      <c r="ER127" s="1616"/>
      <c r="ES127" s="1616"/>
      <c r="ET127" s="1616"/>
      <c r="EU127" s="1616"/>
      <c r="EV127" s="1616"/>
      <c r="EW127" s="1616"/>
      <c r="EX127" s="1616"/>
      <c r="EY127" s="1616"/>
      <c r="EZ127" s="1616"/>
      <c r="FA127" s="1616"/>
      <c r="FB127" s="1616"/>
      <c r="FC127" s="1616"/>
      <c r="FD127" s="1616"/>
      <c r="FE127" s="1616"/>
      <c r="FF127" s="1616"/>
      <c r="FG127" s="1616"/>
      <c r="FH127" s="1616"/>
      <c r="FI127" s="1616"/>
      <c r="FJ127" s="1616"/>
      <c r="FK127" s="1616"/>
      <c r="FL127" s="1616"/>
      <c r="FM127" s="1616"/>
      <c r="FN127" s="1616"/>
      <c r="FO127" s="1616"/>
      <c r="FP127" s="1616"/>
      <c r="FQ127" s="1616"/>
      <c r="FR127" s="1616"/>
      <c r="FS127" s="1616"/>
      <c r="FT127" s="1616"/>
      <c r="FU127" s="1616"/>
      <c r="FV127" s="1616"/>
      <c r="FW127" s="1616"/>
      <c r="FX127" s="1616"/>
      <c r="FY127" s="1616"/>
      <c r="FZ127" s="1616"/>
      <c r="GA127" s="1616"/>
      <c r="GB127" s="1616"/>
      <c r="GC127" s="1616"/>
      <c r="GD127" s="1616"/>
      <c r="GE127" s="1616"/>
      <c r="GF127" s="1616"/>
      <c r="GG127" s="1616"/>
      <c r="GH127" s="1616"/>
      <c r="GI127" s="1616"/>
      <c r="GJ127" s="1616"/>
      <c r="GK127" s="1616"/>
      <c r="GL127" s="1616"/>
      <c r="GM127" s="1616"/>
      <c r="GN127" s="1616"/>
      <c r="GO127" s="1616"/>
      <c r="GP127" s="1616"/>
      <c r="GQ127" s="1616"/>
      <c r="GR127" s="1616"/>
      <c r="GS127" s="1616"/>
      <c r="GT127" s="1616"/>
      <c r="GU127" s="1616"/>
      <c r="GV127" s="1616"/>
      <c r="GW127" s="1616"/>
      <c r="GX127" s="1616"/>
      <c r="GY127" s="1616"/>
      <c r="GZ127" s="1616"/>
      <c r="HA127" s="1616"/>
      <c r="HB127" s="1616"/>
      <c r="HC127" s="1616"/>
      <c r="HD127" s="1616"/>
      <c r="HE127" s="1616"/>
      <c r="HF127" s="1616"/>
      <c r="HG127" s="1616"/>
      <c r="HH127" s="1616"/>
      <c r="HI127" s="1616"/>
      <c r="HJ127" s="1616"/>
      <c r="HK127" s="1616"/>
      <c r="HL127" s="1616"/>
      <c r="HM127" s="1616"/>
      <c r="HN127" s="1616"/>
      <c r="HO127" s="1616"/>
      <c r="HP127" s="1616"/>
      <c r="HQ127" s="1616"/>
      <c r="HR127" s="1616"/>
      <c r="HS127" s="1616"/>
      <c r="HT127" s="1616"/>
      <c r="HU127" s="1616"/>
      <c r="HV127" s="1616"/>
      <c r="HW127" s="1616"/>
      <c r="HX127" s="1616"/>
      <c r="HY127" s="1616"/>
      <c r="HZ127" s="1616"/>
      <c r="IA127" s="1616"/>
      <c r="IB127" s="1616"/>
      <c r="IC127" s="1616"/>
      <c r="ID127" s="1616"/>
      <c r="IE127" s="1616"/>
      <c r="IF127" s="1616"/>
      <c r="IG127" s="1616"/>
      <c r="IH127" s="1616"/>
      <c r="II127" s="1616"/>
      <c r="IJ127" s="1616"/>
      <c r="IK127" s="1616"/>
      <c r="IL127" s="1616"/>
      <c r="IM127" s="1616"/>
      <c r="IN127" s="1616"/>
      <c r="IO127" s="1616"/>
      <c r="IP127" s="1616"/>
      <c r="IQ127" s="1616"/>
      <c r="IR127" s="1616"/>
      <c r="IS127" s="1616"/>
      <c r="IT127" s="1616"/>
      <c r="IU127" s="1616"/>
    </row>
    <row r="128" spans="1:255" s="604" customFormat="1" ht="13.5" customHeight="1">
      <c r="A128" s="595"/>
      <c r="B128" s="596"/>
      <c r="C128" s="597"/>
      <c r="D128" s="719" t="s">
        <v>5858</v>
      </c>
      <c r="E128" s="599"/>
      <c r="F128" s="600">
        <f>(14.9)*2</f>
        <v>29.8</v>
      </c>
      <c r="G128" s="289"/>
      <c r="H128" s="601"/>
      <c r="I128" s="602"/>
      <c r="J128" s="606"/>
      <c r="U128" s="605"/>
      <c r="W128" s="605"/>
    </row>
    <row r="129" spans="1:255" s="604" customFormat="1" ht="13.5" customHeight="1">
      <c r="A129" s="595"/>
      <c r="B129" s="596"/>
      <c r="C129" s="597"/>
      <c r="D129" s="719" t="s">
        <v>5854</v>
      </c>
      <c r="E129" s="599"/>
      <c r="F129" s="600"/>
      <c r="G129" s="289"/>
      <c r="H129" s="601"/>
      <c r="I129" s="602"/>
      <c r="J129" s="606"/>
      <c r="U129" s="605"/>
      <c r="W129" s="605"/>
    </row>
    <row r="130" spans="1:255" s="604" customFormat="1" ht="27" customHeight="1">
      <c r="A130" s="595"/>
      <c r="B130" s="596"/>
      <c r="C130" s="597"/>
      <c r="D130" s="719" t="s">
        <v>5855</v>
      </c>
      <c r="E130" s="599"/>
      <c r="F130" s="600"/>
      <c r="G130" s="289"/>
      <c r="H130" s="601"/>
      <c r="I130" s="602"/>
      <c r="J130" s="606"/>
      <c r="U130" s="605"/>
      <c r="W130" s="605"/>
    </row>
    <row r="131" spans="1:255" s="1248" customFormat="1" ht="13.5" customHeight="1">
      <c r="A131" s="1614">
        <v>35</v>
      </c>
      <c r="B131" s="1615" t="s">
        <v>5808</v>
      </c>
      <c r="C131" s="1615">
        <v>460671113</v>
      </c>
      <c r="D131" s="1615" t="s">
        <v>5859</v>
      </c>
      <c r="E131" s="1615" t="s">
        <v>141</v>
      </c>
      <c r="F131" s="573">
        <f>ROUND(SUM(F133),3)</f>
        <v>39</v>
      </c>
      <c r="G131" s="288"/>
      <c r="H131" s="568">
        <f>ROUND(F131*G131,2)</f>
        <v>0</v>
      </c>
      <c r="I131" s="613" t="s">
        <v>137</v>
      </c>
      <c r="J131" s="1612"/>
      <c r="BF131" s="1616"/>
      <c r="BG131" s="1616"/>
      <c r="BH131" s="1616"/>
      <c r="BI131" s="1616"/>
      <c r="BJ131" s="1616"/>
      <c r="BK131" s="1616"/>
      <c r="BL131" s="1616"/>
      <c r="BM131" s="1616"/>
      <c r="BN131" s="1616"/>
      <c r="BO131" s="1616"/>
      <c r="BP131" s="1616"/>
      <c r="BQ131" s="1616"/>
      <c r="BR131" s="1616"/>
      <c r="BS131" s="1616"/>
      <c r="BT131" s="1616"/>
      <c r="BU131" s="1616"/>
      <c r="BV131" s="1616"/>
      <c r="BW131" s="1616"/>
      <c r="BX131" s="1616"/>
      <c r="BY131" s="1616"/>
      <c r="BZ131" s="1616"/>
      <c r="CA131" s="1616"/>
      <c r="CB131" s="1616"/>
      <c r="CC131" s="1616"/>
      <c r="CD131" s="1616"/>
      <c r="CE131" s="1616"/>
      <c r="CF131" s="1616"/>
      <c r="CG131" s="1616"/>
      <c r="CH131" s="1616"/>
      <c r="CI131" s="1616"/>
      <c r="CJ131" s="1616"/>
      <c r="CK131" s="1616"/>
      <c r="CL131" s="1616"/>
      <c r="CM131" s="1616"/>
      <c r="CN131" s="1616"/>
      <c r="CO131" s="1616"/>
      <c r="CP131" s="1616"/>
      <c r="CQ131" s="1616"/>
      <c r="CR131" s="1616"/>
      <c r="CS131" s="1616"/>
      <c r="CT131" s="1616"/>
      <c r="CU131" s="1616"/>
      <c r="CV131" s="1616"/>
      <c r="CW131" s="1616"/>
      <c r="CX131" s="1616"/>
      <c r="CY131" s="1616"/>
      <c r="CZ131" s="1616"/>
      <c r="DA131" s="1616"/>
      <c r="DB131" s="1616"/>
      <c r="DC131" s="1616"/>
      <c r="DD131" s="1616"/>
      <c r="DE131" s="1616"/>
      <c r="DF131" s="1616"/>
      <c r="DG131" s="1616"/>
      <c r="DH131" s="1616"/>
      <c r="DI131" s="1616"/>
      <c r="DJ131" s="1616"/>
      <c r="DK131" s="1616"/>
      <c r="DL131" s="1616"/>
      <c r="DM131" s="1616"/>
      <c r="DN131" s="1616"/>
      <c r="DO131" s="1616"/>
      <c r="DP131" s="1616"/>
      <c r="DQ131" s="1616"/>
      <c r="DR131" s="1616"/>
      <c r="DS131" s="1616"/>
      <c r="DT131" s="1616"/>
      <c r="DU131" s="1616"/>
      <c r="DV131" s="1616"/>
      <c r="DW131" s="1616"/>
      <c r="DX131" s="1616"/>
      <c r="DY131" s="1616"/>
      <c r="DZ131" s="1616"/>
      <c r="EA131" s="1616"/>
      <c r="EB131" s="1616"/>
      <c r="EC131" s="1616"/>
      <c r="ED131" s="1616"/>
      <c r="EE131" s="1616"/>
      <c r="EF131" s="1616"/>
      <c r="EG131" s="1616"/>
      <c r="EH131" s="1616"/>
      <c r="EI131" s="1616"/>
      <c r="EJ131" s="1616"/>
      <c r="EK131" s="1616"/>
      <c r="EL131" s="1616"/>
      <c r="EM131" s="1616"/>
      <c r="EN131" s="1616"/>
      <c r="EO131" s="1616"/>
      <c r="EP131" s="1616"/>
      <c r="EQ131" s="1616"/>
      <c r="ER131" s="1616"/>
      <c r="ES131" s="1616"/>
      <c r="ET131" s="1616"/>
      <c r="EU131" s="1616"/>
      <c r="EV131" s="1616"/>
      <c r="EW131" s="1616"/>
      <c r="EX131" s="1616"/>
      <c r="EY131" s="1616"/>
      <c r="EZ131" s="1616"/>
      <c r="FA131" s="1616"/>
      <c r="FB131" s="1616"/>
      <c r="FC131" s="1616"/>
      <c r="FD131" s="1616"/>
      <c r="FE131" s="1616"/>
      <c r="FF131" s="1616"/>
      <c r="FG131" s="1616"/>
      <c r="FH131" s="1616"/>
      <c r="FI131" s="1616"/>
      <c r="FJ131" s="1616"/>
      <c r="FK131" s="1616"/>
      <c r="FL131" s="1616"/>
      <c r="FM131" s="1616"/>
      <c r="FN131" s="1616"/>
      <c r="FO131" s="1616"/>
      <c r="FP131" s="1616"/>
      <c r="FQ131" s="1616"/>
      <c r="FR131" s="1616"/>
      <c r="FS131" s="1616"/>
      <c r="FT131" s="1616"/>
      <c r="FU131" s="1616"/>
      <c r="FV131" s="1616"/>
      <c r="FW131" s="1616"/>
      <c r="FX131" s="1616"/>
      <c r="FY131" s="1616"/>
      <c r="FZ131" s="1616"/>
      <c r="GA131" s="1616"/>
      <c r="GB131" s="1616"/>
      <c r="GC131" s="1616"/>
      <c r="GD131" s="1616"/>
      <c r="GE131" s="1616"/>
      <c r="GF131" s="1616"/>
      <c r="GG131" s="1616"/>
      <c r="GH131" s="1616"/>
      <c r="GI131" s="1616"/>
      <c r="GJ131" s="1616"/>
      <c r="GK131" s="1616"/>
      <c r="GL131" s="1616"/>
      <c r="GM131" s="1616"/>
      <c r="GN131" s="1616"/>
      <c r="GO131" s="1616"/>
      <c r="GP131" s="1616"/>
      <c r="GQ131" s="1616"/>
      <c r="GR131" s="1616"/>
      <c r="GS131" s="1616"/>
      <c r="GT131" s="1616"/>
      <c r="GU131" s="1616"/>
      <c r="GV131" s="1616"/>
      <c r="GW131" s="1616"/>
      <c r="GX131" s="1616"/>
      <c r="GY131" s="1616"/>
      <c r="GZ131" s="1616"/>
      <c r="HA131" s="1616"/>
      <c r="HB131" s="1616"/>
      <c r="HC131" s="1616"/>
      <c r="HD131" s="1616"/>
      <c r="HE131" s="1616"/>
      <c r="HF131" s="1616"/>
      <c r="HG131" s="1616"/>
      <c r="HH131" s="1616"/>
      <c r="HI131" s="1616"/>
      <c r="HJ131" s="1616"/>
      <c r="HK131" s="1616"/>
      <c r="HL131" s="1616"/>
      <c r="HM131" s="1616"/>
      <c r="HN131" s="1616"/>
      <c r="HO131" s="1616"/>
      <c r="HP131" s="1616"/>
      <c r="HQ131" s="1616"/>
      <c r="HR131" s="1616"/>
      <c r="HS131" s="1616"/>
      <c r="HT131" s="1616"/>
      <c r="HU131" s="1616"/>
      <c r="HV131" s="1616"/>
      <c r="HW131" s="1616"/>
      <c r="HX131" s="1616"/>
      <c r="HY131" s="1616"/>
      <c r="HZ131" s="1616"/>
      <c r="IA131" s="1616"/>
      <c r="IB131" s="1616"/>
      <c r="IC131" s="1616"/>
      <c r="ID131" s="1616"/>
      <c r="IE131" s="1616"/>
      <c r="IF131" s="1616"/>
      <c r="IG131" s="1616"/>
      <c r="IH131" s="1616"/>
      <c r="II131" s="1616"/>
      <c r="IJ131" s="1616"/>
      <c r="IK131" s="1616"/>
      <c r="IL131" s="1616"/>
      <c r="IM131" s="1616"/>
      <c r="IN131" s="1616"/>
      <c r="IO131" s="1616"/>
      <c r="IP131" s="1616"/>
      <c r="IQ131" s="1616"/>
      <c r="IR131" s="1616"/>
      <c r="IS131" s="1616"/>
      <c r="IT131" s="1616"/>
      <c r="IU131" s="1616"/>
    </row>
    <row r="132" spans="1:255" s="1248" customFormat="1" ht="13.5" customHeight="1">
      <c r="A132" s="1614"/>
      <c r="B132" s="1615"/>
      <c r="C132" s="1615"/>
      <c r="D132" s="719" t="s">
        <v>5933</v>
      </c>
      <c r="E132" s="1615"/>
      <c r="F132" s="1444"/>
      <c r="G132" s="288"/>
      <c r="H132" s="609"/>
      <c r="I132" s="613"/>
      <c r="J132" s="1612"/>
      <c r="BF132" s="1616"/>
      <c r="BG132" s="1616"/>
      <c r="BH132" s="1616"/>
      <c r="BI132" s="1616"/>
      <c r="BJ132" s="1616"/>
      <c r="BK132" s="1616"/>
      <c r="BL132" s="1616"/>
      <c r="BM132" s="1616"/>
      <c r="BN132" s="1616"/>
      <c r="BO132" s="1616"/>
      <c r="BP132" s="1616"/>
      <c r="BQ132" s="1616"/>
      <c r="BR132" s="1616"/>
      <c r="BS132" s="1616"/>
      <c r="BT132" s="1616"/>
      <c r="BU132" s="1616"/>
      <c r="BV132" s="1616"/>
      <c r="BW132" s="1616"/>
      <c r="BX132" s="1616"/>
      <c r="BY132" s="1616"/>
      <c r="BZ132" s="1616"/>
      <c r="CA132" s="1616"/>
      <c r="CB132" s="1616"/>
      <c r="CC132" s="1616"/>
      <c r="CD132" s="1616"/>
      <c r="CE132" s="1616"/>
      <c r="CF132" s="1616"/>
      <c r="CG132" s="1616"/>
      <c r="CH132" s="1616"/>
      <c r="CI132" s="1616"/>
      <c r="CJ132" s="1616"/>
      <c r="CK132" s="1616"/>
      <c r="CL132" s="1616"/>
      <c r="CM132" s="1616"/>
      <c r="CN132" s="1616"/>
      <c r="CO132" s="1616"/>
      <c r="CP132" s="1616"/>
      <c r="CQ132" s="1616"/>
      <c r="CR132" s="1616"/>
      <c r="CS132" s="1616"/>
      <c r="CT132" s="1616"/>
      <c r="CU132" s="1616"/>
      <c r="CV132" s="1616"/>
      <c r="CW132" s="1616"/>
      <c r="CX132" s="1616"/>
      <c r="CY132" s="1616"/>
      <c r="CZ132" s="1616"/>
      <c r="DA132" s="1616"/>
      <c r="DB132" s="1616"/>
      <c r="DC132" s="1616"/>
      <c r="DD132" s="1616"/>
      <c r="DE132" s="1616"/>
      <c r="DF132" s="1616"/>
      <c r="DG132" s="1616"/>
      <c r="DH132" s="1616"/>
      <c r="DI132" s="1616"/>
      <c r="DJ132" s="1616"/>
      <c r="DK132" s="1616"/>
      <c r="DL132" s="1616"/>
      <c r="DM132" s="1616"/>
      <c r="DN132" s="1616"/>
      <c r="DO132" s="1616"/>
      <c r="DP132" s="1616"/>
      <c r="DQ132" s="1616"/>
      <c r="DR132" s="1616"/>
      <c r="DS132" s="1616"/>
      <c r="DT132" s="1616"/>
      <c r="DU132" s="1616"/>
      <c r="DV132" s="1616"/>
      <c r="DW132" s="1616"/>
      <c r="DX132" s="1616"/>
      <c r="DY132" s="1616"/>
      <c r="DZ132" s="1616"/>
      <c r="EA132" s="1616"/>
      <c r="EB132" s="1616"/>
      <c r="EC132" s="1616"/>
      <c r="ED132" s="1616"/>
      <c r="EE132" s="1616"/>
      <c r="EF132" s="1616"/>
      <c r="EG132" s="1616"/>
      <c r="EH132" s="1616"/>
      <c r="EI132" s="1616"/>
      <c r="EJ132" s="1616"/>
      <c r="EK132" s="1616"/>
      <c r="EL132" s="1616"/>
      <c r="EM132" s="1616"/>
      <c r="EN132" s="1616"/>
      <c r="EO132" s="1616"/>
      <c r="EP132" s="1616"/>
      <c r="EQ132" s="1616"/>
      <c r="ER132" s="1616"/>
      <c r="ES132" s="1616"/>
      <c r="ET132" s="1616"/>
      <c r="EU132" s="1616"/>
      <c r="EV132" s="1616"/>
      <c r="EW132" s="1616"/>
      <c r="EX132" s="1616"/>
      <c r="EY132" s="1616"/>
      <c r="EZ132" s="1616"/>
      <c r="FA132" s="1616"/>
      <c r="FB132" s="1616"/>
      <c r="FC132" s="1616"/>
      <c r="FD132" s="1616"/>
      <c r="FE132" s="1616"/>
      <c r="FF132" s="1616"/>
      <c r="FG132" s="1616"/>
      <c r="FH132" s="1616"/>
      <c r="FI132" s="1616"/>
      <c r="FJ132" s="1616"/>
      <c r="FK132" s="1616"/>
      <c r="FL132" s="1616"/>
      <c r="FM132" s="1616"/>
      <c r="FN132" s="1616"/>
      <c r="FO132" s="1616"/>
      <c r="FP132" s="1616"/>
      <c r="FQ132" s="1616"/>
      <c r="FR132" s="1616"/>
      <c r="FS132" s="1616"/>
      <c r="FT132" s="1616"/>
      <c r="FU132" s="1616"/>
      <c r="FV132" s="1616"/>
      <c r="FW132" s="1616"/>
      <c r="FX132" s="1616"/>
      <c r="FY132" s="1616"/>
      <c r="FZ132" s="1616"/>
      <c r="GA132" s="1616"/>
      <c r="GB132" s="1616"/>
      <c r="GC132" s="1616"/>
      <c r="GD132" s="1616"/>
      <c r="GE132" s="1616"/>
      <c r="GF132" s="1616"/>
      <c r="GG132" s="1616"/>
      <c r="GH132" s="1616"/>
      <c r="GI132" s="1616"/>
      <c r="GJ132" s="1616"/>
      <c r="GK132" s="1616"/>
      <c r="GL132" s="1616"/>
      <c r="GM132" s="1616"/>
      <c r="GN132" s="1616"/>
      <c r="GO132" s="1616"/>
      <c r="GP132" s="1616"/>
      <c r="GQ132" s="1616"/>
      <c r="GR132" s="1616"/>
      <c r="GS132" s="1616"/>
      <c r="GT132" s="1616"/>
      <c r="GU132" s="1616"/>
      <c r="GV132" s="1616"/>
      <c r="GW132" s="1616"/>
      <c r="GX132" s="1616"/>
      <c r="GY132" s="1616"/>
      <c r="GZ132" s="1616"/>
      <c r="HA132" s="1616"/>
      <c r="HB132" s="1616"/>
      <c r="HC132" s="1616"/>
      <c r="HD132" s="1616"/>
      <c r="HE132" s="1616"/>
      <c r="HF132" s="1616"/>
      <c r="HG132" s="1616"/>
      <c r="HH132" s="1616"/>
      <c r="HI132" s="1616"/>
      <c r="HJ132" s="1616"/>
      <c r="HK132" s="1616"/>
      <c r="HL132" s="1616"/>
      <c r="HM132" s="1616"/>
      <c r="HN132" s="1616"/>
      <c r="HO132" s="1616"/>
      <c r="HP132" s="1616"/>
      <c r="HQ132" s="1616"/>
      <c r="HR132" s="1616"/>
      <c r="HS132" s="1616"/>
      <c r="HT132" s="1616"/>
      <c r="HU132" s="1616"/>
      <c r="HV132" s="1616"/>
      <c r="HW132" s="1616"/>
      <c r="HX132" s="1616"/>
      <c r="HY132" s="1616"/>
      <c r="HZ132" s="1616"/>
      <c r="IA132" s="1616"/>
      <c r="IB132" s="1616"/>
      <c r="IC132" s="1616"/>
      <c r="ID132" s="1616"/>
      <c r="IE132" s="1616"/>
      <c r="IF132" s="1616"/>
      <c r="IG132" s="1616"/>
      <c r="IH132" s="1616"/>
      <c r="II132" s="1616"/>
      <c r="IJ132" s="1616"/>
      <c r="IK132" s="1616"/>
      <c r="IL132" s="1616"/>
      <c r="IM132" s="1616"/>
      <c r="IN132" s="1616"/>
      <c r="IO132" s="1616"/>
      <c r="IP132" s="1616"/>
      <c r="IQ132" s="1616"/>
      <c r="IR132" s="1616"/>
      <c r="IS132" s="1616"/>
      <c r="IT132" s="1616"/>
      <c r="IU132" s="1616"/>
    </row>
    <row r="133" spans="1:255" s="604" customFormat="1" ht="13.5" customHeight="1">
      <c r="A133" s="595"/>
      <c r="B133" s="596"/>
      <c r="C133" s="597"/>
      <c r="D133" s="719" t="s">
        <v>5934</v>
      </c>
      <c r="E133" s="599"/>
      <c r="F133" s="600">
        <f>(19.5)*2</f>
        <v>39</v>
      </c>
      <c r="G133" s="289"/>
      <c r="H133" s="601"/>
      <c r="I133" s="602"/>
      <c r="J133" s="606"/>
      <c r="U133" s="605"/>
      <c r="W133" s="605"/>
    </row>
    <row r="134" spans="1:255" s="1248" customFormat="1" ht="27" customHeight="1">
      <c r="A134" s="1614">
        <v>36</v>
      </c>
      <c r="B134" s="1615" t="s">
        <v>5808</v>
      </c>
      <c r="C134" s="1615">
        <v>460671114</v>
      </c>
      <c r="D134" s="1615" t="s">
        <v>5862</v>
      </c>
      <c r="E134" s="1615" t="s">
        <v>141</v>
      </c>
      <c r="F134" s="573">
        <f>ROUND(SUM(F136),3)</f>
        <v>29.8</v>
      </c>
      <c r="G134" s="5246" t="s">
        <v>5922</v>
      </c>
      <c r="H134" s="5247"/>
      <c r="I134" s="613" t="s">
        <v>137</v>
      </c>
      <c r="J134" s="1612"/>
      <c r="BF134" s="1616"/>
      <c r="BG134" s="1616"/>
      <c r="BH134" s="1616"/>
      <c r="BI134" s="1616"/>
      <c r="BJ134" s="1616"/>
      <c r="BK134" s="1616"/>
      <c r="BL134" s="1616"/>
      <c r="BM134" s="1616"/>
      <c r="BN134" s="1616"/>
      <c r="BO134" s="1616"/>
      <c r="BP134" s="1616"/>
      <c r="BQ134" s="1616"/>
      <c r="BR134" s="1616"/>
      <c r="BS134" s="1616"/>
      <c r="BT134" s="1616"/>
      <c r="BU134" s="1616"/>
      <c r="BV134" s="1616"/>
      <c r="BW134" s="1616"/>
      <c r="BX134" s="1616"/>
      <c r="BY134" s="1616"/>
      <c r="BZ134" s="1616"/>
      <c r="CA134" s="1616"/>
      <c r="CB134" s="1616"/>
      <c r="CC134" s="1616"/>
      <c r="CD134" s="1616"/>
      <c r="CE134" s="1616"/>
      <c r="CF134" s="1616"/>
      <c r="CG134" s="1616"/>
      <c r="CH134" s="1616"/>
      <c r="CI134" s="1616"/>
      <c r="CJ134" s="1616"/>
      <c r="CK134" s="1616"/>
      <c r="CL134" s="1616"/>
      <c r="CM134" s="1616"/>
      <c r="CN134" s="1616"/>
      <c r="CO134" s="1616"/>
      <c r="CP134" s="1616"/>
      <c r="CQ134" s="1616"/>
      <c r="CR134" s="1616"/>
      <c r="CS134" s="1616"/>
      <c r="CT134" s="1616"/>
      <c r="CU134" s="1616"/>
      <c r="CV134" s="1616"/>
      <c r="CW134" s="1616"/>
      <c r="CX134" s="1616"/>
      <c r="CY134" s="1616"/>
      <c r="CZ134" s="1616"/>
      <c r="DA134" s="1616"/>
      <c r="DB134" s="1616"/>
      <c r="DC134" s="1616"/>
      <c r="DD134" s="1616"/>
      <c r="DE134" s="1616"/>
      <c r="DF134" s="1616"/>
      <c r="DG134" s="1616"/>
      <c r="DH134" s="1616"/>
      <c r="DI134" s="1616"/>
      <c r="DJ134" s="1616"/>
      <c r="DK134" s="1616"/>
      <c r="DL134" s="1616"/>
      <c r="DM134" s="1616"/>
      <c r="DN134" s="1616"/>
      <c r="DO134" s="1616"/>
      <c r="DP134" s="1616"/>
      <c r="DQ134" s="1616"/>
      <c r="DR134" s="1616"/>
      <c r="DS134" s="1616"/>
      <c r="DT134" s="1616"/>
      <c r="DU134" s="1616"/>
      <c r="DV134" s="1616"/>
      <c r="DW134" s="1616"/>
      <c r="DX134" s="1616"/>
      <c r="DY134" s="1616"/>
      <c r="DZ134" s="1616"/>
      <c r="EA134" s="1616"/>
      <c r="EB134" s="1616"/>
      <c r="EC134" s="1616"/>
      <c r="ED134" s="1616"/>
      <c r="EE134" s="1616"/>
      <c r="EF134" s="1616"/>
      <c r="EG134" s="1616"/>
      <c r="EH134" s="1616"/>
      <c r="EI134" s="1616"/>
      <c r="EJ134" s="1616"/>
      <c r="EK134" s="1616"/>
      <c r="EL134" s="1616"/>
      <c r="EM134" s="1616"/>
      <c r="EN134" s="1616"/>
      <c r="EO134" s="1616"/>
      <c r="EP134" s="1616"/>
      <c r="EQ134" s="1616"/>
      <c r="ER134" s="1616"/>
      <c r="ES134" s="1616"/>
      <c r="ET134" s="1616"/>
      <c r="EU134" s="1616"/>
      <c r="EV134" s="1616"/>
      <c r="EW134" s="1616"/>
      <c r="EX134" s="1616"/>
      <c r="EY134" s="1616"/>
      <c r="EZ134" s="1616"/>
      <c r="FA134" s="1616"/>
      <c r="FB134" s="1616"/>
      <c r="FC134" s="1616"/>
      <c r="FD134" s="1616"/>
      <c r="FE134" s="1616"/>
      <c r="FF134" s="1616"/>
      <c r="FG134" s="1616"/>
      <c r="FH134" s="1616"/>
      <c r="FI134" s="1616"/>
      <c r="FJ134" s="1616"/>
      <c r="FK134" s="1616"/>
      <c r="FL134" s="1616"/>
      <c r="FM134" s="1616"/>
      <c r="FN134" s="1616"/>
      <c r="FO134" s="1616"/>
      <c r="FP134" s="1616"/>
      <c r="FQ134" s="1616"/>
      <c r="FR134" s="1616"/>
      <c r="FS134" s="1616"/>
      <c r="FT134" s="1616"/>
      <c r="FU134" s="1616"/>
      <c r="FV134" s="1616"/>
      <c r="FW134" s="1616"/>
      <c r="FX134" s="1616"/>
      <c r="FY134" s="1616"/>
      <c r="FZ134" s="1616"/>
      <c r="GA134" s="1616"/>
      <c r="GB134" s="1616"/>
      <c r="GC134" s="1616"/>
      <c r="GD134" s="1616"/>
      <c r="GE134" s="1616"/>
      <c r="GF134" s="1616"/>
      <c r="GG134" s="1616"/>
      <c r="GH134" s="1616"/>
      <c r="GI134" s="1616"/>
      <c r="GJ134" s="1616"/>
      <c r="GK134" s="1616"/>
      <c r="GL134" s="1616"/>
      <c r="GM134" s="1616"/>
      <c r="GN134" s="1616"/>
      <c r="GO134" s="1616"/>
      <c r="GP134" s="1616"/>
      <c r="GQ134" s="1616"/>
      <c r="GR134" s="1616"/>
      <c r="GS134" s="1616"/>
      <c r="GT134" s="1616"/>
      <c r="GU134" s="1616"/>
      <c r="GV134" s="1616"/>
      <c r="GW134" s="1616"/>
      <c r="GX134" s="1616"/>
      <c r="GY134" s="1616"/>
      <c r="GZ134" s="1616"/>
      <c r="HA134" s="1616"/>
      <c r="HB134" s="1616"/>
      <c r="HC134" s="1616"/>
      <c r="HD134" s="1616"/>
      <c r="HE134" s="1616"/>
      <c r="HF134" s="1616"/>
      <c r="HG134" s="1616"/>
      <c r="HH134" s="1616"/>
      <c r="HI134" s="1616"/>
      <c r="HJ134" s="1616"/>
      <c r="HK134" s="1616"/>
      <c r="HL134" s="1616"/>
      <c r="HM134" s="1616"/>
      <c r="HN134" s="1616"/>
      <c r="HO134" s="1616"/>
      <c r="HP134" s="1616"/>
      <c r="HQ134" s="1616"/>
      <c r="HR134" s="1616"/>
      <c r="HS134" s="1616"/>
      <c r="HT134" s="1616"/>
      <c r="HU134" s="1616"/>
      <c r="HV134" s="1616"/>
      <c r="HW134" s="1616"/>
      <c r="HX134" s="1616"/>
      <c r="HY134" s="1616"/>
      <c r="HZ134" s="1616"/>
      <c r="IA134" s="1616"/>
      <c r="IB134" s="1616"/>
      <c r="IC134" s="1616"/>
      <c r="ID134" s="1616"/>
      <c r="IE134" s="1616"/>
      <c r="IF134" s="1616"/>
      <c r="IG134" s="1616"/>
      <c r="IH134" s="1616"/>
      <c r="II134" s="1616"/>
      <c r="IJ134" s="1616"/>
      <c r="IK134" s="1616"/>
      <c r="IL134" s="1616"/>
      <c r="IM134" s="1616"/>
      <c r="IN134" s="1616"/>
      <c r="IO134" s="1616"/>
      <c r="IP134" s="1616"/>
      <c r="IQ134" s="1616"/>
      <c r="IR134" s="1616"/>
      <c r="IS134" s="1616"/>
      <c r="IT134" s="1616"/>
      <c r="IU134" s="1616"/>
    </row>
    <row r="135" spans="1:255" s="1248" customFormat="1" ht="13.5" customHeight="1">
      <c r="A135" s="1614"/>
      <c r="B135" s="1615"/>
      <c r="C135" s="1615"/>
      <c r="D135" s="719" t="s">
        <v>5863</v>
      </c>
      <c r="E135" s="1615"/>
      <c r="F135" s="1444"/>
      <c r="G135" s="288"/>
      <c r="H135" s="609"/>
      <c r="I135" s="613"/>
      <c r="J135" s="1612"/>
      <c r="BF135" s="1616"/>
      <c r="BG135" s="1616"/>
      <c r="BH135" s="1616"/>
      <c r="BI135" s="1616"/>
      <c r="BJ135" s="1616"/>
      <c r="BK135" s="1616"/>
      <c r="BL135" s="1616"/>
      <c r="BM135" s="1616"/>
      <c r="BN135" s="1616"/>
      <c r="BO135" s="1616"/>
      <c r="BP135" s="1616"/>
      <c r="BQ135" s="1616"/>
      <c r="BR135" s="1616"/>
      <c r="BS135" s="1616"/>
      <c r="BT135" s="1616"/>
      <c r="BU135" s="1616"/>
      <c r="BV135" s="1616"/>
      <c r="BW135" s="1616"/>
      <c r="BX135" s="1616"/>
      <c r="BY135" s="1616"/>
      <c r="BZ135" s="1616"/>
      <c r="CA135" s="1616"/>
      <c r="CB135" s="1616"/>
      <c r="CC135" s="1616"/>
      <c r="CD135" s="1616"/>
      <c r="CE135" s="1616"/>
      <c r="CF135" s="1616"/>
      <c r="CG135" s="1616"/>
      <c r="CH135" s="1616"/>
      <c r="CI135" s="1616"/>
      <c r="CJ135" s="1616"/>
      <c r="CK135" s="1616"/>
      <c r="CL135" s="1616"/>
      <c r="CM135" s="1616"/>
      <c r="CN135" s="1616"/>
      <c r="CO135" s="1616"/>
      <c r="CP135" s="1616"/>
      <c r="CQ135" s="1616"/>
      <c r="CR135" s="1616"/>
      <c r="CS135" s="1616"/>
      <c r="CT135" s="1616"/>
      <c r="CU135" s="1616"/>
      <c r="CV135" s="1616"/>
      <c r="CW135" s="1616"/>
      <c r="CX135" s="1616"/>
      <c r="CY135" s="1616"/>
      <c r="CZ135" s="1616"/>
      <c r="DA135" s="1616"/>
      <c r="DB135" s="1616"/>
      <c r="DC135" s="1616"/>
      <c r="DD135" s="1616"/>
      <c r="DE135" s="1616"/>
      <c r="DF135" s="1616"/>
      <c r="DG135" s="1616"/>
      <c r="DH135" s="1616"/>
      <c r="DI135" s="1616"/>
      <c r="DJ135" s="1616"/>
      <c r="DK135" s="1616"/>
      <c r="DL135" s="1616"/>
      <c r="DM135" s="1616"/>
      <c r="DN135" s="1616"/>
      <c r="DO135" s="1616"/>
      <c r="DP135" s="1616"/>
      <c r="DQ135" s="1616"/>
      <c r="DR135" s="1616"/>
      <c r="DS135" s="1616"/>
      <c r="DT135" s="1616"/>
      <c r="DU135" s="1616"/>
      <c r="DV135" s="1616"/>
      <c r="DW135" s="1616"/>
      <c r="DX135" s="1616"/>
      <c r="DY135" s="1616"/>
      <c r="DZ135" s="1616"/>
      <c r="EA135" s="1616"/>
      <c r="EB135" s="1616"/>
      <c r="EC135" s="1616"/>
      <c r="ED135" s="1616"/>
      <c r="EE135" s="1616"/>
      <c r="EF135" s="1616"/>
      <c r="EG135" s="1616"/>
      <c r="EH135" s="1616"/>
      <c r="EI135" s="1616"/>
      <c r="EJ135" s="1616"/>
      <c r="EK135" s="1616"/>
      <c r="EL135" s="1616"/>
      <c r="EM135" s="1616"/>
      <c r="EN135" s="1616"/>
      <c r="EO135" s="1616"/>
      <c r="EP135" s="1616"/>
      <c r="EQ135" s="1616"/>
      <c r="ER135" s="1616"/>
      <c r="ES135" s="1616"/>
      <c r="ET135" s="1616"/>
      <c r="EU135" s="1616"/>
      <c r="EV135" s="1616"/>
      <c r="EW135" s="1616"/>
      <c r="EX135" s="1616"/>
      <c r="EY135" s="1616"/>
      <c r="EZ135" s="1616"/>
      <c r="FA135" s="1616"/>
      <c r="FB135" s="1616"/>
      <c r="FC135" s="1616"/>
      <c r="FD135" s="1616"/>
      <c r="FE135" s="1616"/>
      <c r="FF135" s="1616"/>
      <c r="FG135" s="1616"/>
      <c r="FH135" s="1616"/>
      <c r="FI135" s="1616"/>
      <c r="FJ135" s="1616"/>
      <c r="FK135" s="1616"/>
      <c r="FL135" s="1616"/>
      <c r="FM135" s="1616"/>
      <c r="FN135" s="1616"/>
      <c r="FO135" s="1616"/>
      <c r="FP135" s="1616"/>
      <c r="FQ135" s="1616"/>
      <c r="FR135" s="1616"/>
      <c r="FS135" s="1616"/>
      <c r="FT135" s="1616"/>
      <c r="FU135" s="1616"/>
      <c r="FV135" s="1616"/>
      <c r="FW135" s="1616"/>
      <c r="FX135" s="1616"/>
      <c r="FY135" s="1616"/>
      <c r="FZ135" s="1616"/>
      <c r="GA135" s="1616"/>
      <c r="GB135" s="1616"/>
      <c r="GC135" s="1616"/>
      <c r="GD135" s="1616"/>
      <c r="GE135" s="1616"/>
      <c r="GF135" s="1616"/>
      <c r="GG135" s="1616"/>
      <c r="GH135" s="1616"/>
      <c r="GI135" s="1616"/>
      <c r="GJ135" s="1616"/>
      <c r="GK135" s="1616"/>
      <c r="GL135" s="1616"/>
      <c r="GM135" s="1616"/>
      <c r="GN135" s="1616"/>
      <c r="GO135" s="1616"/>
      <c r="GP135" s="1616"/>
      <c r="GQ135" s="1616"/>
      <c r="GR135" s="1616"/>
      <c r="GS135" s="1616"/>
      <c r="GT135" s="1616"/>
      <c r="GU135" s="1616"/>
      <c r="GV135" s="1616"/>
      <c r="GW135" s="1616"/>
      <c r="GX135" s="1616"/>
      <c r="GY135" s="1616"/>
      <c r="GZ135" s="1616"/>
      <c r="HA135" s="1616"/>
      <c r="HB135" s="1616"/>
      <c r="HC135" s="1616"/>
      <c r="HD135" s="1616"/>
      <c r="HE135" s="1616"/>
      <c r="HF135" s="1616"/>
      <c r="HG135" s="1616"/>
      <c r="HH135" s="1616"/>
      <c r="HI135" s="1616"/>
      <c r="HJ135" s="1616"/>
      <c r="HK135" s="1616"/>
      <c r="HL135" s="1616"/>
      <c r="HM135" s="1616"/>
      <c r="HN135" s="1616"/>
      <c r="HO135" s="1616"/>
      <c r="HP135" s="1616"/>
      <c r="HQ135" s="1616"/>
      <c r="HR135" s="1616"/>
      <c r="HS135" s="1616"/>
      <c r="HT135" s="1616"/>
      <c r="HU135" s="1616"/>
      <c r="HV135" s="1616"/>
      <c r="HW135" s="1616"/>
      <c r="HX135" s="1616"/>
      <c r="HY135" s="1616"/>
      <c r="HZ135" s="1616"/>
      <c r="IA135" s="1616"/>
      <c r="IB135" s="1616"/>
      <c r="IC135" s="1616"/>
      <c r="ID135" s="1616"/>
      <c r="IE135" s="1616"/>
      <c r="IF135" s="1616"/>
      <c r="IG135" s="1616"/>
      <c r="IH135" s="1616"/>
      <c r="II135" s="1616"/>
      <c r="IJ135" s="1616"/>
      <c r="IK135" s="1616"/>
      <c r="IL135" s="1616"/>
      <c r="IM135" s="1616"/>
      <c r="IN135" s="1616"/>
      <c r="IO135" s="1616"/>
      <c r="IP135" s="1616"/>
      <c r="IQ135" s="1616"/>
      <c r="IR135" s="1616"/>
      <c r="IS135" s="1616"/>
      <c r="IT135" s="1616"/>
      <c r="IU135" s="1616"/>
    </row>
    <row r="136" spans="1:255" s="604" customFormat="1" ht="13.5" customHeight="1">
      <c r="A136" s="595"/>
      <c r="B136" s="596"/>
      <c r="C136" s="597"/>
      <c r="D136" s="719" t="s">
        <v>5864</v>
      </c>
      <c r="E136" s="599"/>
      <c r="F136" s="600">
        <f>(14.9)*2</f>
        <v>29.8</v>
      </c>
      <c r="G136" s="289"/>
      <c r="H136" s="601"/>
      <c r="I136" s="602"/>
      <c r="J136" s="606"/>
      <c r="U136" s="605"/>
      <c r="W136" s="605"/>
    </row>
    <row r="137" spans="1:255" s="1248" customFormat="1" ht="13.5" customHeight="1">
      <c r="A137" s="1624" t="s">
        <v>1262</v>
      </c>
      <c r="B137" s="1615" t="s">
        <v>5808</v>
      </c>
      <c r="C137" s="1615" t="s">
        <v>5865</v>
      </c>
      <c r="D137" s="1615" t="s">
        <v>5866</v>
      </c>
      <c r="E137" s="1615" t="s">
        <v>141</v>
      </c>
      <c r="F137" s="573">
        <f>ROUND(SUM(F139:F139),3)</f>
        <v>2.75</v>
      </c>
      <c r="G137" s="288"/>
      <c r="H137" s="568">
        <f>ROUND(F137*G137,2)</f>
        <v>0</v>
      </c>
      <c r="I137" s="1014" t="s">
        <v>111</v>
      </c>
      <c r="J137" s="1565"/>
      <c r="K137" s="612"/>
      <c r="U137" s="1569"/>
      <c r="CF137" s="1616"/>
      <c r="CG137" s="1616"/>
      <c r="CH137" s="1616"/>
      <c r="CI137" s="1616"/>
      <c r="CJ137" s="1616"/>
      <c r="CK137" s="1616"/>
      <c r="CL137" s="1616"/>
      <c r="CM137" s="1616"/>
      <c r="CN137" s="1616"/>
      <c r="CO137" s="1616"/>
      <c r="CP137" s="1616"/>
      <c r="CQ137" s="1616"/>
      <c r="CR137" s="1616"/>
      <c r="CS137" s="1616"/>
      <c r="CT137" s="1616"/>
      <c r="CU137" s="1616"/>
      <c r="CV137" s="1616"/>
      <c r="CW137" s="1616"/>
      <c r="CX137" s="1616"/>
      <c r="CY137" s="1616"/>
      <c r="CZ137" s="1616"/>
      <c r="DA137" s="1616"/>
      <c r="DB137" s="1616"/>
      <c r="DC137" s="1616"/>
      <c r="DD137" s="1616"/>
      <c r="DE137" s="1616"/>
      <c r="DF137" s="1616"/>
      <c r="DG137" s="1616"/>
      <c r="DH137" s="1616"/>
      <c r="DI137" s="1616"/>
      <c r="DJ137" s="1616"/>
      <c r="DK137" s="1616"/>
      <c r="DL137" s="1616"/>
      <c r="DM137" s="1616"/>
      <c r="DN137" s="1616"/>
      <c r="DO137" s="1616"/>
      <c r="DP137" s="1616"/>
      <c r="DQ137" s="1616"/>
      <c r="DR137" s="1616"/>
      <c r="DS137" s="1616"/>
      <c r="DT137" s="1616"/>
      <c r="DU137" s="1616"/>
      <c r="DV137" s="1616"/>
      <c r="DW137" s="1616"/>
      <c r="DX137" s="1616"/>
      <c r="DY137" s="1616"/>
      <c r="DZ137" s="1616"/>
      <c r="EA137" s="1616"/>
      <c r="EB137" s="1616"/>
      <c r="EC137" s="1616"/>
      <c r="ED137" s="1616"/>
      <c r="EE137" s="1616"/>
      <c r="EF137" s="1616"/>
      <c r="EG137" s="1616"/>
      <c r="EH137" s="1616"/>
      <c r="EI137" s="1616"/>
      <c r="EJ137" s="1616"/>
      <c r="EK137" s="1616"/>
      <c r="EL137" s="1616"/>
      <c r="EM137" s="1616"/>
      <c r="EN137" s="1616"/>
      <c r="EO137" s="1616"/>
      <c r="EP137" s="1616"/>
      <c r="EQ137" s="1616"/>
      <c r="ER137" s="1616"/>
      <c r="ES137" s="1616"/>
      <c r="ET137" s="1616"/>
      <c r="EU137" s="1616"/>
      <c r="EV137" s="1616"/>
      <c r="EW137" s="1616"/>
      <c r="EX137" s="1616"/>
      <c r="EY137" s="1616"/>
      <c r="EZ137" s="1616"/>
      <c r="FA137" s="1616"/>
      <c r="FB137" s="1616"/>
      <c r="FC137" s="1616"/>
      <c r="FD137" s="1616"/>
      <c r="FE137" s="1616"/>
      <c r="FF137" s="1616"/>
      <c r="FG137" s="1616"/>
      <c r="FH137" s="1616"/>
      <c r="FI137" s="1616"/>
      <c r="FJ137" s="1616"/>
      <c r="FK137" s="1616"/>
      <c r="FL137" s="1616"/>
      <c r="FM137" s="1616"/>
      <c r="FN137" s="1616"/>
      <c r="FO137" s="1616"/>
      <c r="FP137" s="1616"/>
      <c r="FQ137" s="1616"/>
      <c r="FR137" s="1616"/>
      <c r="FS137" s="1616"/>
      <c r="FT137" s="1616"/>
      <c r="FU137" s="1616"/>
      <c r="FV137" s="1616"/>
      <c r="FW137" s="1616"/>
      <c r="FX137" s="1616"/>
      <c r="FY137" s="1616"/>
      <c r="FZ137" s="1616"/>
      <c r="GA137" s="1616"/>
      <c r="GB137" s="1616"/>
      <c r="GC137" s="1616"/>
      <c r="GD137" s="1616"/>
      <c r="GE137" s="1616"/>
      <c r="GF137" s="1616"/>
      <c r="GG137" s="1616"/>
      <c r="GH137" s="1616"/>
      <c r="GI137" s="1616"/>
      <c r="GJ137" s="1616"/>
      <c r="GK137" s="1616"/>
      <c r="GL137" s="1616"/>
      <c r="GM137" s="1616"/>
      <c r="GN137" s="1616"/>
      <c r="GO137" s="1616"/>
      <c r="GP137" s="1616"/>
      <c r="GQ137" s="1616"/>
      <c r="GR137" s="1616"/>
      <c r="GS137" s="1616"/>
      <c r="GT137" s="1616"/>
      <c r="GU137" s="1616"/>
      <c r="GV137" s="1616"/>
      <c r="GW137" s="1616"/>
      <c r="GX137" s="1616"/>
      <c r="GY137" s="1616"/>
      <c r="GZ137" s="1616"/>
      <c r="HA137" s="1616"/>
      <c r="HB137" s="1616"/>
      <c r="HC137" s="1616"/>
      <c r="HD137" s="1616"/>
      <c r="HE137" s="1616"/>
      <c r="HF137" s="1616"/>
      <c r="HG137" s="1616"/>
      <c r="HH137" s="1616"/>
      <c r="HI137" s="1616"/>
      <c r="HJ137" s="1616"/>
      <c r="HK137" s="1616"/>
      <c r="HL137" s="1616"/>
      <c r="HM137" s="1616"/>
      <c r="HN137" s="1616"/>
      <c r="HO137" s="1616"/>
      <c r="HP137" s="1616"/>
      <c r="HQ137" s="1616"/>
      <c r="HR137" s="1616"/>
      <c r="HS137" s="1616"/>
      <c r="HT137" s="1616"/>
      <c r="HU137" s="1616"/>
      <c r="HV137" s="1616"/>
      <c r="HW137" s="1616"/>
      <c r="HX137" s="1616"/>
      <c r="HY137" s="1616"/>
      <c r="HZ137" s="1616"/>
      <c r="IA137" s="1616"/>
      <c r="IB137" s="1616"/>
      <c r="IC137" s="1616"/>
      <c r="ID137" s="1616"/>
      <c r="IE137" s="1616"/>
      <c r="IF137" s="1616"/>
      <c r="IG137" s="1616"/>
      <c r="IH137" s="1616"/>
      <c r="II137" s="1616"/>
      <c r="IJ137" s="1616"/>
      <c r="IK137" s="1616"/>
      <c r="IL137" s="1616"/>
      <c r="IM137" s="1616"/>
      <c r="IN137" s="1616"/>
      <c r="IO137" s="1616"/>
      <c r="IP137" s="1616"/>
      <c r="IQ137" s="1616"/>
      <c r="IR137" s="1616"/>
      <c r="IS137" s="1616"/>
      <c r="IT137" s="1616"/>
      <c r="IU137" s="1616"/>
    </row>
    <row r="138" spans="1:255" s="1631" customFormat="1" ht="13.5" customHeight="1">
      <c r="A138" s="1625"/>
      <c r="B138" s="1626"/>
      <c r="C138" s="1627"/>
      <c r="D138" s="1628" t="s">
        <v>5867</v>
      </c>
      <c r="E138" s="599"/>
      <c r="F138" s="600"/>
      <c r="G138" s="410"/>
      <c r="H138" s="1629"/>
      <c r="I138" s="1630"/>
      <c r="J138" s="1566"/>
      <c r="K138" s="1567"/>
      <c r="L138" s="604"/>
      <c r="M138" s="604"/>
      <c r="N138" s="604"/>
      <c r="O138" s="604"/>
      <c r="P138" s="604"/>
      <c r="Q138" s="604"/>
      <c r="R138" s="604"/>
      <c r="S138" s="604"/>
      <c r="T138" s="604"/>
      <c r="U138" s="1572"/>
      <c r="W138" s="1632"/>
    </row>
    <row r="139" spans="1:255" s="1631" customFormat="1" ht="13.5" customHeight="1">
      <c r="A139" s="1625"/>
      <c r="B139" s="1626"/>
      <c r="C139" s="1627"/>
      <c r="D139" s="1628" t="s">
        <v>5935</v>
      </c>
      <c r="E139" s="599"/>
      <c r="F139" s="600">
        <f>(2.5)*1.1</f>
        <v>2.75</v>
      </c>
      <c r="G139" s="410"/>
      <c r="H139" s="1629"/>
      <c r="I139" s="1630"/>
      <c r="J139" s="1633"/>
      <c r="U139" s="1632"/>
      <c r="W139" s="1632"/>
    </row>
    <row r="140" spans="1:255" s="1631" customFormat="1" ht="13.5" customHeight="1">
      <c r="A140" s="1625"/>
      <c r="B140" s="1626"/>
      <c r="C140" s="1627"/>
      <c r="D140" s="1634" t="s">
        <v>5869</v>
      </c>
      <c r="E140" s="599"/>
      <c r="F140" s="600"/>
      <c r="G140" s="410"/>
      <c r="H140" s="1629"/>
      <c r="I140" s="1630"/>
      <c r="J140" s="1635"/>
      <c r="P140" s="1636"/>
      <c r="U140" s="1632"/>
      <c r="W140" s="1632"/>
    </row>
    <row r="141" spans="1:255" s="1631" customFormat="1" ht="13.5" customHeight="1">
      <c r="A141" s="1625"/>
      <c r="B141" s="1626"/>
      <c r="C141" s="1627"/>
      <c r="D141" s="1634" t="s">
        <v>5870</v>
      </c>
      <c r="E141" s="599"/>
      <c r="F141" s="600"/>
      <c r="G141" s="410"/>
      <c r="H141" s="1629"/>
      <c r="I141" s="1630"/>
      <c r="J141" s="1637"/>
      <c r="U141" s="1632"/>
      <c r="W141" s="1632"/>
    </row>
    <row r="142" spans="1:255" s="1248" customFormat="1" ht="13.5" customHeight="1">
      <c r="A142" s="1624" t="s">
        <v>1266</v>
      </c>
      <c r="B142" s="1615" t="s">
        <v>5808</v>
      </c>
      <c r="C142" s="1615" t="s">
        <v>5871</v>
      </c>
      <c r="D142" s="1615" t="s">
        <v>5872</v>
      </c>
      <c r="E142" s="1615" t="s">
        <v>141</v>
      </c>
      <c r="F142" s="573">
        <f>ROUND(SUM(F144),3)</f>
        <v>37.840000000000003</v>
      </c>
      <c r="G142" s="288"/>
      <c r="H142" s="568">
        <f>ROUND(F142*G142,2)</f>
        <v>0</v>
      </c>
      <c r="I142" s="1014" t="s">
        <v>111</v>
      </c>
      <c r="J142" s="1565"/>
      <c r="K142" s="612"/>
      <c r="U142" s="1569"/>
      <c r="BU142" s="1616"/>
      <c r="BV142" s="1616"/>
      <c r="BW142" s="1616"/>
      <c r="BX142" s="1616"/>
      <c r="BY142" s="1616"/>
      <c r="BZ142" s="1616"/>
      <c r="CA142" s="1616"/>
      <c r="CB142" s="1616"/>
      <c r="CC142" s="1616"/>
      <c r="CD142" s="1616"/>
      <c r="CE142" s="1616"/>
      <c r="CF142" s="1616"/>
      <c r="CG142" s="1616"/>
      <c r="CH142" s="1616"/>
      <c r="CI142" s="1616"/>
      <c r="CJ142" s="1616"/>
      <c r="CK142" s="1616"/>
      <c r="CL142" s="1616"/>
      <c r="CM142" s="1616"/>
      <c r="CN142" s="1616"/>
      <c r="CO142" s="1616"/>
      <c r="CP142" s="1616"/>
      <c r="CQ142" s="1616"/>
      <c r="CR142" s="1616"/>
      <c r="CS142" s="1616"/>
      <c r="CT142" s="1616"/>
      <c r="CU142" s="1616"/>
      <c r="CV142" s="1616"/>
      <c r="CW142" s="1616"/>
      <c r="CX142" s="1616"/>
      <c r="CY142" s="1616"/>
      <c r="CZ142" s="1616"/>
      <c r="DA142" s="1616"/>
      <c r="DB142" s="1616"/>
      <c r="DC142" s="1616"/>
      <c r="DD142" s="1616"/>
      <c r="DE142" s="1616"/>
      <c r="DF142" s="1616"/>
      <c r="DG142" s="1616"/>
      <c r="DH142" s="1616"/>
      <c r="DI142" s="1616"/>
      <c r="DJ142" s="1616"/>
      <c r="DK142" s="1616"/>
      <c r="DL142" s="1616"/>
      <c r="DM142" s="1616"/>
      <c r="DN142" s="1616"/>
      <c r="DO142" s="1616"/>
      <c r="DP142" s="1616"/>
      <c r="DQ142" s="1616"/>
      <c r="DR142" s="1616"/>
      <c r="DS142" s="1616"/>
      <c r="DT142" s="1616"/>
      <c r="DU142" s="1616"/>
      <c r="DV142" s="1616"/>
      <c r="DW142" s="1616"/>
      <c r="DX142" s="1616"/>
      <c r="DY142" s="1616"/>
      <c r="DZ142" s="1616"/>
      <c r="EA142" s="1616"/>
      <c r="EB142" s="1616"/>
      <c r="EC142" s="1616"/>
      <c r="ED142" s="1616"/>
      <c r="EE142" s="1616"/>
      <c r="EF142" s="1616"/>
      <c r="EG142" s="1616"/>
      <c r="EH142" s="1616"/>
      <c r="EI142" s="1616"/>
      <c r="EJ142" s="1616"/>
      <c r="EK142" s="1616"/>
      <c r="EL142" s="1616"/>
      <c r="EM142" s="1616"/>
      <c r="EN142" s="1616"/>
      <c r="EO142" s="1616"/>
      <c r="EP142" s="1616"/>
      <c r="EQ142" s="1616"/>
      <c r="ER142" s="1616"/>
      <c r="ES142" s="1616"/>
      <c r="ET142" s="1616"/>
      <c r="EU142" s="1616"/>
      <c r="EV142" s="1616"/>
      <c r="EW142" s="1616"/>
      <c r="EX142" s="1616"/>
      <c r="EY142" s="1616"/>
      <c r="EZ142" s="1616"/>
      <c r="FA142" s="1616"/>
      <c r="FB142" s="1616"/>
      <c r="FC142" s="1616"/>
      <c r="FD142" s="1616"/>
      <c r="FE142" s="1616"/>
      <c r="FF142" s="1616"/>
      <c r="FG142" s="1616"/>
      <c r="FH142" s="1616"/>
      <c r="FI142" s="1616"/>
      <c r="FJ142" s="1616"/>
      <c r="FK142" s="1616"/>
      <c r="FL142" s="1616"/>
      <c r="FM142" s="1616"/>
      <c r="FN142" s="1616"/>
      <c r="FO142" s="1616"/>
      <c r="FP142" s="1616"/>
      <c r="FQ142" s="1616"/>
      <c r="FR142" s="1616"/>
      <c r="FS142" s="1616"/>
      <c r="FT142" s="1616"/>
      <c r="FU142" s="1616"/>
      <c r="FV142" s="1616"/>
      <c r="FW142" s="1616"/>
      <c r="FX142" s="1616"/>
      <c r="FY142" s="1616"/>
      <c r="FZ142" s="1616"/>
      <c r="GA142" s="1616"/>
      <c r="GB142" s="1616"/>
      <c r="GC142" s="1616"/>
      <c r="GD142" s="1616"/>
      <c r="GE142" s="1616"/>
      <c r="GF142" s="1616"/>
      <c r="GG142" s="1616"/>
      <c r="GH142" s="1616"/>
      <c r="GI142" s="1616"/>
      <c r="GJ142" s="1616"/>
      <c r="GK142" s="1616"/>
      <c r="GL142" s="1616"/>
      <c r="GM142" s="1616"/>
      <c r="GN142" s="1616"/>
      <c r="GO142" s="1616"/>
      <c r="GP142" s="1616"/>
      <c r="GQ142" s="1616"/>
      <c r="GR142" s="1616"/>
      <c r="GS142" s="1616"/>
      <c r="GT142" s="1616"/>
      <c r="GU142" s="1616"/>
      <c r="GV142" s="1616"/>
      <c r="GW142" s="1616"/>
      <c r="GX142" s="1616"/>
      <c r="GY142" s="1616"/>
      <c r="GZ142" s="1616"/>
      <c r="HA142" s="1616"/>
      <c r="HB142" s="1616"/>
      <c r="HC142" s="1616"/>
      <c r="HD142" s="1616"/>
      <c r="HE142" s="1616"/>
      <c r="HF142" s="1616"/>
      <c r="HG142" s="1616"/>
      <c r="HH142" s="1616"/>
      <c r="HI142" s="1616"/>
      <c r="HJ142" s="1616"/>
      <c r="HK142" s="1616"/>
      <c r="HL142" s="1616"/>
      <c r="HM142" s="1616"/>
      <c r="HN142" s="1616"/>
      <c r="HO142" s="1616"/>
      <c r="HP142" s="1616"/>
      <c r="HQ142" s="1616"/>
      <c r="HR142" s="1616"/>
      <c r="HS142" s="1616"/>
      <c r="HT142" s="1616"/>
      <c r="HU142" s="1616"/>
      <c r="HV142" s="1616"/>
      <c r="HW142" s="1616"/>
      <c r="HX142" s="1616"/>
      <c r="HY142" s="1616"/>
      <c r="HZ142" s="1616"/>
      <c r="IA142" s="1616"/>
      <c r="IB142" s="1616"/>
      <c r="IC142" s="1616"/>
      <c r="ID142" s="1616"/>
      <c r="IE142" s="1616"/>
      <c r="IF142" s="1616"/>
      <c r="IG142" s="1616"/>
      <c r="IH142" s="1616"/>
      <c r="II142" s="1616"/>
      <c r="IJ142" s="1616"/>
      <c r="IK142" s="1616"/>
      <c r="IL142" s="1616"/>
      <c r="IM142" s="1616"/>
      <c r="IN142" s="1616"/>
      <c r="IO142" s="1616"/>
      <c r="IP142" s="1616"/>
      <c r="IQ142" s="1616"/>
      <c r="IR142" s="1616"/>
      <c r="IS142" s="1616"/>
      <c r="IT142" s="1616"/>
      <c r="IU142" s="1616"/>
    </row>
    <row r="143" spans="1:255" s="1631" customFormat="1" ht="13.5" customHeight="1">
      <c r="A143" s="1625"/>
      <c r="B143" s="1626"/>
      <c r="C143" s="1627"/>
      <c r="D143" s="1628" t="s">
        <v>5873</v>
      </c>
      <c r="E143" s="599"/>
      <c r="F143" s="600"/>
      <c r="G143" s="410"/>
      <c r="H143" s="1629"/>
      <c r="I143" s="1630"/>
      <c r="J143" s="1566"/>
      <c r="K143" s="1567"/>
      <c r="L143" s="604"/>
      <c r="M143" s="604"/>
      <c r="N143" s="604"/>
      <c r="O143" s="604"/>
      <c r="P143" s="604"/>
      <c r="Q143" s="604"/>
      <c r="R143" s="604"/>
      <c r="S143" s="604"/>
      <c r="T143" s="604"/>
      <c r="U143" s="1572"/>
    </row>
    <row r="144" spans="1:255" s="1631" customFormat="1" ht="13.5" customHeight="1">
      <c r="A144" s="1625"/>
      <c r="B144" s="1626"/>
      <c r="C144" s="1627"/>
      <c r="D144" s="1628" t="s">
        <v>5936</v>
      </c>
      <c r="E144" s="599"/>
      <c r="F144" s="600">
        <f>(14.9+19.5)*1.1</f>
        <v>37.840000000000003</v>
      </c>
      <c r="G144" s="410"/>
      <c r="H144" s="1629"/>
      <c r="I144" s="1630"/>
      <c r="J144" s="1633"/>
      <c r="K144" s="1567"/>
      <c r="U144" s="1572"/>
      <c r="W144" s="1638"/>
    </row>
    <row r="145" spans="1:256" s="1631" customFormat="1" ht="13.5" customHeight="1">
      <c r="A145" s="1625"/>
      <c r="B145" s="1626"/>
      <c r="C145" s="1627"/>
      <c r="D145" s="1634" t="s">
        <v>5869</v>
      </c>
      <c r="E145" s="599"/>
      <c r="F145" s="600"/>
      <c r="G145" s="410"/>
      <c r="H145" s="1629"/>
      <c r="I145" s="1630"/>
      <c r="J145" s="1639"/>
      <c r="U145" s="1632"/>
      <c r="W145" s="1632"/>
    </row>
    <row r="146" spans="1:256" s="1631" customFormat="1" ht="13.5" customHeight="1">
      <c r="A146" s="1625"/>
      <c r="B146" s="1626"/>
      <c r="C146" s="1627"/>
      <c r="D146" s="1634" t="s">
        <v>5870</v>
      </c>
      <c r="E146" s="599"/>
      <c r="F146" s="600"/>
      <c r="G146" s="410"/>
      <c r="H146" s="1629"/>
      <c r="I146" s="1630"/>
      <c r="J146" s="1637"/>
      <c r="N146" s="1635"/>
      <c r="U146" s="1632"/>
      <c r="W146" s="1632"/>
    </row>
    <row r="147" spans="1:256" s="1248" customFormat="1" ht="27" customHeight="1">
      <c r="A147" s="1614">
        <v>39</v>
      </c>
      <c r="B147" s="1252">
        <v>946</v>
      </c>
      <c r="C147" s="1245" t="s">
        <v>5875</v>
      </c>
      <c r="D147" s="1245" t="s">
        <v>5876</v>
      </c>
      <c r="E147" s="1245" t="s">
        <v>146</v>
      </c>
      <c r="F147" s="1640">
        <f>ROUND(SUM(F149,F151),3)</f>
        <v>6.3380000000000001</v>
      </c>
      <c r="G147" s="1641">
        <f>ROUND(SUM(H153:H156)/F147,2)</f>
        <v>0</v>
      </c>
      <c r="H147" s="568">
        <f>ROUND(F147*G147,2)</f>
        <v>0</v>
      </c>
      <c r="I147" s="1280" t="s">
        <v>111</v>
      </c>
    </row>
    <row r="148" spans="1:256" s="1248" customFormat="1" ht="13.5" customHeight="1">
      <c r="A148" s="1244"/>
      <c r="B148" s="1252"/>
      <c r="C148" s="1245"/>
      <c r="D148" s="1255" t="s">
        <v>4784</v>
      </c>
      <c r="E148" s="1245"/>
      <c r="F148" s="1246"/>
      <c r="G148" s="404"/>
      <c r="H148" s="1247"/>
      <c r="I148" s="1280"/>
      <c r="J148" s="1642"/>
      <c r="K148" s="1643"/>
      <c r="L148" s="1643"/>
      <c r="M148" s="1642"/>
      <c r="N148" s="1644"/>
    </row>
    <row r="149" spans="1:256" s="593" customFormat="1" ht="13.5" customHeight="1">
      <c r="A149" s="789"/>
      <c r="B149" s="790"/>
      <c r="C149" s="1245"/>
      <c r="D149" s="756" t="s">
        <v>182</v>
      </c>
      <c r="E149" s="1260"/>
      <c r="F149" s="758">
        <f>SUM(F150)</f>
        <v>5.7037500000000003</v>
      </c>
      <c r="G149" s="879"/>
      <c r="H149" s="587"/>
      <c r="I149" s="1014"/>
      <c r="J149" s="1262"/>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c r="CP149" s="213"/>
      <c r="CQ149" s="213"/>
      <c r="CR149" s="213"/>
      <c r="CS149" s="213"/>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213"/>
      <c r="EV149" s="213"/>
      <c r="EW149" s="213"/>
      <c r="EX149" s="213"/>
      <c r="EY149" s="213"/>
      <c r="EZ149" s="213"/>
      <c r="FA149" s="213"/>
      <c r="FB149" s="213"/>
      <c r="FC149" s="213"/>
      <c r="FD149" s="213"/>
      <c r="FE149" s="213"/>
      <c r="FF149" s="213"/>
      <c r="FG149" s="213"/>
      <c r="FH149" s="213"/>
      <c r="FI149" s="213"/>
      <c r="FJ149" s="213"/>
      <c r="FK149" s="213"/>
      <c r="FL149" s="213"/>
      <c r="FM149" s="213"/>
      <c r="FN149" s="213"/>
      <c r="FO149" s="213"/>
      <c r="FP149" s="213"/>
      <c r="FQ149" s="213"/>
      <c r="FR149" s="213"/>
      <c r="FS149" s="213"/>
      <c r="FT149" s="213"/>
      <c r="FU149" s="213"/>
      <c r="FV149" s="213"/>
      <c r="FW149" s="213"/>
      <c r="FX149" s="213"/>
      <c r="FY149" s="213"/>
      <c r="FZ149" s="213"/>
      <c r="GA149" s="213"/>
      <c r="GB149" s="213"/>
      <c r="GC149" s="213"/>
      <c r="GD149" s="213"/>
      <c r="GE149" s="213"/>
      <c r="GF149" s="213"/>
      <c r="GG149" s="213"/>
      <c r="GH149" s="213"/>
      <c r="GI149" s="213"/>
      <c r="GJ149" s="213"/>
      <c r="GK149" s="213"/>
      <c r="GL149" s="213"/>
      <c r="GM149" s="213"/>
      <c r="GN149" s="213"/>
      <c r="GO149" s="213"/>
      <c r="GP149" s="213"/>
      <c r="GQ149" s="213"/>
      <c r="GR149" s="213"/>
      <c r="GS149" s="213"/>
      <c r="GT149" s="213"/>
      <c r="GU149" s="213"/>
      <c r="GV149" s="213"/>
      <c r="GW149" s="213"/>
      <c r="GX149" s="213"/>
      <c r="GY149" s="213"/>
      <c r="GZ149" s="213"/>
      <c r="HA149" s="213"/>
      <c r="HB149" s="213"/>
      <c r="HC149" s="213"/>
      <c r="HD149" s="213"/>
      <c r="HE149" s="213"/>
      <c r="HF149" s="213"/>
      <c r="HG149" s="213"/>
      <c r="HH149" s="213"/>
      <c r="HI149" s="213"/>
      <c r="HJ149" s="213"/>
      <c r="HK149" s="213"/>
      <c r="HL149" s="213"/>
      <c r="HM149" s="213"/>
      <c r="HN149" s="213"/>
      <c r="HO149" s="213"/>
      <c r="HP149" s="213"/>
      <c r="HQ149" s="213"/>
      <c r="HR149" s="213"/>
      <c r="HS149" s="213"/>
      <c r="HT149" s="213"/>
      <c r="HU149" s="213"/>
      <c r="HV149" s="213"/>
      <c r="HW149" s="213"/>
      <c r="HX149" s="213"/>
      <c r="HY149" s="213"/>
      <c r="HZ149" s="213"/>
      <c r="IA149" s="213"/>
      <c r="IB149" s="213"/>
      <c r="IC149" s="213"/>
      <c r="ID149" s="213"/>
      <c r="IE149" s="213"/>
      <c r="IF149" s="213"/>
      <c r="IG149" s="213"/>
      <c r="IH149" s="213"/>
      <c r="II149" s="213"/>
      <c r="IJ149" s="213"/>
      <c r="IK149" s="213"/>
      <c r="IL149" s="213"/>
      <c r="IM149" s="213"/>
      <c r="IN149" s="213"/>
      <c r="IO149" s="213"/>
      <c r="IP149" s="213"/>
      <c r="IQ149" s="213"/>
      <c r="IR149" s="213"/>
      <c r="IS149" s="213"/>
      <c r="IT149" s="213"/>
      <c r="IU149" s="213"/>
      <c r="IV149" s="213"/>
    </row>
    <row r="150" spans="1:256" s="1248" customFormat="1" ht="27" customHeight="1">
      <c r="A150" s="1524"/>
      <c r="B150" s="1525"/>
      <c r="C150" s="1645"/>
      <c r="D150" s="1255" t="s">
        <v>5937</v>
      </c>
      <c r="E150" s="1255"/>
      <c r="F150" s="1249">
        <f>(19.5*0.65*0.5)*(0.85+0.05)</f>
        <v>5.7037500000000003</v>
      </c>
      <c r="G150" s="404"/>
      <c r="H150" s="1247"/>
      <c r="I150" s="1492"/>
      <c r="J150" s="1523"/>
    </row>
    <row r="151" spans="1:256" s="593" customFormat="1" ht="13.5" customHeight="1">
      <c r="A151" s="789"/>
      <c r="B151" s="790"/>
      <c r="C151" s="1245"/>
      <c r="D151" s="756" t="s">
        <v>185</v>
      </c>
      <c r="E151" s="1260"/>
      <c r="F151" s="758">
        <f>SUM(F152)</f>
        <v>0.63375000000000004</v>
      </c>
      <c r="G151" s="879"/>
      <c r="H151" s="587"/>
      <c r="I151" s="1014"/>
      <c r="J151" s="1262"/>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3"/>
      <c r="EA151" s="213"/>
      <c r="EB151" s="213"/>
      <c r="EC151" s="213"/>
      <c r="ED151" s="213"/>
      <c r="EE151" s="213"/>
      <c r="EF151" s="213"/>
      <c r="EG151" s="213"/>
      <c r="EH151" s="213"/>
      <c r="EI151" s="213"/>
      <c r="EJ151" s="213"/>
      <c r="EK151" s="213"/>
      <c r="EL151" s="213"/>
      <c r="EM151" s="213"/>
      <c r="EN151" s="213"/>
      <c r="EO151" s="213"/>
      <c r="EP151" s="213"/>
      <c r="EQ151" s="213"/>
      <c r="ER151" s="213"/>
      <c r="ES151" s="213"/>
      <c r="ET151" s="213"/>
      <c r="EU151" s="213"/>
      <c r="EV151" s="213"/>
      <c r="EW151" s="213"/>
      <c r="EX151" s="213"/>
      <c r="EY151" s="213"/>
      <c r="EZ151" s="213"/>
      <c r="FA151" s="213"/>
      <c r="FB151" s="213"/>
      <c r="FC151" s="213"/>
      <c r="FD151" s="213"/>
      <c r="FE151" s="213"/>
      <c r="FF151" s="213"/>
      <c r="FG151" s="213"/>
      <c r="FH151" s="213"/>
      <c r="FI151" s="213"/>
      <c r="FJ151" s="213"/>
      <c r="FK151" s="213"/>
      <c r="FL151" s="213"/>
      <c r="FM151" s="213"/>
      <c r="FN151" s="213"/>
      <c r="FO151" s="213"/>
      <c r="FP151" s="213"/>
      <c r="FQ151" s="213"/>
      <c r="FR151" s="213"/>
      <c r="FS151" s="213"/>
      <c r="FT151" s="213"/>
      <c r="FU151" s="213"/>
      <c r="FV151" s="213"/>
      <c r="FW151" s="213"/>
      <c r="FX151" s="213"/>
      <c r="FY151" s="213"/>
      <c r="FZ151" s="213"/>
      <c r="GA151" s="213"/>
      <c r="GB151" s="213"/>
      <c r="GC151" s="213"/>
      <c r="GD151" s="213"/>
      <c r="GE151" s="213"/>
      <c r="GF151" s="213"/>
      <c r="GG151" s="213"/>
      <c r="GH151" s="213"/>
      <c r="GI151" s="213"/>
      <c r="GJ151" s="213"/>
      <c r="GK151" s="213"/>
      <c r="GL151" s="213"/>
      <c r="GM151" s="213"/>
      <c r="GN151" s="213"/>
      <c r="GO151" s="213"/>
      <c r="GP151" s="213"/>
      <c r="GQ151" s="213"/>
      <c r="GR151" s="213"/>
      <c r="GS151" s="213"/>
      <c r="GT151" s="213"/>
      <c r="GU151" s="213"/>
      <c r="GV151" s="213"/>
      <c r="GW151" s="213"/>
      <c r="GX151" s="213"/>
      <c r="GY151" s="213"/>
      <c r="GZ151" s="213"/>
      <c r="HA151" s="213"/>
      <c r="HB151" s="213"/>
      <c r="HC151" s="213"/>
      <c r="HD151" s="213"/>
      <c r="HE151" s="213"/>
      <c r="HF151" s="213"/>
      <c r="HG151" s="213"/>
      <c r="HH151" s="213"/>
      <c r="HI151" s="213"/>
      <c r="HJ151" s="213"/>
      <c r="HK151" s="213"/>
      <c r="HL151" s="213"/>
      <c r="HM151" s="213"/>
      <c r="HN151" s="213"/>
      <c r="HO151" s="213"/>
      <c r="HP151" s="213"/>
      <c r="HQ151" s="213"/>
      <c r="HR151" s="213"/>
      <c r="HS151" s="213"/>
      <c r="HT151" s="213"/>
      <c r="HU151" s="213"/>
      <c r="HV151" s="213"/>
      <c r="HW151" s="213"/>
      <c r="HX151" s="213"/>
      <c r="HY151" s="213"/>
      <c r="HZ151" s="213"/>
      <c r="IA151" s="213"/>
      <c r="IB151" s="213"/>
      <c r="IC151" s="213"/>
      <c r="ID151" s="213"/>
      <c r="IE151" s="213"/>
      <c r="IF151" s="213"/>
      <c r="IG151" s="213"/>
      <c r="IH151" s="213"/>
      <c r="II151" s="213"/>
      <c r="IJ151" s="213"/>
      <c r="IK151" s="213"/>
      <c r="IL151" s="213"/>
      <c r="IM151" s="213"/>
      <c r="IN151" s="213"/>
      <c r="IO151" s="213"/>
      <c r="IP151" s="213"/>
      <c r="IQ151" s="213"/>
      <c r="IR151" s="213"/>
      <c r="IS151" s="213"/>
      <c r="IT151" s="213"/>
      <c r="IU151" s="213"/>
      <c r="IV151" s="213"/>
    </row>
    <row r="152" spans="1:256" s="1248" customFormat="1" ht="27" customHeight="1">
      <c r="A152" s="1524"/>
      <c r="B152" s="1525"/>
      <c r="C152" s="1645"/>
      <c r="D152" s="1255" t="s">
        <v>5938</v>
      </c>
      <c r="E152" s="1255"/>
      <c r="F152" s="1249">
        <f>(19.5*0.65*0.5)*(0.1)</f>
        <v>0.63375000000000004</v>
      </c>
      <c r="G152" s="404"/>
      <c r="H152" s="1247"/>
      <c r="I152" s="1492"/>
      <c r="J152" s="1523"/>
    </row>
    <row r="153" spans="1:256" s="1248" customFormat="1" ht="13.5" customHeight="1">
      <c r="A153" s="1518" t="s">
        <v>5879</v>
      </c>
      <c r="B153" s="1245"/>
      <c r="C153" s="777">
        <v>460371121</v>
      </c>
      <c r="D153" s="1255" t="s">
        <v>5880</v>
      </c>
      <c r="E153" s="1259" t="s">
        <v>146</v>
      </c>
      <c r="F153" s="1249">
        <f>F149</f>
        <v>5.7037500000000003</v>
      </c>
      <c r="G153" s="415"/>
      <c r="H153" s="803">
        <f t="shared" ref="H153:H156" si="0">ROUND(F153*G153,2)</f>
        <v>0</v>
      </c>
      <c r="I153" s="781" t="s">
        <v>137</v>
      </c>
      <c r="J153" s="647"/>
      <c r="K153" s="647"/>
      <c r="L153" s="612"/>
      <c r="M153" s="612"/>
      <c r="N153" s="612"/>
      <c r="O153" s="612"/>
      <c r="P153" s="612"/>
      <c r="Q153" s="612"/>
      <c r="R153" s="612"/>
      <c r="S153" s="788"/>
      <c r="V153" s="1646"/>
    </row>
    <row r="154" spans="1:256" s="1248" customFormat="1" ht="13.5" customHeight="1">
      <c r="A154" s="1518" t="s">
        <v>5881</v>
      </c>
      <c r="B154" s="1245"/>
      <c r="C154" s="777">
        <v>460371123</v>
      </c>
      <c r="D154" s="1255" t="s">
        <v>5882</v>
      </c>
      <c r="E154" s="1259" t="s">
        <v>146</v>
      </c>
      <c r="F154" s="1249">
        <f>F151</f>
        <v>0.63375000000000004</v>
      </c>
      <c r="G154" s="415"/>
      <c r="H154" s="803">
        <f t="shared" si="0"/>
        <v>0</v>
      </c>
      <c r="I154" s="781" t="s">
        <v>137</v>
      </c>
      <c r="J154" s="647"/>
      <c r="K154" s="647"/>
      <c r="L154" s="612"/>
      <c r="M154" s="612"/>
      <c r="N154" s="612"/>
      <c r="O154" s="612"/>
      <c r="P154" s="612"/>
      <c r="Q154" s="612"/>
      <c r="R154" s="612"/>
      <c r="S154" s="788"/>
      <c r="V154" s="1646"/>
    </row>
    <row r="155" spans="1:256" s="1248" customFormat="1" ht="27" customHeight="1">
      <c r="A155" s="1518" t="s">
        <v>5883</v>
      </c>
      <c r="B155" s="1245"/>
      <c r="C155" s="777">
        <v>460341112</v>
      </c>
      <c r="D155" s="1255" t="s">
        <v>5884</v>
      </c>
      <c r="E155" s="1259" t="s">
        <v>146</v>
      </c>
      <c r="F155" s="1249">
        <f>F147</f>
        <v>6.3380000000000001</v>
      </c>
      <c r="G155" s="415"/>
      <c r="H155" s="803">
        <f t="shared" si="0"/>
        <v>0</v>
      </c>
      <c r="I155" s="781" t="s">
        <v>137</v>
      </c>
      <c r="J155" s="647"/>
      <c r="K155" s="647"/>
      <c r="L155" s="612"/>
      <c r="M155" s="612"/>
      <c r="N155" s="612"/>
      <c r="O155" s="612"/>
      <c r="P155" s="612"/>
      <c r="Q155" s="612"/>
      <c r="R155" s="612"/>
      <c r="S155" s="788"/>
      <c r="V155" s="1646"/>
    </row>
    <row r="156" spans="1:256" s="1248" customFormat="1" ht="13.5" customHeight="1">
      <c r="A156" s="1518" t="s">
        <v>5885</v>
      </c>
      <c r="B156" s="1245"/>
      <c r="C156" s="777">
        <v>171251201</v>
      </c>
      <c r="D156" s="1255" t="s">
        <v>4795</v>
      </c>
      <c r="E156" s="1259" t="s">
        <v>146</v>
      </c>
      <c r="F156" s="1249">
        <f>F147</f>
        <v>6.3380000000000001</v>
      </c>
      <c r="G156" s="415"/>
      <c r="H156" s="803">
        <f t="shared" si="0"/>
        <v>0</v>
      </c>
      <c r="I156" s="781" t="s">
        <v>137</v>
      </c>
      <c r="J156" s="647"/>
      <c r="K156" s="647"/>
      <c r="L156" s="612"/>
      <c r="M156" s="612"/>
      <c r="N156" s="612"/>
      <c r="O156" s="612"/>
      <c r="P156" s="612"/>
      <c r="Q156" s="612"/>
      <c r="R156" s="612"/>
      <c r="S156" s="788"/>
      <c r="V156" s="1646"/>
    </row>
    <row r="157" spans="1:256" s="1248" customFormat="1" ht="13.5" customHeight="1">
      <c r="A157" s="1518"/>
      <c r="B157" s="1245"/>
      <c r="C157" s="777"/>
      <c r="D157" s="1255" t="s">
        <v>4796</v>
      </c>
      <c r="E157" s="1259"/>
      <c r="F157" s="1249"/>
      <c r="G157" s="416"/>
      <c r="H157" s="1267"/>
      <c r="I157" s="781"/>
      <c r="J157" s="647"/>
      <c r="K157" s="647"/>
      <c r="L157" s="612"/>
      <c r="M157" s="612"/>
      <c r="N157" s="612"/>
      <c r="O157" s="612"/>
      <c r="P157" s="612"/>
      <c r="Q157" s="612"/>
      <c r="R157" s="612"/>
      <c r="S157" s="788"/>
      <c r="V157" s="1646"/>
    </row>
    <row r="158" spans="1:256" s="1248" customFormat="1" ht="27" customHeight="1">
      <c r="A158" s="1244">
        <v>40</v>
      </c>
      <c r="B158" s="1252">
        <v>946</v>
      </c>
      <c r="C158" s="1245" t="s">
        <v>5886</v>
      </c>
      <c r="D158" s="1245" t="s">
        <v>5887</v>
      </c>
      <c r="E158" s="1245" t="s">
        <v>146</v>
      </c>
      <c r="F158" s="1640">
        <f>ROUND(SUM(F160,F162),3)</f>
        <v>6.3380000000000001</v>
      </c>
      <c r="G158" s="1641">
        <f>ROUND(SUM(H164:H166)/F158,2)</f>
        <v>0</v>
      </c>
      <c r="H158" s="568">
        <f>ROUND(F158*G158,2)</f>
        <v>0</v>
      </c>
      <c r="I158" s="1280" t="s">
        <v>111</v>
      </c>
    </row>
    <row r="159" spans="1:256" s="1248" customFormat="1" ht="13.5" customHeight="1">
      <c r="A159" s="1518"/>
      <c r="B159" s="1245"/>
      <c r="C159" s="777"/>
      <c r="D159" s="1255" t="s">
        <v>4799</v>
      </c>
      <c r="E159" s="1259"/>
      <c r="F159" s="1249"/>
      <c r="G159" s="416"/>
      <c r="H159" s="1267"/>
      <c r="I159" s="781"/>
      <c r="J159" s="647"/>
      <c r="K159" s="647"/>
      <c r="L159" s="612"/>
      <c r="M159" s="612"/>
      <c r="N159" s="612"/>
      <c r="O159" s="612"/>
      <c r="P159" s="612"/>
      <c r="Q159" s="612"/>
      <c r="R159" s="612"/>
      <c r="S159" s="788"/>
      <c r="V159" s="1646"/>
    </row>
    <row r="160" spans="1:256" s="593" customFormat="1" ht="13.5" customHeight="1">
      <c r="A160" s="789"/>
      <c r="B160" s="790"/>
      <c r="C160" s="1245"/>
      <c r="D160" s="756" t="s">
        <v>4800</v>
      </c>
      <c r="E160" s="1260"/>
      <c r="F160" s="758">
        <f>SUM(F161)</f>
        <v>5.7037500000000003</v>
      </c>
      <c r="G160" s="879"/>
      <c r="H160" s="587"/>
      <c r="I160" s="1014"/>
      <c r="J160" s="1262"/>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213"/>
      <c r="EV160" s="213"/>
      <c r="EW160" s="213"/>
      <c r="EX160" s="213"/>
      <c r="EY160" s="213"/>
      <c r="EZ160" s="213"/>
      <c r="FA160" s="213"/>
      <c r="FB160" s="213"/>
      <c r="FC160" s="213"/>
      <c r="FD160" s="213"/>
      <c r="FE160" s="213"/>
      <c r="FF160" s="213"/>
      <c r="FG160" s="213"/>
      <c r="FH160" s="213"/>
      <c r="FI160" s="213"/>
      <c r="FJ160" s="213"/>
      <c r="FK160" s="213"/>
      <c r="FL160" s="213"/>
      <c r="FM160" s="213"/>
      <c r="FN160" s="213"/>
      <c r="FO160" s="213"/>
      <c r="FP160" s="213"/>
      <c r="FQ160" s="213"/>
      <c r="FR160" s="213"/>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213"/>
      <c r="GQ160" s="213"/>
      <c r="GR160" s="213"/>
      <c r="GS160" s="213"/>
      <c r="GT160" s="213"/>
      <c r="GU160" s="213"/>
      <c r="GV160" s="213"/>
      <c r="GW160" s="213"/>
      <c r="GX160" s="213"/>
      <c r="GY160" s="213"/>
      <c r="GZ160" s="213"/>
      <c r="HA160" s="213"/>
      <c r="HB160" s="213"/>
      <c r="HC160" s="213"/>
      <c r="HD160" s="213"/>
      <c r="HE160" s="213"/>
      <c r="HF160" s="213"/>
      <c r="HG160" s="213"/>
      <c r="HH160" s="213"/>
      <c r="HI160" s="213"/>
      <c r="HJ160" s="213"/>
      <c r="HK160" s="213"/>
      <c r="HL160" s="213"/>
      <c r="HM160" s="213"/>
      <c r="HN160" s="213"/>
      <c r="HO160" s="213"/>
      <c r="HP160" s="213"/>
      <c r="HQ160" s="213"/>
      <c r="HR160" s="213"/>
      <c r="HS160" s="213"/>
      <c r="HT160" s="213"/>
      <c r="HU160" s="213"/>
      <c r="HV160" s="213"/>
      <c r="HW160" s="213"/>
      <c r="HX160" s="213"/>
      <c r="HY160" s="213"/>
      <c r="HZ160" s="213"/>
      <c r="IA160" s="213"/>
      <c r="IB160" s="213"/>
      <c r="IC160" s="213"/>
      <c r="ID160" s="213"/>
      <c r="IE160" s="213"/>
      <c r="IF160" s="213"/>
      <c r="IG160" s="213"/>
      <c r="IH160" s="213"/>
      <c r="II160" s="213"/>
      <c r="IJ160" s="213"/>
      <c r="IK160" s="213"/>
      <c r="IL160" s="213"/>
      <c r="IM160" s="213"/>
      <c r="IN160" s="213"/>
      <c r="IO160" s="213"/>
      <c r="IP160" s="213"/>
      <c r="IQ160" s="213"/>
      <c r="IR160" s="213"/>
      <c r="IS160" s="213"/>
      <c r="IT160" s="213"/>
      <c r="IU160" s="213"/>
      <c r="IV160" s="213"/>
    </row>
    <row r="161" spans="1:256" s="1248" customFormat="1" ht="27" customHeight="1">
      <c r="A161" s="1524"/>
      <c r="B161" s="1525"/>
      <c r="C161" s="1645"/>
      <c r="D161" s="1255" t="s">
        <v>5939</v>
      </c>
      <c r="E161" s="1255"/>
      <c r="F161" s="1249">
        <f>(19.5*0.65*0.5)*(0.85+0.05)</f>
        <v>5.7037500000000003</v>
      </c>
      <c r="G161" s="404"/>
      <c r="H161" s="1247"/>
      <c r="I161" s="1492"/>
      <c r="J161" s="1523"/>
    </row>
    <row r="162" spans="1:256" s="593" customFormat="1" ht="13.5" customHeight="1">
      <c r="A162" s="789"/>
      <c r="B162" s="790"/>
      <c r="C162" s="1245"/>
      <c r="D162" s="756" t="s">
        <v>4802</v>
      </c>
      <c r="E162" s="1260"/>
      <c r="F162" s="758">
        <f>SUM(F163)</f>
        <v>0.63375000000000004</v>
      </c>
      <c r="G162" s="879"/>
      <c r="H162" s="587"/>
      <c r="I162" s="1014"/>
      <c r="J162" s="1262"/>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213"/>
      <c r="EV162" s="213"/>
      <c r="EW162" s="213"/>
      <c r="EX162" s="213"/>
      <c r="EY162" s="213"/>
      <c r="EZ162" s="213"/>
      <c r="FA162" s="213"/>
      <c r="FB162" s="213"/>
      <c r="FC162" s="213"/>
      <c r="FD162" s="213"/>
      <c r="FE162" s="213"/>
      <c r="FF162" s="213"/>
      <c r="FG162" s="213"/>
      <c r="FH162" s="213"/>
      <c r="FI162" s="213"/>
      <c r="FJ162" s="213"/>
      <c r="FK162" s="213"/>
      <c r="FL162" s="213"/>
      <c r="FM162" s="213"/>
      <c r="FN162" s="213"/>
      <c r="FO162" s="213"/>
      <c r="FP162" s="213"/>
      <c r="FQ162" s="213"/>
      <c r="FR162" s="213"/>
      <c r="FS162" s="213"/>
      <c r="FT162" s="213"/>
      <c r="FU162" s="213"/>
      <c r="FV162" s="213"/>
      <c r="FW162" s="213"/>
      <c r="FX162" s="213"/>
      <c r="FY162" s="213"/>
      <c r="FZ162" s="213"/>
      <c r="GA162" s="213"/>
      <c r="GB162" s="213"/>
      <c r="GC162" s="213"/>
      <c r="GD162" s="213"/>
      <c r="GE162" s="213"/>
      <c r="GF162" s="213"/>
      <c r="GG162" s="213"/>
      <c r="GH162" s="213"/>
      <c r="GI162" s="213"/>
      <c r="GJ162" s="213"/>
      <c r="GK162" s="213"/>
      <c r="GL162" s="213"/>
      <c r="GM162" s="213"/>
      <c r="GN162" s="213"/>
      <c r="GO162" s="213"/>
      <c r="GP162" s="213"/>
      <c r="GQ162" s="213"/>
      <c r="GR162" s="213"/>
      <c r="GS162" s="213"/>
      <c r="GT162" s="213"/>
      <c r="GU162" s="213"/>
      <c r="GV162" s="213"/>
      <c r="GW162" s="213"/>
      <c r="GX162" s="213"/>
      <c r="GY162" s="213"/>
      <c r="GZ162" s="213"/>
      <c r="HA162" s="213"/>
      <c r="HB162" s="213"/>
      <c r="HC162" s="213"/>
      <c r="HD162" s="213"/>
      <c r="HE162" s="213"/>
      <c r="HF162" s="213"/>
      <c r="HG162" s="213"/>
      <c r="HH162" s="213"/>
      <c r="HI162" s="213"/>
      <c r="HJ162" s="213"/>
      <c r="HK162" s="213"/>
      <c r="HL162" s="213"/>
      <c r="HM162" s="213"/>
      <c r="HN162" s="213"/>
      <c r="HO162" s="213"/>
      <c r="HP162" s="213"/>
      <c r="HQ162" s="213"/>
      <c r="HR162" s="213"/>
      <c r="HS162" s="213"/>
      <c r="HT162" s="213"/>
      <c r="HU162" s="213"/>
      <c r="HV162" s="213"/>
      <c r="HW162" s="213"/>
      <c r="HX162" s="213"/>
      <c r="HY162" s="213"/>
      <c r="HZ162" s="213"/>
      <c r="IA162" s="213"/>
      <c r="IB162" s="213"/>
      <c r="IC162" s="213"/>
      <c r="ID162" s="213"/>
      <c r="IE162" s="213"/>
      <c r="IF162" s="213"/>
      <c r="IG162" s="213"/>
      <c r="IH162" s="213"/>
      <c r="II162" s="213"/>
      <c r="IJ162" s="213"/>
      <c r="IK162" s="213"/>
      <c r="IL162" s="213"/>
      <c r="IM162" s="213"/>
      <c r="IN162" s="213"/>
      <c r="IO162" s="213"/>
      <c r="IP162" s="213"/>
      <c r="IQ162" s="213"/>
      <c r="IR162" s="213"/>
      <c r="IS162" s="213"/>
      <c r="IT162" s="213"/>
      <c r="IU162" s="213"/>
      <c r="IV162" s="213"/>
    </row>
    <row r="163" spans="1:256" s="1248" customFormat="1" ht="27" customHeight="1">
      <c r="A163" s="1524"/>
      <c r="B163" s="1525"/>
      <c r="C163" s="1645"/>
      <c r="D163" s="1255" t="s">
        <v>5940</v>
      </c>
      <c r="E163" s="1255"/>
      <c r="F163" s="1249">
        <f>(19.5*0.65*0.5)*(0.1)</f>
        <v>0.63375000000000004</v>
      </c>
      <c r="G163" s="404"/>
      <c r="H163" s="1247"/>
      <c r="I163" s="1492"/>
      <c r="J163" s="1523"/>
    </row>
    <row r="164" spans="1:256" s="1248" customFormat="1" ht="13.5" customHeight="1">
      <c r="A164" s="1518" t="s">
        <v>5890</v>
      </c>
      <c r="B164" s="1245"/>
      <c r="C164" s="777">
        <v>460371121</v>
      </c>
      <c r="D164" s="1255" t="s">
        <v>5880</v>
      </c>
      <c r="E164" s="1259" t="s">
        <v>146</v>
      </c>
      <c r="F164" s="1249">
        <f>F161</f>
        <v>5.7037500000000003</v>
      </c>
      <c r="G164" s="415"/>
      <c r="H164" s="803">
        <f t="shared" ref="H164:H166" si="1">ROUND(F164*G164,2)</f>
        <v>0</v>
      </c>
      <c r="I164" s="781" t="s">
        <v>137</v>
      </c>
      <c r="J164" s="647"/>
      <c r="K164" s="647"/>
      <c r="L164" s="612"/>
      <c r="M164" s="612"/>
      <c r="N164" s="612"/>
      <c r="O164" s="612"/>
      <c r="P164" s="612"/>
      <c r="Q164" s="612"/>
      <c r="R164" s="612"/>
      <c r="S164" s="788"/>
      <c r="V164" s="1646"/>
    </row>
    <row r="165" spans="1:256" s="1248" customFormat="1" ht="13.5" customHeight="1">
      <c r="A165" s="1518" t="s">
        <v>5891</v>
      </c>
      <c r="B165" s="1245"/>
      <c r="C165" s="777">
        <v>460371123</v>
      </c>
      <c r="D165" s="1255" t="s">
        <v>5882</v>
      </c>
      <c r="E165" s="1259" t="s">
        <v>146</v>
      </c>
      <c r="F165" s="1249">
        <f>F163</f>
        <v>0.63375000000000004</v>
      </c>
      <c r="G165" s="415"/>
      <c r="H165" s="803">
        <f t="shared" si="1"/>
        <v>0</v>
      </c>
      <c r="I165" s="781" t="s">
        <v>137</v>
      </c>
      <c r="J165" s="647"/>
      <c r="K165" s="647"/>
      <c r="L165" s="612"/>
      <c r="M165" s="612"/>
      <c r="N165" s="612"/>
      <c r="O165" s="612"/>
      <c r="P165" s="612"/>
      <c r="Q165" s="612"/>
      <c r="R165" s="612"/>
      <c r="S165" s="788"/>
      <c r="V165" s="1646"/>
    </row>
    <row r="166" spans="1:256" s="1248" customFormat="1" ht="27" customHeight="1">
      <c r="A166" s="1518" t="s">
        <v>5892</v>
      </c>
      <c r="B166" s="1245"/>
      <c r="C166" s="777">
        <v>460341112</v>
      </c>
      <c r="D166" s="1255" t="s">
        <v>5884</v>
      </c>
      <c r="E166" s="1259" t="s">
        <v>146</v>
      </c>
      <c r="F166" s="1249">
        <f>F158</f>
        <v>6.3380000000000001</v>
      </c>
      <c r="G166" s="415"/>
      <c r="H166" s="803">
        <f t="shared" si="1"/>
        <v>0</v>
      </c>
      <c r="I166" s="781" t="s">
        <v>137</v>
      </c>
      <c r="J166" s="647"/>
      <c r="K166" s="647"/>
      <c r="L166" s="612"/>
      <c r="M166" s="612"/>
      <c r="N166" s="612"/>
      <c r="O166" s="612"/>
      <c r="P166" s="612"/>
      <c r="Q166" s="612"/>
      <c r="R166" s="612"/>
      <c r="S166" s="788"/>
      <c r="V166" s="1646"/>
    </row>
    <row r="167" spans="1:256" s="1248" customFormat="1" ht="27" customHeight="1">
      <c r="A167" s="1518"/>
      <c r="B167" s="1245"/>
      <c r="C167" s="777"/>
      <c r="D167" s="1255" t="s">
        <v>5893</v>
      </c>
      <c r="E167" s="1259"/>
      <c r="F167" s="1249"/>
      <c r="G167" s="416"/>
      <c r="H167" s="1267"/>
      <c r="I167" s="781"/>
      <c r="J167" s="647"/>
      <c r="K167" s="647"/>
      <c r="L167" s="612"/>
      <c r="M167" s="612"/>
      <c r="N167" s="612"/>
      <c r="O167" s="612"/>
      <c r="P167" s="612"/>
      <c r="Q167" s="612"/>
      <c r="R167" s="612"/>
      <c r="S167" s="788"/>
      <c r="V167" s="1646"/>
    </row>
    <row r="168" spans="1:256" s="593" customFormat="1" ht="27" customHeight="1">
      <c r="A168" s="789">
        <v>41</v>
      </c>
      <c r="B168" s="790" t="s">
        <v>5808</v>
      </c>
      <c r="C168" s="1245" t="s">
        <v>5894</v>
      </c>
      <c r="D168" s="776" t="s">
        <v>6326</v>
      </c>
      <c r="E168" s="776" t="s">
        <v>146</v>
      </c>
      <c r="F168" s="1640">
        <f>ROUND(SUM(F170,F172),3)</f>
        <v>5.07</v>
      </c>
      <c r="G168" s="1641">
        <f>ROUND(SUM(H174:H178)/F168,2)</f>
        <v>0</v>
      </c>
      <c r="H168" s="568">
        <f>ROUND(F168*G168,2)</f>
        <v>0</v>
      </c>
      <c r="I168" s="1280" t="s">
        <v>111</v>
      </c>
      <c r="J168" s="1647"/>
      <c r="K168" s="1248"/>
      <c r="L168" s="1248"/>
      <c r="M168" s="1248"/>
      <c r="N168" s="1248"/>
      <c r="O168" s="1248"/>
      <c r="P168" s="1248"/>
      <c r="Q168" s="1248"/>
      <c r="R168" s="1248"/>
      <c r="S168" s="1248"/>
      <c r="T168" s="1248"/>
      <c r="U168" s="1248"/>
      <c r="V168" s="1248"/>
      <c r="W168" s="1248"/>
      <c r="X168" s="1248"/>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c r="CP168" s="213"/>
      <c r="CQ168" s="213"/>
      <c r="CR168" s="213"/>
      <c r="CS168" s="213"/>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213"/>
      <c r="EV168" s="213"/>
      <c r="EW168" s="213"/>
      <c r="EX168" s="213"/>
      <c r="EY168" s="213"/>
      <c r="EZ168" s="213"/>
      <c r="FA168" s="213"/>
      <c r="FB168" s="213"/>
      <c r="FC168" s="213"/>
      <c r="FD168" s="213"/>
      <c r="FE168" s="213"/>
      <c r="FF168" s="213"/>
      <c r="FG168" s="213"/>
      <c r="FH168" s="213"/>
      <c r="FI168" s="213"/>
      <c r="FJ168" s="213"/>
      <c r="FK168" s="213"/>
      <c r="FL168" s="213"/>
      <c r="FM168" s="213"/>
      <c r="FN168" s="213"/>
      <c r="FO168" s="213"/>
      <c r="FP168" s="213"/>
      <c r="FQ168" s="213"/>
      <c r="FR168" s="213"/>
      <c r="FS168" s="213"/>
      <c r="FT168" s="213"/>
      <c r="FU168" s="213"/>
      <c r="FV168" s="213"/>
      <c r="FW168" s="213"/>
      <c r="FX168" s="213"/>
      <c r="FY168" s="213"/>
      <c r="FZ168" s="213"/>
      <c r="GA168" s="213"/>
      <c r="GB168" s="213"/>
      <c r="GC168" s="213"/>
      <c r="GD168" s="213"/>
      <c r="GE168" s="213"/>
      <c r="GF168" s="213"/>
      <c r="GG168" s="213"/>
      <c r="GH168" s="213"/>
      <c r="GI168" s="213"/>
      <c r="GJ168" s="213"/>
      <c r="GK168" s="213"/>
      <c r="GL168" s="213"/>
      <c r="GM168" s="213"/>
      <c r="GN168" s="213"/>
      <c r="GO168" s="213"/>
      <c r="GP168" s="213"/>
      <c r="GQ168" s="213"/>
      <c r="GR168" s="213"/>
      <c r="GS168" s="213"/>
      <c r="GT168" s="213"/>
      <c r="GU168" s="213"/>
      <c r="GV168" s="213"/>
      <c r="GW168" s="213"/>
      <c r="GX168" s="213"/>
      <c r="GY168" s="213"/>
      <c r="GZ168" s="213"/>
      <c r="HA168" s="213"/>
      <c r="HB168" s="213"/>
      <c r="HC168" s="213"/>
      <c r="HD168" s="213"/>
      <c r="HE168" s="213"/>
      <c r="HF168" s="213"/>
      <c r="HG168" s="213"/>
      <c r="HH168" s="213"/>
      <c r="HI168" s="213"/>
      <c r="HJ168" s="213"/>
      <c r="HK168" s="213"/>
      <c r="HL168" s="213"/>
      <c r="HM168" s="213"/>
      <c r="HN168" s="213"/>
      <c r="HO168" s="213"/>
      <c r="HP168" s="213"/>
      <c r="HQ168" s="213"/>
      <c r="HR168" s="213"/>
      <c r="HS168" s="213"/>
      <c r="HT168" s="213"/>
      <c r="HU168" s="213"/>
      <c r="HV168" s="213"/>
      <c r="HW168" s="213"/>
      <c r="HX168" s="213"/>
      <c r="HY168" s="213"/>
      <c r="HZ168" s="213"/>
      <c r="IA168" s="213"/>
      <c r="IB168" s="213"/>
      <c r="IC168" s="213"/>
      <c r="ID168" s="213"/>
      <c r="IE168" s="213"/>
      <c r="IF168" s="213"/>
      <c r="IG168" s="213"/>
      <c r="IH168" s="213"/>
      <c r="II168" s="213"/>
      <c r="IJ168" s="213"/>
      <c r="IK168" s="213"/>
      <c r="IL168" s="213"/>
      <c r="IM168" s="213"/>
      <c r="IN168" s="213"/>
      <c r="IO168" s="213"/>
      <c r="IP168" s="213"/>
      <c r="IQ168" s="213"/>
      <c r="IR168" s="213"/>
      <c r="IS168" s="213"/>
      <c r="IT168" s="213"/>
      <c r="IU168" s="213"/>
      <c r="IV168" s="213"/>
    </row>
    <row r="169" spans="1:256" s="796" customFormat="1" ht="13.5" customHeight="1">
      <c r="A169" s="1015"/>
      <c r="B169" s="1016"/>
      <c r="C169" s="1648"/>
      <c r="D169" s="1036" t="s">
        <v>5895</v>
      </c>
      <c r="E169" s="1648"/>
      <c r="F169" s="1649"/>
      <c r="G169" s="298"/>
      <c r="H169" s="1038"/>
      <c r="I169" s="1019"/>
      <c r="J169" s="1650"/>
      <c r="L169" s="797"/>
      <c r="M169" s="797"/>
      <c r="N169" s="797"/>
      <c r="O169" s="797"/>
      <c r="P169" s="797"/>
      <c r="Q169" s="797"/>
      <c r="R169" s="797"/>
      <c r="S169" s="797"/>
      <c r="V169" s="797"/>
      <c r="W169" s="797"/>
      <c r="X169" s="797"/>
      <c r="Y169" s="797"/>
      <c r="Z169" s="797"/>
      <c r="AA169" s="797"/>
      <c r="AB169" s="797"/>
      <c r="AC169" s="797"/>
      <c r="AD169" s="797"/>
      <c r="AE169" s="797"/>
      <c r="AF169" s="797"/>
      <c r="AG169" s="797"/>
      <c r="AH169" s="797"/>
      <c r="AI169" s="797"/>
      <c r="AJ169" s="797"/>
      <c r="AK169" s="797"/>
      <c r="AL169" s="797"/>
      <c r="AM169" s="797"/>
      <c r="AN169" s="797"/>
      <c r="AO169" s="797"/>
      <c r="AP169" s="797"/>
      <c r="AQ169" s="797"/>
      <c r="AR169" s="797"/>
      <c r="AS169" s="797"/>
      <c r="AT169" s="797"/>
      <c r="AU169" s="797"/>
      <c r="AV169" s="797"/>
      <c r="AW169" s="797"/>
      <c r="AX169" s="797"/>
      <c r="AY169" s="797"/>
      <c r="AZ169" s="797"/>
      <c r="BA169" s="797"/>
      <c r="BB169" s="797"/>
      <c r="BC169" s="797"/>
      <c r="BD169" s="797"/>
      <c r="BE169" s="797"/>
      <c r="BF169" s="797"/>
      <c r="BG169" s="797"/>
      <c r="BH169" s="797"/>
      <c r="BI169" s="797"/>
      <c r="BJ169" s="797"/>
      <c r="BK169" s="797"/>
      <c r="BL169" s="797"/>
      <c r="BM169" s="797"/>
      <c r="BN169" s="797"/>
      <c r="BO169" s="797"/>
      <c r="BP169" s="797"/>
      <c r="BQ169" s="797"/>
      <c r="BR169" s="797"/>
      <c r="BS169" s="797"/>
      <c r="BT169" s="797"/>
      <c r="BU169" s="797"/>
      <c r="BV169" s="797"/>
      <c r="BW169" s="797"/>
      <c r="BX169" s="797"/>
      <c r="BY169" s="797"/>
      <c r="BZ169" s="797"/>
      <c r="CA169" s="797"/>
      <c r="CB169" s="797"/>
      <c r="CC169" s="797"/>
      <c r="CD169" s="797"/>
      <c r="CE169" s="797"/>
      <c r="CF169" s="797"/>
      <c r="CG169" s="797"/>
      <c r="CH169" s="797"/>
      <c r="CI169" s="797"/>
      <c r="CJ169" s="797"/>
      <c r="CK169" s="797"/>
      <c r="CL169" s="797"/>
      <c r="CM169" s="797"/>
      <c r="CN169" s="797"/>
      <c r="CO169" s="797"/>
      <c r="CP169" s="797"/>
      <c r="CQ169" s="797"/>
      <c r="CR169" s="797"/>
      <c r="CS169" s="797"/>
      <c r="CT169" s="797"/>
      <c r="CU169" s="797"/>
      <c r="CV169" s="797"/>
      <c r="CW169" s="797"/>
      <c r="CX169" s="797"/>
      <c r="CY169" s="797"/>
      <c r="CZ169" s="797"/>
      <c r="DA169" s="797"/>
      <c r="DB169" s="797"/>
      <c r="DC169" s="797"/>
      <c r="DD169" s="797"/>
      <c r="DE169" s="797"/>
      <c r="DF169" s="797"/>
      <c r="DG169" s="797"/>
      <c r="DH169" s="797"/>
      <c r="DI169" s="797"/>
      <c r="DJ169" s="797"/>
      <c r="DK169" s="797"/>
      <c r="DL169" s="797"/>
      <c r="DM169" s="797"/>
      <c r="DN169" s="797"/>
      <c r="DO169" s="797"/>
      <c r="DP169" s="797"/>
      <c r="DQ169" s="797"/>
      <c r="DR169" s="797"/>
      <c r="DS169" s="797"/>
      <c r="DT169" s="797"/>
      <c r="DU169" s="797"/>
      <c r="DV169" s="797"/>
      <c r="DW169" s="797"/>
      <c r="DX169" s="797"/>
      <c r="DY169" s="797"/>
      <c r="DZ169" s="797"/>
      <c r="EA169" s="797"/>
      <c r="EB169" s="797"/>
      <c r="EC169" s="797"/>
      <c r="ED169" s="797"/>
      <c r="EE169" s="797"/>
      <c r="EF169" s="797"/>
      <c r="EG169" s="797"/>
      <c r="EH169" s="797"/>
      <c r="EI169" s="797"/>
      <c r="EJ169" s="797"/>
      <c r="EK169" s="797"/>
      <c r="EL169" s="797"/>
      <c r="EM169" s="797"/>
      <c r="EN169" s="797"/>
      <c r="EO169" s="797"/>
      <c r="EP169" s="797"/>
      <c r="EQ169" s="797"/>
      <c r="ER169" s="797"/>
      <c r="ES169" s="797"/>
      <c r="ET169" s="797"/>
      <c r="EU169" s="797"/>
      <c r="EV169" s="797"/>
      <c r="EW169" s="797"/>
      <c r="EX169" s="797"/>
      <c r="EY169" s="797"/>
      <c r="EZ169" s="797"/>
      <c r="FA169" s="797"/>
      <c r="FB169" s="797"/>
      <c r="FC169" s="797"/>
      <c r="FD169" s="797"/>
      <c r="FE169" s="797"/>
      <c r="FF169" s="797"/>
      <c r="FG169" s="797"/>
      <c r="FH169" s="797"/>
      <c r="FI169" s="797"/>
      <c r="FJ169" s="797"/>
      <c r="FK169" s="797"/>
      <c r="FL169" s="797"/>
      <c r="FM169" s="797"/>
      <c r="FN169" s="797"/>
      <c r="FO169" s="797"/>
      <c r="FP169" s="797"/>
      <c r="FQ169" s="797"/>
      <c r="FR169" s="797"/>
      <c r="FS169" s="797"/>
      <c r="FT169" s="797"/>
      <c r="FU169" s="797"/>
      <c r="FV169" s="797"/>
      <c r="FW169" s="797"/>
      <c r="FX169" s="797"/>
      <c r="FY169" s="797"/>
      <c r="FZ169" s="797"/>
      <c r="GA169" s="797"/>
      <c r="GB169" s="797"/>
      <c r="GC169" s="797"/>
      <c r="GD169" s="797"/>
      <c r="GE169" s="797"/>
      <c r="GF169" s="797"/>
      <c r="GG169" s="797"/>
      <c r="GH169" s="797"/>
      <c r="GI169" s="797"/>
      <c r="GJ169" s="797"/>
      <c r="GK169" s="797"/>
      <c r="GL169" s="797"/>
      <c r="GM169" s="797"/>
      <c r="GN169" s="797"/>
      <c r="GO169" s="797"/>
      <c r="GP169" s="797"/>
      <c r="GQ169" s="797"/>
      <c r="GR169" s="797"/>
      <c r="GS169" s="797"/>
      <c r="GT169" s="797"/>
      <c r="GU169" s="797"/>
      <c r="GV169" s="797"/>
      <c r="GW169" s="797"/>
      <c r="GX169" s="797"/>
      <c r="GY169" s="797"/>
      <c r="GZ169" s="797"/>
      <c r="HA169" s="797"/>
      <c r="HB169" s="797"/>
      <c r="HC169" s="797"/>
      <c r="HD169" s="797"/>
      <c r="HE169" s="797"/>
      <c r="HF169" s="797"/>
      <c r="HG169" s="797"/>
      <c r="HH169" s="797"/>
      <c r="HI169" s="797"/>
      <c r="HJ169" s="797"/>
      <c r="HK169" s="797"/>
      <c r="HL169" s="797"/>
      <c r="HM169" s="797"/>
      <c r="HN169" s="797"/>
      <c r="HO169" s="797"/>
      <c r="HP169" s="797"/>
      <c r="HQ169" s="797"/>
      <c r="HR169" s="797"/>
      <c r="HS169" s="797"/>
      <c r="HT169" s="797"/>
      <c r="HU169" s="797"/>
      <c r="HV169" s="797"/>
      <c r="HW169" s="797"/>
      <c r="HX169" s="797"/>
      <c r="HY169" s="797"/>
      <c r="HZ169" s="797"/>
      <c r="IA169" s="797"/>
      <c r="IB169" s="797"/>
      <c r="IC169" s="797"/>
      <c r="ID169" s="797"/>
      <c r="IE169" s="797"/>
      <c r="IF169" s="797"/>
      <c r="IG169" s="797"/>
      <c r="IH169" s="797"/>
      <c r="II169" s="797"/>
      <c r="IJ169" s="797"/>
      <c r="IK169" s="797"/>
      <c r="IL169" s="797"/>
      <c r="IM169" s="797"/>
      <c r="IN169" s="797"/>
      <c r="IO169" s="797"/>
      <c r="IP169" s="797"/>
      <c r="IQ169" s="797"/>
      <c r="IR169" s="797"/>
      <c r="IS169" s="797"/>
      <c r="IT169" s="797"/>
      <c r="IU169" s="797"/>
      <c r="IV169" s="797"/>
    </row>
    <row r="170" spans="1:256" s="753" customFormat="1" ht="13.5" customHeight="1">
      <c r="A170" s="745"/>
      <c r="B170" s="746"/>
      <c r="C170" s="1245"/>
      <c r="D170" s="756" t="s">
        <v>182</v>
      </c>
      <c r="E170" s="757"/>
      <c r="F170" s="758">
        <f>SUM(F171)</f>
        <v>4.5630000000000006</v>
      </c>
      <c r="G170" s="374"/>
      <c r="H170" s="759"/>
      <c r="I170" s="751"/>
      <c r="J170" s="760"/>
      <c r="K170" s="593"/>
      <c r="L170" s="213"/>
      <c r="M170" s="213"/>
      <c r="N170" s="213"/>
      <c r="O170" s="213"/>
      <c r="P170" s="213"/>
      <c r="Q170" s="213"/>
      <c r="R170" s="213"/>
      <c r="S170" s="213"/>
      <c r="T170" s="213"/>
      <c r="U170" s="213"/>
      <c r="V170" s="213"/>
      <c r="W170" s="213"/>
      <c r="X170" s="213"/>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c r="CB170" s="754"/>
      <c r="CC170" s="754"/>
      <c r="CD170" s="754"/>
      <c r="CE170" s="754"/>
      <c r="CF170" s="754"/>
      <c r="CG170" s="754"/>
      <c r="CH170" s="754"/>
      <c r="CI170" s="754"/>
      <c r="CJ170" s="754"/>
      <c r="CK170" s="754"/>
      <c r="CL170" s="754"/>
      <c r="CM170" s="754"/>
      <c r="CN170" s="754"/>
      <c r="CO170" s="754"/>
      <c r="CP170" s="754"/>
      <c r="CQ170" s="754"/>
      <c r="CR170" s="754"/>
      <c r="CS170" s="754"/>
      <c r="CT170" s="754"/>
      <c r="CU170" s="754"/>
      <c r="CV170" s="754"/>
      <c r="CW170" s="754"/>
      <c r="CX170" s="754"/>
      <c r="CY170" s="754"/>
      <c r="CZ170" s="754"/>
      <c r="DA170" s="754"/>
      <c r="DB170" s="754"/>
      <c r="DC170" s="754"/>
      <c r="DD170" s="754"/>
      <c r="DE170" s="754"/>
      <c r="DF170" s="754"/>
      <c r="DG170" s="754"/>
      <c r="DH170" s="754"/>
      <c r="DI170" s="754"/>
      <c r="DJ170" s="754"/>
      <c r="DK170" s="754"/>
      <c r="DL170" s="754"/>
      <c r="DM170" s="754"/>
      <c r="DN170" s="754"/>
      <c r="DO170" s="754"/>
      <c r="DP170" s="754"/>
      <c r="DQ170" s="754"/>
      <c r="DR170" s="754"/>
      <c r="DS170" s="754"/>
      <c r="DT170" s="754"/>
      <c r="DU170" s="754"/>
      <c r="DV170" s="754"/>
      <c r="DW170" s="754"/>
      <c r="DX170" s="754"/>
      <c r="DY170" s="754"/>
      <c r="DZ170" s="754"/>
      <c r="EA170" s="754"/>
      <c r="EB170" s="754"/>
      <c r="EC170" s="754"/>
      <c r="ED170" s="754"/>
      <c r="EE170" s="754"/>
      <c r="EF170" s="754"/>
      <c r="EG170" s="754"/>
      <c r="EH170" s="754"/>
      <c r="EI170" s="754"/>
      <c r="EJ170" s="754"/>
      <c r="EK170" s="754"/>
      <c r="EL170" s="754"/>
      <c r="EM170" s="754"/>
      <c r="EN170" s="754"/>
      <c r="EO170" s="754"/>
      <c r="EP170" s="754"/>
      <c r="EQ170" s="754"/>
      <c r="ER170" s="754"/>
      <c r="ES170" s="754"/>
      <c r="ET170" s="754"/>
      <c r="EU170" s="754"/>
      <c r="EV170" s="754"/>
      <c r="EW170" s="754"/>
      <c r="EX170" s="754"/>
      <c r="EY170" s="754"/>
      <c r="EZ170" s="754"/>
      <c r="FA170" s="754"/>
      <c r="FB170" s="754"/>
      <c r="FC170" s="754"/>
      <c r="FD170" s="754"/>
      <c r="FE170" s="754"/>
      <c r="FF170" s="754"/>
      <c r="FG170" s="754"/>
      <c r="FH170" s="754"/>
      <c r="FI170" s="754"/>
      <c r="FJ170" s="754"/>
      <c r="FK170" s="754"/>
      <c r="FL170" s="754"/>
      <c r="FM170" s="754"/>
      <c r="FN170" s="754"/>
      <c r="FO170" s="754"/>
      <c r="FP170" s="754"/>
      <c r="FQ170" s="754"/>
      <c r="FR170" s="754"/>
      <c r="FS170" s="754"/>
      <c r="FT170" s="754"/>
      <c r="FU170" s="754"/>
      <c r="FV170" s="754"/>
      <c r="FW170" s="754"/>
      <c r="FX170" s="754"/>
      <c r="FY170" s="754"/>
      <c r="FZ170" s="754"/>
      <c r="GA170" s="754"/>
      <c r="GB170" s="754"/>
      <c r="GC170" s="754"/>
      <c r="GD170" s="754"/>
      <c r="GE170" s="754"/>
      <c r="GF170" s="754"/>
      <c r="GG170" s="754"/>
      <c r="GH170" s="754"/>
      <c r="GI170" s="754"/>
      <c r="GJ170" s="754"/>
      <c r="GK170" s="754"/>
      <c r="GL170" s="754"/>
      <c r="GM170" s="754"/>
      <c r="GN170" s="754"/>
      <c r="GO170" s="754"/>
      <c r="GP170" s="754"/>
      <c r="GQ170" s="754"/>
      <c r="GR170" s="754"/>
      <c r="GS170" s="754"/>
      <c r="GT170" s="754"/>
      <c r="GU170" s="754"/>
      <c r="GV170" s="754"/>
      <c r="GW170" s="754"/>
      <c r="GX170" s="754"/>
      <c r="GY170" s="754"/>
      <c r="GZ170" s="754"/>
      <c r="HA170" s="754"/>
      <c r="HB170" s="754"/>
      <c r="HC170" s="754"/>
      <c r="HD170" s="754"/>
      <c r="HE170" s="754"/>
      <c r="HF170" s="754"/>
      <c r="HG170" s="754"/>
      <c r="HH170" s="754"/>
      <c r="HI170" s="754"/>
      <c r="HJ170" s="754"/>
      <c r="HK170" s="754"/>
      <c r="HL170" s="754"/>
      <c r="HM170" s="754"/>
      <c r="HN170" s="754"/>
      <c r="HO170" s="754"/>
      <c r="HP170" s="754"/>
      <c r="HQ170" s="754"/>
      <c r="HR170" s="754"/>
      <c r="HS170" s="754"/>
      <c r="HT170" s="754"/>
      <c r="HU170" s="754"/>
      <c r="HV170" s="754"/>
      <c r="HW170" s="754"/>
      <c r="HX170" s="754"/>
      <c r="HY170" s="754"/>
      <c r="HZ170" s="754"/>
      <c r="IA170" s="754"/>
      <c r="IB170" s="754"/>
      <c r="IC170" s="754"/>
      <c r="ID170" s="754"/>
      <c r="IE170" s="754"/>
      <c r="IF170" s="754"/>
      <c r="IG170" s="754"/>
      <c r="IH170" s="754"/>
      <c r="II170" s="754"/>
      <c r="IJ170" s="754"/>
      <c r="IK170" s="754"/>
      <c r="IL170" s="754"/>
      <c r="IM170" s="754"/>
      <c r="IN170" s="754"/>
      <c r="IO170" s="754"/>
      <c r="IP170" s="754"/>
      <c r="IQ170" s="754"/>
      <c r="IR170" s="754"/>
      <c r="IS170" s="754"/>
      <c r="IT170" s="754"/>
      <c r="IU170" s="754"/>
      <c r="IV170" s="754"/>
    </row>
    <row r="171" spans="1:256" s="593" customFormat="1" ht="27" customHeight="1">
      <c r="A171" s="761"/>
      <c r="B171" s="582"/>
      <c r="C171" s="583"/>
      <c r="D171" s="585" t="s">
        <v>5941</v>
      </c>
      <c r="E171" s="585"/>
      <c r="F171" s="762">
        <f>(19.5*0.65*(0.9-0.5))*(0.85+0.05)</f>
        <v>4.5630000000000006</v>
      </c>
      <c r="G171" s="879"/>
      <c r="H171" s="587"/>
      <c r="I171" s="588"/>
      <c r="J171" s="1651"/>
      <c r="K171" s="753"/>
      <c r="L171" s="754"/>
      <c r="M171" s="754"/>
      <c r="N171" s="754"/>
      <c r="O171" s="754"/>
      <c r="P171" s="754"/>
      <c r="Q171" s="754"/>
      <c r="R171" s="754"/>
      <c r="S171" s="754"/>
      <c r="T171" s="754"/>
      <c r="U171" s="754"/>
      <c r="V171" s="754"/>
      <c r="W171" s="754"/>
      <c r="X171" s="754"/>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c r="CP171" s="213"/>
      <c r="CQ171" s="213"/>
      <c r="CR171" s="213"/>
      <c r="CS171" s="213"/>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213"/>
      <c r="EV171" s="213"/>
      <c r="EW171" s="213"/>
      <c r="EX171" s="213"/>
      <c r="EY171" s="213"/>
      <c r="EZ171" s="213"/>
      <c r="FA171" s="213"/>
      <c r="FB171" s="213"/>
      <c r="FC171" s="213"/>
      <c r="FD171" s="213"/>
      <c r="FE171" s="213"/>
      <c r="FF171" s="213"/>
      <c r="FG171" s="213"/>
      <c r="FH171" s="213"/>
      <c r="FI171" s="213"/>
      <c r="FJ171" s="213"/>
      <c r="FK171" s="213"/>
      <c r="FL171" s="213"/>
      <c r="FM171" s="213"/>
      <c r="FN171" s="213"/>
      <c r="FO171" s="213"/>
      <c r="FP171" s="213"/>
      <c r="FQ171" s="213"/>
      <c r="FR171" s="213"/>
      <c r="FS171" s="213"/>
      <c r="FT171" s="213"/>
      <c r="FU171" s="213"/>
      <c r="FV171" s="213"/>
      <c r="FW171" s="213"/>
      <c r="FX171" s="213"/>
      <c r="FY171" s="213"/>
      <c r="FZ171" s="213"/>
      <c r="GA171" s="213"/>
      <c r="GB171" s="213"/>
      <c r="GC171" s="213"/>
      <c r="GD171" s="213"/>
      <c r="GE171" s="213"/>
      <c r="GF171" s="213"/>
      <c r="GG171" s="213"/>
      <c r="GH171" s="213"/>
      <c r="GI171" s="213"/>
      <c r="GJ171" s="213"/>
      <c r="GK171" s="213"/>
      <c r="GL171" s="213"/>
      <c r="GM171" s="213"/>
      <c r="GN171" s="213"/>
      <c r="GO171" s="213"/>
      <c r="GP171" s="213"/>
      <c r="GQ171" s="213"/>
      <c r="GR171" s="213"/>
      <c r="GS171" s="213"/>
      <c r="GT171" s="213"/>
      <c r="GU171" s="213"/>
      <c r="GV171" s="213"/>
      <c r="GW171" s="213"/>
      <c r="GX171" s="213"/>
      <c r="GY171" s="213"/>
      <c r="GZ171" s="213"/>
      <c r="HA171" s="213"/>
      <c r="HB171" s="213"/>
      <c r="HC171" s="213"/>
      <c r="HD171" s="213"/>
      <c r="HE171" s="213"/>
      <c r="HF171" s="213"/>
      <c r="HG171" s="213"/>
      <c r="HH171" s="213"/>
      <c r="HI171" s="213"/>
      <c r="HJ171" s="213"/>
      <c r="HK171" s="213"/>
      <c r="HL171" s="213"/>
      <c r="HM171" s="213"/>
      <c r="HN171" s="213"/>
      <c r="HO171" s="213"/>
      <c r="HP171" s="213"/>
      <c r="HQ171" s="213"/>
      <c r="HR171" s="213"/>
      <c r="HS171" s="213"/>
      <c r="HT171" s="213"/>
      <c r="HU171" s="213"/>
      <c r="HV171" s="213"/>
      <c r="HW171" s="213"/>
      <c r="HX171" s="213"/>
      <c r="HY171" s="213"/>
      <c r="HZ171" s="213"/>
      <c r="IA171" s="213"/>
      <c r="IB171" s="213"/>
      <c r="IC171" s="213"/>
      <c r="ID171" s="213"/>
      <c r="IE171" s="213"/>
      <c r="IF171" s="213"/>
      <c r="IG171" s="213"/>
      <c r="IH171" s="213"/>
      <c r="II171" s="213"/>
      <c r="IJ171" s="213"/>
      <c r="IK171" s="213"/>
      <c r="IL171" s="213"/>
      <c r="IM171" s="213"/>
      <c r="IN171" s="213"/>
      <c r="IO171" s="213"/>
      <c r="IP171" s="213"/>
      <c r="IQ171" s="213"/>
      <c r="IR171" s="213"/>
      <c r="IS171" s="213"/>
      <c r="IT171" s="213"/>
      <c r="IU171" s="213"/>
      <c r="IV171" s="213"/>
    </row>
    <row r="172" spans="1:256" s="753" customFormat="1" ht="13.5" customHeight="1">
      <c r="A172" s="745"/>
      <c r="B172" s="746"/>
      <c r="C172" s="1245"/>
      <c r="D172" s="756" t="s">
        <v>185</v>
      </c>
      <c r="E172" s="757"/>
      <c r="F172" s="758">
        <f>SUM(F173)</f>
        <v>0.50700000000000001</v>
      </c>
      <c r="G172" s="374"/>
      <c r="H172" s="759"/>
      <c r="I172" s="751"/>
      <c r="J172" s="1652"/>
      <c r="K172" s="1653"/>
      <c r="L172" s="375"/>
      <c r="M172" s="375"/>
      <c r="N172" s="375"/>
      <c r="O172" s="375"/>
      <c r="P172" s="213"/>
      <c r="Q172" s="213"/>
      <c r="R172" s="213"/>
      <c r="S172" s="213"/>
      <c r="T172" s="213"/>
      <c r="U172" s="213"/>
      <c r="V172" s="213"/>
      <c r="W172" s="213"/>
      <c r="X172" s="213"/>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c r="CB172" s="754"/>
      <c r="CC172" s="754"/>
      <c r="CD172" s="754"/>
      <c r="CE172" s="754"/>
      <c r="CF172" s="754"/>
      <c r="CG172" s="754"/>
      <c r="CH172" s="754"/>
      <c r="CI172" s="754"/>
      <c r="CJ172" s="754"/>
      <c r="CK172" s="754"/>
      <c r="CL172" s="754"/>
      <c r="CM172" s="754"/>
      <c r="CN172" s="754"/>
      <c r="CO172" s="754"/>
      <c r="CP172" s="754"/>
      <c r="CQ172" s="754"/>
      <c r="CR172" s="754"/>
      <c r="CS172" s="754"/>
      <c r="CT172" s="754"/>
      <c r="CU172" s="754"/>
      <c r="CV172" s="754"/>
      <c r="CW172" s="754"/>
      <c r="CX172" s="754"/>
      <c r="CY172" s="754"/>
      <c r="CZ172" s="754"/>
      <c r="DA172" s="754"/>
      <c r="DB172" s="754"/>
      <c r="DC172" s="754"/>
      <c r="DD172" s="754"/>
      <c r="DE172" s="754"/>
      <c r="DF172" s="754"/>
      <c r="DG172" s="754"/>
      <c r="DH172" s="754"/>
      <c r="DI172" s="754"/>
      <c r="DJ172" s="754"/>
      <c r="DK172" s="754"/>
      <c r="DL172" s="754"/>
      <c r="DM172" s="754"/>
      <c r="DN172" s="754"/>
      <c r="DO172" s="754"/>
      <c r="DP172" s="754"/>
      <c r="DQ172" s="754"/>
      <c r="DR172" s="754"/>
      <c r="DS172" s="754"/>
      <c r="DT172" s="754"/>
      <c r="DU172" s="754"/>
      <c r="DV172" s="754"/>
      <c r="DW172" s="754"/>
      <c r="DX172" s="754"/>
      <c r="DY172" s="754"/>
      <c r="DZ172" s="754"/>
      <c r="EA172" s="754"/>
      <c r="EB172" s="754"/>
      <c r="EC172" s="754"/>
      <c r="ED172" s="754"/>
      <c r="EE172" s="754"/>
      <c r="EF172" s="754"/>
      <c r="EG172" s="754"/>
      <c r="EH172" s="754"/>
      <c r="EI172" s="754"/>
      <c r="EJ172" s="754"/>
      <c r="EK172" s="754"/>
      <c r="EL172" s="754"/>
      <c r="EM172" s="754"/>
      <c r="EN172" s="754"/>
      <c r="EO172" s="754"/>
      <c r="EP172" s="754"/>
      <c r="EQ172" s="754"/>
      <c r="ER172" s="754"/>
      <c r="ES172" s="754"/>
      <c r="ET172" s="754"/>
      <c r="EU172" s="754"/>
      <c r="EV172" s="754"/>
      <c r="EW172" s="754"/>
      <c r="EX172" s="754"/>
      <c r="EY172" s="754"/>
      <c r="EZ172" s="754"/>
      <c r="FA172" s="754"/>
      <c r="FB172" s="754"/>
      <c r="FC172" s="754"/>
      <c r="FD172" s="754"/>
      <c r="FE172" s="754"/>
      <c r="FF172" s="754"/>
      <c r="FG172" s="754"/>
      <c r="FH172" s="754"/>
      <c r="FI172" s="754"/>
      <c r="FJ172" s="754"/>
      <c r="FK172" s="754"/>
      <c r="FL172" s="754"/>
      <c r="FM172" s="754"/>
      <c r="FN172" s="754"/>
      <c r="FO172" s="754"/>
      <c r="FP172" s="754"/>
      <c r="FQ172" s="754"/>
      <c r="FR172" s="754"/>
      <c r="FS172" s="754"/>
      <c r="FT172" s="754"/>
      <c r="FU172" s="754"/>
      <c r="FV172" s="754"/>
      <c r="FW172" s="754"/>
      <c r="FX172" s="754"/>
      <c r="FY172" s="754"/>
      <c r="FZ172" s="754"/>
      <c r="GA172" s="754"/>
      <c r="GB172" s="754"/>
      <c r="GC172" s="754"/>
      <c r="GD172" s="754"/>
      <c r="GE172" s="754"/>
      <c r="GF172" s="754"/>
      <c r="GG172" s="754"/>
      <c r="GH172" s="754"/>
      <c r="GI172" s="754"/>
      <c r="GJ172" s="754"/>
      <c r="GK172" s="754"/>
      <c r="GL172" s="754"/>
      <c r="GM172" s="754"/>
      <c r="GN172" s="754"/>
      <c r="GO172" s="754"/>
      <c r="GP172" s="754"/>
      <c r="GQ172" s="754"/>
      <c r="GR172" s="754"/>
      <c r="GS172" s="754"/>
      <c r="GT172" s="754"/>
      <c r="GU172" s="754"/>
      <c r="GV172" s="754"/>
      <c r="GW172" s="754"/>
      <c r="GX172" s="754"/>
      <c r="GY172" s="754"/>
      <c r="GZ172" s="754"/>
      <c r="HA172" s="754"/>
      <c r="HB172" s="754"/>
      <c r="HC172" s="754"/>
      <c r="HD172" s="754"/>
      <c r="HE172" s="754"/>
      <c r="HF172" s="754"/>
      <c r="HG172" s="754"/>
      <c r="HH172" s="754"/>
      <c r="HI172" s="754"/>
      <c r="HJ172" s="754"/>
      <c r="HK172" s="754"/>
      <c r="HL172" s="754"/>
      <c r="HM172" s="754"/>
      <c r="HN172" s="754"/>
      <c r="HO172" s="754"/>
      <c r="HP172" s="754"/>
      <c r="HQ172" s="754"/>
      <c r="HR172" s="754"/>
      <c r="HS172" s="754"/>
      <c r="HT172" s="754"/>
      <c r="HU172" s="754"/>
      <c r="HV172" s="754"/>
      <c r="HW172" s="754"/>
      <c r="HX172" s="754"/>
      <c r="HY172" s="754"/>
      <c r="HZ172" s="754"/>
      <c r="IA172" s="754"/>
      <c r="IB172" s="754"/>
      <c r="IC172" s="754"/>
      <c r="ID172" s="754"/>
      <c r="IE172" s="754"/>
      <c r="IF172" s="754"/>
      <c r="IG172" s="754"/>
      <c r="IH172" s="754"/>
      <c r="II172" s="754"/>
      <c r="IJ172" s="754"/>
      <c r="IK172" s="754"/>
      <c r="IL172" s="754"/>
      <c r="IM172" s="754"/>
      <c r="IN172" s="754"/>
      <c r="IO172" s="754"/>
      <c r="IP172" s="754"/>
      <c r="IQ172" s="754"/>
      <c r="IR172" s="754"/>
      <c r="IS172" s="754"/>
      <c r="IT172" s="754"/>
      <c r="IU172" s="754"/>
      <c r="IV172" s="754"/>
    </row>
    <row r="173" spans="1:256" s="593" customFormat="1" ht="13.5" customHeight="1">
      <c r="A173" s="761"/>
      <c r="B173" s="582"/>
      <c r="C173" s="583"/>
      <c r="D173" s="585" t="s">
        <v>5942</v>
      </c>
      <c r="E173" s="585"/>
      <c r="F173" s="762">
        <f>(19.5*0.65*(0.9-0.5))*(0.1)</f>
        <v>0.50700000000000001</v>
      </c>
      <c r="G173" s="879"/>
      <c r="H173" s="587"/>
      <c r="I173" s="588"/>
      <c r="J173" s="767"/>
      <c r="K173" s="766"/>
      <c r="L173" s="375"/>
      <c r="M173" s="375"/>
      <c r="N173" s="375"/>
      <c r="O173" s="375"/>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c r="GB173" s="213"/>
      <c r="GC173" s="213"/>
      <c r="GD173" s="213"/>
      <c r="GE173" s="213"/>
      <c r="GF173" s="213"/>
      <c r="GG173" s="213"/>
      <c r="GH173" s="213"/>
      <c r="GI173" s="213"/>
      <c r="GJ173" s="213"/>
      <c r="GK173" s="213"/>
      <c r="GL173" s="213"/>
      <c r="GM173" s="213"/>
      <c r="GN173" s="213"/>
      <c r="GO173" s="213"/>
      <c r="GP173" s="213"/>
      <c r="GQ173" s="213"/>
      <c r="GR173" s="213"/>
      <c r="GS173" s="213"/>
      <c r="GT173" s="213"/>
      <c r="GU173" s="213"/>
      <c r="GV173" s="213"/>
      <c r="GW173" s="213"/>
      <c r="GX173" s="213"/>
      <c r="GY173" s="213"/>
      <c r="GZ173" s="213"/>
      <c r="HA173" s="213"/>
      <c r="HB173" s="213"/>
      <c r="HC173" s="213"/>
      <c r="HD173" s="213"/>
      <c r="HE173" s="213"/>
      <c r="HF173" s="213"/>
      <c r="HG173" s="213"/>
      <c r="HH173" s="213"/>
      <c r="HI173" s="213"/>
      <c r="HJ173" s="213"/>
      <c r="HK173" s="213"/>
      <c r="HL173" s="213"/>
      <c r="HM173" s="213"/>
      <c r="HN173" s="213"/>
      <c r="HO173" s="213"/>
      <c r="HP173" s="213"/>
      <c r="HQ173" s="213"/>
      <c r="HR173" s="213"/>
      <c r="HS173" s="213"/>
      <c r="HT173" s="213"/>
      <c r="HU173" s="213"/>
      <c r="HV173" s="213"/>
      <c r="HW173" s="213"/>
      <c r="HX173" s="213"/>
      <c r="HY173" s="213"/>
      <c r="HZ173" s="213"/>
      <c r="IA173" s="213"/>
      <c r="IB173" s="213"/>
      <c r="IC173" s="213"/>
      <c r="ID173" s="213"/>
      <c r="IE173" s="213"/>
      <c r="IF173" s="213"/>
      <c r="IG173" s="213"/>
      <c r="IH173" s="213"/>
      <c r="II173" s="213"/>
      <c r="IJ173" s="213"/>
      <c r="IK173" s="213"/>
      <c r="IL173" s="213"/>
      <c r="IM173" s="213"/>
      <c r="IN173" s="213"/>
      <c r="IO173" s="213"/>
      <c r="IP173" s="213"/>
      <c r="IQ173" s="213"/>
      <c r="IR173" s="213"/>
      <c r="IS173" s="213"/>
      <c r="IT173" s="213"/>
      <c r="IU173" s="213"/>
      <c r="IV173" s="213"/>
    </row>
    <row r="174" spans="1:256" s="1248" customFormat="1" ht="13.5" customHeight="1">
      <c r="A174" s="1518" t="s">
        <v>4076</v>
      </c>
      <c r="B174" s="1245"/>
      <c r="C174" s="777">
        <v>460371121</v>
      </c>
      <c r="D174" s="1255" t="s">
        <v>5880</v>
      </c>
      <c r="E174" s="1259" t="s">
        <v>146</v>
      </c>
      <c r="F174" s="1249">
        <f>F170</f>
        <v>4.5630000000000006</v>
      </c>
      <c r="G174" s="415"/>
      <c r="H174" s="803">
        <f t="shared" ref="H174:H178" si="2">ROUND(F174*G174,2)</f>
        <v>0</v>
      </c>
      <c r="I174" s="781" t="s">
        <v>137</v>
      </c>
      <c r="J174" s="647"/>
      <c r="K174" s="647"/>
      <c r="L174" s="612"/>
      <c r="M174" s="612"/>
      <c r="N174" s="612"/>
      <c r="O174" s="612"/>
      <c r="P174" s="612"/>
      <c r="Q174" s="612"/>
      <c r="R174" s="612"/>
      <c r="S174" s="788"/>
      <c r="V174" s="1646"/>
    </row>
    <row r="175" spans="1:256" s="1248" customFormat="1" ht="13.5" customHeight="1">
      <c r="A175" s="1518" t="s">
        <v>4080</v>
      </c>
      <c r="B175" s="1245"/>
      <c r="C175" s="777">
        <v>460371123</v>
      </c>
      <c r="D175" s="1255" t="s">
        <v>5882</v>
      </c>
      <c r="E175" s="1259" t="s">
        <v>146</v>
      </c>
      <c r="F175" s="1249">
        <f>F172</f>
        <v>0.50700000000000001</v>
      </c>
      <c r="G175" s="415"/>
      <c r="H175" s="803">
        <f t="shared" si="2"/>
        <v>0</v>
      </c>
      <c r="I175" s="781" t="s">
        <v>137</v>
      </c>
      <c r="J175" s="647"/>
      <c r="K175" s="647"/>
      <c r="L175" s="612"/>
      <c r="M175" s="612"/>
      <c r="N175" s="612"/>
      <c r="O175" s="612"/>
      <c r="P175" s="612"/>
      <c r="Q175" s="612"/>
      <c r="R175" s="612"/>
      <c r="S175" s="788"/>
      <c r="V175" s="1646"/>
    </row>
    <row r="176" spans="1:256" s="593" customFormat="1" ht="27" customHeight="1">
      <c r="A176" s="775" t="s">
        <v>5898</v>
      </c>
      <c r="B176" s="776"/>
      <c r="C176" s="777" t="s">
        <v>6327</v>
      </c>
      <c r="D176" s="585" t="s">
        <v>6333</v>
      </c>
      <c r="E176" s="778" t="s">
        <v>146</v>
      </c>
      <c r="F176" s="779">
        <f>F168</f>
        <v>5.07</v>
      </c>
      <c r="G176" s="880"/>
      <c r="H176" s="803">
        <f t="shared" si="2"/>
        <v>0</v>
      </c>
      <c r="I176" s="781" t="s">
        <v>112</v>
      </c>
      <c r="J176" s="782"/>
      <c r="K176" s="783"/>
      <c r="L176" s="621"/>
      <c r="M176" s="621"/>
      <c r="N176" s="621"/>
      <c r="O176" s="621"/>
      <c r="P176" s="621"/>
      <c r="Q176" s="621"/>
      <c r="R176" s="621"/>
      <c r="S176" s="784"/>
      <c r="T176" s="78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c r="CP176" s="213"/>
      <c r="CQ176" s="213"/>
      <c r="CR176" s="213"/>
      <c r="CS176" s="213"/>
      <c r="CT176" s="213"/>
      <c r="CU176" s="213"/>
      <c r="CV176" s="213"/>
      <c r="CW176" s="213"/>
      <c r="CX176" s="213"/>
      <c r="CY176" s="213"/>
      <c r="CZ176" s="213"/>
      <c r="DA176" s="213"/>
      <c r="DB176" s="213"/>
      <c r="DC176" s="213"/>
      <c r="DD176" s="213"/>
      <c r="DE176" s="213"/>
      <c r="DF176" s="213"/>
      <c r="DG176" s="213"/>
      <c r="DH176" s="213"/>
      <c r="DI176" s="213"/>
      <c r="DJ176" s="213"/>
      <c r="DK176" s="213"/>
      <c r="DL176" s="213"/>
      <c r="DM176" s="213"/>
      <c r="DN176" s="213"/>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213"/>
      <c r="EV176" s="213"/>
      <c r="EW176" s="213"/>
      <c r="EX176" s="213"/>
      <c r="EY176" s="213"/>
      <c r="EZ176" s="213"/>
      <c r="FA176" s="213"/>
      <c r="FB176" s="213"/>
      <c r="FC176" s="213"/>
      <c r="FD176" s="213"/>
      <c r="FE176" s="213"/>
      <c r="FF176" s="213"/>
      <c r="FG176" s="213"/>
      <c r="FH176" s="213"/>
      <c r="FI176" s="213"/>
      <c r="FJ176" s="213"/>
      <c r="FK176" s="213"/>
      <c r="FL176" s="213"/>
      <c r="FM176" s="213"/>
      <c r="FN176" s="213"/>
      <c r="FO176" s="213"/>
      <c r="FP176" s="213"/>
      <c r="FQ176" s="213"/>
      <c r="FR176" s="213"/>
      <c r="FS176" s="213"/>
      <c r="FT176" s="213"/>
      <c r="FU176" s="213"/>
      <c r="FV176" s="213"/>
      <c r="FW176" s="213"/>
      <c r="FX176" s="213"/>
      <c r="FY176" s="213"/>
      <c r="FZ176" s="213"/>
      <c r="GA176" s="213"/>
      <c r="GB176" s="213"/>
      <c r="GC176" s="213"/>
      <c r="GD176" s="213"/>
      <c r="GE176" s="213"/>
      <c r="GF176" s="213"/>
      <c r="GG176" s="213"/>
      <c r="GH176" s="213"/>
      <c r="GI176" s="213"/>
      <c r="GJ176" s="213"/>
      <c r="GK176" s="213"/>
      <c r="GL176" s="213"/>
      <c r="GM176" s="213"/>
      <c r="GN176" s="213"/>
      <c r="GO176" s="213"/>
      <c r="GP176" s="213"/>
      <c r="GQ176" s="213"/>
      <c r="GR176" s="213"/>
      <c r="GS176" s="213"/>
      <c r="GT176" s="213"/>
      <c r="GU176" s="213"/>
      <c r="GV176" s="213"/>
      <c r="GW176" s="213"/>
      <c r="GX176" s="213"/>
      <c r="GY176" s="213"/>
      <c r="GZ176" s="213"/>
      <c r="HA176" s="213"/>
      <c r="HB176" s="213"/>
      <c r="HC176" s="213"/>
      <c r="HD176" s="213"/>
      <c r="HE176" s="213"/>
      <c r="HF176" s="213"/>
      <c r="HG176" s="213"/>
      <c r="HH176" s="213"/>
      <c r="HI176" s="213"/>
      <c r="HJ176" s="213"/>
      <c r="HK176" s="213"/>
      <c r="HL176" s="213"/>
      <c r="HM176" s="213"/>
      <c r="HN176" s="213"/>
      <c r="HO176" s="213"/>
      <c r="HP176" s="213"/>
      <c r="HQ176" s="213"/>
      <c r="HR176" s="213"/>
      <c r="HS176" s="213"/>
      <c r="HT176" s="213"/>
      <c r="HU176" s="213"/>
      <c r="HV176" s="213"/>
      <c r="HW176" s="213"/>
      <c r="HX176" s="213"/>
      <c r="HY176" s="213"/>
      <c r="HZ176" s="213"/>
      <c r="IA176" s="213"/>
      <c r="IB176" s="213"/>
      <c r="IC176" s="213"/>
      <c r="ID176" s="213"/>
      <c r="IE176" s="213"/>
      <c r="IF176" s="213"/>
      <c r="IG176" s="213"/>
      <c r="IH176" s="213"/>
      <c r="II176" s="213"/>
      <c r="IJ176" s="213"/>
      <c r="IK176" s="213"/>
      <c r="IL176" s="213"/>
      <c r="IM176" s="213"/>
      <c r="IN176" s="213"/>
      <c r="IO176" s="213"/>
      <c r="IP176" s="213"/>
      <c r="IQ176" s="213"/>
      <c r="IR176" s="213"/>
      <c r="IS176" s="213"/>
      <c r="IT176" s="213"/>
      <c r="IU176" s="213"/>
      <c r="IV176" s="213"/>
    </row>
    <row r="177" spans="1:256" s="593" customFormat="1" ht="27" customHeight="1">
      <c r="A177" s="775" t="s">
        <v>5899</v>
      </c>
      <c r="B177" s="776"/>
      <c r="C177" s="777">
        <v>171251101</v>
      </c>
      <c r="D177" s="585" t="s">
        <v>192</v>
      </c>
      <c r="E177" s="778" t="s">
        <v>146</v>
      </c>
      <c r="F177" s="779">
        <f>F168</f>
        <v>5.07</v>
      </c>
      <c r="G177" s="880"/>
      <c r="H177" s="803">
        <f t="shared" si="2"/>
        <v>0</v>
      </c>
      <c r="I177" s="781" t="s">
        <v>137</v>
      </c>
      <c r="J177" s="647"/>
      <c r="K177" s="647"/>
      <c r="L177" s="612"/>
      <c r="M177" s="612"/>
      <c r="N177" s="612"/>
      <c r="O177" s="612"/>
      <c r="P177" s="637"/>
      <c r="Q177" s="612"/>
      <c r="R177" s="612"/>
      <c r="S177" s="788"/>
      <c r="T177" s="61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c r="CP177" s="213"/>
      <c r="CQ177" s="213"/>
      <c r="CR177" s="213"/>
      <c r="CS177" s="213"/>
      <c r="CT177" s="213"/>
      <c r="CU177" s="213"/>
      <c r="CV177" s="213"/>
      <c r="CW177" s="213"/>
      <c r="CX177" s="213"/>
      <c r="CY177" s="213"/>
      <c r="CZ177" s="213"/>
      <c r="DA177" s="213"/>
      <c r="DB177" s="213"/>
      <c r="DC177" s="213"/>
      <c r="DD177" s="213"/>
      <c r="DE177" s="213"/>
      <c r="DF177" s="213"/>
      <c r="DG177" s="213"/>
      <c r="DH177" s="213"/>
      <c r="DI177" s="213"/>
      <c r="DJ177" s="213"/>
      <c r="DK177" s="213"/>
      <c r="DL177" s="213"/>
      <c r="DM177" s="213"/>
      <c r="DN177" s="213"/>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213"/>
      <c r="EV177" s="213"/>
      <c r="EW177" s="213"/>
      <c r="EX177" s="213"/>
      <c r="EY177" s="213"/>
      <c r="EZ177" s="213"/>
      <c r="FA177" s="213"/>
      <c r="FB177" s="213"/>
      <c r="FC177" s="213"/>
      <c r="FD177" s="213"/>
      <c r="FE177" s="213"/>
      <c r="FF177" s="213"/>
      <c r="FG177" s="213"/>
      <c r="FH177" s="213"/>
      <c r="FI177" s="213"/>
      <c r="FJ177" s="213"/>
      <c r="FK177" s="213"/>
      <c r="FL177" s="213"/>
      <c r="FM177" s="213"/>
      <c r="FN177" s="213"/>
      <c r="FO177" s="213"/>
      <c r="FP177" s="213"/>
      <c r="FQ177" s="213"/>
      <c r="FR177" s="213"/>
      <c r="FS177" s="213"/>
      <c r="FT177" s="213"/>
      <c r="FU177" s="213"/>
      <c r="FV177" s="213"/>
      <c r="FW177" s="213"/>
      <c r="FX177" s="213"/>
      <c r="FY177" s="213"/>
      <c r="FZ177" s="213"/>
      <c r="GA177" s="213"/>
      <c r="GB177" s="213"/>
      <c r="GC177" s="213"/>
      <c r="GD177" s="213"/>
      <c r="GE177" s="213"/>
      <c r="GF177" s="213"/>
      <c r="GG177" s="213"/>
      <c r="GH177" s="213"/>
      <c r="GI177" s="213"/>
      <c r="GJ177" s="213"/>
      <c r="GK177" s="213"/>
      <c r="GL177" s="213"/>
      <c r="GM177" s="213"/>
      <c r="GN177" s="213"/>
      <c r="GO177" s="213"/>
      <c r="GP177" s="213"/>
      <c r="GQ177" s="213"/>
      <c r="GR177" s="213"/>
      <c r="GS177" s="213"/>
      <c r="GT177" s="213"/>
      <c r="GU177" s="213"/>
      <c r="GV177" s="213"/>
      <c r="GW177" s="213"/>
      <c r="GX177" s="213"/>
      <c r="GY177" s="213"/>
      <c r="GZ177" s="213"/>
      <c r="HA177" s="213"/>
      <c r="HB177" s="213"/>
      <c r="HC177" s="213"/>
      <c r="HD177" s="213"/>
      <c r="HE177" s="213"/>
      <c r="HF177" s="213"/>
      <c r="HG177" s="213"/>
      <c r="HH177" s="213"/>
      <c r="HI177" s="213"/>
      <c r="HJ177" s="213"/>
      <c r="HK177" s="213"/>
      <c r="HL177" s="213"/>
      <c r="HM177" s="213"/>
      <c r="HN177" s="213"/>
      <c r="HO177" s="213"/>
      <c r="HP177" s="213"/>
      <c r="HQ177" s="213"/>
      <c r="HR177" s="213"/>
      <c r="HS177" s="213"/>
      <c r="HT177" s="213"/>
      <c r="HU177" s="213"/>
      <c r="HV177" s="213"/>
      <c r="HW177" s="213"/>
      <c r="HX177" s="213"/>
      <c r="HY177" s="213"/>
      <c r="HZ177" s="213"/>
      <c r="IA177" s="213"/>
      <c r="IB177" s="213"/>
      <c r="IC177" s="213"/>
      <c r="ID177" s="213"/>
      <c r="IE177" s="213"/>
      <c r="IF177" s="213"/>
      <c r="IG177" s="213"/>
      <c r="IH177" s="213"/>
      <c r="II177" s="213"/>
      <c r="IJ177" s="213"/>
      <c r="IK177" s="213"/>
      <c r="IL177" s="213"/>
      <c r="IM177" s="213"/>
      <c r="IN177" s="213"/>
      <c r="IO177" s="213"/>
      <c r="IP177" s="213"/>
      <c r="IQ177" s="213"/>
      <c r="IR177" s="213"/>
      <c r="IS177" s="213"/>
      <c r="IT177" s="213"/>
      <c r="IU177" s="213"/>
      <c r="IV177" s="213"/>
    </row>
    <row r="178" spans="1:256" s="593" customFormat="1" ht="27" customHeight="1">
      <c r="A178" s="1654" t="s">
        <v>5900</v>
      </c>
      <c r="B178" s="1655"/>
      <c r="C178" s="777" t="s">
        <v>6328</v>
      </c>
      <c r="D178" s="810" t="s">
        <v>6329</v>
      </c>
      <c r="E178" s="1656" t="s">
        <v>175</v>
      </c>
      <c r="F178" s="802">
        <f>F168*2</f>
        <v>10.14</v>
      </c>
      <c r="G178" s="414"/>
      <c r="H178" s="803">
        <f t="shared" si="2"/>
        <v>0</v>
      </c>
      <c r="I178" s="781" t="s">
        <v>112</v>
      </c>
      <c r="J178" s="647"/>
      <c r="K178" s="647"/>
      <c r="L178" s="612"/>
      <c r="M178" s="612"/>
      <c r="N178" s="612"/>
      <c r="O178" s="612"/>
      <c r="P178" s="612"/>
      <c r="Q178" s="612"/>
      <c r="R178" s="612"/>
      <c r="S178" s="788"/>
      <c r="T178" s="1657"/>
      <c r="U178" s="213"/>
      <c r="V178" s="213"/>
      <c r="W178" s="213"/>
      <c r="X178" s="213"/>
      <c r="Y178" s="1658"/>
      <c r="Z178" s="1658"/>
      <c r="AA178" s="1658"/>
      <c r="AB178" s="1658"/>
      <c r="AC178" s="1658"/>
      <c r="AD178" s="1658"/>
      <c r="AE178" s="1658"/>
      <c r="AF178" s="1658"/>
      <c r="AG178" s="1658"/>
      <c r="AH178" s="1658"/>
      <c r="AI178" s="1658"/>
      <c r="AJ178" s="1658"/>
      <c r="AK178" s="1658"/>
      <c r="AL178" s="1658"/>
      <c r="AM178" s="1658"/>
      <c r="AN178" s="1658"/>
      <c r="AO178" s="1658"/>
      <c r="AP178" s="1658"/>
      <c r="AQ178" s="1658"/>
      <c r="AR178" s="1658"/>
      <c r="AS178" s="1658"/>
      <c r="AT178" s="1658"/>
      <c r="AU178" s="1658"/>
      <c r="AV178" s="1658"/>
      <c r="AW178" s="1658"/>
      <c r="AX178" s="1658"/>
      <c r="AY178" s="1658"/>
      <c r="AZ178" s="1658"/>
      <c r="BA178" s="1658"/>
      <c r="BB178" s="1658"/>
      <c r="BC178" s="1658"/>
      <c r="BD178" s="1658"/>
      <c r="BE178" s="1658"/>
      <c r="BF178" s="1658"/>
      <c r="BG178" s="1658"/>
      <c r="BH178" s="1658"/>
      <c r="BI178" s="1658"/>
      <c r="BJ178" s="1658"/>
      <c r="BK178" s="1658"/>
      <c r="BL178" s="1658"/>
      <c r="BM178" s="1658"/>
      <c r="BN178" s="1658"/>
      <c r="BO178" s="1658"/>
      <c r="BP178" s="1658"/>
      <c r="BQ178" s="1658"/>
      <c r="BR178" s="1658"/>
      <c r="BS178" s="1658"/>
      <c r="BT178" s="1658"/>
      <c r="BU178" s="1658"/>
      <c r="BV178" s="1658"/>
      <c r="BW178" s="1658"/>
      <c r="BX178" s="1658"/>
      <c r="BY178" s="1658"/>
      <c r="BZ178" s="1658"/>
      <c r="CA178" s="1658"/>
      <c r="CB178" s="1658"/>
      <c r="CC178" s="1658"/>
      <c r="CD178" s="1658"/>
      <c r="CE178" s="1658"/>
      <c r="CF178" s="1658"/>
      <c r="CG178" s="1658"/>
      <c r="CH178" s="1658"/>
      <c r="CI178" s="1658"/>
      <c r="CJ178" s="1658"/>
      <c r="CK178" s="1658"/>
      <c r="CL178" s="1658"/>
      <c r="CM178" s="1658"/>
      <c r="CN178" s="1658"/>
      <c r="CO178" s="1658"/>
      <c r="CP178" s="1658"/>
      <c r="CQ178" s="1658"/>
      <c r="CR178" s="1658"/>
      <c r="CS178" s="1658"/>
      <c r="CT178" s="1658"/>
      <c r="CU178" s="1658"/>
      <c r="CV178" s="1658"/>
      <c r="CW178" s="1658"/>
      <c r="CX178" s="1658"/>
      <c r="CY178" s="1658"/>
      <c r="CZ178" s="1658"/>
      <c r="DA178" s="1658"/>
      <c r="DB178" s="1658"/>
      <c r="DC178" s="1658"/>
      <c r="DD178" s="1658"/>
      <c r="DE178" s="1658"/>
      <c r="DF178" s="1658"/>
      <c r="DG178" s="1658"/>
      <c r="DH178" s="1658"/>
      <c r="DI178" s="1658"/>
      <c r="DJ178" s="1658"/>
      <c r="DK178" s="1658"/>
      <c r="DL178" s="1658"/>
      <c r="DM178" s="1658"/>
      <c r="DN178" s="1658"/>
      <c r="DO178" s="1658"/>
      <c r="DP178" s="1658"/>
      <c r="DQ178" s="1658"/>
      <c r="DR178" s="1658"/>
      <c r="DS178" s="1658"/>
      <c r="DT178" s="1658"/>
      <c r="DU178" s="1658"/>
      <c r="DV178" s="1658"/>
      <c r="DW178" s="1658"/>
      <c r="DX178" s="1658"/>
      <c r="DY178" s="1658"/>
      <c r="DZ178" s="1658"/>
      <c r="EA178" s="1658"/>
      <c r="EB178" s="1658"/>
      <c r="EC178" s="1658"/>
      <c r="ED178" s="1658"/>
      <c r="EE178" s="1658"/>
      <c r="EF178" s="1658"/>
      <c r="EG178" s="1658"/>
      <c r="EH178" s="1658"/>
      <c r="EI178" s="1658"/>
      <c r="EJ178" s="1658"/>
      <c r="EK178" s="1658"/>
      <c r="EL178" s="1658"/>
      <c r="EM178" s="1658"/>
      <c r="EN178" s="1658"/>
      <c r="EO178" s="1658"/>
      <c r="EP178" s="1658"/>
      <c r="EQ178" s="1658"/>
      <c r="ER178" s="1658"/>
      <c r="ES178" s="1658"/>
      <c r="ET178" s="1658"/>
      <c r="EU178" s="1658"/>
      <c r="EV178" s="1658"/>
      <c r="EW178" s="1658"/>
      <c r="EX178" s="1658"/>
      <c r="EY178" s="1658"/>
      <c r="EZ178" s="1658"/>
      <c r="FA178" s="1658"/>
      <c r="FB178" s="1658"/>
      <c r="FC178" s="1658"/>
      <c r="FD178" s="1658"/>
      <c r="FE178" s="1658"/>
      <c r="FF178" s="1658"/>
      <c r="FG178" s="1658"/>
      <c r="FH178" s="1658"/>
      <c r="FI178" s="1658"/>
      <c r="FJ178" s="1658"/>
      <c r="FK178" s="1658"/>
      <c r="FL178" s="1658"/>
      <c r="FM178" s="1658"/>
      <c r="FN178" s="1658"/>
      <c r="FO178" s="1658"/>
      <c r="FP178" s="1658"/>
      <c r="FQ178" s="1658"/>
      <c r="FR178" s="1658"/>
      <c r="FS178" s="1658"/>
      <c r="FT178" s="1658"/>
      <c r="FU178" s="1658"/>
      <c r="FV178" s="1658"/>
      <c r="FW178" s="1658"/>
      <c r="FX178" s="1658"/>
      <c r="FY178" s="1658"/>
      <c r="FZ178" s="1658"/>
      <c r="GA178" s="1658"/>
      <c r="GB178" s="1658"/>
      <c r="GC178" s="1658"/>
      <c r="GD178" s="1658"/>
      <c r="GE178" s="1658"/>
      <c r="GF178" s="1658"/>
      <c r="GG178" s="1658"/>
      <c r="GH178" s="1658"/>
      <c r="GI178" s="1658"/>
      <c r="GJ178" s="1658"/>
      <c r="GK178" s="1658"/>
      <c r="GL178" s="1658"/>
      <c r="GM178" s="1658"/>
      <c r="GN178" s="1658"/>
      <c r="GO178" s="1658"/>
      <c r="GP178" s="1658"/>
      <c r="GQ178" s="1658"/>
      <c r="GR178" s="1658"/>
      <c r="GS178" s="1658"/>
      <c r="GT178" s="1658"/>
      <c r="GU178" s="1658"/>
      <c r="GV178" s="1658"/>
      <c r="GW178" s="1658"/>
      <c r="GX178" s="1658"/>
      <c r="GY178" s="1658"/>
      <c r="GZ178" s="1658"/>
      <c r="HA178" s="1658"/>
      <c r="HB178" s="1658"/>
      <c r="HC178" s="1658"/>
      <c r="HD178" s="1658"/>
      <c r="HE178" s="1658"/>
      <c r="HF178" s="1658"/>
      <c r="HG178" s="1658"/>
      <c r="HH178" s="1658"/>
      <c r="HI178" s="1658"/>
      <c r="HJ178" s="1658"/>
      <c r="HK178" s="1658"/>
      <c r="HL178" s="1658"/>
      <c r="HM178" s="1658"/>
      <c r="HN178" s="1658"/>
      <c r="HO178" s="1658"/>
      <c r="HP178" s="1658"/>
      <c r="HQ178" s="1658"/>
      <c r="HR178" s="1658"/>
      <c r="HS178" s="1658"/>
      <c r="HT178" s="1658"/>
      <c r="HU178" s="1658"/>
      <c r="HV178" s="1658"/>
      <c r="HW178" s="1658"/>
      <c r="HX178" s="1658"/>
      <c r="HY178" s="1658"/>
      <c r="HZ178" s="1658"/>
      <c r="IA178" s="1658"/>
      <c r="IB178" s="1658"/>
      <c r="IC178" s="1658"/>
      <c r="ID178" s="1658"/>
      <c r="IE178" s="1658"/>
      <c r="IF178" s="1658"/>
      <c r="IG178" s="1658"/>
      <c r="IH178" s="1658"/>
      <c r="II178" s="1658"/>
      <c r="IJ178" s="1658"/>
      <c r="IK178" s="1658"/>
      <c r="IL178" s="1658"/>
      <c r="IM178" s="1658"/>
      <c r="IN178" s="1658"/>
      <c r="IO178" s="1658"/>
      <c r="IP178" s="1658"/>
      <c r="IQ178" s="1658"/>
      <c r="IR178" s="1658"/>
      <c r="IS178" s="1658"/>
      <c r="IT178" s="1658"/>
      <c r="IU178" s="1658"/>
      <c r="IV178" s="1658"/>
    </row>
    <row r="179" spans="1:256" s="647" customFormat="1" ht="13.5" customHeight="1">
      <c r="A179" s="807"/>
      <c r="B179" s="808"/>
      <c r="C179" s="809"/>
      <c r="D179" s="810" t="s">
        <v>193</v>
      </c>
      <c r="E179" s="811"/>
      <c r="F179" s="812"/>
      <c r="G179" s="881"/>
      <c r="H179" s="813"/>
      <c r="I179" s="814"/>
      <c r="J179" s="815"/>
      <c r="L179" s="612"/>
      <c r="M179" s="612"/>
      <c r="N179" s="612"/>
      <c r="O179" s="612"/>
      <c r="P179" s="612"/>
      <c r="Q179" s="612"/>
      <c r="R179" s="612"/>
      <c r="S179" s="788"/>
      <c r="T179" s="816"/>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c r="AU179" s="816"/>
      <c r="AV179" s="816"/>
      <c r="AW179" s="816"/>
      <c r="AX179" s="816"/>
      <c r="AY179" s="816"/>
      <c r="AZ179" s="816"/>
      <c r="BA179" s="816"/>
      <c r="BB179" s="816"/>
      <c r="BC179" s="816"/>
      <c r="BD179" s="816"/>
      <c r="BE179" s="816"/>
      <c r="BF179" s="816"/>
      <c r="BG179" s="816"/>
      <c r="BH179" s="816"/>
      <c r="BI179" s="816"/>
      <c r="BJ179" s="816"/>
      <c r="BK179" s="816"/>
      <c r="BL179" s="816"/>
      <c r="BM179" s="816"/>
      <c r="BN179" s="816"/>
      <c r="BO179" s="816"/>
      <c r="BP179" s="816"/>
      <c r="BQ179" s="816"/>
      <c r="BR179" s="816"/>
      <c r="BS179" s="816"/>
      <c r="BT179" s="816"/>
      <c r="BU179" s="816"/>
      <c r="BV179" s="816"/>
      <c r="BW179" s="816"/>
      <c r="BX179" s="816"/>
      <c r="BY179" s="816"/>
      <c r="BZ179" s="816"/>
      <c r="CA179" s="816"/>
      <c r="CB179" s="816"/>
      <c r="CC179" s="816"/>
      <c r="CD179" s="816"/>
      <c r="CE179" s="816"/>
      <c r="CF179" s="816"/>
      <c r="CG179" s="816"/>
      <c r="CH179" s="816"/>
      <c r="CI179" s="816"/>
      <c r="CJ179" s="816"/>
      <c r="CK179" s="816"/>
      <c r="CL179" s="816"/>
      <c r="CM179" s="816"/>
      <c r="CN179" s="816"/>
      <c r="CO179" s="816"/>
      <c r="CP179" s="816"/>
      <c r="CQ179" s="816"/>
      <c r="CR179" s="816"/>
      <c r="CS179" s="816"/>
      <c r="CT179" s="816"/>
      <c r="CU179" s="816"/>
      <c r="CV179" s="816"/>
      <c r="CW179" s="816"/>
      <c r="CX179" s="816"/>
      <c r="CY179" s="816"/>
      <c r="CZ179" s="816"/>
      <c r="DA179" s="816"/>
      <c r="DB179" s="816"/>
      <c r="DC179" s="816"/>
      <c r="DD179" s="816"/>
      <c r="DE179" s="816"/>
      <c r="DF179" s="816"/>
      <c r="DG179" s="816"/>
      <c r="DH179" s="816"/>
      <c r="DI179" s="816"/>
      <c r="DJ179" s="816"/>
      <c r="DK179" s="816"/>
      <c r="DL179" s="816"/>
      <c r="DM179" s="816"/>
      <c r="DN179" s="816"/>
      <c r="DO179" s="816"/>
      <c r="DP179" s="816"/>
      <c r="DQ179" s="816"/>
      <c r="DR179" s="816"/>
      <c r="DS179" s="816"/>
      <c r="DT179" s="816"/>
      <c r="DU179" s="816"/>
      <c r="DV179" s="816"/>
      <c r="DW179" s="816"/>
      <c r="DX179" s="816"/>
      <c r="DY179" s="816"/>
      <c r="DZ179" s="816"/>
      <c r="EA179" s="816"/>
      <c r="EB179" s="816"/>
      <c r="EC179" s="816"/>
      <c r="ED179" s="816"/>
      <c r="EE179" s="816"/>
      <c r="EF179" s="816"/>
      <c r="EG179" s="816"/>
      <c r="EH179" s="816"/>
      <c r="EI179" s="816"/>
      <c r="EJ179" s="816"/>
      <c r="EK179" s="816"/>
      <c r="EL179" s="816"/>
      <c r="EM179" s="816"/>
      <c r="EN179" s="816"/>
      <c r="EO179" s="816"/>
      <c r="EP179" s="816"/>
      <c r="EQ179" s="816"/>
      <c r="ER179" s="816"/>
      <c r="ES179" s="816"/>
      <c r="ET179" s="816"/>
      <c r="EU179" s="816"/>
      <c r="EV179" s="816"/>
      <c r="EW179" s="816"/>
      <c r="EX179" s="816"/>
      <c r="EY179" s="816"/>
      <c r="EZ179" s="816"/>
      <c r="FA179" s="816"/>
      <c r="FB179" s="816"/>
      <c r="FC179" s="816"/>
      <c r="FD179" s="816"/>
      <c r="FE179" s="816"/>
      <c r="FF179" s="816"/>
      <c r="FG179" s="816"/>
      <c r="FH179" s="816"/>
      <c r="FI179" s="816"/>
      <c r="FJ179" s="816"/>
      <c r="FK179" s="816"/>
      <c r="FL179" s="816"/>
      <c r="FM179" s="816"/>
      <c r="FN179" s="816"/>
      <c r="FO179" s="816"/>
      <c r="FP179" s="816"/>
      <c r="FQ179" s="816"/>
      <c r="FR179" s="816"/>
      <c r="FS179" s="816"/>
      <c r="FT179" s="816"/>
      <c r="FU179" s="816"/>
      <c r="FV179" s="816"/>
      <c r="FW179" s="816"/>
      <c r="FX179" s="816"/>
      <c r="FY179" s="816"/>
      <c r="FZ179" s="816"/>
      <c r="GA179" s="816"/>
      <c r="GB179" s="816"/>
      <c r="GC179" s="816"/>
      <c r="GD179" s="816"/>
      <c r="GE179" s="816"/>
      <c r="GF179" s="816"/>
      <c r="GG179" s="816"/>
      <c r="GH179" s="816"/>
      <c r="GI179" s="816"/>
      <c r="GJ179" s="816"/>
      <c r="GK179" s="816"/>
      <c r="GL179" s="816"/>
      <c r="GM179" s="816"/>
      <c r="GN179" s="816"/>
      <c r="GO179" s="816"/>
      <c r="GP179" s="816"/>
      <c r="GQ179" s="816"/>
      <c r="GR179" s="816"/>
      <c r="GS179" s="816"/>
      <c r="GT179" s="816"/>
      <c r="GU179" s="816"/>
      <c r="GV179" s="816"/>
      <c r="GW179" s="816"/>
      <c r="GX179" s="816"/>
      <c r="GY179" s="816"/>
      <c r="GZ179" s="816"/>
      <c r="HA179" s="816"/>
      <c r="HB179" s="816"/>
      <c r="HC179" s="816"/>
      <c r="HD179" s="816"/>
      <c r="HE179" s="816"/>
      <c r="HF179" s="816"/>
      <c r="HG179" s="816"/>
      <c r="HH179" s="816"/>
      <c r="HI179" s="816"/>
      <c r="HJ179" s="816"/>
      <c r="HK179" s="816"/>
      <c r="HL179" s="816"/>
      <c r="HM179" s="816"/>
      <c r="HN179" s="816"/>
      <c r="HO179" s="816"/>
      <c r="HP179" s="816"/>
      <c r="HQ179" s="816"/>
      <c r="HR179" s="816"/>
      <c r="HS179" s="816"/>
      <c r="HT179" s="816"/>
      <c r="HU179" s="816"/>
      <c r="HV179" s="816"/>
      <c r="HW179" s="816"/>
      <c r="HX179" s="816"/>
      <c r="HY179" s="816"/>
      <c r="HZ179" s="816"/>
      <c r="IA179" s="816"/>
      <c r="IB179" s="816"/>
      <c r="IC179" s="816"/>
      <c r="ID179" s="816"/>
      <c r="IE179" s="816"/>
      <c r="IF179" s="816"/>
      <c r="IG179" s="816"/>
      <c r="IH179" s="816"/>
      <c r="II179" s="816"/>
      <c r="IJ179" s="816"/>
      <c r="IK179" s="816"/>
      <c r="IL179" s="816"/>
      <c r="IM179" s="816"/>
      <c r="IN179" s="816"/>
      <c r="IO179" s="816"/>
      <c r="IP179" s="816"/>
      <c r="IQ179" s="816"/>
      <c r="IR179" s="816"/>
      <c r="IS179" s="816"/>
      <c r="IT179" s="816"/>
      <c r="IU179" s="816"/>
      <c r="IV179" s="816"/>
    </row>
    <row r="180" spans="1:256" s="1587" customFormat="1" ht="81" customHeight="1">
      <c r="A180" s="1602"/>
      <c r="B180" s="1603"/>
      <c r="C180" s="1604"/>
      <c r="D180" s="584" t="s">
        <v>2404</v>
      </c>
      <c r="E180" s="1605"/>
      <c r="F180" s="1606"/>
      <c r="G180" s="299"/>
      <c r="H180" s="1607"/>
      <c r="I180" s="160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1588"/>
      <c r="BT180" s="1588"/>
      <c r="BU180" s="1588"/>
      <c r="BV180" s="1588"/>
      <c r="BW180" s="1588"/>
      <c r="BX180" s="1588"/>
      <c r="BY180" s="1588"/>
      <c r="BZ180" s="1588"/>
      <c r="CA180" s="1588"/>
      <c r="CB180" s="1588"/>
      <c r="CC180" s="1588"/>
      <c r="CD180" s="1588"/>
      <c r="CE180" s="1588"/>
      <c r="CF180" s="1588"/>
      <c r="CG180" s="1588"/>
      <c r="CH180" s="1588"/>
      <c r="CI180" s="1588"/>
      <c r="CJ180" s="1588"/>
      <c r="CK180" s="1588"/>
      <c r="CL180" s="1588"/>
      <c r="CM180" s="1588"/>
      <c r="CN180" s="1588"/>
      <c r="CO180" s="1588"/>
      <c r="CP180" s="1588"/>
      <c r="CQ180" s="1588"/>
      <c r="CR180" s="1588"/>
      <c r="CS180" s="1588"/>
      <c r="CT180" s="1588"/>
      <c r="CU180" s="1588"/>
      <c r="CV180" s="1588"/>
      <c r="CW180" s="1588"/>
      <c r="CX180" s="1588"/>
      <c r="CY180" s="1588"/>
      <c r="CZ180" s="1588"/>
      <c r="DA180" s="1588"/>
      <c r="DB180" s="1588"/>
      <c r="DC180" s="1588"/>
      <c r="DD180" s="1588"/>
      <c r="DE180" s="1588"/>
      <c r="DF180" s="1588"/>
      <c r="DG180" s="1588"/>
      <c r="DH180" s="1588"/>
      <c r="DI180" s="1588"/>
      <c r="DJ180" s="1588"/>
      <c r="DK180" s="1588"/>
      <c r="DL180" s="1588"/>
      <c r="DM180" s="1588"/>
      <c r="DN180" s="1588"/>
      <c r="DO180" s="1588"/>
      <c r="DP180" s="1588"/>
      <c r="DQ180" s="1588"/>
      <c r="DR180" s="1588"/>
      <c r="DS180" s="1588"/>
      <c r="DT180" s="1588"/>
      <c r="DU180" s="1588"/>
      <c r="DV180" s="1588"/>
      <c r="DW180" s="1588"/>
      <c r="DX180" s="1588"/>
      <c r="DY180" s="1588"/>
      <c r="DZ180" s="1588"/>
      <c r="EA180" s="1588"/>
      <c r="EB180" s="1588"/>
      <c r="EC180" s="1588"/>
      <c r="ED180" s="1588"/>
      <c r="EE180" s="1588"/>
      <c r="EF180" s="1588"/>
      <c r="EG180" s="1588"/>
      <c r="EH180" s="1588"/>
      <c r="EI180" s="1588"/>
      <c r="EJ180" s="1588"/>
      <c r="EK180" s="1588"/>
      <c r="EL180" s="1588"/>
      <c r="EM180" s="1588"/>
      <c r="EN180" s="1588"/>
      <c r="EO180" s="1588"/>
      <c r="EP180" s="1588"/>
      <c r="EQ180" s="1588"/>
      <c r="ER180" s="1588"/>
      <c r="ES180" s="1588"/>
      <c r="ET180" s="1588"/>
      <c r="EU180" s="1588"/>
      <c r="EV180" s="1588"/>
      <c r="EW180" s="1588"/>
      <c r="EX180" s="1588"/>
      <c r="EY180" s="1588"/>
      <c r="EZ180" s="1588"/>
      <c r="FA180" s="1588"/>
      <c r="FB180" s="1588"/>
      <c r="FC180" s="1588"/>
      <c r="FD180" s="1588"/>
      <c r="FE180" s="1588"/>
      <c r="FF180" s="1588"/>
      <c r="FG180" s="1588"/>
      <c r="FH180" s="1588"/>
      <c r="FI180" s="1588"/>
      <c r="FJ180" s="1588"/>
      <c r="FK180" s="1588"/>
      <c r="FL180" s="1588"/>
      <c r="FM180" s="1588"/>
      <c r="FN180" s="1588"/>
      <c r="FO180" s="1588"/>
      <c r="FP180" s="1588"/>
      <c r="FQ180" s="1588"/>
      <c r="FR180" s="1588"/>
      <c r="FS180" s="1588"/>
      <c r="FT180" s="1588"/>
      <c r="FU180" s="1588"/>
      <c r="FV180" s="1588"/>
      <c r="FW180" s="1588"/>
      <c r="FX180" s="1588"/>
      <c r="FY180" s="1588"/>
      <c r="FZ180" s="1588"/>
      <c r="GA180" s="1588"/>
      <c r="GB180" s="1588"/>
      <c r="GC180" s="1588"/>
      <c r="GD180" s="1588"/>
      <c r="GE180" s="1588"/>
      <c r="GF180" s="1588"/>
      <c r="GG180" s="1588"/>
      <c r="GH180" s="1588"/>
      <c r="GI180" s="1588"/>
      <c r="GJ180" s="1588"/>
      <c r="GK180" s="1588"/>
      <c r="GL180" s="1588"/>
      <c r="GM180" s="1588"/>
      <c r="GN180" s="1588"/>
      <c r="GO180" s="1588"/>
      <c r="GP180" s="1588"/>
      <c r="GQ180" s="1588"/>
      <c r="GR180" s="1588"/>
      <c r="GS180" s="1588"/>
      <c r="GT180" s="1588"/>
      <c r="GU180" s="1588"/>
      <c r="GV180" s="1588"/>
      <c r="GW180" s="1588"/>
      <c r="GX180" s="1588"/>
      <c r="GY180" s="1588"/>
      <c r="GZ180" s="1588"/>
      <c r="HA180" s="1588"/>
      <c r="HB180" s="1588"/>
      <c r="HC180" s="1588"/>
      <c r="HD180" s="1588"/>
      <c r="HE180" s="1588"/>
      <c r="HF180" s="1588"/>
      <c r="HG180" s="1588"/>
      <c r="HH180" s="1588"/>
      <c r="HI180" s="1588"/>
      <c r="HJ180" s="1588"/>
      <c r="HK180" s="1588"/>
      <c r="HL180" s="1588"/>
      <c r="HM180" s="1588"/>
      <c r="HN180" s="1588"/>
      <c r="HO180" s="1588"/>
      <c r="HP180" s="1588"/>
      <c r="HQ180" s="1588"/>
      <c r="HR180" s="1588"/>
      <c r="HS180" s="1588"/>
      <c r="HT180" s="1588"/>
      <c r="HU180" s="1588"/>
      <c r="HV180" s="1588"/>
      <c r="HW180" s="1588"/>
      <c r="HX180" s="1588"/>
      <c r="HY180" s="1588"/>
      <c r="HZ180" s="1588"/>
      <c r="IA180" s="1588"/>
      <c r="IB180" s="1588"/>
      <c r="IC180" s="1588"/>
      <c r="ID180" s="1588"/>
      <c r="IE180" s="1588"/>
      <c r="IF180" s="1588"/>
      <c r="IG180" s="1588"/>
      <c r="IH180" s="1588"/>
      <c r="II180" s="1588"/>
      <c r="IJ180" s="1588"/>
      <c r="IK180" s="1588"/>
      <c r="IL180" s="1588"/>
      <c r="IM180" s="1588"/>
      <c r="IN180" s="1588"/>
      <c r="IO180" s="1588"/>
      <c r="IP180" s="1588"/>
      <c r="IQ180" s="1588"/>
      <c r="IR180" s="1588"/>
      <c r="IS180" s="1588"/>
      <c r="IT180" s="1588"/>
      <c r="IU180" s="1588"/>
      <c r="IV180" s="1588"/>
    </row>
    <row r="181" spans="1:256" s="1248" customFormat="1" ht="13.5" customHeight="1">
      <c r="A181" s="1614">
        <v>42</v>
      </c>
      <c r="B181" s="1615">
        <v>946</v>
      </c>
      <c r="C181" s="1615">
        <v>469981111</v>
      </c>
      <c r="D181" s="1615" t="s">
        <v>5901</v>
      </c>
      <c r="E181" s="1615" t="s">
        <v>175</v>
      </c>
      <c r="F181" s="573">
        <f>ROUND(SUM(F182:F184),3)</f>
        <v>10.3</v>
      </c>
      <c r="G181" s="288"/>
      <c r="H181" s="568">
        <f>ROUND(F181*G181,2)</f>
        <v>0</v>
      </c>
      <c r="I181" s="613" t="s">
        <v>137</v>
      </c>
      <c r="J181" s="1612"/>
      <c r="BF181" s="1616"/>
      <c r="BG181" s="1616"/>
      <c r="BH181" s="1616"/>
      <c r="BI181" s="1616"/>
      <c r="BJ181" s="1616"/>
      <c r="BK181" s="1616"/>
      <c r="BL181" s="1616"/>
      <c r="BM181" s="1616"/>
      <c r="BN181" s="1616"/>
      <c r="BO181" s="1616"/>
      <c r="BP181" s="1616"/>
      <c r="BQ181" s="1616"/>
      <c r="BR181" s="1616"/>
      <c r="BS181" s="1616"/>
      <c r="BT181" s="1616"/>
      <c r="BU181" s="1616"/>
      <c r="BV181" s="1616"/>
      <c r="BW181" s="1616"/>
      <c r="BX181" s="1616"/>
      <c r="BY181" s="1616"/>
      <c r="BZ181" s="1616"/>
      <c r="CA181" s="1616"/>
      <c r="CB181" s="1616"/>
      <c r="CC181" s="1616"/>
      <c r="CD181" s="1616"/>
      <c r="CE181" s="1616"/>
      <c r="CF181" s="1616"/>
      <c r="CG181" s="1616"/>
      <c r="CH181" s="1616"/>
      <c r="CI181" s="1616"/>
      <c r="CJ181" s="1616"/>
      <c r="CK181" s="1616"/>
      <c r="CL181" s="1616"/>
      <c r="CM181" s="1616"/>
      <c r="CN181" s="1616"/>
      <c r="CO181" s="1616"/>
      <c r="CP181" s="1616"/>
      <c r="CQ181" s="1616"/>
      <c r="CR181" s="1616"/>
      <c r="CS181" s="1616"/>
      <c r="CT181" s="1616"/>
      <c r="CU181" s="1616"/>
      <c r="CV181" s="1616"/>
      <c r="CW181" s="1616"/>
      <c r="CX181" s="1616"/>
      <c r="CY181" s="1616"/>
      <c r="CZ181" s="1616"/>
      <c r="DA181" s="1616"/>
      <c r="DB181" s="1616"/>
      <c r="DC181" s="1616"/>
      <c r="DD181" s="1616"/>
      <c r="DE181" s="1616"/>
      <c r="DF181" s="1616"/>
      <c r="DG181" s="1616"/>
      <c r="DH181" s="1616"/>
      <c r="DI181" s="1616"/>
      <c r="DJ181" s="1616"/>
      <c r="DK181" s="1616"/>
      <c r="DL181" s="1616"/>
      <c r="DM181" s="1616"/>
      <c r="DN181" s="1616"/>
      <c r="DO181" s="1616"/>
      <c r="DP181" s="1616"/>
      <c r="DQ181" s="1616"/>
      <c r="DR181" s="1616"/>
      <c r="DS181" s="1616"/>
      <c r="DT181" s="1616"/>
      <c r="DU181" s="1616"/>
      <c r="DV181" s="1616"/>
      <c r="DW181" s="1616"/>
      <c r="DX181" s="1616"/>
      <c r="DY181" s="1616"/>
      <c r="DZ181" s="1616"/>
      <c r="EA181" s="1616"/>
      <c r="EB181" s="1616"/>
      <c r="EC181" s="1616"/>
      <c r="ED181" s="1616"/>
      <c r="EE181" s="1616"/>
      <c r="EF181" s="1616"/>
      <c r="EG181" s="1616"/>
      <c r="EH181" s="1616"/>
      <c r="EI181" s="1616"/>
      <c r="EJ181" s="1616"/>
      <c r="EK181" s="1616"/>
      <c r="EL181" s="1616"/>
      <c r="EM181" s="1616"/>
      <c r="EN181" s="1616"/>
      <c r="EO181" s="1616"/>
      <c r="EP181" s="1616"/>
      <c r="EQ181" s="1616"/>
      <c r="ER181" s="1616"/>
      <c r="ES181" s="1616"/>
      <c r="ET181" s="1616"/>
      <c r="EU181" s="1616"/>
      <c r="EV181" s="1616"/>
      <c r="EW181" s="1616"/>
      <c r="EX181" s="1616"/>
      <c r="EY181" s="1616"/>
      <c r="EZ181" s="1616"/>
      <c r="FA181" s="1616"/>
      <c r="FB181" s="1616"/>
      <c r="FC181" s="1616"/>
      <c r="FD181" s="1616"/>
      <c r="FE181" s="1616"/>
      <c r="FF181" s="1616"/>
      <c r="FG181" s="1616"/>
      <c r="FH181" s="1616"/>
      <c r="FI181" s="1616"/>
      <c r="FJ181" s="1616"/>
      <c r="FK181" s="1616"/>
      <c r="FL181" s="1616"/>
      <c r="FM181" s="1616"/>
      <c r="FN181" s="1616"/>
      <c r="FO181" s="1616"/>
      <c r="FP181" s="1616"/>
      <c r="FQ181" s="1616"/>
      <c r="FR181" s="1616"/>
      <c r="FS181" s="1616"/>
      <c r="FT181" s="1616"/>
      <c r="FU181" s="1616"/>
      <c r="FV181" s="1616"/>
      <c r="FW181" s="1616"/>
      <c r="FX181" s="1616"/>
      <c r="FY181" s="1616"/>
      <c r="FZ181" s="1616"/>
      <c r="GA181" s="1616"/>
      <c r="GB181" s="1616"/>
      <c r="GC181" s="1616"/>
      <c r="GD181" s="1616"/>
      <c r="GE181" s="1616"/>
      <c r="GF181" s="1616"/>
      <c r="GG181" s="1616"/>
      <c r="GH181" s="1616"/>
      <c r="GI181" s="1616"/>
      <c r="GJ181" s="1616"/>
      <c r="GK181" s="1616"/>
      <c r="GL181" s="1616"/>
      <c r="GM181" s="1616"/>
      <c r="GN181" s="1616"/>
      <c r="GO181" s="1616"/>
      <c r="GP181" s="1616"/>
      <c r="GQ181" s="1616"/>
      <c r="GR181" s="1616"/>
      <c r="GS181" s="1616"/>
      <c r="GT181" s="1616"/>
      <c r="GU181" s="1616"/>
      <c r="GV181" s="1616"/>
      <c r="GW181" s="1616"/>
      <c r="GX181" s="1616"/>
      <c r="GY181" s="1616"/>
      <c r="GZ181" s="1616"/>
      <c r="HA181" s="1616"/>
      <c r="HB181" s="1616"/>
      <c r="HC181" s="1616"/>
      <c r="HD181" s="1616"/>
      <c r="HE181" s="1616"/>
      <c r="HF181" s="1616"/>
      <c r="HG181" s="1616"/>
      <c r="HH181" s="1616"/>
      <c r="HI181" s="1616"/>
      <c r="HJ181" s="1616"/>
      <c r="HK181" s="1616"/>
      <c r="HL181" s="1616"/>
      <c r="HM181" s="1616"/>
      <c r="HN181" s="1616"/>
      <c r="HO181" s="1616"/>
      <c r="HP181" s="1616"/>
      <c r="HQ181" s="1616"/>
      <c r="HR181" s="1616"/>
      <c r="HS181" s="1616"/>
      <c r="HT181" s="1616"/>
      <c r="HU181" s="1616"/>
      <c r="HV181" s="1616"/>
      <c r="HW181" s="1616"/>
      <c r="HX181" s="1616"/>
      <c r="HY181" s="1616"/>
      <c r="HZ181" s="1616"/>
      <c r="IA181" s="1616"/>
      <c r="IB181" s="1616"/>
      <c r="IC181" s="1616"/>
      <c r="ID181" s="1616"/>
      <c r="IE181" s="1616"/>
      <c r="IF181" s="1616"/>
      <c r="IG181" s="1616"/>
      <c r="IH181" s="1616"/>
      <c r="II181" s="1616"/>
      <c r="IJ181" s="1616"/>
      <c r="IK181" s="1616"/>
      <c r="IL181" s="1616"/>
      <c r="IM181" s="1616"/>
      <c r="IN181" s="1616"/>
      <c r="IO181" s="1616"/>
      <c r="IP181" s="1616"/>
      <c r="IQ181" s="1616"/>
      <c r="IR181" s="1616"/>
      <c r="IS181" s="1616"/>
      <c r="IT181" s="1616"/>
      <c r="IU181" s="1616"/>
    </row>
    <row r="182" spans="1:256" s="604" customFormat="1" ht="13.5" customHeight="1">
      <c r="A182" s="595"/>
      <c r="B182" s="596"/>
      <c r="C182" s="597"/>
      <c r="D182" s="719" t="s">
        <v>5943</v>
      </c>
      <c r="E182" s="599"/>
      <c r="F182" s="600">
        <f>0.04</f>
        <v>0.04</v>
      </c>
      <c r="G182" s="289"/>
      <c r="H182" s="601"/>
      <c r="I182" s="602"/>
      <c r="J182" s="606"/>
      <c r="U182" s="605"/>
      <c r="W182" s="605"/>
    </row>
    <row r="183" spans="1:256" s="604" customFormat="1" ht="13.5" customHeight="1">
      <c r="A183" s="595"/>
      <c r="B183" s="596"/>
      <c r="C183" s="597"/>
      <c r="D183" s="719" t="s">
        <v>5903</v>
      </c>
      <c r="E183" s="599"/>
      <c r="F183" s="600">
        <f>0.001</f>
        <v>1E-3</v>
      </c>
      <c r="G183" s="289"/>
      <c r="H183" s="601"/>
      <c r="I183" s="602"/>
      <c r="J183" s="606"/>
      <c r="U183" s="605"/>
      <c r="W183" s="605"/>
    </row>
    <row r="184" spans="1:256" s="604" customFormat="1" ht="13.5" customHeight="1">
      <c r="A184" s="595"/>
      <c r="B184" s="596"/>
      <c r="C184" s="597"/>
      <c r="D184" s="719" t="s">
        <v>5944</v>
      </c>
      <c r="E184" s="599"/>
      <c r="F184" s="600">
        <f>10.259</f>
        <v>10.259</v>
      </c>
      <c r="G184" s="289"/>
      <c r="H184" s="601"/>
      <c r="I184" s="602"/>
      <c r="J184" s="606"/>
      <c r="U184" s="605"/>
      <c r="W184" s="605"/>
    </row>
    <row r="185" spans="1:256" s="612" customFormat="1" ht="13.5" customHeight="1">
      <c r="A185" s="608">
        <v>43</v>
      </c>
      <c r="B185" s="557" t="s">
        <v>362</v>
      </c>
      <c r="C185" s="557" t="s">
        <v>1802</v>
      </c>
      <c r="D185" s="557" t="s">
        <v>1803</v>
      </c>
      <c r="E185" s="557" t="s">
        <v>69</v>
      </c>
      <c r="F185" s="573">
        <f>ROUND(SUM(F186),3)</f>
        <v>5</v>
      </c>
      <c r="G185" s="288"/>
      <c r="H185" s="568">
        <f>ROUND(F185*G185,2)</f>
        <v>0</v>
      </c>
      <c r="I185" s="613" t="s">
        <v>137</v>
      </c>
      <c r="J185" s="408"/>
    </row>
    <row r="186" spans="1:256" s="604" customFormat="1" ht="27" customHeight="1">
      <c r="A186" s="595"/>
      <c r="B186" s="596"/>
      <c r="C186" s="597"/>
      <c r="D186" s="719" t="s">
        <v>5778</v>
      </c>
      <c r="E186" s="599"/>
      <c r="F186" s="600">
        <v>5</v>
      </c>
      <c r="G186" s="289"/>
      <c r="H186" s="601"/>
      <c r="I186" s="602"/>
      <c r="J186" s="606"/>
      <c r="U186" s="605"/>
      <c r="W186" s="605"/>
    </row>
    <row r="187" spans="1:256" ht="21" customHeight="1">
      <c r="A187" s="1659"/>
      <c r="B187" s="1660"/>
      <c r="C187" s="1660"/>
      <c r="D187" s="1660" t="s">
        <v>0</v>
      </c>
      <c r="E187" s="1660"/>
      <c r="F187" s="1661"/>
      <c r="G187" s="1662"/>
      <c r="H187" s="1662">
        <f>H9</f>
        <v>0</v>
      </c>
      <c r="I187" s="1248"/>
    </row>
    <row r="188" spans="1:256">
      <c r="A188" s="1663"/>
      <c r="B188" s="1663"/>
      <c r="C188" s="1664"/>
      <c r="D188" s="1664"/>
      <c r="E188" s="1665"/>
      <c r="F188" s="1666"/>
      <c r="G188" s="1667"/>
      <c r="H188" s="1667"/>
      <c r="I188" s="1668"/>
    </row>
    <row r="189" spans="1:256" ht="13.5" customHeight="1">
      <c r="A189" s="5243" t="s">
        <v>862</v>
      </c>
      <c r="B189" s="5244"/>
      <c r="C189" s="5245"/>
      <c r="D189" s="1669" t="s">
        <v>5737</v>
      </c>
      <c r="E189" s="1670"/>
      <c r="F189" s="1671"/>
      <c r="G189" s="1672"/>
      <c r="H189" s="1673">
        <f>H187</f>
        <v>0</v>
      </c>
      <c r="I189" s="1674"/>
    </row>
    <row r="190" spans="1:256" ht="13.5" customHeight="1">
      <c r="A190" s="1675"/>
      <c r="B190" s="1676"/>
      <c r="C190" s="1676"/>
      <c r="D190" s="1295"/>
      <c r="E190" s="1677"/>
      <c r="F190" s="1678"/>
      <c r="G190" s="1679"/>
      <c r="H190" s="1297"/>
      <c r="I190" s="1248"/>
    </row>
    <row r="191" spans="1:256" ht="13.5" customHeight="1">
      <c r="A191" s="689" t="s">
        <v>1</v>
      </c>
      <c r="B191" s="689"/>
      <c r="C191" s="689"/>
      <c r="D191" s="689"/>
      <c r="E191" s="689"/>
      <c r="F191" s="689"/>
      <c r="G191" s="689"/>
      <c r="H191" s="689"/>
      <c r="I191" s="689"/>
    </row>
    <row r="192" spans="1:256" ht="27" customHeight="1">
      <c r="A192" s="5159" t="s">
        <v>864</v>
      </c>
      <c r="B192" s="5159"/>
      <c r="C192" s="5159"/>
      <c r="D192" s="5159"/>
      <c r="E192" s="5159"/>
      <c r="F192" s="5159"/>
      <c r="G192" s="5159"/>
      <c r="H192" s="689"/>
      <c r="I192" s="1248"/>
    </row>
    <row r="193" spans="1:9" ht="93.75" customHeight="1">
      <c r="A193" s="5159" t="s">
        <v>104</v>
      </c>
      <c r="B193" s="5159"/>
      <c r="C193" s="5159"/>
      <c r="D193" s="5159"/>
      <c r="E193" s="5159"/>
      <c r="F193" s="5159"/>
      <c r="G193" s="5159"/>
      <c r="H193" s="689"/>
      <c r="I193" s="689"/>
    </row>
    <row r="194" spans="1:9" ht="13.5" customHeight="1">
      <c r="A194" s="5159" t="s">
        <v>105</v>
      </c>
      <c r="B194" s="5159"/>
      <c r="C194" s="5159"/>
      <c r="D194" s="5159"/>
      <c r="E194" s="5159"/>
      <c r="F194" s="5159"/>
      <c r="G194" s="5159"/>
      <c r="H194" s="691"/>
      <c r="I194" s="691"/>
    </row>
    <row r="195" spans="1:9" ht="13.5" customHeight="1">
      <c r="A195" s="5159" t="s">
        <v>106</v>
      </c>
      <c r="B195" s="5159"/>
      <c r="C195" s="5159"/>
      <c r="D195" s="5159"/>
      <c r="E195" s="5159"/>
      <c r="F195" s="5159"/>
      <c r="G195" s="5159"/>
      <c r="H195" s="691"/>
      <c r="I195" s="691"/>
    </row>
    <row r="196" spans="1:9" s="1680" customFormat="1" ht="13.5" customHeight="1">
      <c r="A196" s="5156" t="s">
        <v>5905</v>
      </c>
      <c r="B196" s="5156"/>
      <c r="C196" s="5156"/>
      <c r="D196" s="5156"/>
      <c r="E196" s="5156"/>
      <c r="F196" s="5156"/>
      <c r="G196" s="5156"/>
      <c r="I196" s="1681"/>
    </row>
    <row r="197" spans="1:9" ht="40.5" customHeight="1">
      <c r="A197" s="5156" t="s">
        <v>865</v>
      </c>
      <c r="B197" s="5156"/>
      <c r="C197" s="5156"/>
      <c r="D197" s="5156"/>
      <c r="E197" s="5156"/>
      <c r="F197" s="5156"/>
      <c r="G197" s="5156"/>
      <c r="I197" s="1248"/>
    </row>
    <row r="198" spans="1:9" s="695" customFormat="1" ht="94.5" customHeight="1">
      <c r="A198" s="5156" t="s">
        <v>1013</v>
      </c>
      <c r="B198" s="5156"/>
      <c r="C198" s="5156"/>
      <c r="D198" s="5156"/>
      <c r="E198" s="5156"/>
      <c r="F198" s="5156"/>
      <c r="G198" s="5156"/>
      <c r="H198" s="693"/>
      <c r="I198" s="694"/>
    </row>
  </sheetData>
  <sheetProtection algorithmName="SHA-512" hashValue="+4ehxo5QPVpOD3s1bp6iLxDqjHXZxmDOutFeMSuDu/HdS981SxRbU8WTwQ9F7OVuOMduJoH0cGB1/b+YbnCZ3g==" saltValue="nqcAf5kXMAJG024NnIyXJg==" spinCount="100000" sheet="1" objects="1" scenarios="1"/>
  <mergeCells count="19">
    <mergeCell ref="A198:G198"/>
    <mergeCell ref="A192:G192"/>
    <mergeCell ref="A193:G193"/>
    <mergeCell ref="A194:G194"/>
    <mergeCell ref="A195:G195"/>
    <mergeCell ref="A196:G196"/>
    <mergeCell ref="A197:G197"/>
    <mergeCell ref="A189:C189"/>
    <mergeCell ref="A2:I2"/>
    <mergeCell ref="A3:D3"/>
    <mergeCell ref="A4:D4"/>
    <mergeCell ref="E4:H4"/>
    <mergeCell ref="G75:H75"/>
    <mergeCell ref="G87:H87"/>
    <mergeCell ref="G91:H91"/>
    <mergeCell ref="G113:H113"/>
    <mergeCell ref="G117:H117"/>
    <mergeCell ref="G126:H126"/>
    <mergeCell ref="G134:H13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7093-B433-49EA-811C-AFB9F41F366D}">
  <sheetPr>
    <tabColor rgb="FFFF00FF"/>
    <pageSetUpPr fitToPage="1"/>
  </sheetPr>
  <dimension ref="A1:IV167"/>
  <sheetViews>
    <sheetView zoomScaleNormal="100" workbookViewId="0"/>
  </sheetViews>
  <sheetFormatPr defaultRowHeight="15"/>
  <cols>
    <col min="1" max="1" width="4.83203125" style="1411" customWidth="1"/>
    <col min="2" max="2" width="5" style="1411" customWidth="1"/>
    <col min="3" max="3" width="16.83203125" style="1411" customWidth="1"/>
    <col min="4" max="4" width="75.83203125" style="1411" customWidth="1"/>
    <col min="5" max="5" width="7.83203125" style="1411" customWidth="1"/>
    <col min="6" max="6" width="11.83203125" style="1411" customWidth="1"/>
    <col min="7" max="7" width="13.6640625" style="1411" customWidth="1"/>
    <col min="8" max="8" width="18.33203125" style="1411" customWidth="1"/>
    <col min="9" max="9" width="20.1640625" style="1411" customWidth="1"/>
    <col min="10" max="10" width="19.6640625" style="1411" customWidth="1"/>
    <col min="11" max="15" width="9.33203125" style="1411"/>
    <col min="16" max="16" width="12.83203125" style="1411" customWidth="1"/>
    <col min="17" max="16384" width="9.33203125" style="1411"/>
  </cols>
  <sheetData>
    <row r="1" spans="1:19" ht="18">
      <c r="A1" s="1" t="s">
        <v>2760</v>
      </c>
      <c r="B1" s="28"/>
      <c r="C1" s="28"/>
      <c r="D1" s="111"/>
      <c r="E1" s="111"/>
      <c r="F1" s="111"/>
      <c r="G1" s="111"/>
      <c r="H1" s="111"/>
      <c r="I1" s="111"/>
    </row>
    <row r="2" spans="1:19" ht="13.5" customHeight="1">
      <c r="A2" s="5199" t="s">
        <v>5740</v>
      </c>
      <c r="B2" s="5242"/>
      <c r="C2" s="5242"/>
      <c r="D2" s="5242"/>
      <c r="E2" s="5242"/>
      <c r="F2" s="5242"/>
      <c r="G2" s="5242"/>
      <c r="H2" s="5242"/>
      <c r="I2" s="5242"/>
    </row>
    <row r="3" spans="1:19" ht="13.5" customHeight="1">
      <c r="A3" s="5228" t="s">
        <v>5734</v>
      </c>
      <c r="B3" s="5242"/>
      <c r="C3" s="5242"/>
      <c r="D3" s="5242"/>
      <c r="E3" s="1547"/>
      <c r="F3" s="1548"/>
      <c r="G3" s="1548"/>
      <c r="H3" s="1248"/>
      <c r="I3" s="1248"/>
    </row>
    <row r="4" spans="1:19" s="1550" customFormat="1" ht="13.5" customHeight="1">
      <c r="A4" s="5193" t="s">
        <v>5945</v>
      </c>
      <c r="B4" s="5242"/>
      <c r="C4" s="5242"/>
      <c r="D4" s="5242"/>
      <c r="E4" s="5193"/>
      <c r="F4" s="5242"/>
      <c r="G4" s="5242"/>
      <c r="H4" s="5242"/>
      <c r="I4" s="1549"/>
    </row>
    <row r="5" spans="1:19" ht="13.5" customHeight="1">
      <c r="A5" s="1547" t="s">
        <v>4246</v>
      </c>
      <c r="B5" s="1547"/>
      <c r="C5" s="1547"/>
      <c r="D5" s="1547"/>
      <c r="E5" s="1547"/>
      <c r="F5" s="1548"/>
      <c r="G5" s="1548"/>
      <c r="H5" s="1248"/>
      <c r="I5" s="1248"/>
    </row>
    <row r="6" spans="1:19">
      <c r="A6" s="1548"/>
      <c r="B6" s="1548"/>
      <c r="C6" s="1548"/>
      <c r="D6" s="1551"/>
      <c r="E6" s="1552"/>
      <c r="F6" s="1548"/>
      <c r="G6" s="1548"/>
      <c r="H6" s="1548"/>
      <c r="I6" s="1553"/>
    </row>
    <row r="7" spans="1:19" ht="22.5">
      <c r="A7" s="1554" t="s">
        <v>118</v>
      </c>
      <c r="B7" s="1554" t="s">
        <v>119</v>
      </c>
      <c r="C7" s="1554" t="s">
        <v>120</v>
      </c>
      <c r="D7" s="1554" t="s">
        <v>121</v>
      </c>
      <c r="E7" s="1554" t="s">
        <v>122</v>
      </c>
      <c r="F7" s="1554" t="s">
        <v>123</v>
      </c>
      <c r="G7" s="1554" t="s">
        <v>124</v>
      </c>
      <c r="H7" s="1555" t="s">
        <v>2</v>
      </c>
      <c r="I7" s="1556" t="s">
        <v>46</v>
      </c>
      <c r="J7" s="1557"/>
      <c r="K7" s="1558"/>
      <c r="L7" s="1558"/>
      <c r="M7" s="1558"/>
      <c r="N7" s="1558"/>
      <c r="O7" s="1558"/>
    </row>
    <row r="8" spans="1:19">
      <c r="A8" s="1554" t="s">
        <v>125</v>
      </c>
      <c r="B8" s="1554" t="s">
        <v>126</v>
      </c>
      <c r="C8" s="1554">
        <v>3</v>
      </c>
      <c r="D8" s="1554">
        <v>4</v>
      </c>
      <c r="E8" s="1554">
        <v>5</v>
      </c>
      <c r="F8" s="1554">
        <v>6</v>
      </c>
      <c r="G8" s="1554">
        <v>7</v>
      </c>
      <c r="H8" s="1555">
        <v>8</v>
      </c>
      <c r="I8" s="1556">
        <v>9</v>
      </c>
    </row>
    <row r="9" spans="1:19" s="612" customFormat="1" ht="21" customHeight="1">
      <c r="A9" s="608"/>
      <c r="B9" s="608"/>
      <c r="C9" s="616" t="s">
        <v>846</v>
      </c>
      <c r="D9" s="616" t="s">
        <v>847</v>
      </c>
      <c r="E9" s="616"/>
      <c r="F9" s="909"/>
      <c r="G9" s="828"/>
      <c r="H9" s="828">
        <f>H10+H40+H63</f>
        <v>0</v>
      </c>
      <c r="I9" s="625"/>
    </row>
    <row r="10" spans="1:19" s="612" customFormat="1" ht="13.5" customHeight="1">
      <c r="A10" s="608"/>
      <c r="B10" s="557"/>
      <c r="C10" s="616" t="s">
        <v>5742</v>
      </c>
      <c r="D10" s="616" t="s">
        <v>5743</v>
      </c>
      <c r="E10" s="616"/>
      <c r="F10" s="909"/>
      <c r="G10" s="828"/>
      <c r="H10" s="828">
        <f>SUM(H11:H39)</f>
        <v>0</v>
      </c>
      <c r="I10" s="613"/>
    </row>
    <row r="11" spans="1:19" s="1564" customFormat="1" ht="27" customHeight="1">
      <c r="A11" s="1559">
        <v>1</v>
      </c>
      <c r="B11" s="1560" t="s">
        <v>5744</v>
      </c>
      <c r="C11" s="400">
        <v>210220020</v>
      </c>
      <c r="D11" s="401" t="s">
        <v>5745</v>
      </c>
      <c r="E11" s="1561" t="s">
        <v>141</v>
      </c>
      <c r="F11" s="573">
        <f>ROUND(SUM(F13:F13),3)</f>
        <v>5.8</v>
      </c>
      <c r="G11" s="1413"/>
      <c r="H11" s="568">
        <f>ROUND(F11*G11,2)</f>
        <v>0</v>
      </c>
      <c r="I11" s="613" t="s">
        <v>137</v>
      </c>
      <c r="J11" s="1562"/>
      <c r="K11" s="193"/>
      <c r="L11" s="1563"/>
      <c r="M11" s="1563"/>
      <c r="N11" s="1563"/>
      <c r="O11" s="1563"/>
      <c r="P11" s="1563"/>
      <c r="Q11" s="1563"/>
      <c r="R11" s="1563"/>
      <c r="S11" s="1562"/>
    </row>
    <row r="12" spans="1:19" s="612" customFormat="1" ht="13.5" customHeight="1">
      <c r="A12" s="608"/>
      <c r="B12" s="557"/>
      <c r="C12" s="557"/>
      <c r="D12" s="1255" t="s">
        <v>5746</v>
      </c>
      <c r="E12" s="557"/>
      <c r="F12" s="1249"/>
      <c r="G12" s="288"/>
      <c r="H12" s="609"/>
      <c r="I12" s="613"/>
      <c r="J12" s="1565"/>
    </row>
    <row r="13" spans="1:19" s="612" customFormat="1" ht="27" customHeight="1">
      <c r="A13" s="608"/>
      <c r="B13" s="557"/>
      <c r="C13" s="557"/>
      <c r="D13" s="1255" t="s">
        <v>5946</v>
      </c>
      <c r="E13" s="557"/>
      <c r="F13" s="1249">
        <f>(5.8)</f>
        <v>5.8</v>
      </c>
      <c r="G13" s="288"/>
      <c r="H13" s="609"/>
      <c r="I13" s="613"/>
      <c r="J13" s="1565"/>
    </row>
    <row r="14" spans="1:19" s="612" customFormat="1" ht="13.5" customHeight="1">
      <c r="A14" s="608"/>
      <c r="B14" s="557"/>
      <c r="C14" s="557"/>
      <c r="D14" s="1255" t="s">
        <v>5749</v>
      </c>
      <c r="E14" s="557"/>
      <c r="F14" s="1249"/>
      <c r="G14" s="288"/>
      <c r="H14" s="609"/>
      <c r="I14" s="613"/>
      <c r="J14" s="1565"/>
    </row>
    <row r="15" spans="1:19" s="1567" customFormat="1" ht="13.5" customHeight="1">
      <c r="A15" s="729">
        <v>2</v>
      </c>
      <c r="B15" s="730" t="s">
        <v>5750</v>
      </c>
      <c r="C15" s="730">
        <v>35442062</v>
      </c>
      <c r="D15" s="730" t="s">
        <v>5751</v>
      </c>
      <c r="E15" s="730" t="s">
        <v>853</v>
      </c>
      <c r="F15" s="731">
        <f>ROUND(SUM(F17:F17),3)</f>
        <v>5.7859999999999996</v>
      </c>
      <c r="G15" s="292"/>
      <c r="H15" s="733">
        <f>ROUND(F15*G15,2)</f>
        <v>0</v>
      </c>
      <c r="I15" s="734" t="s">
        <v>137</v>
      </c>
      <c r="J15" s="1566"/>
    </row>
    <row r="16" spans="1:19" s="1567" customFormat="1" ht="13.5" customHeight="1">
      <c r="A16" s="729"/>
      <c r="B16" s="730"/>
      <c r="C16" s="730"/>
      <c r="D16" s="1481" t="s">
        <v>5752</v>
      </c>
      <c r="E16" s="730"/>
      <c r="F16" s="1482"/>
      <c r="G16" s="292"/>
      <c r="H16" s="732"/>
      <c r="I16" s="734"/>
      <c r="J16" s="1566"/>
    </row>
    <row r="17" spans="1:27" s="1567" customFormat="1" ht="13.5" customHeight="1">
      <c r="A17" s="729"/>
      <c r="B17" s="730"/>
      <c r="C17" s="730"/>
      <c r="D17" s="1481" t="s">
        <v>5947</v>
      </c>
      <c r="E17" s="730"/>
      <c r="F17" s="1482">
        <f>((5.8)*0.95)*1.05</f>
        <v>5.7854999999999999</v>
      </c>
      <c r="G17" s="292"/>
      <c r="H17" s="732"/>
      <c r="I17" s="734"/>
      <c r="J17" s="1566"/>
    </row>
    <row r="18" spans="1:27" s="1567" customFormat="1" ht="13.5" customHeight="1">
      <c r="A18" s="729"/>
      <c r="B18" s="730"/>
      <c r="C18" s="730"/>
      <c r="D18" s="1481" t="s">
        <v>5755</v>
      </c>
      <c r="E18" s="730"/>
      <c r="F18" s="1482"/>
      <c r="G18" s="292"/>
      <c r="H18" s="732"/>
      <c r="I18" s="734"/>
      <c r="J18" s="1568"/>
    </row>
    <row r="19" spans="1:27" s="612" customFormat="1" ht="13.5" customHeight="1">
      <c r="A19" s="608">
        <v>3</v>
      </c>
      <c r="B19" s="557" t="s">
        <v>5744</v>
      </c>
      <c r="C19" s="557" t="s">
        <v>5756</v>
      </c>
      <c r="D19" s="557" t="s">
        <v>5757</v>
      </c>
      <c r="E19" s="557" t="s">
        <v>205</v>
      </c>
      <c r="F19" s="573">
        <f>ROUND(SUM(F20),3)</f>
        <v>5</v>
      </c>
      <c r="G19" s="288"/>
      <c r="H19" s="568">
        <f>ROUND(F19*G19,2)</f>
        <v>0</v>
      </c>
      <c r="I19" s="613" t="s">
        <v>111</v>
      </c>
      <c r="J19" s="1565"/>
      <c r="U19" s="1569"/>
    </row>
    <row r="20" spans="1:27" s="1564" customFormat="1" ht="13.5" customHeight="1">
      <c r="A20" s="1570"/>
      <c r="B20" s="1560"/>
      <c r="C20" s="1245"/>
      <c r="D20" s="1255" t="s">
        <v>5758</v>
      </c>
      <c r="E20" s="402"/>
      <c r="F20" s="1249">
        <v>5</v>
      </c>
      <c r="G20" s="1413"/>
      <c r="H20" s="1261"/>
      <c r="I20" s="1280"/>
      <c r="J20" s="1566"/>
      <c r="K20" s="1567"/>
      <c r="L20" s="1571"/>
      <c r="M20" s="1571"/>
      <c r="N20" s="1571"/>
      <c r="O20" s="1571"/>
      <c r="Q20" s="1571"/>
      <c r="R20" s="1571"/>
      <c r="S20" s="1571"/>
      <c r="T20" s="1571"/>
      <c r="U20" s="1572"/>
      <c r="V20" s="193"/>
      <c r="W20" s="193"/>
      <c r="X20" s="193"/>
      <c r="Y20" s="193"/>
      <c r="Z20" s="193"/>
      <c r="AA20" s="193"/>
    </row>
    <row r="21" spans="1:27" s="1564" customFormat="1" ht="13.5" customHeight="1">
      <c r="A21" s="1570"/>
      <c r="B21" s="1560"/>
      <c r="C21" s="1245"/>
      <c r="D21" s="1255" t="s">
        <v>5759</v>
      </c>
      <c r="E21" s="402"/>
      <c r="F21" s="1249"/>
      <c r="G21" s="1413"/>
      <c r="H21" s="1261"/>
      <c r="I21" s="1280"/>
      <c r="J21" s="1566"/>
      <c r="K21" s="1567"/>
      <c r="L21" s="1571"/>
      <c r="M21" s="1571"/>
      <c r="N21" s="1571"/>
      <c r="O21" s="1571"/>
      <c r="P21" s="1571"/>
      <c r="Q21" s="1571"/>
      <c r="R21" s="1571"/>
      <c r="S21" s="1571"/>
      <c r="T21" s="1571"/>
      <c r="U21" s="1572"/>
      <c r="V21" s="193"/>
      <c r="W21" s="193"/>
      <c r="X21" s="193"/>
      <c r="Y21" s="193"/>
      <c r="Z21" s="193"/>
      <c r="AA21" s="193"/>
    </row>
    <row r="22" spans="1:27" s="247" customFormat="1" ht="13.5" customHeight="1">
      <c r="A22" s="1573">
        <v>4</v>
      </c>
      <c r="B22" s="1574">
        <v>921</v>
      </c>
      <c r="C22" s="557" t="s">
        <v>5760</v>
      </c>
      <c r="D22" s="403" t="s">
        <v>3903</v>
      </c>
      <c r="E22" s="1574" t="s">
        <v>49</v>
      </c>
      <c r="F22" s="573">
        <f>ROUND(SUM(F23),3)</f>
        <v>1</v>
      </c>
      <c r="G22" s="404"/>
      <c r="H22" s="568">
        <f>ROUND(F22*G22,2)</f>
        <v>0</v>
      </c>
      <c r="I22" s="613" t="s">
        <v>111</v>
      </c>
      <c r="J22" s="1575"/>
      <c r="L22" s="248"/>
      <c r="S22" s="1576"/>
    </row>
    <row r="23" spans="1:27" s="247" customFormat="1" ht="13.5" customHeight="1">
      <c r="A23" s="1573"/>
      <c r="B23" s="1574"/>
      <c r="C23" s="1574"/>
      <c r="D23" s="1577" t="s">
        <v>3904</v>
      </c>
      <c r="E23" s="1574"/>
      <c r="F23" s="1578">
        <v>1</v>
      </c>
      <c r="G23" s="404"/>
      <c r="H23" s="1253"/>
      <c r="I23" s="1579"/>
      <c r="J23" s="1305"/>
      <c r="R23" s="1569"/>
      <c r="S23" s="1576"/>
    </row>
    <row r="24" spans="1:27" s="247" customFormat="1" ht="40.5" customHeight="1">
      <c r="A24" s="1573"/>
      <c r="B24" s="1574"/>
      <c r="C24" s="1574"/>
      <c r="D24" s="1577" t="s">
        <v>5761</v>
      </c>
      <c r="E24" s="1574"/>
      <c r="F24" s="1578"/>
      <c r="G24" s="404"/>
      <c r="H24" s="1253"/>
      <c r="I24" s="1579"/>
      <c r="J24" s="1580"/>
      <c r="K24" s="1581"/>
      <c r="R24" s="1582"/>
      <c r="S24" s="1576"/>
      <c r="T24" s="406"/>
    </row>
    <row r="25" spans="1:27" s="612" customFormat="1" ht="13.5" customHeight="1">
      <c r="A25" s="1583" t="s">
        <v>129</v>
      </c>
      <c r="B25" s="557" t="s">
        <v>5744</v>
      </c>
      <c r="C25" s="557" t="s">
        <v>5762</v>
      </c>
      <c r="D25" s="1584" t="s">
        <v>5763</v>
      </c>
      <c r="E25" s="557" t="s">
        <v>141</v>
      </c>
      <c r="F25" s="573">
        <f>ROUND(SUM(F27:F27),3)</f>
        <v>2.75</v>
      </c>
      <c r="G25" s="288"/>
      <c r="H25" s="568">
        <f>ROUND(F25*G25,2)</f>
        <v>0</v>
      </c>
      <c r="I25" s="613" t="s">
        <v>111</v>
      </c>
      <c r="J25" s="1580"/>
      <c r="K25" s="1581"/>
      <c r="L25" s="604"/>
      <c r="M25" s="604"/>
      <c r="N25" s="604"/>
      <c r="O25" s="604"/>
      <c r="P25" s="604"/>
      <c r="Q25" s="604"/>
      <c r="R25" s="604"/>
      <c r="S25" s="604"/>
      <c r="T25" s="604"/>
      <c r="V25" s="1585"/>
    </row>
    <row r="26" spans="1:27" s="604" customFormat="1" ht="13.5" customHeight="1">
      <c r="A26" s="1586"/>
      <c r="B26" s="596"/>
      <c r="C26" s="597"/>
      <c r="D26" s="1255" t="s">
        <v>5948</v>
      </c>
      <c r="E26" s="599"/>
      <c r="F26" s="600"/>
      <c r="G26" s="289"/>
      <c r="H26" s="601"/>
      <c r="I26" s="602"/>
      <c r="J26" s="1587"/>
      <c r="L26" s="1588"/>
      <c r="M26" s="1588"/>
      <c r="N26" s="1588"/>
      <c r="O26" s="1588"/>
      <c r="P26" s="1588"/>
      <c r="Q26" s="1588"/>
      <c r="R26" s="1588"/>
      <c r="S26" s="1588"/>
      <c r="T26" s="1588"/>
      <c r="V26" s="1581"/>
    </row>
    <row r="27" spans="1:27" s="604" customFormat="1" ht="27" customHeight="1">
      <c r="A27" s="1586"/>
      <c r="B27" s="596"/>
      <c r="C27" s="597"/>
      <c r="D27" s="1255" t="s">
        <v>5910</v>
      </c>
      <c r="E27" s="599"/>
      <c r="F27" s="600">
        <f>(2.5)*1.1</f>
        <v>2.75</v>
      </c>
      <c r="G27" s="289"/>
      <c r="H27" s="601"/>
      <c r="I27" s="602"/>
      <c r="J27" s="1589"/>
    </row>
    <row r="28" spans="1:27" s="604" customFormat="1" ht="13.5" customHeight="1">
      <c r="A28" s="1586"/>
      <c r="B28" s="596"/>
      <c r="C28" s="597"/>
      <c r="D28" s="1255" t="s">
        <v>5766</v>
      </c>
      <c r="E28" s="599"/>
      <c r="F28" s="600"/>
      <c r="G28" s="289"/>
      <c r="H28" s="601"/>
      <c r="I28" s="602"/>
      <c r="J28" s="1589"/>
    </row>
    <row r="29" spans="1:27" s="604" customFormat="1" ht="40.5" customHeight="1">
      <c r="A29" s="1586"/>
      <c r="B29" s="596"/>
      <c r="C29" s="597"/>
      <c r="D29" s="597" t="s">
        <v>5767</v>
      </c>
      <c r="E29" s="597"/>
      <c r="F29" s="607"/>
      <c r="G29" s="289"/>
      <c r="H29" s="601"/>
      <c r="I29" s="1590"/>
      <c r="J29" s="1580"/>
      <c r="K29" s="1581"/>
      <c r="U29" s="605"/>
      <c r="W29" s="605"/>
    </row>
    <row r="30" spans="1:27" s="612" customFormat="1" ht="13.5" customHeight="1">
      <c r="A30" s="1583" t="s">
        <v>130</v>
      </c>
      <c r="B30" s="557" t="s">
        <v>5744</v>
      </c>
      <c r="C30" s="557" t="s">
        <v>5768</v>
      </c>
      <c r="D30" s="557" t="s">
        <v>5769</v>
      </c>
      <c r="E30" s="557" t="s">
        <v>49</v>
      </c>
      <c r="F30" s="573">
        <f>ROUND(SUM(F32),3)</f>
        <v>1</v>
      </c>
      <c r="G30" s="288"/>
      <c r="H30" s="568">
        <f>ROUND(F30*G30,2)</f>
        <v>0</v>
      </c>
      <c r="I30" s="613" t="s">
        <v>111</v>
      </c>
      <c r="J30" s="1591"/>
      <c r="K30" s="1592"/>
    </row>
    <row r="31" spans="1:27" s="612" customFormat="1" ht="13.5" customHeight="1">
      <c r="A31" s="1583"/>
      <c r="B31" s="557"/>
      <c r="C31" s="557"/>
      <c r="D31" s="1255" t="s">
        <v>5911</v>
      </c>
      <c r="E31" s="557"/>
      <c r="F31" s="615"/>
      <c r="G31" s="288"/>
      <c r="H31" s="609"/>
      <c r="I31" s="613"/>
      <c r="J31" s="1565"/>
    </row>
    <row r="32" spans="1:27" s="612" customFormat="1" ht="27" customHeight="1">
      <c r="A32" s="1583"/>
      <c r="B32" s="557"/>
      <c r="C32" s="557"/>
      <c r="D32" s="1255" t="s">
        <v>5949</v>
      </c>
      <c r="E32" s="557"/>
      <c r="F32" s="1249">
        <v>1</v>
      </c>
      <c r="G32" s="288"/>
      <c r="H32" s="609"/>
      <c r="I32" s="613"/>
      <c r="J32" s="1565"/>
    </row>
    <row r="33" spans="1:256" s="1600" customFormat="1" ht="54" customHeight="1">
      <c r="A33" s="1593"/>
      <c r="B33" s="1594"/>
      <c r="C33" s="1595"/>
      <c r="D33" s="584" t="s">
        <v>5772</v>
      </c>
      <c r="E33" s="1596"/>
      <c r="F33" s="1597"/>
      <c r="G33" s="407"/>
      <c r="H33" s="1598"/>
      <c r="I33" s="1599"/>
      <c r="L33" s="1601"/>
      <c r="M33" s="1601"/>
      <c r="N33" s="1601"/>
      <c r="O33" s="1601"/>
      <c r="P33" s="1601"/>
      <c r="Q33" s="1601"/>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c r="DA33" s="1601"/>
      <c r="DB33" s="1601"/>
      <c r="DC33" s="1601"/>
      <c r="DD33" s="1601"/>
      <c r="DE33" s="1601"/>
      <c r="DF33" s="1601"/>
      <c r="DG33" s="1601"/>
      <c r="DH33" s="1601"/>
      <c r="DI33" s="1601"/>
      <c r="DJ33" s="1601"/>
      <c r="DK33" s="1601"/>
      <c r="DL33" s="1601"/>
      <c r="DM33" s="1601"/>
      <c r="DN33" s="1601"/>
      <c r="DO33" s="1601"/>
      <c r="DP33" s="1601"/>
      <c r="DQ33" s="1601"/>
      <c r="DR33" s="1601"/>
      <c r="DS33" s="1601"/>
      <c r="DT33" s="1601"/>
      <c r="DU33" s="1601"/>
      <c r="DV33" s="1601"/>
      <c r="DW33" s="1601"/>
      <c r="DX33" s="1601"/>
      <c r="DY33" s="1601"/>
      <c r="DZ33" s="1601"/>
      <c r="EA33" s="1601"/>
      <c r="EB33" s="1601"/>
      <c r="EC33" s="1601"/>
      <c r="ED33" s="1601"/>
      <c r="EE33" s="1601"/>
      <c r="EF33" s="1601"/>
      <c r="EG33" s="1601"/>
      <c r="EH33" s="1601"/>
      <c r="EI33" s="1601"/>
      <c r="EJ33" s="1601"/>
      <c r="EK33" s="1601"/>
      <c r="EL33" s="1601"/>
      <c r="EM33" s="1601"/>
      <c r="EN33" s="1601"/>
      <c r="EO33" s="1601"/>
      <c r="EP33" s="1601"/>
      <c r="EQ33" s="1601"/>
      <c r="ER33" s="1601"/>
      <c r="ES33" s="1601"/>
      <c r="ET33" s="1601"/>
      <c r="EU33" s="1601"/>
      <c r="EV33" s="1601"/>
      <c r="EW33" s="1601"/>
      <c r="EX33" s="1601"/>
      <c r="EY33" s="1601"/>
      <c r="EZ33" s="1601"/>
      <c r="FA33" s="1601"/>
      <c r="FB33" s="1601"/>
      <c r="FC33" s="1601"/>
      <c r="FD33" s="1601"/>
      <c r="FE33" s="1601"/>
      <c r="FF33" s="1601"/>
      <c r="FG33" s="1601"/>
      <c r="FH33" s="1601"/>
      <c r="FI33" s="1601"/>
      <c r="FJ33" s="1601"/>
      <c r="FK33" s="1601"/>
      <c r="FL33" s="1601"/>
      <c r="FM33" s="1601"/>
      <c r="FN33" s="1601"/>
      <c r="FO33" s="1601"/>
      <c r="FP33" s="1601"/>
      <c r="FQ33" s="1601"/>
      <c r="FR33" s="1601"/>
      <c r="FS33" s="1601"/>
      <c r="FT33" s="1601"/>
      <c r="FU33" s="1601"/>
      <c r="FV33" s="1601"/>
      <c r="FW33" s="1601"/>
      <c r="FX33" s="1601"/>
      <c r="FY33" s="1601"/>
      <c r="FZ33" s="1601"/>
      <c r="GA33" s="1601"/>
      <c r="GB33" s="1601"/>
      <c r="GC33" s="1601"/>
      <c r="GD33" s="1601"/>
      <c r="GE33" s="1601"/>
      <c r="GF33" s="1601"/>
      <c r="GG33" s="1601"/>
      <c r="GH33" s="1601"/>
      <c r="GI33" s="1601"/>
      <c r="GJ33" s="1601"/>
      <c r="GK33" s="1601"/>
      <c r="GL33" s="1601"/>
      <c r="GM33" s="1601"/>
      <c r="GN33" s="1601"/>
      <c r="GO33" s="1601"/>
      <c r="GP33" s="1601"/>
      <c r="GQ33" s="1601"/>
      <c r="GR33" s="1601"/>
      <c r="GS33" s="1601"/>
      <c r="GT33" s="1601"/>
      <c r="GU33" s="1601"/>
      <c r="GV33" s="1601"/>
      <c r="GW33" s="1601"/>
      <c r="GX33" s="1601"/>
      <c r="GY33" s="1601"/>
      <c r="GZ33" s="1601"/>
      <c r="HA33" s="1601"/>
      <c r="HB33" s="1601"/>
      <c r="HC33" s="1601"/>
      <c r="HD33" s="1601"/>
      <c r="HE33" s="1601"/>
      <c r="HF33" s="1601"/>
      <c r="HG33" s="1601"/>
      <c r="HH33" s="1601"/>
      <c r="HI33" s="1601"/>
      <c r="HJ33" s="1601"/>
      <c r="HK33" s="1601"/>
      <c r="HL33" s="1601"/>
      <c r="HM33" s="1601"/>
      <c r="HN33" s="1601"/>
      <c r="HO33" s="1601"/>
      <c r="HP33" s="1601"/>
      <c r="HQ33" s="1601"/>
      <c r="HR33" s="1601"/>
      <c r="HS33" s="1601"/>
      <c r="HT33" s="1601"/>
      <c r="HU33" s="1601"/>
      <c r="HV33" s="1601"/>
      <c r="HW33" s="1601"/>
      <c r="HX33" s="1601"/>
      <c r="HY33" s="1601"/>
      <c r="HZ33" s="1601"/>
      <c r="IA33" s="1601"/>
      <c r="IB33" s="1601"/>
      <c r="IC33" s="1601"/>
      <c r="ID33" s="1601"/>
      <c r="IE33" s="1601"/>
      <c r="IF33" s="1601"/>
      <c r="IG33" s="1601"/>
      <c r="IH33" s="1601"/>
      <c r="II33" s="1601"/>
      <c r="IJ33" s="1601"/>
      <c r="IK33" s="1601"/>
      <c r="IL33" s="1601"/>
      <c r="IM33" s="1601"/>
      <c r="IN33" s="1601"/>
      <c r="IO33" s="1601"/>
      <c r="IP33" s="1601"/>
      <c r="IQ33" s="1601"/>
      <c r="IR33" s="1601"/>
      <c r="IS33" s="1601"/>
      <c r="IT33" s="1601"/>
      <c r="IU33" s="1601"/>
      <c r="IV33" s="1601"/>
    </row>
    <row r="34" spans="1:256" s="612" customFormat="1" ht="27" customHeight="1">
      <c r="A34" s="608">
        <v>7</v>
      </c>
      <c r="B34" s="557" t="s">
        <v>5744</v>
      </c>
      <c r="C34" s="557" t="s">
        <v>5773</v>
      </c>
      <c r="D34" s="557" t="s">
        <v>5774</v>
      </c>
      <c r="E34" s="557" t="s">
        <v>49</v>
      </c>
      <c r="F34" s="573">
        <f>ROUND(SUM(F36),3)</f>
        <v>1</v>
      </c>
      <c r="G34" s="288"/>
      <c r="H34" s="568">
        <f>ROUND(F34*G34,2)</f>
        <v>0</v>
      </c>
      <c r="I34" s="613" t="s">
        <v>111</v>
      </c>
      <c r="J34" s="1565"/>
    </row>
    <row r="35" spans="1:256" s="612" customFormat="1" ht="27" customHeight="1">
      <c r="A35" s="608"/>
      <c r="B35" s="557"/>
      <c r="C35" s="557"/>
      <c r="D35" s="1255" t="s">
        <v>5775</v>
      </c>
      <c r="E35" s="557"/>
      <c r="F35" s="615"/>
      <c r="G35" s="288"/>
      <c r="H35" s="609"/>
      <c r="I35" s="613"/>
      <c r="J35" s="1565"/>
    </row>
    <row r="36" spans="1:256" s="612" customFormat="1" ht="13.5" customHeight="1">
      <c r="A36" s="608"/>
      <c r="B36" s="557"/>
      <c r="C36" s="557"/>
      <c r="D36" s="1255" t="s">
        <v>5950</v>
      </c>
      <c r="E36" s="557"/>
      <c r="F36" s="1249">
        <v>1</v>
      </c>
      <c r="G36" s="288"/>
      <c r="H36" s="609"/>
      <c r="I36" s="613"/>
      <c r="J36" s="1565"/>
    </row>
    <row r="37" spans="1:256" s="1587" customFormat="1" ht="67.5" customHeight="1">
      <c r="A37" s="1602"/>
      <c r="B37" s="1603"/>
      <c r="C37" s="1604"/>
      <c r="D37" s="584" t="s">
        <v>5777</v>
      </c>
      <c r="E37" s="1605"/>
      <c r="F37" s="1606"/>
      <c r="G37" s="299"/>
      <c r="H37" s="1607"/>
      <c r="I37" s="160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1588"/>
      <c r="AM37" s="1588"/>
      <c r="AN37" s="1588"/>
      <c r="AO37" s="1588"/>
      <c r="AP37" s="1588"/>
      <c r="AQ37" s="1588"/>
      <c r="AR37" s="1588"/>
      <c r="AS37" s="1588"/>
      <c r="AT37" s="1588"/>
      <c r="AU37" s="1588"/>
      <c r="AV37" s="1588"/>
      <c r="AW37" s="1588"/>
      <c r="AX37" s="1588"/>
      <c r="AY37" s="1588"/>
      <c r="AZ37" s="1588"/>
      <c r="BA37" s="1588"/>
      <c r="BB37" s="1588"/>
      <c r="BC37" s="1588"/>
      <c r="BD37" s="1588"/>
      <c r="BE37" s="1588"/>
      <c r="BF37" s="1588"/>
      <c r="BG37" s="1588"/>
      <c r="BH37" s="1588"/>
      <c r="BI37" s="1588"/>
      <c r="BJ37" s="1588"/>
      <c r="BK37" s="1588"/>
      <c r="BL37" s="1588"/>
      <c r="BM37" s="1588"/>
      <c r="BN37" s="1588"/>
      <c r="BO37" s="1588"/>
      <c r="BP37" s="1588"/>
      <c r="BQ37" s="1588"/>
      <c r="BR37" s="1588"/>
      <c r="BS37" s="1588"/>
      <c r="BT37" s="1588"/>
      <c r="BU37" s="1588"/>
      <c r="BV37" s="1588"/>
      <c r="BW37" s="1588"/>
      <c r="BX37" s="1588"/>
      <c r="BY37" s="1588"/>
      <c r="BZ37" s="1588"/>
      <c r="CA37" s="1588"/>
      <c r="CB37" s="1588"/>
      <c r="CC37" s="1588"/>
      <c r="CD37" s="1588"/>
      <c r="CE37" s="1588"/>
      <c r="CF37" s="1588"/>
      <c r="CG37" s="1588"/>
      <c r="CH37" s="1588"/>
      <c r="CI37" s="1588"/>
      <c r="CJ37" s="1588"/>
      <c r="CK37" s="1588"/>
      <c r="CL37" s="1588"/>
      <c r="CM37" s="1588"/>
      <c r="CN37" s="1588"/>
      <c r="CO37" s="1588"/>
      <c r="CP37" s="1588"/>
      <c r="CQ37" s="1588"/>
      <c r="CR37" s="1588"/>
      <c r="CS37" s="1588"/>
      <c r="CT37" s="1588"/>
      <c r="CU37" s="1588"/>
      <c r="CV37" s="1588"/>
      <c r="CW37" s="1588"/>
      <c r="CX37" s="1588"/>
      <c r="CY37" s="1588"/>
      <c r="CZ37" s="1588"/>
      <c r="DA37" s="1588"/>
      <c r="DB37" s="1588"/>
      <c r="DC37" s="1588"/>
      <c r="DD37" s="1588"/>
      <c r="DE37" s="1588"/>
      <c r="DF37" s="1588"/>
      <c r="DG37" s="1588"/>
      <c r="DH37" s="1588"/>
      <c r="DI37" s="1588"/>
      <c r="DJ37" s="1588"/>
      <c r="DK37" s="1588"/>
      <c r="DL37" s="1588"/>
      <c r="DM37" s="1588"/>
      <c r="DN37" s="1588"/>
      <c r="DO37" s="1588"/>
      <c r="DP37" s="1588"/>
      <c r="DQ37" s="1588"/>
      <c r="DR37" s="1588"/>
      <c r="DS37" s="1588"/>
      <c r="DT37" s="1588"/>
      <c r="DU37" s="1588"/>
      <c r="DV37" s="1588"/>
      <c r="DW37" s="1588"/>
      <c r="DX37" s="1588"/>
      <c r="DY37" s="1588"/>
      <c r="DZ37" s="1588"/>
      <c r="EA37" s="1588"/>
      <c r="EB37" s="1588"/>
      <c r="EC37" s="1588"/>
      <c r="ED37" s="1588"/>
      <c r="EE37" s="1588"/>
      <c r="EF37" s="1588"/>
      <c r="EG37" s="1588"/>
      <c r="EH37" s="1588"/>
      <c r="EI37" s="1588"/>
      <c r="EJ37" s="1588"/>
      <c r="EK37" s="1588"/>
      <c r="EL37" s="1588"/>
      <c r="EM37" s="1588"/>
      <c r="EN37" s="1588"/>
      <c r="EO37" s="1588"/>
      <c r="EP37" s="1588"/>
      <c r="EQ37" s="1588"/>
      <c r="ER37" s="1588"/>
      <c r="ES37" s="1588"/>
      <c r="ET37" s="1588"/>
      <c r="EU37" s="1588"/>
      <c r="EV37" s="1588"/>
      <c r="EW37" s="1588"/>
      <c r="EX37" s="1588"/>
      <c r="EY37" s="1588"/>
      <c r="EZ37" s="1588"/>
      <c r="FA37" s="1588"/>
      <c r="FB37" s="1588"/>
      <c r="FC37" s="1588"/>
      <c r="FD37" s="1588"/>
      <c r="FE37" s="1588"/>
      <c r="FF37" s="1588"/>
      <c r="FG37" s="1588"/>
      <c r="FH37" s="1588"/>
      <c r="FI37" s="1588"/>
      <c r="FJ37" s="1588"/>
      <c r="FK37" s="1588"/>
      <c r="FL37" s="1588"/>
      <c r="FM37" s="1588"/>
      <c r="FN37" s="1588"/>
      <c r="FO37" s="1588"/>
      <c r="FP37" s="1588"/>
      <c r="FQ37" s="1588"/>
      <c r="FR37" s="1588"/>
      <c r="FS37" s="1588"/>
      <c r="FT37" s="1588"/>
      <c r="FU37" s="1588"/>
      <c r="FV37" s="1588"/>
      <c r="FW37" s="1588"/>
      <c r="FX37" s="1588"/>
      <c r="FY37" s="1588"/>
      <c r="FZ37" s="1588"/>
      <c r="GA37" s="1588"/>
      <c r="GB37" s="1588"/>
      <c r="GC37" s="1588"/>
      <c r="GD37" s="1588"/>
      <c r="GE37" s="1588"/>
      <c r="GF37" s="1588"/>
      <c r="GG37" s="1588"/>
      <c r="GH37" s="1588"/>
      <c r="GI37" s="1588"/>
      <c r="GJ37" s="1588"/>
      <c r="GK37" s="1588"/>
      <c r="GL37" s="1588"/>
      <c r="GM37" s="1588"/>
      <c r="GN37" s="1588"/>
      <c r="GO37" s="1588"/>
      <c r="GP37" s="1588"/>
      <c r="GQ37" s="1588"/>
      <c r="GR37" s="1588"/>
      <c r="GS37" s="1588"/>
      <c r="GT37" s="1588"/>
      <c r="GU37" s="1588"/>
      <c r="GV37" s="1588"/>
      <c r="GW37" s="1588"/>
      <c r="GX37" s="1588"/>
      <c r="GY37" s="1588"/>
      <c r="GZ37" s="1588"/>
      <c r="HA37" s="1588"/>
      <c r="HB37" s="1588"/>
      <c r="HC37" s="1588"/>
      <c r="HD37" s="1588"/>
      <c r="HE37" s="1588"/>
      <c r="HF37" s="1588"/>
      <c r="HG37" s="1588"/>
      <c r="HH37" s="1588"/>
      <c r="HI37" s="1588"/>
      <c r="HJ37" s="1588"/>
      <c r="HK37" s="1588"/>
      <c r="HL37" s="1588"/>
      <c r="HM37" s="1588"/>
      <c r="HN37" s="1588"/>
      <c r="HO37" s="1588"/>
      <c r="HP37" s="1588"/>
      <c r="HQ37" s="1588"/>
      <c r="HR37" s="1588"/>
      <c r="HS37" s="1588"/>
      <c r="HT37" s="1588"/>
      <c r="HU37" s="1588"/>
      <c r="HV37" s="1588"/>
      <c r="HW37" s="1588"/>
      <c r="HX37" s="1588"/>
      <c r="HY37" s="1588"/>
      <c r="HZ37" s="1588"/>
      <c r="IA37" s="1588"/>
      <c r="IB37" s="1588"/>
      <c r="IC37" s="1588"/>
      <c r="ID37" s="1588"/>
      <c r="IE37" s="1588"/>
      <c r="IF37" s="1588"/>
      <c r="IG37" s="1588"/>
      <c r="IH37" s="1588"/>
      <c r="II37" s="1588"/>
      <c r="IJ37" s="1588"/>
      <c r="IK37" s="1588"/>
      <c r="IL37" s="1588"/>
      <c r="IM37" s="1588"/>
      <c r="IN37" s="1588"/>
      <c r="IO37" s="1588"/>
      <c r="IP37" s="1588"/>
      <c r="IQ37" s="1588"/>
      <c r="IR37" s="1588"/>
      <c r="IS37" s="1588"/>
      <c r="IT37" s="1588"/>
      <c r="IU37" s="1588"/>
      <c r="IV37" s="1588"/>
    </row>
    <row r="38" spans="1:256" s="612" customFormat="1" ht="13.5" customHeight="1">
      <c r="A38" s="608">
        <v>8</v>
      </c>
      <c r="B38" s="557" t="s">
        <v>362</v>
      </c>
      <c r="C38" s="557" t="s">
        <v>1802</v>
      </c>
      <c r="D38" s="557" t="s">
        <v>1803</v>
      </c>
      <c r="E38" s="557" t="s">
        <v>69</v>
      </c>
      <c r="F38" s="573">
        <f>ROUND(SUM(F39),3)</f>
        <v>1</v>
      </c>
      <c r="G38" s="288"/>
      <c r="H38" s="568">
        <f>ROUND(F38*G38,2)</f>
        <v>0</v>
      </c>
      <c r="I38" s="613" t="s">
        <v>137</v>
      </c>
      <c r="J38" s="408"/>
    </row>
    <row r="39" spans="1:256" s="1564" customFormat="1" ht="27" customHeight="1">
      <c r="A39" s="1570"/>
      <c r="B39" s="1560"/>
      <c r="C39" s="1245"/>
      <c r="D39" s="1255" t="s">
        <v>5778</v>
      </c>
      <c r="E39" s="402"/>
      <c r="F39" s="1249">
        <v>1</v>
      </c>
      <c r="G39" s="1413"/>
      <c r="H39" s="1261"/>
      <c r="I39" s="1280"/>
      <c r="J39" s="612"/>
      <c r="K39" s="612"/>
      <c r="L39" s="612"/>
      <c r="M39" s="612"/>
      <c r="N39" s="612"/>
    </row>
    <row r="40" spans="1:256" s="612" customFormat="1" ht="13.5" customHeight="1">
      <c r="A40" s="608"/>
      <c r="B40" s="557"/>
      <c r="C40" s="616" t="s">
        <v>5779</v>
      </c>
      <c r="D40" s="616" t="s">
        <v>5780</v>
      </c>
      <c r="E40" s="616"/>
      <c r="F40" s="909"/>
      <c r="G40" s="303"/>
      <c r="H40" s="828">
        <f>SUM(H41:H62)</f>
        <v>0</v>
      </c>
      <c r="I40" s="613"/>
    </row>
    <row r="41" spans="1:256" s="612" customFormat="1" ht="13.5" customHeight="1">
      <c r="A41" s="1583" t="s">
        <v>311</v>
      </c>
      <c r="B41" s="557">
        <v>922</v>
      </c>
      <c r="C41" s="557" t="s">
        <v>5781</v>
      </c>
      <c r="D41" s="557" t="s">
        <v>5782</v>
      </c>
      <c r="E41" s="557" t="s">
        <v>141</v>
      </c>
      <c r="F41" s="573">
        <f>ROUND(SUM(F43:F44),3)</f>
        <v>9.1300000000000008</v>
      </c>
      <c r="G41" s="288"/>
      <c r="H41" s="568">
        <f>ROUND(F41*G41,2)</f>
        <v>0</v>
      </c>
      <c r="I41" s="613" t="s">
        <v>111</v>
      </c>
      <c r="J41" s="1580"/>
      <c r="K41" s="604"/>
      <c r="L41" s="604"/>
      <c r="M41" s="604"/>
      <c r="N41" s="604"/>
      <c r="O41" s="604"/>
      <c r="P41" s="604"/>
      <c r="Q41" s="1581"/>
      <c r="S41" s="637"/>
    </row>
    <row r="42" spans="1:256" s="604" customFormat="1" ht="27" customHeight="1">
      <c r="A42" s="1586"/>
      <c r="B42" s="596"/>
      <c r="C42" s="597"/>
      <c r="D42" s="1255" t="s">
        <v>5783</v>
      </c>
      <c r="E42" s="599"/>
      <c r="F42" s="1609"/>
      <c r="G42" s="289"/>
      <c r="H42" s="601"/>
      <c r="I42" s="602"/>
      <c r="J42" s="1580"/>
      <c r="K42" s="1581"/>
      <c r="R42" s="1581"/>
      <c r="U42" s="605"/>
      <c r="W42" s="605"/>
    </row>
    <row r="43" spans="1:256" s="604" customFormat="1" ht="13.5" customHeight="1">
      <c r="A43" s="1586"/>
      <c r="B43" s="596"/>
      <c r="C43" s="597"/>
      <c r="D43" s="1255" t="s">
        <v>5951</v>
      </c>
      <c r="E43" s="599"/>
      <c r="F43" s="1609">
        <f>(5.8)*1.1</f>
        <v>6.38</v>
      </c>
      <c r="G43" s="289"/>
      <c r="H43" s="601"/>
      <c r="I43" s="602"/>
      <c r="J43" s="612"/>
      <c r="K43" s="612"/>
      <c r="L43" s="612"/>
      <c r="M43" s="612"/>
      <c r="N43" s="612"/>
      <c r="O43" s="612"/>
      <c r="Q43" s="621"/>
      <c r="R43" s="612"/>
      <c r="S43" s="612"/>
      <c r="U43" s="605"/>
      <c r="W43" s="605"/>
    </row>
    <row r="44" spans="1:256" s="604" customFormat="1" ht="13.5" customHeight="1">
      <c r="A44" s="1586"/>
      <c r="B44" s="596"/>
      <c r="C44" s="597"/>
      <c r="D44" s="1255" t="s">
        <v>5786</v>
      </c>
      <c r="E44" s="599"/>
      <c r="F44" s="1609">
        <f>(2.5)*1.1</f>
        <v>2.75</v>
      </c>
      <c r="G44" s="289"/>
      <c r="H44" s="601"/>
      <c r="I44" s="602"/>
      <c r="J44" s="612"/>
      <c r="K44" s="612"/>
      <c r="L44" s="612"/>
      <c r="M44" s="612"/>
      <c r="N44" s="612"/>
      <c r="O44" s="612"/>
      <c r="Q44" s="621"/>
      <c r="R44" s="612"/>
      <c r="S44" s="612"/>
      <c r="U44" s="605"/>
      <c r="W44" s="605"/>
    </row>
    <row r="45" spans="1:256" s="604" customFormat="1" ht="27" customHeight="1">
      <c r="A45" s="1586"/>
      <c r="B45" s="596"/>
      <c r="C45" s="597"/>
      <c r="D45" s="597" t="s">
        <v>5787</v>
      </c>
      <c r="E45" s="597"/>
      <c r="F45" s="1610"/>
      <c r="G45" s="289"/>
      <c r="H45" s="601"/>
      <c r="I45" s="1590"/>
      <c r="J45" s="606"/>
      <c r="U45" s="605"/>
      <c r="W45" s="605"/>
    </row>
    <row r="46" spans="1:256" s="612" customFormat="1" ht="13.5" customHeight="1">
      <c r="A46" s="608">
        <v>10</v>
      </c>
      <c r="B46" s="557">
        <v>922</v>
      </c>
      <c r="C46" s="557" t="s">
        <v>5788</v>
      </c>
      <c r="D46" s="557" t="s">
        <v>5789</v>
      </c>
      <c r="E46" s="557" t="s">
        <v>205</v>
      </c>
      <c r="F46" s="573">
        <f>ROUND(SUM(F48:F48),3)</f>
        <v>1</v>
      </c>
      <c r="G46" s="288"/>
      <c r="H46" s="568">
        <f>ROUND(F46*G46,2)</f>
        <v>0</v>
      </c>
      <c r="I46" s="613" t="s">
        <v>111</v>
      </c>
      <c r="J46" s="409"/>
    </row>
    <row r="47" spans="1:256" s="604" customFormat="1" ht="13.5" customHeight="1">
      <c r="A47" s="1586"/>
      <c r="B47" s="596"/>
      <c r="C47" s="597"/>
      <c r="D47" s="1255" t="s">
        <v>5790</v>
      </c>
      <c r="E47" s="599"/>
      <c r="F47" s="600"/>
      <c r="G47" s="289"/>
      <c r="H47" s="601"/>
      <c r="I47" s="602"/>
      <c r="J47" s="1580"/>
      <c r="U47" s="605"/>
      <c r="W47" s="605"/>
    </row>
    <row r="48" spans="1:256" s="604" customFormat="1" ht="13.5" customHeight="1">
      <c r="A48" s="1586"/>
      <c r="B48" s="596"/>
      <c r="C48" s="597"/>
      <c r="D48" s="1255" t="s">
        <v>5952</v>
      </c>
      <c r="E48" s="599"/>
      <c r="F48" s="600">
        <v>1</v>
      </c>
      <c r="G48" s="289"/>
      <c r="H48" s="601"/>
      <c r="I48" s="602"/>
      <c r="J48" s="1580"/>
      <c r="U48" s="605"/>
      <c r="W48" s="605"/>
    </row>
    <row r="49" spans="1:256" s="604" customFormat="1" ht="27" customHeight="1">
      <c r="A49" s="1586"/>
      <c r="B49" s="596"/>
      <c r="C49" s="597"/>
      <c r="D49" s="597" t="s">
        <v>5792</v>
      </c>
      <c r="E49" s="597"/>
      <c r="F49" s="607"/>
      <c r="G49" s="289"/>
      <c r="H49" s="601"/>
      <c r="I49" s="602"/>
      <c r="J49" s="606"/>
      <c r="U49" s="605"/>
      <c r="W49" s="605"/>
    </row>
    <row r="50" spans="1:256" s="612" customFormat="1" ht="13.5" customHeight="1">
      <c r="A50" s="1583" t="s">
        <v>882</v>
      </c>
      <c r="B50" s="557" t="s">
        <v>5744</v>
      </c>
      <c r="C50" s="557" t="s">
        <v>5793</v>
      </c>
      <c r="D50" s="557" t="s">
        <v>5916</v>
      </c>
      <c r="E50" s="557" t="s">
        <v>49</v>
      </c>
      <c r="F50" s="573">
        <f>ROUND(SUM(F52),3)</f>
        <v>1</v>
      </c>
      <c r="G50" s="288"/>
      <c r="H50" s="568">
        <f>ROUND(F50*G50,2)</f>
        <v>0</v>
      </c>
      <c r="I50" s="613" t="s">
        <v>111</v>
      </c>
      <c r="J50" s="1591"/>
    </row>
    <row r="51" spans="1:256" s="612" customFormat="1" ht="13.5" customHeight="1">
      <c r="A51" s="1583"/>
      <c r="B51" s="557"/>
      <c r="C51" s="557"/>
      <c r="D51" s="1255" t="s">
        <v>5917</v>
      </c>
      <c r="E51" s="557"/>
      <c r="F51" s="615"/>
      <c r="G51" s="288"/>
      <c r="H51" s="609"/>
      <c r="I51" s="613"/>
      <c r="J51" s="1565"/>
    </row>
    <row r="52" spans="1:256" s="612" customFormat="1" ht="27" customHeight="1">
      <c r="A52" s="1583"/>
      <c r="B52" s="557"/>
      <c r="C52" s="557"/>
      <c r="D52" s="1255" t="s">
        <v>5953</v>
      </c>
      <c r="E52" s="557"/>
      <c r="F52" s="1249">
        <v>1</v>
      </c>
      <c r="G52" s="288"/>
      <c r="H52" s="609"/>
      <c r="I52" s="613"/>
      <c r="J52" s="1592"/>
    </row>
    <row r="53" spans="1:256" s="1600" customFormat="1" ht="54" customHeight="1">
      <c r="A53" s="1593"/>
      <c r="B53" s="1594"/>
      <c r="C53" s="1595"/>
      <c r="D53" s="584" t="s">
        <v>5797</v>
      </c>
      <c r="E53" s="1596"/>
      <c r="F53" s="1597"/>
      <c r="G53" s="407"/>
      <c r="H53" s="1598"/>
      <c r="I53" s="1599"/>
      <c r="J53" s="1592"/>
      <c r="L53" s="1601"/>
      <c r="M53" s="1601"/>
      <c r="N53" s="1601"/>
      <c r="O53" s="1611"/>
      <c r="P53" s="1601"/>
      <c r="Q53" s="1601"/>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c r="BH53" s="1601"/>
      <c r="BI53" s="1601"/>
      <c r="BJ53" s="1601"/>
      <c r="BK53" s="1601"/>
      <c r="BL53" s="1601"/>
      <c r="BM53" s="1601"/>
      <c r="BN53" s="1601"/>
      <c r="BO53" s="1601"/>
      <c r="BP53" s="1601"/>
      <c r="BQ53" s="1601"/>
      <c r="BR53" s="1601"/>
      <c r="BS53" s="1601"/>
      <c r="BT53" s="1601"/>
      <c r="BU53" s="1601"/>
      <c r="BV53" s="1601"/>
      <c r="BW53" s="1601"/>
      <c r="BX53" s="1601"/>
      <c r="BY53" s="1601"/>
      <c r="BZ53" s="1601"/>
      <c r="CA53" s="1601"/>
      <c r="CB53" s="1601"/>
      <c r="CC53" s="1601"/>
      <c r="CD53" s="1601"/>
      <c r="CE53" s="1601"/>
      <c r="CF53" s="1601"/>
      <c r="CG53" s="1601"/>
      <c r="CH53" s="1601"/>
      <c r="CI53" s="1601"/>
      <c r="CJ53" s="1601"/>
      <c r="CK53" s="1601"/>
      <c r="CL53" s="1601"/>
      <c r="CM53" s="1601"/>
      <c r="CN53" s="1601"/>
      <c r="CO53" s="1601"/>
      <c r="CP53" s="1601"/>
      <c r="CQ53" s="1601"/>
      <c r="CR53" s="1601"/>
      <c r="CS53" s="1601"/>
      <c r="CT53" s="1601"/>
      <c r="CU53" s="1601"/>
      <c r="CV53" s="1601"/>
      <c r="CW53" s="1601"/>
      <c r="CX53" s="1601"/>
      <c r="CY53" s="1601"/>
      <c r="CZ53" s="1601"/>
      <c r="DA53" s="1601"/>
      <c r="DB53" s="1601"/>
      <c r="DC53" s="1601"/>
      <c r="DD53" s="1601"/>
      <c r="DE53" s="1601"/>
      <c r="DF53" s="1601"/>
      <c r="DG53" s="1601"/>
      <c r="DH53" s="1601"/>
      <c r="DI53" s="1601"/>
      <c r="DJ53" s="1601"/>
      <c r="DK53" s="1601"/>
      <c r="DL53" s="1601"/>
      <c r="DM53" s="1601"/>
      <c r="DN53" s="1601"/>
      <c r="DO53" s="1601"/>
      <c r="DP53" s="1601"/>
      <c r="DQ53" s="1601"/>
      <c r="DR53" s="1601"/>
      <c r="DS53" s="1601"/>
      <c r="DT53" s="1601"/>
      <c r="DU53" s="1601"/>
      <c r="DV53" s="1601"/>
      <c r="DW53" s="1601"/>
      <c r="DX53" s="1601"/>
      <c r="DY53" s="1601"/>
      <c r="DZ53" s="1601"/>
      <c r="EA53" s="1601"/>
      <c r="EB53" s="1601"/>
      <c r="EC53" s="1601"/>
      <c r="ED53" s="1601"/>
      <c r="EE53" s="1601"/>
      <c r="EF53" s="1601"/>
      <c r="EG53" s="1601"/>
      <c r="EH53" s="1601"/>
      <c r="EI53" s="1601"/>
      <c r="EJ53" s="1601"/>
      <c r="EK53" s="1601"/>
      <c r="EL53" s="1601"/>
      <c r="EM53" s="1601"/>
      <c r="EN53" s="1601"/>
      <c r="EO53" s="1601"/>
      <c r="EP53" s="1601"/>
      <c r="EQ53" s="1601"/>
      <c r="ER53" s="1601"/>
      <c r="ES53" s="1601"/>
      <c r="ET53" s="1601"/>
      <c r="EU53" s="1601"/>
      <c r="EV53" s="1601"/>
      <c r="EW53" s="1601"/>
      <c r="EX53" s="1601"/>
      <c r="EY53" s="1601"/>
      <c r="EZ53" s="1601"/>
      <c r="FA53" s="1601"/>
      <c r="FB53" s="1601"/>
      <c r="FC53" s="1601"/>
      <c r="FD53" s="1601"/>
      <c r="FE53" s="1601"/>
      <c r="FF53" s="1601"/>
      <c r="FG53" s="1601"/>
      <c r="FH53" s="1601"/>
      <c r="FI53" s="1601"/>
      <c r="FJ53" s="1601"/>
      <c r="FK53" s="1601"/>
      <c r="FL53" s="1601"/>
      <c r="FM53" s="1601"/>
      <c r="FN53" s="1601"/>
      <c r="FO53" s="1601"/>
      <c r="FP53" s="1601"/>
      <c r="FQ53" s="1601"/>
      <c r="FR53" s="1601"/>
      <c r="FS53" s="1601"/>
      <c r="FT53" s="1601"/>
      <c r="FU53" s="1601"/>
      <c r="FV53" s="1601"/>
      <c r="FW53" s="1601"/>
      <c r="FX53" s="1601"/>
      <c r="FY53" s="1601"/>
      <c r="FZ53" s="1601"/>
      <c r="GA53" s="1601"/>
      <c r="GB53" s="1601"/>
      <c r="GC53" s="1601"/>
      <c r="GD53" s="1601"/>
      <c r="GE53" s="1601"/>
      <c r="GF53" s="1601"/>
      <c r="GG53" s="1601"/>
      <c r="GH53" s="1601"/>
      <c r="GI53" s="1601"/>
      <c r="GJ53" s="1601"/>
      <c r="GK53" s="1601"/>
      <c r="GL53" s="1601"/>
      <c r="GM53" s="1601"/>
      <c r="GN53" s="1601"/>
      <c r="GO53" s="1601"/>
      <c r="GP53" s="1601"/>
      <c r="GQ53" s="1601"/>
      <c r="GR53" s="1601"/>
      <c r="GS53" s="1601"/>
      <c r="GT53" s="1601"/>
      <c r="GU53" s="1601"/>
      <c r="GV53" s="1601"/>
      <c r="GW53" s="1601"/>
      <c r="GX53" s="1601"/>
      <c r="GY53" s="1601"/>
      <c r="GZ53" s="1601"/>
      <c r="HA53" s="1601"/>
      <c r="HB53" s="1601"/>
      <c r="HC53" s="1601"/>
      <c r="HD53" s="1601"/>
      <c r="HE53" s="1601"/>
      <c r="HF53" s="1601"/>
      <c r="HG53" s="1601"/>
      <c r="HH53" s="1601"/>
      <c r="HI53" s="1601"/>
      <c r="HJ53" s="1601"/>
      <c r="HK53" s="1601"/>
      <c r="HL53" s="1601"/>
      <c r="HM53" s="1601"/>
      <c r="HN53" s="1601"/>
      <c r="HO53" s="1601"/>
      <c r="HP53" s="1601"/>
      <c r="HQ53" s="1601"/>
      <c r="HR53" s="1601"/>
      <c r="HS53" s="1601"/>
      <c r="HT53" s="1601"/>
      <c r="HU53" s="1601"/>
      <c r="HV53" s="1601"/>
      <c r="HW53" s="1601"/>
      <c r="HX53" s="1601"/>
      <c r="HY53" s="1601"/>
      <c r="HZ53" s="1601"/>
      <c r="IA53" s="1601"/>
      <c r="IB53" s="1601"/>
      <c r="IC53" s="1601"/>
      <c r="ID53" s="1601"/>
      <c r="IE53" s="1601"/>
      <c r="IF53" s="1601"/>
      <c r="IG53" s="1601"/>
      <c r="IH53" s="1601"/>
      <c r="II53" s="1601"/>
      <c r="IJ53" s="1601"/>
      <c r="IK53" s="1601"/>
      <c r="IL53" s="1601"/>
      <c r="IM53" s="1601"/>
      <c r="IN53" s="1601"/>
      <c r="IO53" s="1601"/>
      <c r="IP53" s="1601"/>
      <c r="IQ53" s="1601"/>
      <c r="IR53" s="1601"/>
      <c r="IS53" s="1601"/>
      <c r="IT53" s="1601"/>
      <c r="IU53" s="1601"/>
      <c r="IV53" s="1601"/>
    </row>
    <row r="54" spans="1:256" s="612" customFormat="1" ht="13.5" customHeight="1">
      <c r="A54" s="608">
        <v>12</v>
      </c>
      <c r="B54" s="557">
        <v>922</v>
      </c>
      <c r="C54" s="557" t="s">
        <v>5798</v>
      </c>
      <c r="D54" s="557" t="s">
        <v>5799</v>
      </c>
      <c r="E54" s="557" t="s">
        <v>49</v>
      </c>
      <c r="F54" s="573">
        <f>ROUND(SUM(F55),3)</f>
        <v>1</v>
      </c>
      <c r="G54" s="288"/>
      <c r="H54" s="568">
        <f>ROUND(F54*G54,2)</f>
        <v>0</v>
      </c>
      <c r="I54" s="613" t="s">
        <v>111</v>
      </c>
      <c r="J54" s="408"/>
    </row>
    <row r="55" spans="1:256" s="1564" customFormat="1" ht="27" customHeight="1">
      <c r="A55" s="1570"/>
      <c r="B55" s="1560"/>
      <c r="C55" s="1245"/>
      <c r="D55" s="1255" t="s">
        <v>5800</v>
      </c>
      <c r="E55" s="402"/>
      <c r="F55" s="1249">
        <v>1</v>
      </c>
      <c r="G55" s="1413"/>
      <c r="H55" s="1261"/>
      <c r="I55" s="1280"/>
      <c r="K55" s="593"/>
    </row>
    <row r="56" spans="1:256" s="1564" customFormat="1" ht="13.5" customHeight="1">
      <c r="A56" s="1570"/>
      <c r="B56" s="1560"/>
      <c r="C56" s="1245"/>
      <c r="D56" s="1255" t="s">
        <v>278</v>
      </c>
      <c r="E56" s="402"/>
      <c r="F56" s="1249"/>
      <c r="G56" s="1413"/>
      <c r="H56" s="1261"/>
      <c r="I56" s="1280"/>
      <c r="K56" s="593"/>
    </row>
    <row r="57" spans="1:256" s="612" customFormat="1" ht="13.5" customHeight="1">
      <c r="A57" s="608">
        <v>13</v>
      </c>
      <c r="B57" s="557">
        <v>922</v>
      </c>
      <c r="C57" s="557" t="s">
        <v>5801</v>
      </c>
      <c r="D57" s="557" t="s">
        <v>1618</v>
      </c>
      <c r="E57" s="557" t="s">
        <v>205</v>
      </c>
      <c r="F57" s="573">
        <f>ROUND(SUM(F58),3)</f>
        <v>1</v>
      </c>
      <c r="G57" s="288"/>
      <c r="H57" s="568">
        <f>ROUND(F57*G57,2)</f>
        <v>0</v>
      </c>
      <c r="I57" s="613" t="s">
        <v>111</v>
      </c>
      <c r="J57" s="408"/>
    </row>
    <row r="58" spans="1:256" s="1564" customFormat="1" ht="13.5" customHeight="1">
      <c r="A58" s="1570"/>
      <c r="B58" s="1560"/>
      <c r="C58" s="1245"/>
      <c r="D58" s="1255" t="s">
        <v>5802</v>
      </c>
      <c r="E58" s="402"/>
      <c r="F58" s="1249">
        <v>1</v>
      </c>
      <c r="G58" s="1413"/>
      <c r="H58" s="1261"/>
      <c r="I58" s="1280"/>
      <c r="K58" s="593"/>
    </row>
    <row r="59" spans="1:256" s="612" customFormat="1" ht="13.5" customHeight="1">
      <c r="A59" s="608">
        <v>14</v>
      </c>
      <c r="B59" s="557">
        <v>922</v>
      </c>
      <c r="C59" s="557" t="s">
        <v>5803</v>
      </c>
      <c r="D59" s="557" t="s">
        <v>5804</v>
      </c>
      <c r="E59" s="557" t="s">
        <v>49</v>
      </c>
      <c r="F59" s="573">
        <f>ROUND(SUM(F60),3)</f>
        <v>1</v>
      </c>
      <c r="G59" s="288"/>
      <c r="H59" s="568">
        <f>ROUND(F59*G59,2)</f>
        <v>0</v>
      </c>
      <c r="I59" s="613" t="s">
        <v>111</v>
      </c>
      <c r="J59" s="408"/>
    </row>
    <row r="60" spans="1:256" s="1564" customFormat="1" ht="13.5" customHeight="1">
      <c r="A60" s="1570"/>
      <c r="B60" s="1560"/>
      <c r="C60" s="1245"/>
      <c r="D60" s="1255" t="s">
        <v>5805</v>
      </c>
      <c r="E60" s="402"/>
      <c r="F60" s="1249">
        <v>1</v>
      </c>
      <c r="G60" s="1413"/>
      <c r="H60" s="1261"/>
      <c r="I60" s="1280"/>
      <c r="K60" s="593"/>
    </row>
    <row r="61" spans="1:256" s="612" customFormat="1" ht="13.5" customHeight="1">
      <c r="A61" s="608">
        <v>15</v>
      </c>
      <c r="B61" s="557" t="s">
        <v>362</v>
      </c>
      <c r="C61" s="557" t="s">
        <v>1802</v>
      </c>
      <c r="D61" s="557" t="s">
        <v>1803</v>
      </c>
      <c r="E61" s="557" t="s">
        <v>69</v>
      </c>
      <c r="F61" s="573">
        <f>ROUND(SUM(F62),3)</f>
        <v>1</v>
      </c>
      <c r="G61" s="288"/>
      <c r="H61" s="568">
        <f>ROUND(F61*G61,2)</f>
        <v>0</v>
      </c>
      <c r="I61" s="613" t="s">
        <v>137</v>
      </c>
      <c r="J61" s="408"/>
    </row>
    <row r="62" spans="1:256" s="1564" customFormat="1" ht="27" customHeight="1">
      <c r="A62" s="1570"/>
      <c r="B62" s="1560"/>
      <c r="C62" s="1245"/>
      <c r="D62" s="1255" t="s">
        <v>5778</v>
      </c>
      <c r="E62" s="402"/>
      <c r="F62" s="1249">
        <v>1</v>
      </c>
      <c r="G62" s="1413"/>
      <c r="H62" s="1261"/>
      <c r="I62" s="1280"/>
      <c r="J62" s="612"/>
      <c r="K62" s="612"/>
      <c r="L62" s="612"/>
      <c r="M62" s="612"/>
      <c r="N62" s="612"/>
    </row>
    <row r="63" spans="1:256" s="612" customFormat="1" ht="13.5" customHeight="1">
      <c r="A63" s="608"/>
      <c r="B63" s="557"/>
      <c r="C63" s="616" t="s">
        <v>5806</v>
      </c>
      <c r="D63" s="616" t="s">
        <v>5807</v>
      </c>
      <c r="E63" s="616"/>
      <c r="F63" s="617"/>
      <c r="G63" s="303"/>
      <c r="H63" s="828">
        <f>SUM(H64:H121,H126:H132,H136:H142,H148:H155)</f>
        <v>0</v>
      </c>
      <c r="I63" s="613"/>
      <c r="J63" s="1612"/>
      <c r="K63" s="1248"/>
      <c r="L63" s="1613"/>
      <c r="M63" s="1613"/>
      <c r="N63" s="1613"/>
    </row>
    <row r="64" spans="1:256" s="1248" customFormat="1" ht="13.5" customHeight="1">
      <c r="A64" s="1614">
        <v>16</v>
      </c>
      <c r="B64" s="1615" t="s">
        <v>5808</v>
      </c>
      <c r="C64" s="1615">
        <v>460010024</v>
      </c>
      <c r="D64" s="1615" t="s">
        <v>5809</v>
      </c>
      <c r="E64" s="1615" t="s">
        <v>5810</v>
      </c>
      <c r="F64" s="573">
        <f>ROUND(SUM(F65),3)</f>
        <v>6.0000000000000001E-3</v>
      </c>
      <c r="G64" s="288"/>
      <c r="H64" s="568">
        <f>ROUND(F64*G64,2)</f>
        <v>0</v>
      </c>
      <c r="I64" s="613" t="s">
        <v>137</v>
      </c>
      <c r="J64" s="603"/>
      <c r="K64" s="604"/>
      <c r="L64" s="604"/>
      <c r="M64" s="604"/>
      <c r="N64" s="604"/>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616"/>
      <c r="CH64" s="1616"/>
      <c r="CI64" s="1616"/>
      <c r="CJ64" s="1616"/>
      <c r="CK64" s="1616"/>
      <c r="CL64" s="1616"/>
      <c r="CM64" s="1616"/>
      <c r="CN64" s="1616"/>
      <c r="CO64" s="1616"/>
      <c r="CP64" s="1616"/>
      <c r="CQ64" s="1616"/>
      <c r="CR64" s="1616"/>
      <c r="CS64" s="1616"/>
      <c r="CT64" s="1616"/>
      <c r="CU64" s="1616"/>
      <c r="CV64" s="1616"/>
      <c r="CW64" s="1616"/>
      <c r="CX64" s="1616"/>
      <c r="CY64" s="1616"/>
      <c r="CZ64" s="1616"/>
      <c r="DA64" s="1616"/>
      <c r="DB64" s="1616"/>
      <c r="DC64" s="1616"/>
      <c r="DD64" s="1616"/>
      <c r="DE64" s="1616"/>
      <c r="DF64" s="1616"/>
      <c r="DG64" s="1616"/>
      <c r="DH64" s="1616"/>
      <c r="DI64" s="1616"/>
      <c r="DJ64" s="1616"/>
      <c r="DK64" s="1616"/>
      <c r="DL64" s="1616"/>
      <c r="DM64" s="1616"/>
      <c r="DN64" s="1616"/>
      <c r="DO64" s="1616"/>
      <c r="DP64" s="1616"/>
      <c r="DQ64" s="1616"/>
      <c r="DR64" s="1616"/>
      <c r="DS64" s="1616"/>
      <c r="DT64" s="1616"/>
      <c r="DU64" s="1616"/>
      <c r="DV64" s="1616"/>
      <c r="DW64" s="1616"/>
      <c r="DX64" s="1616"/>
      <c r="DY64" s="1616"/>
      <c r="DZ64" s="1616"/>
      <c r="EA64" s="1616"/>
      <c r="EB64" s="1616"/>
      <c r="EC64" s="1616"/>
      <c r="ED64" s="1616"/>
      <c r="EE64" s="1616"/>
      <c r="EF64" s="1616"/>
      <c r="EG64" s="1616"/>
      <c r="EH64" s="1616"/>
      <c r="EI64" s="1616"/>
      <c r="EJ64" s="1616"/>
      <c r="EK64" s="1616"/>
      <c r="EL64" s="1616"/>
      <c r="EM64" s="1616"/>
      <c r="EN64" s="1616"/>
      <c r="EO64" s="1616"/>
      <c r="EP64" s="1616"/>
      <c r="EQ64" s="1616"/>
      <c r="ER64" s="1616"/>
      <c r="ES64" s="1616"/>
      <c r="ET64" s="1616"/>
      <c r="EU64" s="1616"/>
      <c r="EV64" s="1616"/>
      <c r="EW64" s="1616"/>
      <c r="EX64" s="1616"/>
      <c r="EY64" s="1616"/>
      <c r="EZ64" s="1616"/>
      <c r="FA64" s="1616"/>
      <c r="FB64" s="1616"/>
      <c r="FC64" s="1616"/>
      <c r="FD64" s="1616"/>
      <c r="FE64" s="1616"/>
      <c r="FF64" s="1616"/>
      <c r="FG64" s="1616"/>
      <c r="FH64" s="1616"/>
      <c r="FI64" s="1616"/>
      <c r="FJ64" s="1616"/>
      <c r="FK64" s="1616"/>
      <c r="FL64" s="1616"/>
      <c r="FM64" s="1616"/>
      <c r="FN64" s="1616"/>
      <c r="FO64" s="1616"/>
      <c r="FP64" s="1616"/>
      <c r="FQ64" s="1616"/>
      <c r="FR64" s="1616"/>
      <c r="FS64" s="1616"/>
      <c r="FT64" s="1616"/>
      <c r="FU64" s="1616"/>
      <c r="FV64" s="1616"/>
      <c r="FW64" s="1616"/>
      <c r="FX64" s="1616"/>
      <c r="FY64" s="1616"/>
      <c r="FZ64" s="1616"/>
      <c r="GA64" s="1616"/>
      <c r="GB64" s="1616"/>
      <c r="GC64" s="1616"/>
      <c r="GD64" s="1616"/>
      <c r="GE64" s="1616"/>
      <c r="GF64" s="1616"/>
      <c r="GG64" s="1616"/>
      <c r="GH64" s="1616"/>
      <c r="GI64" s="1616"/>
      <c r="GJ64" s="1616"/>
      <c r="GK64" s="1616"/>
      <c r="GL64" s="1616"/>
      <c r="GM64" s="1616"/>
      <c r="GN64" s="1616"/>
      <c r="GO64" s="1616"/>
      <c r="GP64" s="1616"/>
      <c r="GQ64" s="1616"/>
      <c r="GR64" s="1616"/>
      <c r="GS64" s="1616"/>
      <c r="GT64" s="1616"/>
      <c r="GU64" s="1616"/>
      <c r="GV64" s="1616"/>
      <c r="GW64" s="1616"/>
      <c r="GX64" s="1616"/>
      <c r="GY64" s="1616"/>
      <c r="GZ64" s="1616"/>
      <c r="HA64" s="1616"/>
      <c r="HB64" s="1616"/>
      <c r="HC64" s="1616"/>
      <c r="HD64" s="1616"/>
      <c r="HE64" s="1616"/>
      <c r="HF64" s="1616"/>
      <c r="HG64" s="1616"/>
      <c r="HH64" s="1616"/>
      <c r="HI64" s="1616"/>
      <c r="HJ64" s="1616"/>
      <c r="HK64" s="1616"/>
      <c r="HL64" s="1616"/>
      <c r="HM64" s="1616"/>
      <c r="HN64" s="1616"/>
      <c r="HO64" s="1616"/>
      <c r="HP64" s="1616"/>
      <c r="HQ64" s="1616"/>
      <c r="HR64" s="1616"/>
      <c r="HS64" s="1616"/>
      <c r="HT64" s="1616"/>
      <c r="HU64" s="1616"/>
      <c r="HV64" s="1616"/>
      <c r="HW64" s="1616"/>
      <c r="HX64" s="1616"/>
      <c r="HY64" s="1616"/>
      <c r="HZ64" s="1616"/>
      <c r="IA64" s="1616"/>
      <c r="IB64" s="1616"/>
      <c r="IC64" s="1616"/>
      <c r="ID64" s="1616"/>
      <c r="IE64" s="1616"/>
      <c r="IF64" s="1616"/>
      <c r="IG64" s="1616"/>
      <c r="IH64" s="1616"/>
      <c r="II64" s="1616"/>
      <c r="IJ64" s="1616"/>
      <c r="IK64" s="1616"/>
      <c r="IL64" s="1616"/>
      <c r="IM64" s="1616"/>
      <c r="IN64" s="1616"/>
      <c r="IO64" s="1616"/>
      <c r="IP64" s="1616"/>
      <c r="IQ64" s="1616"/>
      <c r="IR64" s="1616"/>
      <c r="IS64" s="1616"/>
      <c r="IT64" s="1616"/>
      <c r="IU64" s="1616"/>
    </row>
    <row r="65" spans="1:255" s="604" customFormat="1" ht="13.5" customHeight="1">
      <c r="A65" s="595"/>
      <c r="B65" s="596"/>
      <c r="C65" s="597"/>
      <c r="D65" s="719" t="s">
        <v>5954</v>
      </c>
      <c r="E65" s="599"/>
      <c r="F65" s="600">
        <f>(5.8)/1000</f>
        <v>5.7999999999999996E-3</v>
      </c>
      <c r="G65" s="289"/>
      <c r="H65" s="601"/>
      <c r="I65" s="602"/>
      <c r="J65" s="603"/>
      <c r="N65" s="1248"/>
      <c r="U65" s="605"/>
      <c r="W65" s="605"/>
    </row>
    <row r="66" spans="1:255" s="1248" customFormat="1" ht="13.5" customHeight="1">
      <c r="A66" s="1614">
        <v>17</v>
      </c>
      <c r="B66" s="1615" t="s">
        <v>5808</v>
      </c>
      <c r="C66" s="1615">
        <v>460041111</v>
      </c>
      <c r="D66" s="1615" t="s">
        <v>5812</v>
      </c>
      <c r="E66" s="1615" t="s">
        <v>69</v>
      </c>
      <c r="F66" s="573">
        <f>ROUND(SUM(F67),3)</f>
        <v>1</v>
      </c>
      <c r="G66" s="288"/>
      <c r="H66" s="568">
        <f>ROUND(F66*G66,2)</f>
        <v>0</v>
      </c>
      <c r="I66" s="613" t="s">
        <v>137</v>
      </c>
      <c r="J66" s="603"/>
      <c r="K66" s="604"/>
      <c r="L66" s="604"/>
      <c r="M66" s="604"/>
      <c r="N66" s="604"/>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616"/>
      <c r="CH66" s="1616"/>
      <c r="CI66" s="1616"/>
      <c r="CJ66" s="1616"/>
      <c r="CK66" s="1616"/>
      <c r="CL66" s="1616"/>
      <c r="CM66" s="1616"/>
      <c r="CN66" s="1616"/>
      <c r="CO66" s="1616"/>
      <c r="CP66" s="1616"/>
      <c r="CQ66" s="1616"/>
      <c r="CR66" s="1616"/>
      <c r="CS66" s="1616"/>
      <c r="CT66" s="1616"/>
      <c r="CU66" s="1616"/>
      <c r="CV66" s="1616"/>
      <c r="CW66" s="1616"/>
      <c r="CX66" s="1616"/>
      <c r="CY66" s="1616"/>
      <c r="CZ66" s="1616"/>
      <c r="DA66" s="1616"/>
      <c r="DB66" s="1616"/>
      <c r="DC66" s="1616"/>
      <c r="DD66" s="1616"/>
      <c r="DE66" s="1616"/>
      <c r="DF66" s="1616"/>
      <c r="DG66" s="1616"/>
      <c r="DH66" s="1616"/>
      <c r="DI66" s="1616"/>
      <c r="DJ66" s="1616"/>
      <c r="DK66" s="1616"/>
      <c r="DL66" s="1616"/>
      <c r="DM66" s="1616"/>
      <c r="DN66" s="1616"/>
      <c r="DO66" s="1616"/>
      <c r="DP66" s="1616"/>
      <c r="DQ66" s="1616"/>
      <c r="DR66" s="1616"/>
      <c r="DS66" s="1616"/>
      <c r="DT66" s="1616"/>
      <c r="DU66" s="1616"/>
      <c r="DV66" s="1616"/>
      <c r="DW66" s="1616"/>
      <c r="DX66" s="1616"/>
      <c r="DY66" s="1616"/>
      <c r="DZ66" s="1616"/>
      <c r="EA66" s="1616"/>
      <c r="EB66" s="1616"/>
      <c r="EC66" s="1616"/>
      <c r="ED66" s="1616"/>
      <c r="EE66" s="1616"/>
      <c r="EF66" s="1616"/>
      <c r="EG66" s="1616"/>
      <c r="EH66" s="1616"/>
      <c r="EI66" s="1616"/>
      <c r="EJ66" s="1616"/>
      <c r="EK66" s="1616"/>
      <c r="EL66" s="1616"/>
      <c r="EM66" s="1616"/>
      <c r="EN66" s="1616"/>
      <c r="EO66" s="1616"/>
      <c r="EP66" s="1616"/>
      <c r="EQ66" s="1616"/>
      <c r="ER66" s="1616"/>
      <c r="ES66" s="1616"/>
      <c r="ET66" s="1616"/>
      <c r="EU66" s="1616"/>
      <c r="EV66" s="1616"/>
      <c r="EW66" s="1616"/>
      <c r="EX66" s="1616"/>
      <c r="EY66" s="1616"/>
      <c r="EZ66" s="1616"/>
      <c r="FA66" s="1616"/>
      <c r="FB66" s="1616"/>
      <c r="FC66" s="1616"/>
      <c r="FD66" s="1616"/>
      <c r="FE66" s="1616"/>
      <c r="FF66" s="1616"/>
      <c r="FG66" s="1616"/>
      <c r="FH66" s="1616"/>
      <c r="FI66" s="1616"/>
      <c r="FJ66" s="1616"/>
      <c r="FK66" s="1616"/>
      <c r="FL66" s="1616"/>
      <c r="FM66" s="1616"/>
      <c r="FN66" s="1616"/>
      <c r="FO66" s="1616"/>
      <c r="FP66" s="1616"/>
      <c r="FQ66" s="1616"/>
      <c r="FR66" s="1616"/>
      <c r="FS66" s="1616"/>
      <c r="FT66" s="1616"/>
      <c r="FU66" s="1616"/>
      <c r="FV66" s="1616"/>
      <c r="FW66" s="1616"/>
      <c r="FX66" s="1616"/>
      <c r="FY66" s="1616"/>
      <c r="FZ66" s="1616"/>
      <c r="GA66" s="1616"/>
      <c r="GB66" s="1616"/>
      <c r="GC66" s="1616"/>
      <c r="GD66" s="1616"/>
      <c r="GE66" s="1616"/>
      <c r="GF66" s="1616"/>
      <c r="GG66" s="1616"/>
      <c r="GH66" s="1616"/>
      <c r="GI66" s="1616"/>
      <c r="GJ66" s="1616"/>
      <c r="GK66" s="1616"/>
      <c r="GL66" s="1616"/>
      <c r="GM66" s="1616"/>
      <c r="GN66" s="1616"/>
      <c r="GO66" s="1616"/>
      <c r="GP66" s="1616"/>
      <c r="GQ66" s="1616"/>
      <c r="GR66" s="1616"/>
      <c r="GS66" s="1616"/>
      <c r="GT66" s="1616"/>
      <c r="GU66" s="1616"/>
      <c r="GV66" s="1616"/>
      <c r="GW66" s="1616"/>
      <c r="GX66" s="1616"/>
      <c r="GY66" s="1616"/>
      <c r="GZ66" s="1616"/>
      <c r="HA66" s="1616"/>
      <c r="HB66" s="1616"/>
      <c r="HC66" s="1616"/>
      <c r="HD66" s="1616"/>
      <c r="HE66" s="1616"/>
      <c r="HF66" s="1616"/>
      <c r="HG66" s="1616"/>
      <c r="HH66" s="1616"/>
      <c r="HI66" s="1616"/>
      <c r="HJ66" s="1616"/>
      <c r="HK66" s="1616"/>
      <c r="HL66" s="1616"/>
      <c r="HM66" s="1616"/>
      <c r="HN66" s="1616"/>
      <c r="HO66" s="1616"/>
      <c r="HP66" s="1616"/>
      <c r="HQ66" s="1616"/>
      <c r="HR66" s="1616"/>
      <c r="HS66" s="1616"/>
      <c r="HT66" s="1616"/>
      <c r="HU66" s="1616"/>
      <c r="HV66" s="1616"/>
      <c r="HW66" s="1616"/>
      <c r="HX66" s="1616"/>
      <c r="HY66" s="1616"/>
      <c r="HZ66" s="1616"/>
      <c r="IA66" s="1616"/>
      <c r="IB66" s="1616"/>
      <c r="IC66" s="1616"/>
      <c r="ID66" s="1616"/>
      <c r="IE66" s="1616"/>
      <c r="IF66" s="1616"/>
      <c r="IG66" s="1616"/>
      <c r="IH66" s="1616"/>
      <c r="II66" s="1616"/>
      <c r="IJ66" s="1616"/>
      <c r="IK66" s="1616"/>
      <c r="IL66" s="1616"/>
      <c r="IM66" s="1616"/>
      <c r="IN66" s="1616"/>
      <c r="IO66" s="1616"/>
      <c r="IP66" s="1616"/>
      <c r="IQ66" s="1616"/>
      <c r="IR66" s="1616"/>
      <c r="IS66" s="1616"/>
      <c r="IT66" s="1616"/>
      <c r="IU66" s="1616"/>
    </row>
    <row r="67" spans="1:255" s="604" customFormat="1" ht="13.5" customHeight="1">
      <c r="A67" s="595"/>
      <c r="B67" s="596"/>
      <c r="C67" s="597"/>
      <c r="D67" s="719" t="s">
        <v>5813</v>
      </c>
      <c r="E67" s="599"/>
      <c r="F67" s="600">
        <v>1</v>
      </c>
      <c r="G67" s="289"/>
      <c r="H67" s="601"/>
      <c r="I67" s="602"/>
      <c r="J67" s="603"/>
      <c r="U67" s="605"/>
      <c r="W67" s="605"/>
    </row>
    <row r="68" spans="1:255" s="1248" customFormat="1" ht="13.5" customHeight="1">
      <c r="A68" s="1614">
        <v>18</v>
      </c>
      <c r="B68" s="1615" t="s">
        <v>5808</v>
      </c>
      <c r="C68" s="1615">
        <v>460161452</v>
      </c>
      <c r="D68" s="1615" t="s">
        <v>5814</v>
      </c>
      <c r="E68" s="1615" t="s">
        <v>141</v>
      </c>
      <c r="F68" s="573">
        <f>ROUND(SUM(F70),3)</f>
        <v>0.28999999999999998</v>
      </c>
      <c r="G68" s="288"/>
      <c r="H68" s="568">
        <f>ROUND(F68*G68,2)</f>
        <v>0</v>
      </c>
      <c r="I68" s="613" t="s">
        <v>137</v>
      </c>
      <c r="J68" s="1612"/>
      <c r="L68" s="1613"/>
      <c r="BC68" s="1616"/>
      <c r="BD68" s="1616"/>
      <c r="BE68" s="1616"/>
      <c r="BF68" s="1616"/>
      <c r="BG68" s="1616"/>
      <c r="BH68" s="1616"/>
      <c r="BI68" s="1616"/>
      <c r="BJ68" s="1616"/>
      <c r="BK68" s="1616"/>
      <c r="BL68" s="1616"/>
      <c r="BM68" s="1616"/>
      <c r="BN68" s="1616"/>
      <c r="BO68" s="1616"/>
      <c r="BP68" s="1616"/>
      <c r="BQ68" s="1616"/>
      <c r="BR68" s="1616"/>
      <c r="BS68" s="1616"/>
      <c r="BT68" s="1616"/>
      <c r="BU68" s="1616"/>
      <c r="BV68" s="1616"/>
      <c r="BW68" s="1616"/>
      <c r="BX68" s="1616"/>
      <c r="BY68" s="1616"/>
      <c r="BZ68" s="1616"/>
      <c r="CA68" s="1616"/>
      <c r="CB68" s="1616"/>
      <c r="CC68" s="1616"/>
      <c r="CD68" s="1616"/>
      <c r="CE68" s="1616"/>
      <c r="CF68" s="1616"/>
      <c r="CG68" s="1616"/>
      <c r="CH68" s="1616"/>
      <c r="CI68" s="1616"/>
      <c r="CJ68" s="1616"/>
      <c r="CK68" s="1616"/>
      <c r="CL68" s="1616"/>
      <c r="CM68" s="1616"/>
      <c r="CN68" s="1616"/>
      <c r="CO68" s="1616"/>
      <c r="CP68" s="1616"/>
      <c r="CQ68" s="1616"/>
      <c r="CR68" s="1616"/>
      <c r="CS68" s="1616"/>
      <c r="CT68" s="1616"/>
      <c r="CU68" s="1616"/>
      <c r="CV68" s="1616"/>
      <c r="CW68" s="1616"/>
      <c r="CX68" s="1616"/>
      <c r="CY68" s="1616"/>
      <c r="CZ68" s="1616"/>
      <c r="DA68" s="1616"/>
      <c r="DB68" s="1616"/>
      <c r="DC68" s="1616"/>
      <c r="DD68" s="1616"/>
      <c r="DE68" s="1616"/>
      <c r="DF68" s="1616"/>
      <c r="DG68" s="1616"/>
      <c r="DH68" s="1616"/>
      <c r="DI68" s="1616"/>
      <c r="DJ68" s="1616"/>
      <c r="DK68" s="1616"/>
      <c r="DL68" s="1616"/>
      <c r="DM68" s="1616"/>
      <c r="DN68" s="1616"/>
      <c r="DO68" s="1616"/>
      <c r="DP68" s="1616"/>
      <c r="DQ68" s="1616"/>
      <c r="DR68" s="1616"/>
      <c r="DS68" s="1616"/>
      <c r="DT68" s="1616"/>
      <c r="DU68" s="1616"/>
      <c r="DV68" s="1616"/>
      <c r="DW68" s="1616"/>
      <c r="DX68" s="1616"/>
      <c r="DY68" s="1616"/>
      <c r="DZ68" s="1616"/>
      <c r="EA68" s="1616"/>
      <c r="EB68" s="1616"/>
      <c r="EC68" s="1616"/>
      <c r="ED68" s="1616"/>
      <c r="EE68" s="1616"/>
      <c r="EF68" s="1616"/>
      <c r="EG68" s="1616"/>
      <c r="EH68" s="1616"/>
      <c r="EI68" s="1616"/>
      <c r="EJ68" s="1616"/>
      <c r="EK68" s="1616"/>
      <c r="EL68" s="1616"/>
      <c r="EM68" s="1616"/>
      <c r="EN68" s="1616"/>
      <c r="EO68" s="1616"/>
      <c r="EP68" s="1616"/>
      <c r="EQ68" s="1616"/>
      <c r="ER68" s="1616"/>
      <c r="ES68" s="1616"/>
      <c r="ET68" s="1616"/>
      <c r="EU68" s="1616"/>
      <c r="EV68" s="1616"/>
      <c r="EW68" s="1616"/>
      <c r="EX68" s="1616"/>
      <c r="EY68" s="1616"/>
      <c r="EZ68" s="1616"/>
      <c r="FA68" s="1616"/>
      <c r="FB68" s="1616"/>
      <c r="FC68" s="1616"/>
      <c r="FD68" s="1616"/>
      <c r="FE68" s="1616"/>
      <c r="FF68" s="1616"/>
      <c r="FG68" s="1616"/>
      <c r="FH68" s="1616"/>
      <c r="FI68" s="1616"/>
      <c r="FJ68" s="1616"/>
      <c r="FK68" s="1616"/>
      <c r="FL68" s="1616"/>
      <c r="FM68" s="1616"/>
      <c r="FN68" s="1616"/>
      <c r="FO68" s="1616"/>
      <c r="FP68" s="1616"/>
      <c r="FQ68" s="1616"/>
      <c r="FR68" s="1616"/>
      <c r="FS68" s="1616"/>
      <c r="FT68" s="1616"/>
      <c r="FU68" s="1616"/>
      <c r="FV68" s="1616"/>
      <c r="FW68" s="1616"/>
      <c r="FX68" s="1616"/>
      <c r="FY68" s="1616"/>
      <c r="FZ68" s="1616"/>
      <c r="GA68" s="1616"/>
      <c r="GB68" s="1616"/>
      <c r="GC68" s="1616"/>
      <c r="GD68" s="1616"/>
      <c r="GE68" s="1616"/>
      <c r="GF68" s="1616"/>
      <c r="GG68" s="1616"/>
      <c r="GH68" s="1616"/>
      <c r="GI68" s="1616"/>
      <c r="GJ68" s="1616"/>
      <c r="GK68" s="1616"/>
      <c r="GL68" s="1616"/>
      <c r="GM68" s="1616"/>
      <c r="GN68" s="1616"/>
      <c r="GO68" s="1616"/>
      <c r="GP68" s="1616"/>
      <c r="GQ68" s="1616"/>
      <c r="GR68" s="1616"/>
      <c r="GS68" s="1616"/>
      <c r="GT68" s="1616"/>
      <c r="GU68" s="1616"/>
      <c r="GV68" s="1616"/>
      <c r="GW68" s="1616"/>
      <c r="GX68" s="1616"/>
      <c r="GY68" s="1616"/>
      <c r="GZ68" s="1616"/>
      <c r="HA68" s="1616"/>
      <c r="HB68" s="1616"/>
      <c r="HC68" s="1616"/>
      <c r="HD68" s="1616"/>
      <c r="HE68" s="1616"/>
      <c r="HF68" s="1616"/>
      <c r="HG68" s="1616"/>
      <c r="HH68" s="1616"/>
      <c r="HI68" s="1616"/>
      <c r="HJ68" s="1616"/>
      <c r="HK68" s="1616"/>
      <c r="HL68" s="1616"/>
      <c r="HM68" s="1616"/>
      <c r="HN68" s="1616"/>
      <c r="HO68" s="1616"/>
      <c r="HP68" s="1616"/>
      <c r="HQ68" s="1616"/>
      <c r="HR68" s="1616"/>
      <c r="HS68" s="1616"/>
      <c r="HT68" s="1616"/>
      <c r="HU68" s="1616"/>
      <c r="HV68" s="1616"/>
      <c r="HW68" s="1616"/>
      <c r="HX68" s="1616"/>
      <c r="HY68" s="1616"/>
      <c r="HZ68" s="1616"/>
      <c r="IA68" s="1616"/>
      <c r="IB68" s="1616"/>
      <c r="IC68" s="1616"/>
      <c r="ID68" s="1616"/>
      <c r="IE68" s="1616"/>
      <c r="IF68" s="1616"/>
      <c r="IG68" s="1616"/>
      <c r="IH68" s="1616"/>
      <c r="II68" s="1616"/>
      <c r="IJ68" s="1616"/>
      <c r="IK68" s="1616"/>
      <c r="IL68" s="1616"/>
      <c r="IM68" s="1616"/>
      <c r="IN68" s="1616"/>
      <c r="IO68" s="1616"/>
      <c r="IP68" s="1616"/>
      <c r="IQ68" s="1616"/>
      <c r="IR68" s="1616"/>
      <c r="IS68" s="1616"/>
      <c r="IT68" s="1616"/>
      <c r="IU68" s="1616"/>
    </row>
    <row r="69" spans="1:255" s="604" customFormat="1" ht="27" customHeight="1">
      <c r="A69" s="595"/>
      <c r="B69" s="596"/>
      <c r="C69" s="597"/>
      <c r="D69" s="1617" t="s">
        <v>5955</v>
      </c>
      <c r="E69" s="599"/>
      <c r="F69" s="600"/>
      <c r="G69" s="289"/>
      <c r="H69" s="601"/>
      <c r="I69" s="602"/>
      <c r="J69" s="603"/>
      <c r="U69" s="605"/>
      <c r="W69" s="605"/>
    </row>
    <row r="70" spans="1:255" s="604" customFormat="1" ht="27" customHeight="1">
      <c r="A70" s="595"/>
      <c r="B70" s="596"/>
      <c r="C70" s="597"/>
      <c r="D70" s="1618" t="s">
        <v>5956</v>
      </c>
      <c r="E70" s="599"/>
      <c r="F70" s="600">
        <f>(5.8)*0.05</f>
        <v>0.28999999999999998</v>
      </c>
      <c r="G70" s="289"/>
      <c r="H70" s="601"/>
      <c r="I70" s="602"/>
      <c r="J70" s="603"/>
      <c r="U70" s="605"/>
      <c r="W70" s="605"/>
    </row>
    <row r="71" spans="1:255" s="604" customFormat="1" ht="27" customHeight="1">
      <c r="A71" s="595"/>
      <c r="B71" s="596"/>
      <c r="C71" s="597"/>
      <c r="D71" s="1619" t="s">
        <v>4323</v>
      </c>
      <c r="E71" s="599"/>
      <c r="F71" s="600"/>
      <c r="G71" s="289"/>
      <c r="H71" s="601"/>
      <c r="I71" s="602"/>
      <c r="U71" s="605"/>
      <c r="W71" s="605"/>
    </row>
    <row r="72" spans="1:255" s="1248" customFormat="1" ht="13.5" customHeight="1">
      <c r="A72" s="1614">
        <v>19</v>
      </c>
      <c r="B72" s="1615" t="s">
        <v>5808</v>
      </c>
      <c r="C72" s="1615">
        <v>460171452</v>
      </c>
      <c r="D72" s="1615" t="s">
        <v>5820</v>
      </c>
      <c r="E72" s="1615" t="s">
        <v>141</v>
      </c>
      <c r="F72" s="573">
        <f>ROUND(SUM(F74),3)</f>
        <v>4.93</v>
      </c>
      <c r="G72" s="288"/>
      <c r="H72" s="568">
        <f>ROUND(F72*G72,2)</f>
        <v>0</v>
      </c>
      <c r="I72" s="613" t="s">
        <v>137</v>
      </c>
      <c r="J72" s="1612"/>
      <c r="L72" s="1613"/>
      <c r="BC72" s="1616"/>
      <c r="BD72" s="1616"/>
      <c r="BE72" s="1616"/>
      <c r="BF72" s="1616"/>
      <c r="BG72" s="1616"/>
      <c r="BH72" s="1616"/>
      <c r="BI72" s="1616"/>
      <c r="BJ72" s="1616"/>
      <c r="BK72" s="1616"/>
      <c r="BL72" s="1616"/>
      <c r="BM72" s="1616"/>
      <c r="BN72" s="1616"/>
      <c r="BO72" s="1616"/>
      <c r="BP72" s="1616"/>
      <c r="BQ72" s="1616"/>
      <c r="BR72" s="1616"/>
      <c r="BS72" s="1616"/>
      <c r="BT72" s="1616"/>
      <c r="BU72" s="1616"/>
      <c r="BV72" s="1616"/>
      <c r="BW72" s="1616"/>
      <c r="BX72" s="1616"/>
      <c r="BY72" s="1616"/>
      <c r="BZ72" s="1616"/>
      <c r="CA72" s="1616"/>
      <c r="CB72" s="1616"/>
      <c r="CC72" s="1616"/>
      <c r="CD72" s="1616"/>
      <c r="CE72" s="1616"/>
      <c r="CF72" s="1616"/>
      <c r="CG72" s="1616"/>
      <c r="CH72" s="1616"/>
      <c r="CI72" s="1616"/>
      <c r="CJ72" s="1616"/>
      <c r="CK72" s="1616"/>
      <c r="CL72" s="1616"/>
      <c r="CM72" s="1616"/>
      <c r="CN72" s="1616"/>
      <c r="CO72" s="1616"/>
      <c r="CP72" s="1616"/>
      <c r="CQ72" s="1616"/>
      <c r="CR72" s="1616"/>
      <c r="CS72" s="1616"/>
      <c r="CT72" s="1616"/>
      <c r="CU72" s="1616"/>
      <c r="CV72" s="1616"/>
      <c r="CW72" s="1616"/>
      <c r="CX72" s="1616"/>
      <c r="CY72" s="1616"/>
      <c r="CZ72" s="1616"/>
      <c r="DA72" s="1616"/>
      <c r="DB72" s="1616"/>
      <c r="DC72" s="1616"/>
      <c r="DD72" s="1616"/>
      <c r="DE72" s="1616"/>
      <c r="DF72" s="1616"/>
      <c r="DG72" s="1616"/>
      <c r="DH72" s="1616"/>
      <c r="DI72" s="1616"/>
      <c r="DJ72" s="1616"/>
      <c r="DK72" s="1616"/>
      <c r="DL72" s="1616"/>
      <c r="DM72" s="1616"/>
      <c r="DN72" s="1616"/>
      <c r="DO72" s="1616"/>
      <c r="DP72" s="1616"/>
      <c r="DQ72" s="1616"/>
      <c r="DR72" s="1616"/>
      <c r="DS72" s="1616"/>
      <c r="DT72" s="1616"/>
      <c r="DU72" s="1616"/>
      <c r="DV72" s="1616"/>
      <c r="DW72" s="1616"/>
      <c r="DX72" s="1616"/>
      <c r="DY72" s="1616"/>
      <c r="DZ72" s="1616"/>
      <c r="EA72" s="1616"/>
      <c r="EB72" s="1616"/>
      <c r="EC72" s="1616"/>
      <c r="ED72" s="1616"/>
      <c r="EE72" s="1616"/>
      <c r="EF72" s="1616"/>
      <c r="EG72" s="1616"/>
      <c r="EH72" s="1616"/>
      <c r="EI72" s="1616"/>
      <c r="EJ72" s="1616"/>
      <c r="EK72" s="1616"/>
      <c r="EL72" s="1616"/>
      <c r="EM72" s="1616"/>
      <c r="EN72" s="1616"/>
      <c r="EO72" s="1616"/>
      <c r="EP72" s="1616"/>
      <c r="EQ72" s="1616"/>
      <c r="ER72" s="1616"/>
      <c r="ES72" s="1616"/>
      <c r="ET72" s="1616"/>
      <c r="EU72" s="1616"/>
      <c r="EV72" s="1616"/>
      <c r="EW72" s="1616"/>
      <c r="EX72" s="1616"/>
      <c r="EY72" s="1616"/>
      <c r="EZ72" s="1616"/>
      <c r="FA72" s="1616"/>
      <c r="FB72" s="1616"/>
      <c r="FC72" s="1616"/>
      <c r="FD72" s="1616"/>
      <c r="FE72" s="1616"/>
      <c r="FF72" s="1616"/>
      <c r="FG72" s="1616"/>
      <c r="FH72" s="1616"/>
      <c r="FI72" s="1616"/>
      <c r="FJ72" s="1616"/>
      <c r="FK72" s="1616"/>
      <c r="FL72" s="1616"/>
      <c r="FM72" s="1616"/>
      <c r="FN72" s="1616"/>
      <c r="FO72" s="1616"/>
      <c r="FP72" s="1616"/>
      <c r="FQ72" s="1616"/>
      <c r="FR72" s="1616"/>
      <c r="FS72" s="1616"/>
      <c r="FT72" s="1616"/>
      <c r="FU72" s="1616"/>
      <c r="FV72" s="1616"/>
      <c r="FW72" s="1616"/>
      <c r="FX72" s="1616"/>
      <c r="FY72" s="1616"/>
      <c r="FZ72" s="1616"/>
      <c r="GA72" s="1616"/>
      <c r="GB72" s="1616"/>
      <c r="GC72" s="1616"/>
      <c r="GD72" s="1616"/>
      <c r="GE72" s="1616"/>
      <c r="GF72" s="1616"/>
      <c r="GG72" s="1616"/>
      <c r="GH72" s="1616"/>
      <c r="GI72" s="1616"/>
      <c r="GJ72" s="1616"/>
      <c r="GK72" s="1616"/>
      <c r="GL72" s="1616"/>
      <c r="GM72" s="1616"/>
      <c r="GN72" s="1616"/>
      <c r="GO72" s="1616"/>
      <c r="GP72" s="1616"/>
      <c r="GQ72" s="1616"/>
      <c r="GR72" s="1616"/>
      <c r="GS72" s="1616"/>
      <c r="GT72" s="1616"/>
      <c r="GU72" s="1616"/>
      <c r="GV72" s="1616"/>
      <c r="GW72" s="1616"/>
      <c r="GX72" s="1616"/>
      <c r="GY72" s="1616"/>
      <c r="GZ72" s="1616"/>
      <c r="HA72" s="1616"/>
      <c r="HB72" s="1616"/>
      <c r="HC72" s="1616"/>
      <c r="HD72" s="1616"/>
      <c r="HE72" s="1616"/>
      <c r="HF72" s="1616"/>
      <c r="HG72" s="1616"/>
      <c r="HH72" s="1616"/>
      <c r="HI72" s="1616"/>
      <c r="HJ72" s="1616"/>
      <c r="HK72" s="1616"/>
      <c r="HL72" s="1616"/>
      <c r="HM72" s="1616"/>
      <c r="HN72" s="1616"/>
      <c r="HO72" s="1616"/>
      <c r="HP72" s="1616"/>
      <c r="HQ72" s="1616"/>
      <c r="HR72" s="1616"/>
      <c r="HS72" s="1616"/>
      <c r="HT72" s="1616"/>
      <c r="HU72" s="1616"/>
      <c r="HV72" s="1616"/>
      <c r="HW72" s="1616"/>
      <c r="HX72" s="1616"/>
      <c r="HY72" s="1616"/>
      <c r="HZ72" s="1616"/>
      <c r="IA72" s="1616"/>
      <c r="IB72" s="1616"/>
      <c r="IC72" s="1616"/>
      <c r="ID72" s="1616"/>
      <c r="IE72" s="1616"/>
      <c r="IF72" s="1616"/>
      <c r="IG72" s="1616"/>
      <c r="IH72" s="1616"/>
      <c r="II72" s="1616"/>
      <c r="IJ72" s="1616"/>
      <c r="IK72" s="1616"/>
      <c r="IL72" s="1616"/>
      <c r="IM72" s="1616"/>
      <c r="IN72" s="1616"/>
      <c r="IO72" s="1616"/>
      <c r="IP72" s="1616"/>
      <c r="IQ72" s="1616"/>
      <c r="IR72" s="1616"/>
      <c r="IS72" s="1616"/>
      <c r="IT72" s="1616"/>
      <c r="IU72" s="1616"/>
    </row>
    <row r="73" spans="1:255" s="604" customFormat="1" ht="27" customHeight="1">
      <c r="A73" s="595"/>
      <c r="B73" s="596"/>
      <c r="C73" s="597"/>
      <c r="D73" s="1617" t="s">
        <v>5957</v>
      </c>
      <c r="E73" s="599"/>
      <c r="F73" s="600"/>
      <c r="G73" s="289"/>
      <c r="H73" s="601"/>
      <c r="I73" s="602"/>
      <c r="J73" s="603"/>
      <c r="U73" s="605"/>
      <c r="W73" s="605"/>
    </row>
    <row r="74" spans="1:255" s="604" customFormat="1" ht="27" customHeight="1">
      <c r="A74" s="595"/>
      <c r="B74" s="596"/>
      <c r="C74" s="597"/>
      <c r="D74" s="1618" t="s">
        <v>5958</v>
      </c>
      <c r="E74" s="599"/>
      <c r="F74" s="600">
        <f>(5.8)*0.85</f>
        <v>4.93</v>
      </c>
      <c r="G74" s="289"/>
      <c r="H74" s="601"/>
      <c r="I74" s="602"/>
      <c r="J74" s="603"/>
      <c r="U74" s="605"/>
      <c r="W74" s="605"/>
    </row>
    <row r="75" spans="1:255" s="604" customFormat="1" ht="27" customHeight="1">
      <c r="A75" s="595"/>
      <c r="B75" s="596"/>
      <c r="C75" s="597"/>
      <c r="D75" s="1619" t="s">
        <v>4323</v>
      </c>
      <c r="E75" s="599"/>
      <c r="F75" s="600"/>
      <c r="G75" s="289"/>
      <c r="H75" s="601"/>
      <c r="I75" s="602"/>
      <c r="U75" s="605"/>
      <c r="W75" s="605"/>
    </row>
    <row r="76" spans="1:255" s="1248" customFormat="1" ht="13.5" customHeight="1">
      <c r="A76" s="1614">
        <v>20</v>
      </c>
      <c r="B76" s="1615" t="s">
        <v>5808</v>
      </c>
      <c r="C76" s="1615">
        <v>460171453</v>
      </c>
      <c r="D76" s="1615" t="s">
        <v>5823</v>
      </c>
      <c r="E76" s="1615" t="s">
        <v>141</v>
      </c>
      <c r="F76" s="573">
        <f>ROUND(SUM(F78),3)</f>
        <v>0.57999999999999996</v>
      </c>
      <c r="G76" s="288"/>
      <c r="H76" s="568">
        <f>ROUND(F76*G76,2)</f>
        <v>0</v>
      </c>
      <c r="I76" s="613" t="s">
        <v>137</v>
      </c>
      <c r="J76" s="1612"/>
      <c r="L76" s="1613"/>
      <c r="BC76" s="1616"/>
      <c r="BD76" s="1616"/>
      <c r="BE76" s="1616"/>
      <c r="BF76" s="1616"/>
      <c r="BG76" s="1616"/>
      <c r="BH76" s="1616"/>
      <c r="BI76" s="1616"/>
      <c r="BJ76" s="1616"/>
      <c r="BK76" s="1616"/>
      <c r="BL76" s="1616"/>
      <c r="BM76" s="1616"/>
      <c r="BN76" s="1616"/>
      <c r="BO76" s="1616"/>
      <c r="BP76" s="1616"/>
      <c r="BQ76" s="1616"/>
      <c r="BR76" s="1616"/>
      <c r="BS76" s="1616"/>
      <c r="BT76" s="1616"/>
      <c r="BU76" s="1616"/>
      <c r="BV76" s="1616"/>
      <c r="BW76" s="1616"/>
      <c r="BX76" s="1616"/>
      <c r="BY76" s="1616"/>
      <c r="BZ76" s="1616"/>
      <c r="CA76" s="1616"/>
      <c r="CB76" s="1616"/>
      <c r="CC76" s="1616"/>
      <c r="CD76" s="1616"/>
      <c r="CE76" s="1616"/>
      <c r="CF76" s="1616"/>
      <c r="CG76" s="1616"/>
      <c r="CH76" s="1616"/>
      <c r="CI76" s="1616"/>
      <c r="CJ76" s="1616"/>
      <c r="CK76" s="1616"/>
      <c r="CL76" s="1616"/>
      <c r="CM76" s="1616"/>
      <c r="CN76" s="1616"/>
      <c r="CO76" s="1616"/>
      <c r="CP76" s="1616"/>
      <c r="CQ76" s="1616"/>
      <c r="CR76" s="1616"/>
      <c r="CS76" s="1616"/>
      <c r="CT76" s="1616"/>
      <c r="CU76" s="1616"/>
      <c r="CV76" s="1616"/>
      <c r="CW76" s="1616"/>
      <c r="CX76" s="1616"/>
      <c r="CY76" s="1616"/>
      <c r="CZ76" s="1616"/>
      <c r="DA76" s="1616"/>
      <c r="DB76" s="1616"/>
      <c r="DC76" s="1616"/>
      <c r="DD76" s="1616"/>
      <c r="DE76" s="1616"/>
      <c r="DF76" s="1616"/>
      <c r="DG76" s="1616"/>
      <c r="DH76" s="1616"/>
      <c r="DI76" s="1616"/>
      <c r="DJ76" s="1616"/>
      <c r="DK76" s="1616"/>
      <c r="DL76" s="1616"/>
      <c r="DM76" s="1616"/>
      <c r="DN76" s="1616"/>
      <c r="DO76" s="1616"/>
      <c r="DP76" s="1616"/>
      <c r="DQ76" s="1616"/>
      <c r="DR76" s="1616"/>
      <c r="DS76" s="1616"/>
      <c r="DT76" s="1616"/>
      <c r="DU76" s="1616"/>
      <c r="DV76" s="1616"/>
      <c r="DW76" s="1616"/>
      <c r="DX76" s="1616"/>
      <c r="DY76" s="1616"/>
      <c r="DZ76" s="1616"/>
      <c r="EA76" s="1616"/>
      <c r="EB76" s="1616"/>
      <c r="EC76" s="1616"/>
      <c r="ED76" s="1616"/>
      <c r="EE76" s="1616"/>
      <c r="EF76" s="1616"/>
      <c r="EG76" s="1616"/>
      <c r="EH76" s="1616"/>
      <c r="EI76" s="1616"/>
      <c r="EJ76" s="1616"/>
      <c r="EK76" s="1616"/>
      <c r="EL76" s="1616"/>
      <c r="EM76" s="1616"/>
      <c r="EN76" s="1616"/>
      <c r="EO76" s="1616"/>
      <c r="EP76" s="1616"/>
      <c r="EQ76" s="1616"/>
      <c r="ER76" s="1616"/>
      <c r="ES76" s="1616"/>
      <c r="ET76" s="1616"/>
      <c r="EU76" s="1616"/>
      <c r="EV76" s="1616"/>
      <c r="EW76" s="1616"/>
      <c r="EX76" s="1616"/>
      <c r="EY76" s="1616"/>
      <c r="EZ76" s="1616"/>
      <c r="FA76" s="1616"/>
      <c r="FB76" s="1616"/>
      <c r="FC76" s="1616"/>
      <c r="FD76" s="1616"/>
      <c r="FE76" s="1616"/>
      <c r="FF76" s="1616"/>
      <c r="FG76" s="1616"/>
      <c r="FH76" s="1616"/>
      <c r="FI76" s="1616"/>
      <c r="FJ76" s="1616"/>
      <c r="FK76" s="1616"/>
      <c r="FL76" s="1616"/>
      <c r="FM76" s="1616"/>
      <c r="FN76" s="1616"/>
      <c r="FO76" s="1616"/>
      <c r="FP76" s="1616"/>
      <c r="FQ76" s="1616"/>
      <c r="FR76" s="1616"/>
      <c r="FS76" s="1616"/>
      <c r="FT76" s="1616"/>
      <c r="FU76" s="1616"/>
      <c r="FV76" s="1616"/>
      <c r="FW76" s="1616"/>
      <c r="FX76" s="1616"/>
      <c r="FY76" s="1616"/>
      <c r="FZ76" s="1616"/>
      <c r="GA76" s="1616"/>
      <c r="GB76" s="1616"/>
      <c r="GC76" s="1616"/>
      <c r="GD76" s="1616"/>
      <c r="GE76" s="1616"/>
      <c r="GF76" s="1616"/>
      <c r="GG76" s="1616"/>
      <c r="GH76" s="1616"/>
      <c r="GI76" s="1616"/>
      <c r="GJ76" s="1616"/>
      <c r="GK76" s="1616"/>
      <c r="GL76" s="1616"/>
      <c r="GM76" s="1616"/>
      <c r="GN76" s="1616"/>
      <c r="GO76" s="1616"/>
      <c r="GP76" s="1616"/>
      <c r="GQ76" s="1616"/>
      <c r="GR76" s="1616"/>
      <c r="GS76" s="1616"/>
      <c r="GT76" s="1616"/>
      <c r="GU76" s="1616"/>
      <c r="GV76" s="1616"/>
      <c r="GW76" s="1616"/>
      <c r="GX76" s="1616"/>
      <c r="GY76" s="1616"/>
      <c r="GZ76" s="1616"/>
      <c r="HA76" s="1616"/>
      <c r="HB76" s="1616"/>
      <c r="HC76" s="1616"/>
      <c r="HD76" s="1616"/>
      <c r="HE76" s="1616"/>
      <c r="HF76" s="1616"/>
      <c r="HG76" s="1616"/>
      <c r="HH76" s="1616"/>
      <c r="HI76" s="1616"/>
      <c r="HJ76" s="1616"/>
      <c r="HK76" s="1616"/>
      <c r="HL76" s="1616"/>
      <c r="HM76" s="1616"/>
      <c r="HN76" s="1616"/>
      <c r="HO76" s="1616"/>
      <c r="HP76" s="1616"/>
      <c r="HQ76" s="1616"/>
      <c r="HR76" s="1616"/>
      <c r="HS76" s="1616"/>
      <c r="HT76" s="1616"/>
      <c r="HU76" s="1616"/>
      <c r="HV76" s="1616"/>
      <c r="HW76" s="1616"/>
      <c r="HX76" s="1616"/>
      <c r="HY76" s="1616"/>
      <c r="HZ76" s="1616"/>
      <c r="IA76" s="1616"/>
      <c r="IB76" s="1616"/>
      <c r="IC76" s="1616"/>
      <c r="ID76" s="1616"/>
      <c r="IE76" s="1616"/>
      <c r="IF76" s="1616"/>
      <c r="IG76" s="1616"/>
      <c r="IH76" s="1616"/>
      <c r="II76" s="1616"/>
      <c r="IJ76" s="1616"/>
      <c r="IK76" s="1616"/>
      <c r="IL76" s="1616"/>
      <c r="IM76" s="1616"/>
      <c r="IN76" s="1616"/>
      <c r="IO76" s="1616"/>
      <c r="IP76" s="1616"/>
      <c r="IQ76" s="1616"/>
      <c r="IR76" s="1616"/>
      <c r="IS76" s="1616"/>
      <c r="IT76" s="1616"/>
      <c r="IU76" s="1616"/>
    </row>
    <row r="77" spans="1:255" s="604" customFormat="1" ht="27" customHeight="1">
      <c r="A77" s="595"/>
      <c r="B77" s="596"/>
      <c r="C77" s="597"/>
      <c r="D77" s="1617" t="s">
        <v>5824</v>
      </c>
      <c r="E77" s="599"/>
      <c r="F77" s="600"/>
      <c r="G77" s="289"/>
      <c r="H77" s="601"/>
      <c r="I77" s="602"/>
      <c r="J77" s="603"/>
      <c r="U77" s="605"/>
      <c r="W77" s="605"/>
    </row>
    <row r="78" spans="1:255" s="604" customFormat="1" ht="27" customHeight="1">
      <c r="A78" s="595"/>
      <c r="B78" s="596"/>
      <c r="C78" s="597"/>
      <c r="D78" s="1618" t="s">
        <v>5959</v>
      </c>
      <c r="E78" s="599"/>
      <c r="F78" s="600">
        <f>(5.8)*0.1</f>
        <v>0.57999999999999996</v>
      </c>
      <c r="G78" s="289"/>
      <c r="H78" s="601"/>
      <c r="I78" s="602"/>
      <c r="J78" s="603"/>
      <c r="U78" s="605"/>
      <c r="W78" s="605"/>
    </row>
    <row r="79" spans="1:255" s="604" customFormat="1" ht="27" customHeight="1">
      <c r="A79" s="595"/>
      <c r="B79" s="596"/>
      <c r="C79" s="597"/>
      <c r="D79" s="1619" t="s">
        <v>4323</v>
      </c>
      <c r="E79" s="599"/>
      <c r="F79" s="600"/>
      <c r="G79" s="289"/>
      <c r="H79" s="601"/>
      <c r="I79" s="602"/>
      <c r="U79" s="605"/>
      <c r="W79" s="605"/>
    </row>
    <row r="80" spans="1:255" s="1248" customFormat="1" ht="13.5" customHeight="1">
      <c r="A80" s="1614">
        <v>21</v>
      </c>
      <c r="B80" s="1615" t="s">
        <v>5808</v>
      </c>
      <c r="C80" s="1615">
        <v>460241111</v>
      </c>
      <c r="D80" s="1615" t="s">
        <v>5832</v>
      </c>
      <c r="E80" s="1615" t="s">
        <v>146</v>
      </c>
      <c r="F80" s="573">
        <f>ROUND(SUM(F81),3)</f>
        <v>0.17</v>
      </c>
      <c r="G80" s="288"/>
      <c r="H80" s="568">
        <f>ROUND(F80*G80,2)</f>
        <v>0</v>
      </c>
      <c r="I80" s="613" t="s">
        <v>137</v>
      </c>
      <c r="J80" s="1612"/>
      <c r="BC80" s="1616"/>
      <c r="BD80" s="1616"/>
      <c r="BE80" s="1616"/>
      <c r="BF80" s="1616"/>
      <c r="BG80" s="1616"/>
      <c r="BH80" s="1616"/>
      <c r="BI80" s="1616"/>
      <c r="BJ80" s="1616"/>
      <c r="BK80" s="1616"/>
      <c r="BL80" s="1616"/>
      <c r="BM80" s="1616"/>
      <c r="BN80" s="1616"/>
      <c r="BO80" s="1616"/>
      <c r="BP80" s="1616"/>
      <c r="BQ80" s="1616"/>
      <c r="BR80" s="1616"/>
      <c r="BS80" s="1616"/>
      <c r="BT80" s="1616"/>
      <c r="BU80" s="1616"/>
      <c r="BV80" s="1616"/>
      <c r="BW80" s="1616"/>
      <c r="BX80" s="1616"/>
      <c r="BY80" s="1616"/>
      <c r="BZ80" s="1616"/>
      <c r="CA80" s="1616"/>
      <c r="CB80" s="1616"/>
      <c r="CC80" s="1616"/>
      <c r="CD80" s="1616"/>
      <c r="CE80" s="1616"/>
      <c r="CF80" s="1616"/>
      <c r="CG80" s="1616"/>
      <c r="CH80" s="1616"/>
      <c r="CI80" s="1616"/>
      <c r="CJ80" s="1616"/>
      <c r="CK80" s="1616"/>
      <c r="CL80" s="1616"/>
      <c r="CM80" s="1616"/>
      <c r="CN80" s="1616"/>
      <c r="CO80" s="1616"/>
      <c r="CP80" s="1616"/>
      <c r="CQ80" s="1616"/>
      <c r="CR80" s="1616"/>
      <c r="CS80" s="1616"/>
      <c r="CT80" s="1616"/>
      <c r="CU80" s="1616"/>
      <c r="CV80" s="1616"/>
      <c r="CW80" s="1616"/>
      <c r="CX80" s="1616"/>
      <c r="CY80" s="1616"/>
      <c r="CZ80" s="1616"/>
      <c r="DA80" s="1616"/>
      <c r="DB80" s="1616"/>
      <c r="DC80" s="1616"/>
      <c r="DD80" s="1616"/>
      <c r="DE80" s="1616"/>
      <c r="DF80" s="1616"/>
      <c r="DG80" s="1616"/>
      <c r="DH80" s="1616"/>
      <c r="DI80" s="1616"/>
      <c r="DJ80" s="1616"/>
      <c r="DK80" s="1616"/>
      <c r="DL80" s="1616"/>
      <c r="DM80" s="1616"/>
      <c r="DN80" s="1616"/>
      <c r="DO80" s="1616"/>
      <c r="DP80" s="1616"/>
      <c r="DQ80" s="1616"/>
      <c r="DR80" s="1616"/>
      <c r="DS80" s="1616"/>
      <c r="DT80" s="1616"/>
      <c r="DU80" s="1616"/>
      <c r="DV80" s="1616"/>
      <c r="DW80" s="1616"/>
      <c r="DX80" s="1616"/>
      <c r="DY80" s="1616"/>
      <c r="DZ80" s="1616"/>
      <c r="EA80" s="1616"/>
      <c r="EB80" s="1616"/>
      <c r="EC80" s="1616"/>
      <c r="ED80" s="1616"/>
      <c r="EE80" s="1616"/>
      <c r="EF80" s="1616"/>
      <c r="EG80" s="1616"/>
      <c r="EH80" s="1616"/>
      <c r="EI80" s="1616"/>
      <c r="EJ80" s="1616"/>
      <c r="EK80" s="1616"/>
      <c r="EL80" s="1616"/>
      <c r="EM80" s="1616"/>
      <c r="EN80" s="1616"/>
      <c r="EO80" s="1616"/>
      <c r="EP80" s="1616"/>
      <c r="EQ80" s="1616"/>
      <c r="ER80" s="1616"/>
      <c r="ES80" s="1616"/>
      <c r="ET80" s="1616"/>
      <c r="EU80" s="1616"/>
      <c r="EV80" s="1616"/>
      <c r="EW80" s="1616"/>
      <c r="EX80" s="1616"/>
      <c r="EY80" s="1616"/>
      <c r="EZ80" s="1616"/>
      <c r="FA80" s="1616"/>
      <c r="FB80" s="1616"/>
      <c r="FC80" s="1616"/>
      <c r="FD80" s="1616"/>
      <c r="FE80" s="1616"/>
      <c r="FF80" s="1616"/>
      <c r="FG80" s="1616"/>
      <c r="FH80" s="1616"/>
      <c r="FI80" s="1616"/>
      <c r="FJ80" s="1616"/>
      <c r="FK80" s="1616"/>
      <c r="FL80" s="1616"/>
      <c r="FM80" s="1616"/>
      <c r="FN80" s="1616"/>
      <c r="FO80" s="1616"/>
      <c r="FP80" s="1616"/>
      <c r="FQ80" s="1616"/>
      <c r="FR80" s="1616"/>
      <c r="FS80" s="1616"/>
      <c r="FT80" s="1616"/>
      <c r="FU80" s="1616"/>
      <c r="FV80" s="1616"/>
      <c r="FW80" s="1616"/>
      <c r="FX80" s="1616"/>
      <c r="FY80" s="1616"/>
      <c r="FZ80" s="1616"/>
      <c r="GA80" s="1616"/>
      <c r="GB80" s="1616"/>
      <c r="GC80" s="1616"/>
      <c r="GD80" s="1616"/>
      <c r="GE80" s="1616"/>
      <c r="GF80" s="1616"/>
      <c r="GG80" s="1616"/>
      <c r="GH80" s="1616"/>
      <c r="GI80" s="1616"/>
      <c r="GJ80" s="1616"/>
      <c r="GK80" s="1616"/>
      <c r="GL80" s="1616"/>
      <c r="GM80" s="1616"/>
      <c r="GN80" s="1616"/>
      <c r="GO80" s="1616"/>
      <c r="GP80" s="1616"/>
      <c r="GQ80" s="1616"/>
      <c r="GR80" s="1616"/>
      <c r="GS80" s="1616"/>
      <c r="GT80" s="1616"/>
      <c r="GU80" s="1616"/>
      <c r="GV80" s="1616"/>
      <c r="GW80" s="1616"/>
      <c r="GX80" s="1616"/>
      <c r="GY80" s="1616"/>
      <c r="GZ80" s="1616"/>
      <c r="HA80" s="1616"/>
      <c r="HB80" s="1616"/>
      <c r="HC80" s="1616"/>
      <c r="HD80" s="1616"/>
      <c r="HE80" s="1616"/>
      <c r="HF80" s="1616"/>
      <c r="HG80" s="1616"/>
      <c r="HH80" s="1616"/>
      <c r="HI80" s="1616"/>
      <c r="HJ80" s="1616"/>
      <c r="HK80" s="1616"/>
      <c r="HL80" s="1616"/>
      <c r="HM80" s="1616"/>
      <c r="HN80" s="1616"/>
      <c r="HO80" s="1616"/>
      <c r="HP80" s="1616"/>
      <c r="HQ80" s="1616"/>
      <c r="HR80" s="1616"/>
      <c r="HS80" s="1616"/>
      <c r="HT80" s="1616"/>
      <c r="HU80" s="1616"/>
      <c r="HV80" s="1616"/>
      <c r="HW80" s="1616"/>
      <c r="HX80" s="1616"/>
      <c r="HY80" s="1616"/>
      <c r="HZ80" s="1616"/>
      <c r="IA80" s="1616"/>
      <c r="IB80" s="1616"/>
      <c r="IC80" s="1616"/>
      <c r="ID80" s="1616"/>
      <c r="IE80" s="1616"/>
      <c r="IF80" s="1616"/>
      <c r="IG80" s="1616"/>
      <c r="IH80" s="1616"/>
      <c r="II80" s="1616"/>
      <c r="IJ80" s="1616"/>
      <c r="IK80" s="1616"/>
      <c r="IL80" s="1616"/>
      <c r="IM80" s="1616"/>
      <c r="IN80" s="1616"/>
      <c r="IO80" s="1616"/>
      <c r="IP80" s="1616"/>
      <c r="IQ80" s="1616"/>
      <c r="IR80" s="1616"/>
      <c r="IS80" s="1616"/>
      <c r="IT80" s="1616"/>
      <c r="IU80" s="1616"/>
    </row>
    <row r="81" spans="1:255" s="604" customFormat="1" ht="13.5" customHeight="1">
      <c r="A81" s="595"/>
      <c r="B81" s="596"/>
      <c r="C81" s="597"/>
      <c r="D81" s="719" t="s">
        <v>5960</v>
      </c>
      <c r="E81" s="599"/>
      <c r="F81" s="600">
        <f>((5.8*0.65*0.9))*0.05</f>
        <v>0.16965000000000002</v>
      </c>
      <c r="G81" s="289"/>
      <c r="H81" s="601"/>
      <c r="I81" s="602"/>
      <c r="J81" s="606"/>
      <c r="U81" s="605"/>
      <c r="W81" s="605"/>
    </row>
    <row r="82" spans="1:255" s="1248" customFormat="1" ht="13.5" customHeight="1">
      <c r="A82" s="1614">
        <v>22</v>
      </c>
      <c r="B82" s="1615" t="s">
        <v>5808</v>
      </c>
      <c r="C82" s="1615">
        <v>460242111</v>
      </c>
      <c r="D82" s="1615" t="s">
        <v>5834</v>
      </c>
      <c r="E82" s="1615" t="s">
        <v>205</v>
      </c>
      <c r="F82" s="573">
        <f>ROUND(SUM(F83),3)</f>
        <v>3</v>
      </c>
      <c r="G82" s="288"/>
      <c r="H82" s="568">
        <f>ROUND(F82*G82,2)</f>
        <v>0</v>
      </c>
      <c r="I82" s="613" t="s">
        <v>137</v>
      </c>
      <c r="J82" s="1612"/>
      <c r="BC82" s="1616"/>
      <c r="BD82" s="1616"/>
      <c r="BE82" s="1616"/>
      <c r="BF82" s="1616"/>
      <c r="BG82" s="1616"/>
      <c r="BH82" s="1616"/>
      <c r="BI82" s="1616"/>
      <c r="BJ82" s="1616"/>
      <c r="BK82" s="1616"/>
      <c r="BL82" s="1616"/>
      <c r="BM82" s="1616"/>
      <c r="BN82" s="1616"/>
      <c r="BO82" s="1616"/>
      <c r="BP82" s="1616"/>
      <c r="BQ82" s="1616"/>
      <c r="BR82" s="1616"/>
      <c r="BS82" s="1616"/>
      <c r="BT82" s="1616"/>
      <c r="BU82" s="1616"/>
      <c r="BV82" s="1616"/>
      <c r="BW82" s="1616"/>
      <c r="BX82" s="1616"/>
      <c r="BY82" s="1616"/>
      <c r="BZ82" s="1616"/>
      <c r="CA82" s="1616"/>
      <c r="CB82" s="1616"/>
      <c r="CC82" s="1616"/>
      <c r="CD82" s="1616"/>
      <c r="CE82" s="1616"/>
      <c r="CF82" s="1616"/>
      <c r="CG82" s="1616"/>
      <c r="CH82" s="1616"/>
      <c r="CI82" s="1616"/>
      <c r="CJ82" s="1616"/>
      <c r="CK82" s="1616"/>
      <c r="CL82" s="1616"/>
      <c r="CM82" s="1616"/>
      <c r="CN82" s="1616"/>
      <c r="CO82" s="1616"/>
      <c r="CP82" s="1616"/>
      <c r="CQ82" s="1616"/>
      <c r="CR82" s="1616"/>
      <c r="CS82" s="1616"/>
      <c r="CT82" s="1616"/>
      <c r="CU82" s="1616"/>
      <c r="CV82" s="1616"/>
      <c r="CW82" s="1616"/>
      <c r="CX82" s="1616"/>
      <c r="CY82" s="1616"/>
      <c r="CZ82" s="1616"/>
      <c r="DA82" s="1616"/>
      <c r="DB82" s="1616"/>
      <c r="DC82" s="1616"/>
      <c r="DD82" s="1616"/>
      <c r="DE82" s="1616"/>
      <c r="DF82" s="1616"/>
      <c r="DG82" s="1616"/>
      <c r="DH82" s="1616"/>
      <c r="DI82" s="1616"/>
      <c r="DJ82" s="1616"/>
      <c r="DK82" s="1616"/>
      <c r="DL82" s="1616"/>
      <c r="DM82" s="1616"/>
      <c r="DN82" s="1616"/>
      <c r="DO82" s="1616"/>
      <c r="DP82" s="1616"/>
      <c r="DQ82" s="1616"/>
      <c r="DR82" s="1616"/>
      <c r="DS82" s="1616"/>
      <c r="DT82" s="1616"/>
      <c r="DU82" s="1616"/>
      <c r="DV82" s="1616"/>
      <c r="DW82" s="1616"/>
      <c r="DX82" s="1616"/>
      <c r="DY82" s="1616"/>
      <c r="DZ82" s="1616"/>
      <c r="EA82" s="1616"/>
      <c r="EB82" s="1616"/>
      <c r="EC82" s="1616"/>
      <c r="ED82" s="1616"/>
      <c r="EE82" s="1616"/>
      <c r="EF82" s="1616"/>
      <c r="EG82" s="1616"/>
      <c r="EH82" s="1616"/>
      <c r="EI82" s="1616"/>
      <c r="EJ82" s="1616"/>
      <c r="EK82" s="1616"/>
      <c r="EL82" s="1616"/>
      <c r="EM82" s="1616"/>
      <c r="EN82" s="1616"/>
      <c r="EO82" s="1616"/>
      <c r="EP82" s="1616"/>
      <c r="EQ82" s="1616"/>
      <c r="ER82" s="1616"/>
      <c r="ES82" s="1616"/>
      <c r="ET82" s="1616"/>
      <c r="EU82" s="1616"/>
      <c r="EV82" s="1616"/>
      <c r="EW82" s="1616"/>
      <c r="EX82" s="1616"/>
      <c r="EY82" s="1616"/>
      <c r="EZ82" s="1616"/>
      <c r="FA82" s="1616"/>
      <c r="FB82" s="1616"/>
      <c r="FC82" s="1616"/>
      <c r="FD82" s="1616"/>
      <c r="FE82" s="1616"/>
      <c r="FF82" s="1616"/>
      <c r="FG82" s="1616"/>
      <c r="FH82" s="1616"/>
      <c r="FI82" s="1616"/>
      <c r="FJ82" s="1616"/>
      <c r="FK82" s="1616"/>
      <c r="FL82" s="1616"/>
      <c r="FM82" s="1616"/>
      <c r="FN82" s="1616"/>
      <c r="FO82" s="1616"/>
      <c r="FP82" s="1616"/>
      <c r="FQ82" s="1616"/>
      <c r="FR82" s="1616"/>
      <c r="FS82" s="1616"/>
      <c r="FT82" s="1616"/>
      <c r="FU82" s="1616"/>
      <c r="FV82" s="1616"/>
      <c r="FW82" s="1616"/>
      <c r="FX82" s="1616"/>
      <c r="FY82" s="1616"/>
      <c r="FZ82" s="1616"/>
      <c r="GA82" s="1616"/>
      <c r="GB82" s="1616"/>
      <c r="GC82" s="1616"/>
      <c r="GD82" s="1616"/>
      <c r="GE82" s="1616"/>
      <c r="GF82" s="1616"/>
      <c r="GG82" s="1616"/>
      <c r="GH82" s="1616"/>
      <c r="GI82" s="1616"/>
      <c r="GJ82" s="1616"/>
      <c r="GK82" s="1616"/>
      <c r="GL82" s="1616"/>
      <c r="GM82" s="1616"/>
      <c r="GN82" s="1616"/>
      <c r="GO82" s="1616"/>
      <c r="GP82" s="1616"/>
      <c r="GQ82" s="1616"/>
      <c r="GR82" s="1616"/>
      <c r="GS82" s="1616"/>
      <c r="GT82" s="1616"/>
      <c r="GU82" s="1616"/>
      <c r="GV82" s="1616"/>
      <c r="GW82" s="1616"/>
      <c r="GX82" s="1616"/>
      <c r="GY82" s="1616"/>
      <c r="GZ82" s="1616"/>
      <c r="HA82" s="1616"/>
      <c r="HB82" s="1616"/>
      <c r="HC82" s="1616"/>
      <c r="HD82" s="1616"/>
      <c r="HE82" s="1616"/>
      <c r="HF82" s="1616"/>
      <c r="HG82" s="1616"/>
      <c r="HH82" s="1616"/>
      <c r="HI82" s="1616"/>
      <c r="HJ82" s="1616"/>
      <c r="HK82" s="1616"/>
      <c r="HL82" s="1616"/>
      <c r="HM82" s="1616"/>
      <c r="HN82" s="1616"/>
      <c r="HO82" s="1616"/>
      <c r="HP82" s="1616"/>
      <c r="HQ82" s="1616"/>
      <c r="HR82" s="1616"/>
      <c r="HS82" s="1616"/>
      <c r="HT82" s="1616"/>
      <c r="HU82" s="1616"/>
      <c r="HV82" s="1616"/>
      <c r="HW82" s="1616"/>
      <c r="HX82" s="1616"/>
      <c r="HY82" s="1616"/>
      <c r="HZ82" s="1616"/>
      <c r="IA82" s="1616"/>
      <c r="IB82" s="1616"/>
      <c r="IC82" s="1616"/>
      <c r="ID82" s="1616"/>
      <c r="IE82" s="1616"/>
      <c r="IF82" s="1616"/>
      <c r="IG82" s="1616"/>
      <c r="IH82" s="1616"/>
      <c r="II82" s="1616"/>
      <c r="IJ82" s="1616"/>
      <c r="IK82" s="1616"/>
      <c r="IL82" s="1616"/>
      <c r="IM82" s="1616"/>
      <c r="IN82" s="1616"/>
      <c r="IO82" s="1616"/>
      <c r="IP82" s="1616"/>
      <c r="IQ82" s="1616"/>
      <c r="IR82" s="1616"/>
      <c r="IS82" s="1616"/>
      <c r="IT82" s="1616"/>
      <c r="IU82" s="1616"/>
    </row>
    <row r="83" spans="1:255" s="604" customFormat="1" ht="13.5" customHeight="1">
      <c r="A83" s="595"/>
      <c r="B83" s="596"/>
      <c r="C83" s="597"/>
      <c r="D83" s="719" t="s">
        <v>5835</v>
      </c>
      <c r="E83" s="599"/>
      <c r="F83" s="600">
        <v>3</v>
      </c>
      <c r="G83" s="289"/>
      <c r="H83" s="601"/>
      <c r="I83" s="1620"/>
      <c r="J83" s="606"/>
      <c r="U83" s="605"/>
      <c r="W83" s="605"/>
    </row>
    <row r="84" spans="1:255" s="1248" customFormat="1" ht="13.5" customHeight="1">
      <c r="A84" s="1614">
        <v>23</v>
      </c>
      <c r="B84" s="1615" t="s">
        <v>5808</v>
      </c>
      <c r="C84" s="1615">
        <v>460242121</v>
      </c>
      <c r="D84" s="1615" t="s">
        <v>5836</v>
      </c>
      <c r="E84" s="1615" t="s">
        <v>141</v>
      </c>
      <c r="F84" s="573">
        <f>ROUND(SUM(F85),3)</f>
        <v>2</v>
      </c>
      <c r="G84" s="288"/>
      <c r="H84" s="568">
        <f>ROUND(F84*G84,2)</f>
        <v>0</v>
      </c>
      <c r="I84" s="613" t="s">
        <v>137</v>
      </c>
      <c r="J84" s="1612"/>
      <c r="BC84" s="1616"/>
      <c r="BD84" s="1616"/>
      <c r="BE84" s="1616"/>
      <c r="BF84" s="1616"/>
      <c r="BG84" s="1616"/>
      <c r="BH84" s="1616"/>
      <c r="BI84" s="1616"/>
      <c r="BJ84" s="1616"/>
      <c r="BK84" s="1616"/>
      <c r="BL84" s="1616"/>
      <c r="BM84" s="1616"/>
      <c r="BN84" s="1616"/>
      <c r="BO84" s="1616"/>
      <c r="BP84" s="1616"/>
      <c r="BQ84" s="1616"/>
      <c r="BR84" s="1616"/>
      <c r="BS84" s="1616"/>
      <c r="BT84" s="1616"/>
      <c r="BU84" s="1616"/>
      <c r="BV84" s="1616"/>
      <c r="BW84" s="1616"/>
      <c r="BX84" s="1616"/>
      <c r="BY84" s="1616"/>
      <c r="BZ84" s="1616"/>
      <c r="CA84" s="1616"/>
      <c r="CB84" s="1616"/>
      <c r="CC84" s="1616"/>
      <c r="CD84" s="1616"/>
      <c r="CE84" s="1616"/>
      <c r="CF84" s="1616"/>
      <c r="CG84" s="1616"/>
      <c r="CH84" s="1616"/>
      <c r="CI84" s="1616"/>
      <c r="CJ84" s="1616"/>
      <c r="CK84" s="1616"/>
      <c r="CL84" s="1616"/>
      <c r="CM84" s="1616"/>
      <c r="CN84" s="1616"/>
      <c r="CO84" s="1616"/>
      <c r="CP84" s="1616"/>
      <c r="CQ84" s="1616"/>
      <c r="CR84" s="1616"/>
      <c r="CS84" s="1616"/>
      <c r="CT84" s="1616"/>
      <c r="CU84" s="1616"/>
      <c r="CV84" s="1616"/>
      <c r="CW84" s="1616"/>
      <c r="CX84" s="1616"/>
      <c r="CY84" s="1616"/>
      <c r="CZ84" s="1616"/>
      <c r="DA84" s="1616"/>
      <c r="DB84" s="1616"/>
      <c r="DC84" s="1616"/>
      <c r="DD84" s="1616"/>
      <c r="DE84" s="1616"/>
      <c r="DF84" s="1616"/>
      <c r="DG84" s="1616"/>
      <c r="DH84" s="1616"/>
      <c r="DI84" s="1616"/>
      <c r="DJ84" s="1616"/>
      <c r="DK84" s="1616"/>
      <c r="DL84" s="1616"/>
      <c r="DM84" s="1616"/>
      <c r="DN84" s="1616"/>
      <c r="DO84" s="1616"/>
      <c r="DP84" s="1616"/>
      <c r="DQ84" s="1616"/>
      <c r="DR84" s="1616"/>
      <c r="DS84" s="1616"/>
      <c r="DT84" s="1616"/>
      <c r="DU84" s="1616"/>
      <c r="DV84" s="1616"/>
      <c r="DW84" s="1616"/>
      <c r="DX84" s="1616"/>
      <c r="DY84" s="1616"/>
      <c r="DZ84" s="1616"/>
      <c r="EA84" s="1616"/>
      <c r="EB84" s="1616"/>
      <c r="EC84" s="1616"/>
      <c r="ED84" s="1616"/>
      <c r="EE84" s="1616"/>
      <c r="EF84" s="1616"/>
      <c r="EG84" s="1616"/>
      <c r="EH84" s="1616"/>
      <c r="EI84" s="1616"/>
      <c r="EJ84" s="1616"/>
      <c r="EK84" s="1616"/>
      <c r="EL84" s="1616"/>
      <c r="EM84" s="1616"/>
      <c r="EN84" s="1616"/>
      <c r="EO84" s="1616"/>
      <c r="EP84" s="1616"/>
      <c r="EQ84" s="1616"/>
      <c r="ER84" s="1616"/>
      <c r="ES84" s="1616"/>
      <c r="ET84" s="1616"/>
      <c r="EU84" s="1616"/>
      <c r="EV84" s="1616"/>
      <c r="EW84" s="1616"/>
      <c r="EX84" s="1616"/>
      <c r="EY84" s="1616"/>
      <c r="EZ84" s="1616"/>
      <c r="FA84" s="1616"/>
      <c r="FB84" s="1616"/>
      <c r="FC84" s="1616"/>
      <c r="FD84" s="1616"/>
      <c r="FE84" s="1616"/>
      <c r="FF84" s="1616"/>
      <c r="FG84" s="1616"/>
      <c r="FH84" s="1616"/>
      <c r="FI84" s="1616"/>
      <c r="FJ84" s="1616"/>
      <c r="FK84" s="1616"/>
      <c r="FL84" s="1616"/>
      <c r="FM84" s="1616"/>
      <c r="FN84" s="1616"/>
      <c r="FO84" s="1616"/>
      <c r="FP84" s="1616"/>
      <c r="FQ84" s="1616"/>
      <c r="FR84" s="1616"/>
      <c r="FS84" s="1616"/>
      <c r="FT84" s="1616"/>
      <c r="FU84" s="1616"/>
      <c r="FV84" s="1616"/>
      <c r="FW84" s="1616"/>
      <c r="FX84" s="1616"/>
      <c r="FY84" s="1616"/>
      <c r="FZ84" s="1616"/>
      <c r="GA84" s="1616"/>
      <c r="GB84" s="1616"/>
      <c r="GC84" s="1616"/>
      <c r="GD84" s="1616"/>
      <c r="GE84" s="1616"/>
      <c r="GF84" s="1616"/>
      <c r="GG84" s="1616"/>
      <c r="GH84" s="1616"/>
      <c r="GI84" s="1616"/>
      <c r="GJ84" s="1616"/>
      <c r="GK84" s="1616"/>
      <c r="GL84" s="1616"/>
      <c r="GM84" s="1616"/>
      <c r="GN84" s="1616"/>
      <c r="GO84" s="1616"/>
      <c r="GP84" s="1616"/>
      <c r="GQ84" s="1616"/>
      <c r="GR84" s="1616"/>
      <c r="GS84" s="1616"/>
      <c r="GT84" s="1616"/>
      <c r="GU84" s="1616"/>
      <c r="GV84" s="1616"/>
      <c r="GW84" s="1616"/>
      <c r="GX84" s="1616"/>
      <c r="GY84" s="1616"/>
      <c r="GZ84" s="1616"/>
      <c r="HA84" s="1616"/>
      <c r="HB84" s="1616"/>
      <c r="HC84" s="1616"/>
      <c r="HD84" s="1616"/>
      <c r="HE84" s="1616"/>
      <c r="HF84" s="1616"/>
      <c r="HG84" s="1616"/>
      <c r="HH84" s="1616"/>
      <c r="HI84" s="1616"/>
      <c r="HJ84" s="1616"/>
      <c r="HK84" s="1616"/>
      <c r="HL84" s="1616"/>
      <c r="HM84" s="1616"/>
      <c r="HN84" s="1616"/>
      <c r="HO84" s="1616"/>
      <c r="HP84" s="1616"/>
      <c r="HQ84" s="1616"/>
      <c r="HR84" s="1616"/>
      <c r="HS84" s="1616"/>
      <c r="HT84" s="1616"/>
      <c r="HU84" s="1616"/>
      <c r="HV84" s="1616"/>
      <c r="HW84" s="1616"/>
      <c r="HX84" s="1616"/>
      <c r="HY84" s="1616"/>
      <c r="HZ84" s="1616"/>
      <c r="IA84" s="1616"/>
      <c r="IB84" s="1616"/>
      <c r="IC84" s="1616"/>
      <c r="ID84" s="1616"/>
      <c r="IE84" s="1616"/>
      <c r="IF84" s="1616"/>
      <c r="IG84" s="1616"/>
      <c r="IH84" s="1616"/>
      <c r="II84" s="1616"/>
      <c r="IJ84" s="1616"/>
      <c r="IK84" s="1616"/>
      <c r="IL84" s="1616"/>
      <c r="IM84" s="1616"/>
      <c r="IN84" s="1616"/>
      <c r="IO84" s="1616"/>
      <c r="IP84" s="1616"/>
      <c r="IQ84" s="1616"/>
      <c r="IR84" s="1616"/>
      <c r="IS84" s="1616"/>
      <c r="IT84" s="1616"/>
      <c r="IU84" s="1616"/>
    </row>
    <row r="85" spans="1:255" s="604" customFormat="1" ht="13.5" customHeight="1">
      <c r="A85" s="595"/>
      <c r="B85" s="596"/>
      <c r="C85" s="597"/>
      <c r="D85" s="719" t="s">
        <v>5835</v>
      </c>
      <c r="E85" s="599"/>
      <c r="F85" s="600">
        <v>2</v>
      </c>
      <c r="G85" s="289"/>
      <c r="H85" s="601"/>
      <c r="I85" s="1620"/>
      <c r="J85" s="606"/>
      <c r="U85" s="605"/>
      <c r="W85" s="605"/>
    </row>
    <row r="86" spans="1:255" s="1248" customFormat="1" ht="13.5" customHeight="1">
      <c r="A86" s="1614">
        <v>24</v>
      </c>
      <c r="B86" s="1615" t="s">
        <v>5808</v>
      </c>
      <c r="C86" s="1615">
        <v>460242211</v>
      </c>
      <c r="D86" s="1615" t="s">
        <v>5837</v>
      </c>
      <c r="E86" s="1615" t="s">
        <v>205</v>
      </c>
      <c r="F86" s="573">
        <f>ROUND(SUM(F87),3)</f>
        <v>2</v>
      </c>
      <c r="G86" s="288"/>
      <c r="H86" s="568">
        <f>ROUND(F86*G86,2)</f>
        <v>0</v>
      </c>
      <c r="I86" s="613" t="s">
        <v>137</v>
      </c>
      <c r="J86" s="1612"/>
      <c r="BC86" s="1616"/>
      <c r="BD86" s="1616"/>
      <c r="BE86" s="1616"/>
      <c r="BF86" s="1616"/>
      <c r="BG86" s="1616"/>
      <c r="BH86" s="1616"/>
      <c r="BI86" s="1616"/>
      <c r="BJ86" s="1616"/>
      <c r="BK86" s="1616"/>
      <c r="BL86" s="1616"/>
      <c r="BM86" s="1616"/>
      <c r="BN86" s="1616"/>
      <c r="BO86" s="1616"/>
      <c r="BP86" s="1616"/>
      <c r="BQ86" s="1616"/>
      <c r="BR86" s="1616"/>
      <c r="BS86" s="1616"/>
      <c r="BT86" s="1616"/>
      <c r="BU86" s="1616"/>
      <c r="BV86" s="1616"/>
      <c r="BW86" s="1616"/>
      <c r="BX86" s="1616"/>
      <c r="BY86" s="1616"/>
      <c r="BZ86" s="1616"/>
      <c r="CA86" s="1616"/>
      <c r="CB86" s="1616"/>
      <c r="CC86" s="1616"/>
      <c r="CD86" s="1616"/>
      <c r="CE86" s="1616"/>
      <c r="CF86" s="1616"/>
      <c r="CG86" s="1616"/>
      <c r="CH86" s="1616"/>
      <c r="CI86" s="1616"/>
      <c r="CJ86" s="1616"/>
      <c r="CK86" s="1616"/>
      <c r="CL86" s="1616"/>
      <c r="CM86" s="1616"/>
      <c r="CN86" s="1616"/>
      <c r="CO86" s="1616"/>
      <c r="CP86" s="1616"/>
      <c r="CQ86" s="1616"/>
      <c r="CR86" s="1616"/>
      <c r="CS86" s="1616"/>
      <c r="CT86" s="1616"/>
      <c r="CU86" s="1616"/>
      <c r="CV86" s="1616"/>
      <c r="CW86" s="1616"/>
      <c r="CX86" s="1616"/>
      <c r="CY86" s="1616"/>
      <c r="CZ86" s="1616"/>
      <c r="DA86" s="1616"/>
      <c r="DB86" s="1616"/>
      <c r="DC86" s="1616"/>
      <c r="DD86" s="1616"/>
      <c r="DE86" s="1616"/>
      <c r="DF86" s="1616"/>
      <c r="DG86" s="1616"/>
      <c r="DH86" s="1616"/>
      <c r="DI86" s="1616"/>
      <c r="DJ86" s="1616"/>
      <c r="DK86" s="1616"/>
      <c r="DL86" s="1616"/>
      <c r="DM86" s="1616"/>
      <c r="DN86" s="1616"/>
      <c r="DO86" s="1616"/>
      <c r="DP86" s="1616"/>
      <c r="DQ86" s="1616"/>
      <c r="DR86" s="1616"/>
      <c r="DS86" s="1616"/>
      <c r="DT86" s="1616"/>
      <c r="DU86" s="1616"/>
      <c r="DV86" s="1616"/>
      <c r="DW86" s="1616"/>
      <c r="DX86" s="1616"/>
      <c r="DY86" s="1616"/>
      <c r="DZ86" s="1616"/>
      <c r="EA86" s="1616"/>
      <c r="EB86" s="1616"/>
      <c r="EC86" s="1616"/>
      <c r="ED86" s="1616"/>
      <c r="EE86" s="1616"/>
      <c r="EF86" s="1616"/>
      <c r="EG86" s="1616"/>
      <c r="EH86" s="1616"/>
      <c r="EI86" s="1616"/>
      <c r="EJ86" s="1616"/>
      <c r="EK86" s="1616"/>
      <c r="EL86" s="1616"/>
      <c r="EM86" s="1616"/>
      <c r="EN86" s="1616"/>
      <c r="EO86" s="1616"/>
      <c r="EP86" s="1616"/>
      <c r="EQ86" s="1616"/>
      <c r="ER86" s="1616"/>
      <c r="ES86" s="1616"/>
      <c r="ET86" s="1616"/>
      <c r="EU86" s="1616"/>
      <c r="EV86" s="1616"/>
      <c r="EW86" s="1616"/>
      <c r="EX86" s="1616"/>
      <c r="EY86" s="1616"/>
      <c r="EZ86" s="1616"/>
      <c r="FA86" s="1616"/>
      <c r="FB86" s="1616"/>
      <c r="FC86" s="1616"/>
      <c r="FD86" s="1616"/>
      <c r="FE86" s="1616"/>
      <c r="FF86" s="1616"/>
      <c r="FG86" s="1616"/>
      <c r="FH86" s="1616"/>
      <c r="FI86" s="1616"/>
      <c r="FJ86" s="1616"/>
      <c r="FK86" s="1616"/>
      <c r="FL86" s="1616"/>
      <c r="FM86" s="1616"/>
      <c r="FN86" s="1616"/>
      <c r="FO86" s="1616"/>
      <c r="FP86" s="1616"/>
      <c r="FQ86" s="1616"/>
      <c r="FR86" s="1616"/>
      <c r="FS86" s="1616"/>
      <c r="FT86" s="1616"/>
      <c r="FU86" s="1616"/>
      <c r="FV86" s="1616"/>
      <c r="FW86" s="1616"/>
      <c r="FX86" s="1616"/>
      <c r="FY86" s="1616"/>
      <c r="FZ86" s="1616"/>
      <c r="GA86" s="1616"/>
      <c r="GB86" s="1616"/>
      <c r="GC86" s="1616"/>
      <c r="GD86" s="1616"/>
      <c r="GE86" s="1616"/>
      <c r="GF86" s="1616"/>
      <c r="GG86" s="1616"/>
      <c r="GH86" s="1616"/>
      <c r="GI86" s="1616"/>
      <c r="GJ86" s="1616"/>
      <c r="GK86" s="1616"/>
      <c r="GL86" s="1616"/>
      <c r="GM86" s="1616"/>
      <c r="GN86" s="1616"/>
      <c r="GO86" s="1616"/>
      <c r="GP86" s="1616"/>
      <c r="GQ86" s="1616"/>
      <c r="GR86" s="1616"/>
      <c r="GS86" s="1616"/>
      <c r="GT86" s="1616"/>
      <c r="GU86" s="1616"/>
      <c r="GV86" s="1616"/>
      <c r="GW86" s="1616"/>
      <c r="GX86" s="1616"/>
      <c r="GY86" s="1616"/>
      <c r="GZ86" s="1616"/>
      <c r="HA86" s="1616"/>
      <c r="HB86" s="1616"/>
      <c r="HC86" s="1616"/>
      <c r="HD86" s="1616"/>
      <c r="HE86" s="1616"/>
      <c r="HF86" s="1616"/>
      <c r="HG86" s="1616"/>
      <c r="HH86" s="1616"/>
      <c r="HI86" s="1616"/>
      <c r="HJ86" s="1616"/>
      <c r="HK86" s="1616"/>
      <c r="HL86" s="1616"/>
      <c r="HM86" s="1616"/>
      <c r="HN86" s="1616"/>
      <c r="HO86" s="1616"/>
      <c r="HP86" s="1616"/>
      <c r="HQ86" s="1616"/>
      <c r="HR86" s="1616"/>
      <c r="HS86" s="1616"/>
      <c r="HT86" s="1616"/>
      <c r="HU86" s="1616"/>
      <c r="HV86" s="1616"/>
      <c r="HW86" s="1616"/>
      <c r="HX86" s="1616"/>
      <c r="HY86" s="1616"/>
      <c r="HZ86" s="1616"/>
      <c r="IA86" s="1616"/>
      <c r="IB86" s="1616"/>
      <c r="IC86" s="1616"/>
      <c r="ID86" s="1616"/>
      <c r="IE86" s="1616"/>
      <c r="IF86" s="1616"/>
      <c r="IG86" s="1616"/>
      <c r="IH86" s="1616"/>
      <c r="II86" s="1616"/>
      <c r="IJ86" s="1616"/>
      <c r="IK86" s="1616"/>
      <c r="IL86" s="1616"/>
      <c r="IM86" s="1616"/>
      <c r="IN86" s="1616"/>
      <c r="IO86" s="1616"/>
      <c r="IP86" s="1616"/>
      <c r="IQ86" s="1616"/>
      <c r="IR86" s="1616"/>
      <c r="IS86" s="1616"/>
      <c r="IT86" s="1616"/>
      <c r="IU86" s="1616"/>
    </row>
    <row r="87" spans="1:255" s="604" customFormat="1" ht="13.5" customHeight="1">
      <c r="A87" s="595"/>
      <c r="B87" s="596"/>
      <c r="C87" s="597"/>
      <c r="D87" s="719" t="s">
        <v>5838</v>
      </c>
      <c r="E87" s="599"/>
      <c r="F87" s="600">
        <v>2</v>
      </c>
      <c r="G87" s="289"/>
      <c r="H87" s="601"/>
      <c r="I87" s="1620"/>
      <c r="J87" s="606"/>
      <c r="U87" s="605"/>
      <c r="W87" s="605"/>
    </row>
    <row r="88" spans="1:255" s="1248" customFormat="1" ht="13.5" customHeight="1">
      <c r="A88" s="1614">
        <v>25</v>
      </c>
      <c r="B88" s="1615" t="s">
        <v>5808</v>
      </c>
      <c r="C88" s="1615">
        <v>460242221</v>
      </c>
      <c r="D88" s="1615" t="s">
        <v>5839</v>
      </c>
      <c r="E88" s="1615" t="s">
        <v>141</v>
      </c>
      <c r="F88" s="573">
        <f>ROUND(SUM(F89),3)</f>
        <v>6</v>
      </c>
      <c r="G88" s="288"/>
      <c r="H88" s="568">
        <f>ROUND(F88*G88,2)</f>
        <v>0</v>
      </c>
      <c r="I88" s="613" t="s">
        <v>137</v>
      </c>
      <c r="J88" s="1612"/>
      <c r="BC88" s="1616"/>
      <c r="BD88" s="1616"/>
      <c r="BE88" s="1616"/>
      <c r="BF88" s="1616"/>
      <c r="BG88" s="1616"/>
      <c r="BH88" s="1616"/>
      <c r="BI88" s="1616"/>
      <c r="BJ88" s="1616"/>
      <c r="BK88" s="1616"/>
      <c r="BL88" s="1616"/>
      <c r="BM88" s="1616"/>
      <c r="BN88" s="1616"/>
      <c r="BO88" s="1616"/>
      <c r="BP88" s="1616"/>
      <c r="BQ88" s="1616"/>
      <c r="BR88" s="1616"/>
      <c r="BS88" s="1616"/>
      <c r="BT88" s="1616"/>
      <c r="BU88" s="1616"/>
      <c r="BV88" s="1616"/>
      <c r="BW88" s="1616"/>
      <c r="BX88" s="1616"/>
      <c r="BY88" s="1616"/>
      <c r="BZ88" s="1616"/>
      <c r="CA88" s="1616"/>
      <c r="CB88" s="1616"/>
      <c r="CC88" s="1616"/>
      <c r="CD88" s="1616"/>
      <c r="CE88" s="1616"/>
      <c r="CF88" s="1616"/>
      <c r="CG88" s="1616"/>
      <c r="CH88" s="1616"/>
      <c r="CI88" s="1616"/>
      <c r="CJ88" s="1616"/>
      <c r="CK88" s="1616"/>
      <c r="CL88" s="1616"/>
      <c r="CM88" s="1616"/>
      <c r="CN88" s="1616"/>
      <c r="CO88" s="1616"/>
      <c r="CP88" s="1616"/>
      <c r="CQ88" s="1616"/>
      <c r="CR88" s="1616"/>
      <c r="CS88" s="1616"/>
      <c r="CT88" s="1616"/>
      <c r="CU88" s="1616"/>
      <c r="CV88" s="1616"/>
      <c r="CW88" s="1616"/>
      <c r="CX88" s="1616"/>
      <c r="CY88" s="1616"/>
      <c r="CZ88" s="1616"/>
      <c r="DA88" s="1616"/>
      <c r="DB88" s="1616"/>
      <c r="DC88" s="1616"/>
      <c r="DD88" s="1616"/>
      <c r="DE88" s="1616"/>
      <c r="DF88" s="1616"/>
      <c r="DG88" s="1616"/>
      <c r="DH88" s="1616"/>
      <c r="DI88" s="1616"/>
      <c r="DJ88" s="1616"/>
      <c r="DK88" s="1616"/>
      <c r="DL88" s="1616"/>
      <c r="DM88" s="1616"/>
      <c r="DN88" s="1616"/>
      <c r="DO88" s="1616"/>
      <c r="DP88" s="1616"/>
      <c r="DQ88" s="1616"/>
      <c r="DR88" s="1616"/>
      <c r="DS88" s="1616"/>
      <c r="DT88" s="1616"/>
      <c r="DU88" s="1616"/>
      <c r="DV88" s="1616"/>
      <c r="DW88" s="1616"/>
      <c r="DX88" s="1616"/>
      <c r="DY88" s="1616"/>
      <c r="DZ88" s="1616"/>
      <c r="EA88" s="1616"/>
      <c r="EB88" s="1616"/>
      <c r="EC88" s="1616"/>
      <c r="ED88" s="1616"/>
      <c r="EE88" s="1616"/>
      <c r="EF88" s="1616"/>
      <c r="EG88" s="1616"/>
      <c r="EH88" s="1616"/>
      <c r="EI88" s="1616"/>
      <c r="EJ88" s="1616"/>
      <c r="EK88" s="1616"/>
      <c r="EL88" s="1616"/>
      <c r="EM88" s="1616"/>
      <c r="EN88" s="1616"/>
      <c r="EO88" s="1616"/>
      <c r="EP88" s="1616"/>
      <c r="EQ88" s="1616"/>
      <c r="ER88" s="1616"/>
      <c r="ES88" s="1616"/>
      <c r="ET88" s="1616"/>
      <c r="EU88" s="1616"/>
      <c r="EV88" s="1616"/>
      <c r="EW88" s="1616"/>
      <c r="EX88" s="1616"/>
      <c r="EY88" s="1616"/>
      <c r="EZ88" s="1616"/>
      <c r="FA88" s="1616"/>
      <c r="FB88" s="1616"/>
      <c r="FC88" s="1616"/>
      <c r="FD88" s="1616"/>
      <c r="FE88" s="1616"/>
      <c r="FF88" s="1616"/>
      <c r="FG88" s="1616"/>
      <c r="FH88" s="1616"/>
      <c r="FI88" s="1616"/>
      <c r="FJ88" s="1616"/>
      <c r="FK88" s="1616"/>
      <c r="FL88" s="1616"/>
      <c r="FM88" s="1616"/>
      <c r="FN88" s="1616"/>
      <c r="FO88" s="1616"/>
      <c r="FP88" s="1616"/>
      <c r="FQ88" s="1616"/>
      <c r="FR88" s="1616"/>
      <c r="FS88" s="1616"/>
      <c r="FT88" s="1616"/>
      <c r="FU88" s="1616"/>
      <c r="FV88" s="1616"/>
      <c r="FW88" s="1616"/>
      <c r="FX88" s="1616"/>
      <c r="FY88" s="1616"/>
      <c r="FZ88" s="1616"/>
      <c r="GA88" s="1616"/>
      <c r="GB88" s="1616"/>
      <c r="GC88" s="1616"/>
      <c r="GD88" s="1616"/>
      <c r="GE88" s="1616"/>
      <c r="GF88" s="1616"/>
      <c r="GG88" s="1616"/>
      <c r="GH88" s="1616"/>
      <c r="GI88" s="1616"/>
      <c r="GJ88" s="1616"/>
      <c r="GK88" s="1616"/>
      <c r="GL88" s="1616"/>
      <c r="GM88" s="1616"/>
      <c r="GN88" s="1616"/>
      <c r="GO88" s="1616"/>
      <c r="GP88" s="1616"/>
      <c r="GQ88" s="1616"/>
      <c r="GR88" s="1616"/>
      <c r="GS88" s="1616"/>
      <c r="GT88" s="1616"/>
      <c r="GU88" s="1616"/>
      <c r="GV88" s="1616"/>
      <c r="GW88" s="1616"/>
      <c r="GX88" s="1616"/>
      <c r="GY88" s="1616"/>
      <c r="GZ88" s="1616"/>
      <c r="HA88" s="1616"/>
      <c r="HB88" s="1616"/>
      <c r="HC88" s="1616"/>
      <c r="HD88" s="1616"/>
      <c r="HE88" s="1616"/>
      <c r="HF88" s="1616"/>
      <c r="HG88" s="1616"/>
      <c r="HH88" s="1616"/>
      <c r="HI88" s="1616"/>
      <c r="HJ88" s="1616"/>
      <c r="HK88" s="1616"/>
      <c r="HL88" s="1616"/>
      <c r="HM88" s="1616"/>
      <c r="HN88" s="1616"/>
      <c r="HO88" s="1616"/>
      <c r="HP88" s="1616"/>
      <c r="HQ88" s="1616"/>
      <c r="HR88" s="1616"/>
      <c r="HS88" s="1616"/>
      <c r="HT88" s="1616"/>
      <c r="HU88" s="1616"/>
      <c r="HV88" s="1616"/>
      <c r="HW88" s="1616"/>
      <c r="HX88" s="1616"/>
      <c r="HY88" s="1616"/>
      <c r="HZ88" s="1616"/>
      <c r="IA88" s="1616"/>
      <c r="IB88" s="1616"/>
      <c r="IC88" s="1616"/>
      <c r="ID88" s="1616"/>
      <c r="IE88" s="1616"/>
      <c r="IF88" s="1616"/>
      <c r="IG88" s="1616"/>
      <c r="IH88" s="1616"/>
      <c r="II88" s="1616"/>
      <c r="IJ88" s="1616"/>
      <c r="IK88" s="1616"/>
      <c r="IL88" s="1616"/>
      <c r="IM88" s="1616"/>
      <c r="IN88" s="1616"/>
      <c r="IO88" s="1616"/>
      <c r="IP88" s="1616"/>
      <c r="IQ88" s="1616"/>
      <c r="IR88" s="1616"/>
      <c r="IS88" s="1616"/>
      <c r="IT88" s="1616"/>
      <c r="IU88" s="1616"/>
    </row>
    <row r="89" spans="1:255" s="604" customFormat="1" ht="13.5" customHeight="1">
      <c r="A89" s="595"/>
      <c r="B89" s="596"/>
      <c r="C89" s="597"/>
      <c r="D89" s="719" t="s">
        <v>5838</v>
      </c>
      <c r="E89" s="599"/>
      <c r="F89" s="600">
        <v>6</v>
      </c>
      <c r="G89" s="289"/>
      <c r="H89" s="601"/>
      <c r="I89" s="1620"/>
      <c r="J89" s="606"/>
      <c r="U89" s="605"/>
      <c r="W89" s="605"/>
    </row>
    <row r="90" spans="1:255" s="1248" customFormat="1" ht="13.5" customHeight="1">
      <c r="A90" s="1614">
        <v>26</v>
      </c>
      <c r="B90" s="1615" t="s">
        <v>5808</v>
      </c>
      <c r="C90" s="1615">
        <v>460451432</v>
      </c>
      <c r="D90" s="1615" t="s">
        <v>5840</v>
      </c>
      <c r="E90" s="1615" t="s">
        <v>141</v>
      </c>
      <c r="F90" s="573">
        <f>ROUND(SUM(F92),3)</f>
        <v>5.22</v>
      </c>
      <c r="G90" s="288"/>
      <c r="H90" s="568">
        <f>ROUND(F90*G90,2)</f>
        <v>0</v>
      </c>
      <c r="I90" s="613" t="s">
        <v>137</v>
      </c>
      <c r="J90" s="1621"/>
      <c r="BC90" s="1616"/>
      <c r="BD90" s="1616"/>
      <c r="BE90" s="1616"/>
      <c r="BF90" s="1616"/>
      <c r="BG90" s="1616"/>
      <c r="BH90" s="1616"/>
      <c r="BI90" s="1616"/>
      <c r="BJ90" s="1616"/>
      <c r="BK90" s="1616"/>
      <c r="BL90" s="1616"/>
      <c r="BM90" s="1616"/>
      <c r="BN90" s="1616"/>
      <c r="BO90" s="1616"/>
      <c r="BP90" s="1616"/>
      <c r="BQ90" s="1616"/>
      <c r="BR90" s="1616"/>
      <c r="BS90" s="1616"/>
      <c r="BT90" s="1616"/>
      <c r="BU90" s="1616"/>
      <c r="BV90" s="1616"/>
      <c r="BW90" s="1616"/>
      <c r="BX90" s="1616"/>
      <c r="BY90" s="1616"/>
      <c r="BZ90" s="1616"/>
      <c r="CA90" s="1616"/>
      <c r="CB90" s="1616"/>
      <c r="CC90" s="1616"/>
      <c r="CD90" s="1616"/>
      <c r="CE90" s="1616"/>
      <c r="CF90" s="1616"/>
      <c r="CG90" s="1616"/>
      <c r="CH90" s="1616"/>
      <c r="CI90" s="1616"/>
      <c r="CJ90" s="1616"/>
      <c r="CK90" s="1616"/>
      <c r="CL90" s="1616"/>
      <c r="CM90" s="1616"/>
      <c r="CN90" s="1616"/>
      <c r="CO90" s="1616"/>
      <c r="CP90" s="1616"/>
      <c r="CQ90" s="1616"/>
      <c r="CR90" s="1616"/>
      <c r="CS90" s="1616"/>
      <c r="CT90" s="1616"/>
      <c r="CU90" s="1616"/>
      <c r="CV90" s="1616"/>
      <c r="CW90" s="1616"/>
      <c r="CX90" s="1616"/>
      <c r="CY90" s="1616"/>
      <c r="CZ90" s="1616"/>
      <c r="DA90" s="1616"/>
      <c r="DB90" s="1616"/>
      <c r="DC90" s="1616"/>
      <c r="DD90" s="1616"/>
      <c r="DE90" s="1616"/>
      <c r="DF90" s="1616"/>
      <c r="DG90" s="1616"/>
      <c r="DH90" s="1616"/>
      <c r="DI90" s="1616"/>
      <c r="DJ90" s="1616"/>
      <c r="DK90" s="1616"/>
      <c r="DL90" s="1616"/>
      <c r="DM90" s="1616"/>
      <c r="DN90" s="1616"/>
      <c r="DO90" s="1616"/>
      <c r="DP90" s="1616"/>
      <c r="DQ90" s="1616"/>
      <c r="DR90" s="1616"/>
      <c r="DS90" s="1616"/>
      <c r="DT90" s="1616"/>
      <c r="DU90" s="1616"/>
      <c r="DV90" s="1616"/>
      <c r="DW90" s="1616"/>
      <c r="DX90" s="1616"/>
      <c r="DY90" s="1616"/>
      <c r="DZ90" s="1616"/>
      <c r="EA90" s="1616"/>
      <c r="EB90" s="1616"/>
      <c r="EC90" s="1616"/>
      <c r="ED90" s="1616"/>
      <c r="EE90" s="1616"/>
      <c r="EF90" s="1616"/>
      <c r="EG90" s="1616"/>
      <c r="EH90" s="1616"/>
      <c r="EI90" s="1616"/>
      <c r="EJ90" s="1616"/>
      <c r="EK90" s="1616"/>
      <c r="EL90" s="1616"/>
      <c r="EM90" s="1616"/>
      <c r="EN90" s="1616"/>
      <c r="EO90" s="1616"/>
      <c r="EP90" s="1616"/>
      <c r="EQ90" s="1616"/>
      <c r="ER90" s="1616"/>
      <c r="ES90" s="1616"/>
      <c r="ET90" s="1616"/>
      <c r="EU90" s="1616"/>
      <c r="EV90" s="1616"/>
      <c r="EW90" s="1616"/>
      <c r="EX90" s="1616"/>
      <c r="EY90" s="1616"/>
      <c r="EZ90" s="1616"/>
      <c r="FA90" s="1616"/>
      <c r="FB90" s="1616"/>
      <c r="FC90" s="1616"/>
      <c r="FD90" s="1616"/>
      <c r="FE90" s="1616"/>
      <c r="FF90" s="1616"/>
      <c r="FG90" s="1616"/>
      <c r="FH90" s="1616"/>
      <c r="FI90" s="1616"/>
      <c r="FJ90" s="1616"/>
      <c r="FK90" s="1616"/>
      <c r="FL90" s="1616"/>
      <c r="FM90" s="1616"/>
      <c r="FN90" s="1616"/>
      <c r="FO90" s="1616"/>
      <c r="FP90" s="1616"/>
      <c r="FQ90" s="1616"/>
      <c r="FR90" s="1616"/>
      <c r="FS90" s="1616"/>
      <c r="FT90" s="1616"/>
      <c r="FU90" s="1616"/>
      <c r="FV90" s="1616"/>
      <c r="FW90" s="1616"/>
      <c r="FX90" s="1616"/>
      <c r="FY90" s="1616"/>
      <c r="FZ90" s="1616"/>
      <c r="GA90" s="1616"/>
      <c r="GB90" s="1616"/>
      <c r="GC90" s="1616"/>
      <c r="GD90" s="1616"/>
      <c r="GE90" s="1616"/>
      <c r="GF90" s="1616"/>
      <c r="GG90" s="1616"/>
      <c r="GH90" s="1616"/>
      <c r="GI90" s="1616"/>
      <c r="GJ90" s="1616"/>
      <c r="GK90" s="1616"/>
      <c r="GL90" s="1616"/>
      <c r="GM90" s="1616"/>
      <c r="GN90" s="1616"/>
      <c r="GO90" s="1616"/>
      <c r="GP90" s="1616"/>
      <c r="GQ90" s="1616"/>
      <c r="GR90" s="1616"/>
      <c r="GS90" s="1616"/>
      <c r="GT90" s="1616"/>
      <c r="GU90" s="1616"/>
      <c r="GV90" s="1616"/>
      <c r="GW90" s="1616"/>
      <c r="GX90" s="1616"/>
      <c r="GY90" s="1616"/>
      <c r="GZ90" s="1616"/>
      <c r="HA90" s="1616"/>
      <c r="HB90" s="1616"/>
      <c r="HC90" s="1616"/>
      <c r="HD90" s="1616"/>
      <c r="HE90" s="1616"/>
      <c r="HF90" s="1616"/>
      <c r="HG90" s="1616"/>
      <c r="HH90" s="1616"/>
      <c r="HI90" s="1616"/>
      <c r="HJ90" s="1616"/>
      <c r="HK90" s="1616"/>
      <c r="HL90" s="1616"/>
      <c r="HM90" s="1616"/>
      <c r="HN90" s="1616"/>
      <c r="HO90" s="1616"/>
      <c r="HP90" s="1616"/>
      <c r="HQ90" s="1616"/>
      <c r="HR90" s="1616"/>
      <c r="HS90" s="1616"/>
      <c r="HT90" s="1616"/>
      <c r="HU90" s="1616"/>
      <c r="HV90" s="1616"/>
      <c r="HW90" s="1616"/>
      <c r="HX90" s="1616"/>
      <c r="HY90" s="1616"/>
      <c r="HZ90" s="1616"/>
      <c r="IA90" s="1616"/>
      <c r="IB90" s="1616"/>
      <c r="IC90" s="1616"/>
      <c r="ID90" s="1616"/>
      <c r="IE90" s="1616"/>
      <c r="IF90" s="1616"/>
      <c r="IG90" s="1616"/>
      <c r="IH90" s="1616"/>
      <c r="II90" s="1616"/>
      <c r="IJ90" s="1616"/>
      <c r="IK90" s="1616"/>
      <c r="IL90" s="1616"/>
      <c r="IM90" s="1616"/>
      <c r="IN90" s="1616"/>
      <c r="IO90" s="1616"/>
      <c r="IP90" s="1616"/>
      <c r="IQ90" s="1616"/>
      <c r="IR90" s="1616"/>
      <c r="IS90" s="1616"/>
      <c r="IT90" s="1616"/>
      <c r="IU90" s="1616"/>
    </row>
    <row r="91" spans="1:255" s="1248" customFormat="1" ht="13.5" customHeight="1">
      <c r="A91" s="1614"/>
      <c r="B91" s="1615"/>
      <c r="C91" s="1615"/>
      <c r="D91" s="719" t="s">
        <v>5961</v>
      </c>
      <c r="E91" s="1615"/>
      <c r="F91" s="1444"/>
      <c r="G91" s="288"/>
      <c r="H91" s="609"/>
      <c r="I91" s="613"/>
      <c r="J91" s="1612"/>
      <c r="BC91" s="1616"/>
      <c r="BD91" s="1616"/>
      <c r="BE91" s="1616"/>
      <c r="BF91" s="1616"/>
      <c r="BG91" s="1616"/>
      <c r="BH91" s="1616"/>
      <c r="BI91" s="1616"/>
      <c r="BJ91" s="1616"/>
      <c r="BK91" s="1616"/>
      <c r="BL91" s="1616"/>
      <c r="BM91" s="1616"/>
      <c r="BN91" s="1616"/>
      <c r="BO91" s="1616"/>
      <c r="BP91" s="1616"/>
      <c r="BQ91" s="1616"/>
      <c r="BR91" s="1616"/>
      <c r="BS91" s="1616"/>
      <c r="BT91" s="1616"/>
      <c r="BU91" s="1616"/>
      <c r="BV91" s="1616"/>
      <c r="BW91" s="1616"/>
      <c r="BX91" s="1616"/>
      <c r="BY91" s="1616"/>
      <c r="BZ91" s="1616"/>
      <c r="CA91" s="1616"/>
      <c r="CB91" s="1616"/>
      <c r="CC91" s="1616"/>
      <c r="CD91" s="1616"/>
      <c r="CE91" s="1616"/>
      <c r="CF91" s="1616"/>
      <c r="CG91" s="1616"/>
      <c r="CH91" s="1616"/>
      <c r="CI91" s="1616"/>
      <c r="CJ91" s="1616"/>
      <c r="CK91" s="1616"/>
      <c r="CL91" s="1616"/>
      <c r="CM91" s="1616"/>
      <c r="CN91" s="1616"/>
      <c r="CO91" s="1616"/>
      <c r="CP91" s="1616"/>
      <c r="CQ91" s="1616"/>
      <c r="CR91" s="1616"/>
      <c r="CS91" s="1616"/>
      <c r="CT91" s="1616"/>
      <c r="CU91" s="1616"/>
      <c r="CV91" s="1616"/>
      <c r="CW91" s="1616"/>
      <c r="CX91" s="1616"/>
      <c r="CY91" s="1616"/>
      <c r="CZ91" s="1616"/>
      <c r="DA91" s="1616"/>
      <c r="DB91" s="1616"/>
      <c r="DC91" s="1616"/>
      <c r="DD91" s="1616"/>
      <c r="DE91" s="1616"/>
      <c r="DF91" s="1616"/>
      <c r="DG91" s="1616"/>
      <c r="DH91" s="1616"/>
      <c r="DI91" s="1616"/>
      <c r="DJ91" s="1616"/>
      <c r="DK91" s="1616"/>
      <c r="DL91" s="1616"/>
      <c r="DM91" s="1616"/>
      <c r="DN91" s="1616"/>
      <c r="DO91" s="1616"/>
      <c r="DP91" s="1616"/>
      <c r="DQ91" s="1616"/>
      <c r="DR91" s="1616"/>
      <c r="DS91" s="1616"/>
      <c r="DT91" s="1616"/>
      <c r="DU91" s="1616"/>
      <c r="DV91" s="1616"/>
      <c r="DW91" s="1616"/>
      <c r="DX91" s="1616"/>
      <c r="DY91" s="1616"/>
      <c r="DZ91" s="1616"/>
      <c r="EA91" s="1616"/>
      <c r="EB91" s="1616"/>
      <c r="EC91" s="1616"/>
      <c r="ED91" s="1616"/>
      <c r="EE91" s="1616"/>
      <c r="EF91" s="1616"/>
      <c r="EG91" s="1616"/>
      <c r="EH91" s="1616"/>
      <c r="EI91" s="1616"/>
      <c r="EJ91" s="1616"/>
      <c r="EK91" s="1616"/>
      <c r="EL91" s="1616"/>
      <c r="EM91" s="1616"/>
      <c r="EN91" s="1616"/>
      <c r="EO91" s="1616"/>
      <c r="EP91" s="1616"/>
      <c r="EQ91" s="1616"/>
      <c r="ER91" s="1616"/>
      <c r="ES91" s="1616"/>
      <c r="ET91" s="1616"/>
      <c r="EU91" s="1616"/>
      <c r="EV91" s="1616"/>
      <c r="EW91" s="1616"/>
      <c r="EX91" s="1616"/>
      <c r="EY91" s="1616"/>
      <c r="EZ91" s="1616"/>
      <c r="FA91" s="1616"/>
      <c r="FB91" s="1616"/>
      <c r="FC91" s="1616"/>
      <c r="FD91" s="1616"/>
      <c r="FE91" s="1616"/>
      <c r="FF91" s="1616"/>
      <c r="FG91" s="1616"/>
      <c r="FH91" s="1616"/>
      <c r="FI91" s="1616"/>
      <c r="FJ91" s="1616"/>
      <c r="FK91" s="1616"/>
      <c r="FL91" s="1616"/>
      <c r="FM91" s="1616"/>
      <c r="FN91" s="1616"/>
      <c r="FO91" s="1616"/>
      <c r="FP91" s="1616"/>
      <c r="FQ91" s="1616"/>
      <c r="FR91" s="1616"/>
      <c r="FS91" s="1616"/>
      <c r="FT91" s="1616"/>
      <c r="FU91" s="1616"/>
      <c r="FV91" s="1616"/>
      <c r="FW91" s="1616"/>
      <c r="FX91" s="1616"/>
      <c r="FY91" s="1616"/>
      <c r="FZ91" s="1616"/>
      <c r="GA91" s="1616"/>
      <c r="GB91" s="1616"/>
      <c r="GC91" s="1616"/>
      <c r="GD91" s="1616"/>
      <c r="GE91" s="1616"/>
      <c r="GF91" s="1616"/>
      <c r="GG91" s="1616"/>
      <c r="GH91" s="1616"/>
      <c r="GI91" s="1616"/>
      <c r="GJ91" s="1616"/>
      <c r="GK91" s="1616"/>
      <c r="GL91" s="1616"/>
      <c r="GM91" s="1616"/>
      <c r="GN91" s="1616"/>
      <c r="GO91" s="1616"/>
      <c r="GP91" s="1616"/>
      <c r="GQ91" s="1616"/>
      <c r="GR91" s="1616"/>
      <c r="GS91" s="1616"/>
      <c r="GT91" s="1616"/>
      <c r="GU91" s="1616"/>
      <c r="GV91" s="1616"/>
      <c r="GW91" s="1616"/>
      <c r="GX91" s="1616"/>
      <c r="GY91" s="1616"/>
      <c r="GZ91" s="1616"/>
      <c r="HA91" s="1616"/>
      <c r="HB91" s="1616"/>
      <c r="HC91" s="1616"/>
      <c r="HD91" s="1616"/>
      <c r="HE91" s="1616"/>
      <c r="HF91" s="1616"/>
      <c r="HG91" s="1616"/>
      <c r="HH91" s="1616"/>
      <c r="HI91" s="1616"/>
      <c r="HJ91" s="1616"/>
      <c r="HK91" s="1616"/>
      <c r="HL91" s="1616"/>
      <c r="HM91" s="1616"/>
      <c r="HN91" s="1616"/>
      <c r="HO91" s="1616"/>
      <c r="HP91" s="1616"/>
      <c r="HQ91" s="1616"/>
      <c r="HR91" s="1616"/>
      <c r="HS91" s="1616"/>
      <c r="HT91" s="1616"/>
      <c r="HU91" s="1616"/>
      <c r="HV91" s="1616"/>
      <c r="HW91" s="1616"/>
      <c r="HX91" s="1616"/>
      <c r="HY91" s="1616"/>
      <c r="HZ91" s="1616"/>
      <c r="IA91" s="1616"/>
      <c r="IB91" s="1616"/>
      <c r="IC91" s="1616"/>
      <c r="ID91" s="1616"/>
      <c r="IE91" s="1616"/>
      <c r="IF91" s="1616"/>
      <c r="IG91" s="1616"/>
      <c r="IH91" s="1616"/>
      <c r="II91" s="1616"/>
      <c r="IJ91" s="1616"/>
      <c r="IK91" s="1616"/>
      <c r="IL91" s="1616"/>
      <c r="IM91" s="1616"/>
      <c r="IN91" s="1616"/>
      <c r="IO91" s="1616"/>
      <c r="IP91" s="1616"/>
      <c r="IQ91" s="1616"/>
      <c r="IR91" s="1616"/>
      <c r="IS91" s="1616"/>
      <c r="IT91" s="1616"/>
      <c r="IU91" s="1616"/>
    </row>
    <row r="92" spans="1:255" s="1248" customFormat="1" ht="13.5" customHeight="1">
      <c r="A92" s="1614"/>
      <c r="B92" s="1615"/>
      <c r="C92" s="1615"/>
      <c r="D92" s="719" t="s">
        <v>5962</v>
      </c>
      <c r="E92" s="1615"/>
      <c r="F92" s="600">
        <f>(5.8)*(0.05+0.85)</f>
        <v>5.22</v>
      </c>
      <c r="G92" s="308"/>
      <c r="H92" s="609"/>
      <c r="I92" s="613"/>
      <c r="J92" s="1612"/>
      <c r="BC92" s="1616"/>
      <c r="BD92" s="1616"/>
      <c r="BE92" s="1616"/>
      <c r="BF92" s="1616"/>
      <c r="BG92" s="1616"/>
      <c r="BH92" s="1616"/>
      <c r="BI92" s="1616"/>
      <c r="BJ92" s="1616"/>
      <c r="BK92" s="1616"/>
      <c r="BL92" s="1616"/>
      <c r="BM92" s="1616"/>
      <c r="BN92" s="1616"/>
      <c r="BO92" s="1616"/>
      <c r="BP92" s="1616"/>
      <c r="BQ92" s="1616"/>
      <c r="BR92" s="1616"/>
      <c r="BS92" s="1616"/>
      <c r="BT92" s="1616"/>
      <c r="BU92" s="1616"/>
      <c r="BV92" s="1616"/>
      <c r="BW92" s="1616"/>
      <c r="BX92" s="1616"/>
      <c r="BY92" s="1616"/>
      <c r="BZ92" s="1616"/>
      <c r="CA92" s="1616"/>
      <c r="CB92" s="1616"/>
      <c r="CC92" s="1616"/>
      <c r="CD92" s="1616"/>
      <c r="CE92" s="1616"/>
      <c r="CF92" s="1616"/>
      <c r="CG92" s="1616"/>
      <c r="CH92" s="1616"/>
      <c r="CI92" s="1616"/>
      <c r="CJ92" s="1616"/>
      <c r="CK92" s="1616"/>
      <c r="CL92" s="1616"/>
      <c r="CM92" s="1616"/>
      <c r="CN92" s="1616"/>
      <c r="CO92" s="1616"/>
      <c r="CP92" s="1616"/>
      <c r="CQ92" s="1616"/>
      <c r="CR92" s="1616"/>
      <c r="CS92" s="1616"/>
      <c r="CT92" s="1616"/>
      <c r="CU92" s="1616"/>
      <c r="CV92" s="1616"/>
      <c r="CW92" s="1616"/>
      <c r="CX92" s="1616"/>
      <c r="CY92" s="1616"/>
      <c r="CZ92" s="1616"/>
      <c r="DA92" s="1616"/>
      <c r="DB92" s="1616"/>
      <c r="DC92" s="1616"/>
      <c r="DD92" s="1616"/>
      <c r="DE92" s="1616"/>
      <c r="DF92" s="1616"/>
      <c r="DG92" s="1616"/>
      <c r="DH92" s="1616"/>
      <c r="DI92" s="1616"/>
      <c r="DJ92" s="1616"/>
      <c r="DK92" s="1616"/>
      <c r="DL92" s="1616"/>
      <c r="DM92" s="1616"/>
      <c r="DN92" s="1616"/>
      <c r="DO92" s="1616"/>
      <c r="DP92" s="1616"/>
      <c r="DQ92" s="1616"/>
      <c r="DR92" s="1616"/>
      <c r="DS92" s="1616"/>
      <c r="DT92" s="1616"/>
      <c r="DU92" s="1616"/>
      <c r="DV92" s="1616"/>
      <c r="DW92" s="1616"/>
      <c r="DX92" s="1616"/>
      <c r="DY92" s="1616"/>
      <c r="DZ92" s="1616"/>
      <c r="EA92" s="1616"/>
      <c r="EB92" s="1616"/>
      <c r="EC92" s="1616"/>
      <c r="ED92" s="1616"/>
      <c r="EE92" s="1616"/>
      <c r="EF92" s="1616"/>
      <c r="EG92" s="1616"/>
      <c r="EH92" s="1616"/>
      <c r="EI92" s="1616"/>
      <c r="EJ92" s="1616"/>
      <c r="EK92" s="1616"/>
      <c r="EL92" s="1616"/>
      <c r="EM92" s="1616"/>
      <c r="EN92" s="1616"/>
      <c r="EO92" s="1616"/>
      <c r="EP92" s="1616"/>
      <c r="EQ92" s="1616"/>
      <c r="ER92" s="1616"/>
      <c r="ES92" s="1616"/>
      <c r="ET92" s="1616"/>
      <c r="EU92" s="1616"/>
      <c r="EV92" s="1616"/>
      <c r="EW92" s="1616"/>
      <c r="EX92" s="1616"/>
      <c r="EY92" s="1616"/>
      <c r="EZ92" s="1616"/>
      <c r="FA92" s="1616"/>
      <c r="FB92" s="1616"/>
      <c r="FC92" s="1616"/>
      <c r="FD92" s="1616"/>
      <c r="FE92" s="1616"/>
      <c r="FF92" s="1616"/>
      <c r="FG92" s="1616"/>
      <c r="FH92" s="1616"/>
      <c r="FI92" s="1616"/>
      <c r="FJ92" s="1616"/>
      <c r="FK92" s="1616"/>
      <c r="FL92" s="1616"/>
      <c r="FM92" s="1616"/>
      <c r="FN92" s="1616"/>
      <c r="FO92" s="1616"/>
      <c r="FP92" s="1616"/>
      <c r="FQ92" s="1616"/>
      <c r="FR92" s="1616"/>
      <c r="FS92" s="1616"/>
      <c r="FT92" s="1616"/>
      <c r="FU92" s="1616"/>
      <c r="FV92" s="1616"/>
      <c r="FW92" s="1616"/>
      <c r="FX92" s="1616"/>
      <c r="FY92" s="1616"/>
      <c r="FZ92" s="1616"/>
      <c r="GA92" s="1616"/>
      <c r="GB92" s="1616"/>
      <c r="GC92" s="1616"/>
      <c r="GD92" s="1616"/>
      <c r="GE92" s="1616"/>
      <c r="GF92" s="1616"/>
      <c r="GG92" s="1616"/>
      <c r="GH92" s="1616"/>
      <c r="GI92" s="1616"/>
      <c r="GJ92" s="1616"/>
      <c r="GK92" s="1616"/>
      <c r="GL92" s="1616"/>
      <c r="GM92" s="1616"/>
      <c r="GN92" s="1616"/>
      <c r="GO92" s="1616"/>
      <c r="GP92" s="1616"/>
      <c r="GQ92" s="1616"/>
      <c r="GR92" s="1616"/>
      <c r="GS92" s="1616"/>
      <c r="GT92" s="1616"/>
      <c r="GU92" s="1616"/>
      <c r="GV92" s="1616"/>
      <c r="GW92" s="1616"/>
      <c r="GX92" s="1616"/>
      <c r="GY92" s="1616"/>
      <c r="GZ92" s="1616"/>
      <c r="HA92" s="1616"/>
      <c r="HB92" s="1616"/>
      <c r="HC92" s="1616"/>
      <c r="HD92" s="1616"/>
      <c r="HE92" s="1616"/>
      <c r="HF92" s="1616"/>
      <c r="HG92" s="1616"/>
      <c r="HH92" s="1616"/>
      <c r="HI92" s="1616"/>
      <c r="HJ92" s="1616"/>
      <c r="HK92" s="1616"/>
      <c r="HL92" s="1616"/>
      <c r="HM92" s="1616"/>
      <c r="HN92" s="1616"/>
      <c r="HO92" s="1616"/>
      <c r="HP92" s="1616"/>
      <c r="HQ92" s="1616"/>
      <c r="HR92" s="1616"/>
      <c r="HS92" s="1616"/>
      <c r="HT92" s="1616"/>
      <c r="HU92" s="1616"/>
      <c r="HV92" s="1616"/>
      <c r="HW92" s="1616"/>
      <c r="HX92" s="1616"/>
      <c r="HY92" s="1616"/>
      <c r="HZ92" s="1616"/>
      <c r="IA92" s="1616"/>
      <c r="IB92" s="1616"/>
      <c r="IC92" s="1616"/>
      <c r="ID92" s="1616"/>
      <c r="IE92" s="1616"/>
      <c r="IF92" s="1616"/>
      <c r="IG92" s="1616"/>
      <c r="IH92" s="1616"/>
      <c r="II92" s="1616"/>
      <c r="IJ92" s="1616"/>
      <c r="IK92" s="1616"/>
      <c r="IL92" s="1616"/>
      <c r="IM92" s="1616"/>
      <c r="IN92" s="1616"/>
      <c r="IO92" s="1616"/>
      <c r="IP92" s="1616"/>
      <c r="IQ92" s="1616"/>
      <c r="IR92" s="1616"/>
      <c r="IS92" s="1616"/>
      <c r="IT92" s="1616"/>
      <c r="IU92" s="1616"/>
    </row>
    <row r="93" spans="1:255" s="604" customFormat="1" ht="27" customHeight="1">
      <c r="A93" s="595"/>
      <c r="B93" s="596"/>
      <c r="C93" s="597"/>
      <c r="D93" s="719" t="s">
        <v>5843</v>
      </c>
      <c r="E93" s="599"/>
      <c r="F93" s="600"/>
      <c r="G93" s="289"/>
      <c r="H93" s="601"/>
      <c r="I93" s="602"/>
      <c r="J93" s="606"/>
      <c r="U93" s="605"/>
      <c r="W93" s="605"/>
    </row>
    <row r="94" spans="1:255" s="1248" customFormat="1" ht="13.5" customHeight="1">
      <c r="A94" s="1614">
        <v>27</v>
      </c>
      <c r="B94" s="1615" t="s">
        <v>5808</v>
      </c>
      <c r="C94" s="1615">
        <v>460451433</v>
      </c>
      <c r="D94" s="1615" t="s">
        <v>5844</v>
      </c>
      <c r="E94" s="1615" t="s">
        <v>141</v>
      </c>
      <c r="F94" s="573">
        <f>ROUND(SUM(F96),3)</f>
        <v>0.57999999999999996</v>
      </c>
      <c r="G94" s="288"/>
      <c r="H94" s="568">
        <f>ROUND(F94*G94,2)</f>
        <v>0</v>
      </c>
      <c r="I94" s="613" t="s">
        <v>137</v>
      </c>
      <c r="J94" s="1621"/>
      <c r="BC94" s="1616"/>
      <c r="BD94" s="1616"/>
      <c r="BE94" s="1616"/>
      <c r="BF94" s="1616"/>
      <c r="BG94" s="1616"/>
      <c r="BH94" s="1616"/>
      <c r="BI94" s="1616"/>
      <c r="BJ94" s="1616"/>
      <c r="BK94" s="1616"/>
      <c r="BL94" s="1616"/>
      <c r="BM94" s="1616"/>
      <c r="BN94" s="1616"/>
      <c r="BO94" s="1616"/>
      <c r="BP94" s="1616"/>
      <c r="BQ94" s="1616"/>
      <c r="BR94" s="1616"/>
      <c r="BS94" s="1616"/>
      <c r="BT94" s="1616"/>
      <c r="BU94" s="1616"/>
      <c r="BV94" s="1616"/>
      <c r="BW94" s="1616"/>
      <c r="BX94" s="1616"/>
      <c r="BY94" s="1616"/>
      <c r="BZ94" s="1616"/>
      <c r="CA94" s="1616"/>
      <c r="CB94" s="1616"/>
      <c r="CC94" s="1616"/>
      <c r="CD94" s="1616"/>
      <c r="CE94" s="1616"/>
      <c r="CF94" s="1616"/>
      <c r="CG94" s="1616"/>
      <c r="CH94" s="1616"/>
      <c r="CI94" s="1616"/>
      <c r="CJ94" s="1616"/>
      <c r="CK94" s="1616"/>
      <c r="CL94" s="1616"/>
      <c r="CM94" s="1616"/>
      <c r="CN94" s="1616"/>
      <c r="CO94" s="1616"/>
      <c r="CP94" s="1616"/>
      <c r="CQ94" s="1616"/>
      <c r="CR94" s="1616"/>
      <c r="CS94" s="1616"/>
      <c r="CT94" s="1616"/>
      <c r="CU94" s="1616"/>
      <c r="CV94" s="1616"/>
      <c r="CW94" s="1616"/>
      <c r="CX94" s="1616"/>
      <c r="CY94" s="1616"/>
      <c r="CZ94" s="1616"/>
      <c r="DA94" s="1616"/>
      <c r="DB94" s="1616"/>
      <c r="DC94" s="1616"/>
      <c r="DD94" s="1616"/>
      <c r="DE94" s="1616"/>
      <c r="DF94" s="1616"/>
      <c r="DG94" s="1616"/>
      <c r="DH94" s="1616"/>
      <c r="DI94" s="1616"/>
      <c r="DJ94" s="1616"/>
      <c r="DK94" s="1616"/>
      <c r="DL94" s="1616"/>
      <c r="DM94" s="1616"/>
      <c r="DN94" s="1616"/>
      <c r="DO94" s="1616"/>
      <c r="DP94" s="1616"/>
      <c r="DQ94" s="1616"/>
      <c r="DR94" s="1616"/>
      <c r="DS94" s="1616"/>
      <c r="DT94" s="1616"/>
      <c r="DU94" s="1616"/>
      <c r="DV94" s="1616"/>
      <c r="DW94" s="1616"/>
      <c r="DX94" s="1616"/>
      <c r="DY94" s="1616"/>
      <c r="DZ94" s="1616"/>
      <c r="EA94" s="1616"/>
      <c r="EB94" s="1616"/>
      <c r="EC94" s="1616"/>
      <c r="ED94" s="1616"/>
      <c r="EE94" s="1616"/>
      <c r="EF94" s="1616"/>
      <c r="EG94" s="1616"/>
      <c r="EH94" s="1616"/>
      <c r="EI94" s="1616"/>
      <c r="EJ94" s="1616"/>
      <c r="EK94" s="1616"/>
      <c r="EL94" s="1616"/>
      <c r="EM94" s="1616"/>
      <c r="EN94" s="1616"/>
      <c r="EO94" s="1616"/>
      <c r="EP94" s="1616"/>
      <c r="EQ94" s="1616"/>
      <c r="ER94" s="1616"/>
      <c r="ES94" s="1616"/>
      <c r="ET94" s="1616"/>
      <c r="EU94" s="1616"/>
      <c r="EV94" s="1616"/>
      <c r="EW94" s="1616"/>
      <c r="EX94" s="1616"/>
      <c r="EY94" s="1616"/>
      <c r="EZ94" s="1616"/>
      <c r="FA94" s="1616"/>
      <c r="FB94" s="1616"/>
      <c r="FC94" s="1616"/>
      <c r="FD94" s="1616"/>
      <c r="FE94" s="1616"/>
      <c r="FF94" s="1616"/>
      <c r="FG94" s="1616"/>
      <c r="FH94" s="1616"/>
      <c r="FI94" s="1616"/>
      <c r="FJ94" s="1616"/>
      <c r="FK94" s="1616"/>
      <c r="FL94" s="1616"/>
      <c r="FM94" s="1616"/>
      <c r="FN94" s="1616"/>
      <c r="FO94" s="1616"/>
      <c r="FP94" s="1616"/>
      <c r="FQ94" s="1616"/>
      <c r="FR94" s="1616"/>
      <c r="FS94" s="1616"/>
      <c r="FT94" s="1616"/>
      <c r="FU94" s="1616"/>
      <c r="FV94" s="1616"/>
      <c r="FW94" s="1616"/>
      <c r="FX94" s="1616"/>
      <c r="FY94" s="1616"/>
      <c r="FZ94" s="1616"/>
      <c r="GA94" s="1616"/>
      <c r="GB94" s="1616"/>
      <c r="GC94" s="1616"/>
      <c r="GD94" s="1616"/>
      <c r="GE94" s="1616"/>
      <c r="GF94" s="1616"/>
      <c r="GG94" s="1616"/>
      <c r="GH94" s="1616"/>
      <c r="GI94" s="1616"/>
      <c r="GJ94" s="1616"/>
      <c r="GK94" s="1616"/>
      <c r="GL94" s="1616"/>
      <c r="GM94" s="1616"/>
      <c r="GN94" s="1616"/>
      <c r="GO94" s="1616"/>
      <c r="GP94" s="1616"/>
      <c r="GQ94" s="1616"/>
      <c r="GR94" s="1616"/>
      <c r="GS94" s="1616"/>
      <c r="GT94" s="1616"/>
      <c r="GU94" s="1616"/>
      <c r="GV94" s="1616"/>
      <c r="GW94" s="1616"/>
      <c r="GX94" s="1616"/>
      <c r="GY94" s="1616"/>
      <c r="GZ94" s="1616"/>
      <c r="HA94" s="1616"/>
      <c r="HB94" s="1616"/>
      <c r="HC94" s="1616"/>
      <c r="HD94" s="1616"/>
      <c r="HE94" s="1616"/>
      <c r="HF94" s="1616"/>
      <c r="HG94" s="1616"/>
      <c r="HH94" s="1616"/>
      <c r="HI94" s="1616"/>
      <c r="HJ94" s="1616"/>
      <c r="HK94" s="1616"/>
      <c r="HL94" s="1616"/>
      <c r="HM94" s="1616"/>
      <c r="HN94" s="1616"/>
      <c r="HO94" s="1616"/>
      <c r="HP94" s="1616"/>
      <c r="HQ94" s="1616"/>
      <c r="HR94" s="1616"/>
      <c r="HS94" s="1616"/>
      <c r="HT94" s="1616"/>
      <c r="HU94" s="1616"/>
      <c r="HV94" s="1616"/>
      <c r="HW94" s="1616"/>
      <c r="HX94" s="1616"/>
      <c r="HY94" s="1616"/>
      <c r="HZ94" s="1616"/>
      <c r="IA94" s="1616"/>
      <c r="IB94" s="1616"/>
      <c r="IC94" s="1616"/>
      <c r="ID94" s="1616"/>
      <c r="IE94" s="1616"/>
      <c r="IF94" s="1616"/>
      <c r="IG94" s="1616"/>
      <c r="IH94" s="1616"/>
      <c r="II94" s="1616"/>
      <c r="IJ94" s="1616"/>
      <c r="IK94" s="1616"/>
      <c r="IL94" s="1616"/>
      <c r="IM94" s="1616"/>
      <c r="IN94" s="1616"/>
      <c r="IO94" s="1616"/>
      <c r="IP94" s="1616"/>
      <c r="IQ94" s="1616"/>
      <c r="IR94" s="1616"/>
      <c r="IS94" s="1616"/>
      <c r="IT94" s="1616"/>
      <c r="IU94" s="1616"/>
    </row>
    <row r="95" spans="1:255" s="1248" customFormat="1" ht="13.5" customHeight="1">
      <c r="A95" s="1614"/>
      <c r="B95" s="1615"/>
      <c r="C95" s="1615"/>
      <c r="D95" s="719" t="s">
        <v>5961</v>
      </c>
      <c r="E95" s="1615"/>
      <c r="F95" s="1444"/>
      <c r="G95" s="288"/>
      <c r="H95" s="609"/>
      <c r="I95" s="613"/>
      <c r="J95" s="1612"/>
      <c r="BC95" s="1616"/>
      <c r="BD95" s="1616"/>
      <c r="BE95" s="1616"/>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6"/>
      <c r="CX95" s="1616"/>
      <c r="CY95" s="1616"/>
      <c r="CZ95" s="1616"/>
      <c r="DA95" s="1616"/>
      <c r="DB95" s="1616"/>
      <c r="DC95" s="1616"/>
      <c r="DD95" s="1616"/>
      <c r="DE95" s="1616"/>
      <c r="DF95" s="1616"/>
      <c r="DG95" s="1616"/>
      <c r="DH95" s="1616"/>
      <c r="DI95" s="1616"/>
      <c r="DJ95" s="1616"/>
      <c r="DK95" s="1616"/>
      <c r="DL95" s="1616"/>
      <c r="DM95" s="1616"/>
      <c r="DN95" s="1616"/>
      <c r="DO95" s="1616"/>
      <c r="DP95" s="1616"/>
      <c r="DQ95" s="1616"/>
      <c r="DR95" s="1616"/>
      <c r="DS95" s="1616"/>
      <c r="DT95" s="1616"/>
      <c r="DU95" s="1616"/>
      <c r="DV95" s="1616"/>
      <c r="DW95" s="1616"/>
      <c r="DX95" s="1616"/>
      <c r="DY95" s="1616"/>
      <c r="DZ95" s="1616"/>
      <c r="EA95" s="1616"/>
      <c r="EB95" s="1616"/>
      <c r="EC95" s="1616"/>
      <c r="ED95" s="1616"/>
      <c r="EE95" s="1616"/>
      <c r="EF95" s="1616"/>
      <c r="EG95" s="1616"/>
      <c r="EH95" s="1616"/>
      <c r="EI95" s="1616"/>
      <c r="EJ95" s="1616"/>
      <c r="EK95" s="1616"/>
      <c r="EL95" s="1616"/>
      <c r="EM95" s="1616"/>
      <c r="EN95" s="1616"/>
      <c r="EO95" s="1616"/>
      <c r="EP95" s="1616"/>
      <c r="EQ95" s="1616"/>
      <c r="ER95" s="1616"/>
      <c r="ES95" s="1616"/>
      <c r="ET95" s="1616"/>
      <c r="EU95" s="1616"/>
      <c r="EV95" s="1616"/>
      <c r="EW95" s="1616"/>
      <c r="EX95" s="1616"/>
      <c r="EY95" s="1616"/>
      <c r="EZ95" s="1616"/>
      <c r="FA95" s="1616"/>
      <c r="FB95" s="1616"/>
      <c r="FC95" s="1616"/>
      <c r="FD95" s="1616"/>
      <c r="FE95" s="1616"/>
      <c r="FF95" s="1616"/>
      <c r="FG95" s="1616"/>
      <c r="FH95" s="1616"/>
      <c r="FI95" s="1616"/>
      <c r="FJ95" s="1616"/>
      <c r="FK95" s="1616"/>
      <c r="FL95" s="1616"/>
      <c r="FM95" s="1616"/>
      <c r="FN95" s="1616"/>
      <c r="FO95" s="1616"/>
      <c r="FP95" s="1616"/>
      <c r="FQ95" s="1616"/>
      <c r="FR95" s="1616"/>
      <c r="FS95" s="1616"/>
      <c r="FT95" s="1616"/>
      <c r="FU95" s="1616"/>
      <c r="FV95" s="1616"/>
      <c r="FW95" s="1616"/>
      <c r="FX95" s="1616"/>
      <c r="FY95" s="1616"/>
      <c r="FZ95" s="1616"/>
      <c r="GA95" s="1616"/>
      <c r="GB95" s="1616"/>
      <c r="GC95" s="1616"/>
      <c r="GD95" s="1616"/>
      <c r="GE95" s="1616"/>
      <c r="GF95" s="1616"/>
      <c r="GG95" s="1616"/>
      <c r="GH95" s="1616"/>
      <c r="GI95" s="1616"/>
      <c r="GJ95" s="1616"/>
      <c r="GK95" s="1616"/>
      <c r="GL95" s="1616"/>
      <c r="GM95" s="1616"/>
      <c r="GN95" s="1616"/>
      <c r="GO95" s="1616"/>
      <c r="GP95" s="1616"/>
      <c r="GQ95" s="1616"/>
      <c r="GR95" s="1616"/>
      <c r="GS95" s="1616"/>
      <c r="GT95" s="1616"/>
      <c r="GU95" s="1616"/>
      <c r="GV95" s="1616"/>
      <c r="GW95" s="1616"/>
      <c r="GX95" s="1616"/>
      <c r="GY95" s="1616"/>
      <c r="GZ95" s="1616"/>
      <c r="HA95" s="1616"/>
      <c r="HB95" s="1616"/>
      <c r="HC95" s="1616"/>
      <c r="HD95" s="1616"/>
      <c r="HE95" s="1616"/>
      <c r="HF95" s="1616"/>
      <c r="HG95" s="1616"/>
      <c r="HH95" s="1616"/>
      <c r="HI95" s="1616"/>
      <c r="HJ95" s="1616"/>
      <c r="HK95" s="1616"/>
      <c r="HL95" s="1616"/>
      <c r="HM95" s="1616"/>
      <c r="HN95" s="1616"/>
      <c r="HO95" s="1616"/>
      <c r="HP95" s="1616"/>
      <c r="HQ95" s="1616"/>
      <c r="HR95" s="1616"/>
      <c r="HS95" s="1616"/>
      <c r="HT95" s="1616"/>
      <c r="HU95" s="1616"/>
      <c r="HV95" s="1616"/>
      <c r="HW95" s="1616"/>
      <c r="HX95" s="1616"/>
      <c r="HY95" s="1616"/>
      <c r="HZ95" s="1616"/>
      <c r="IA95" s="1616"/>
      <c r="IB95" s="1616"/>
      <c r="IC95" s="1616"/>
      <c r="ID95" s="1616"/>
      <c r="IE95" s="1616"/>
      <c r="IF95" s="1616"/>
      <c r="IG95" s="1616"/>
      <c r="IH95" s="1616"/>
      <c r="II95" s="1616"/>
      <c r="IJ95" s="1616"/>
      <c r="IK95" s="1616"/>
      <c r="IL95" s="1616"/>
      <c r="IM95" s="1616"/>
      <c r="IN95" s="1616"/>
      <c r="IO95" s="1616"/>
      <c r="IP95" s="1616"/>
      <c r="IQ95" s="1616"/>
      <c r="IR95" s="1616"/>
      <c r="IS95" s="1616"/>
      <c r="IT95" s="1616"/>
      <c r="IU95" s="1616"/>
    </row>
    <row r="96" spans="1:255" s="604" customFormat="1" ht="13.5" customHeight="1">
      <c r="A96" s="595"/>
      <c r="B96" s="596"/>
      <c r="C96" s="597"/>
      <c r="D96" s="719" t="s">
        <v>5963</v>
      </c>
      <c r="E96" s="599"/>
      <c r="F96" s="600">
        <f>(5.8)*(0.1)</f>
        <v>0.57999999999999996</v>
      </c>
      <c r="G96" s="289"/>
      <c r="H96" s="601"/>
      <c r="I96" s="602"/>
      <c r="J96" s="606"/>
      <c r="U96" s="605"/>
      <c r="W96" s="605"/>
    </row>
    <row r="97" spans="1:255" s="604" customFormat="1" ht="27" customHeight="1">
      <c r="A97" s="595"/>
      <c r="B97" s="596"/>
      <c r="C97" s="597"/>
      <c r="D97" s="719" t="s">
        <v>5843</v>
      </c>
      <c r="E97" s="599"/>
      <c r="F97" s="600"/>
      <c r="G97" s="289"/>
      <c r="H97" s="601"/>
      <c r="I97" s="602"/>
      <c r="J97" s="1623"/>
      <c r="U97" s="605"/>
      <c r="W97" s="605"/>
    </row>
    <row r="98" spans="1:255" s="1248" customFormat="1" ht="13.5" customHeight="1">
      <c r="A98" s="1614">
        <v>28</v>
      </c>
      <c r="B98" s="1615" t="s">
        <v>5808</v>
      </c>
      <c r="C98" s="1615">
        <v>460661113</v>
      </c>
      <c r="D98" s="1615" t="s">
        <v>5851</v>
      </c>
      <c r="E98" s="1615" t="s">
        <v>141</v>
      </c>
      <c r="F98" s="573">
        <f>ROUND(SUM(F100),3)</f>
        <v>11.6</v>
      </c>
      <c r="G98" s="288"/>
      <c r="H98" s="568">
        <f>ROUND(F98*G98,2)</f>
        <v>0</v>
      </c>
      <c r="I98" s="613" t="s">
        <v>137</v>
      </c>
      <c r="J98" s="1612"/>
      <c r="BC98" s="1616"/>
      <c r="BD98" s="1616"/>
      <c r="BE98" s="1616"/>
      <c r="BF98" s="1616"/>
      <c r="BG98" s="1616"/>
      <c r="BH98" s="1616"/>
      <c r="BI98" s="1616"/>
      <c r="BJ98" s="1616"/>
      <c r="BK98" s="1616"/>
      <c r="BL98" s="1616"/>
      <c r="BM98" s="1616"/>
      <c r="BN98" s="1616"/>
      <c r="BO98" s="1616"/>
      <c r="BP98" s="1616"/>
      <c r="BQ98" s="1616"/>
      <c r="BR98" s="1616"/>
      <c r="BS98" s="1616"/>
      <c r="BT98" s="1616"/>
      <c r="BU98" s="1616"/>
      <c r="BV98" s="1616"/>
      <c r="BW98" s="1616"/>
      <c r="BX98" s="1616"/>
      <c r="BY98" s="1616"/>
      <c r="BZ98" s="1616"/>
      <c r="CA98" s="1616"/>
      <c r="CB98" s="1616"/>
      <c r="CC98" s="1616"/>
      <c r="CD98" s="1616"/>
      <c r="CE98" s="1616"/>
      <c r="CF98" s="1616"/>
      <c r="CG98" s="1616"/>
      <c r="CH98" s="1616"/>
      <c r="CI98" s="1616"/>
      <c r="CJ98" s="1616"/>
      <c r="CK98" s="1616"/>
      <c r="CL98" s="1616"/>
      <c r="CM98" s="1616"/>
      <c r="CN98" s="1616"/>
      <c r="CO98" s="1616"/>
      <c r="CP98" s="1616"/>
      <c r="CQ98" s="1616"/>
      <c r="CR98" s="1616"/>
      <c r="CS98" s="1616"/>
      <c r="CT98" s="1616"/>
      <c r="CU98" s="1616"/>
      <c r="CV98" s="1616"/>
      <c r="CW98" s="1616"/>
      <c r="CX98" s="1616"/>
      <c r="CY98" s="1616"/>
      <c r="CZ98" s="1616"/>
      <c r="DA98" s="1616"/>
      <c r="DB98" s="1616"/>
      <c r="DC98" s="1616"/>
      <c r="DD98" s="1616"/>
      <c r="DE98" s="1616"/>
      <c r="DF98" s="1616"/>
      <c r="DG98" s="1616"/>
      <c r="DH98" s="1616"/>
      <c r="DI98" s="1616"/>
      <c r="DJ98" s="1616"/>
      <c r="DK98" s="1616"/>
      <c r="DL98" s="1616"/>
      <c r="DM98" s="1616"/>
      <c r="DN98" s="1616"/>
      <c r="DO98" s="1616"/>
      <c r="DP98" s="1616"/>
      <c r="DQ98" s="1616"/>
      <c r="DR98" s="1616"/>
      <c r="DS98" s="1616"/>
      <c r="DT98" s="1616"/>
      <c r="DU98" s="1616"/>
      <c r="DV98" s="1616"/>
      <c r="DW98" s="1616"/>
      <c r="DX98" s="1616"/>
      <c r="DY98" s="1616"/>
      <c r="DZ98" s="1616"/>
      <c r="EA98" s="1616"/>
      <c r="EB98" s="1616"/>
      <c r="EC98" s="1616"/>
      <c r="ED98" s="1616"/>
      <c r="EE98" s="1616"/>
      <c r="EF98" s="1616"/>
      <c r="EG98" s="1616"/>
      <c r="EH98" s="1616"/>
      <c r="EI98" s="1616"/>
      <c r="EJ98" s="1616"/>
      <c r="EK98" s="1616"/>
      <c r="EL98" s="1616"/>
      <c r="EM98" s="1616"/>
      <c r="EN98" s="1616"/>
      <c r="EO98" s="1616"/>
      <c r="EP98" s="1616"/>
      <c r="EQ98" s="1616"/>
      <c r="ER98" s="1616"/>
      <c r="ES98" s="1616"/>
      <c r="ET98" s="1616"/>
      <c r="EU98" s="1616"/>
      <c r="EV98" s="1616"/>
      <c r="EW98" s="1616"/>
      <c r="EX98" s="1616"/>
      <c r="EY98" s="1616"/>
      <c r="EZ98" s="1616"/>
      <c r="FA98" s="1616"/>
      <c r="FB98" s="1616"/>
      <c r="FC98" s="1616"/>
      <c r="FD98" s="1616"/>
      <c r="FE98" s="1616"/>
      <c r="FF98" s="1616"/>
      <c r="FG98" s="1616"/>
      <c r="FH98" s="1616"/>
      <c r="FI98" s="1616"/>
      <c r="FJ98" s="1616"/>
      <c r="FK98" s="1616"/>
      <c r="FL98" s="1616"/>
      <c r="FM98" s="1616"/>
      <c r="FN98" s="1616"/>
      <c r="FO98" s="1616"/>
      <c r="FP98" s="1616"/>
      <c r="FQ98" s="1616"/>
      <c r="FR98" s="1616"/>
      <c r="FS98" s="1616"/>
      <c r="FT98" s="1616"/>
      <c r="FU98" s="1616"/>
      <c r="FV98" s="1616"/>
      <c r="FW98" s="1616"/>
      <c r="FX98" s="1616"/>
      <c r="FY98" s="1616"/>
      <c r="FZ98" s="1616"/>
      <c r="GA98" s="1616"/>
      <c r="GB98" s="1616"/>
      <c r="GC98" s="1616"/>
      <c r="GD98" s="1616"/>
      <c r="GE98" s="1616"/>
      <c r="GF98" s="1616"/>
      <c r="GG98" s="1616"/>
      <c r="GH98" s="1616"/>
      <c r="GI98" s="1616"/>
      <c r="GJ98" s="1616"/>
      <c r="GK98" s="1616"/>
      <c r="GL98" s="1616"/>
      <c r="GM98" s="1616"/>
      <c r="GN98" s="1616"/>
      <c r="GO98" s="1616"/>
      <c r="GP98" s="1616"/>
      <c r="GQ98" s="1616"/>
      <c r="GR98" s="1616"/>
      <c r="GS98" s="1616"/>
      <c r="GT98" s="1616"/>
      <c r="GU98" s="1616"/>
      <c r="GV98" s="1616"/>
      <c r="GW98" s="1616"/>
      <c r="GX98" s="1616"/>
      <c r="GY98" s="1616"/>
      <c r="GZ98" s="1616"/>
      <c r="HA98" s="1616"/>
      <c r="HB98" s="1616"/>
      <c r="HC98" s="1616"/>
      <c r="HD98" s="1616"/>
      <c r="HE98" s="1616"/>
      <c r="HF98" s="1616"/>
      <c r="HG98" s="1616"/>
      <c r="HH98" s="1616"/>
      <c r="HI98" s="1616"/>
      <c r="HJ98" s="1616"/>
      <c r="HK98" s="1616"/>
      <c r="HL98" s="1616"/>
      <c r="HM98" s="1616"/>
      <c r="HN98" s="1616"/>
      <c r="HO98" s="1616"/>
      <c r="HP98" s="1616"/>
      <c r="HQ98" s="1616"/>
      <c r="HR98" s="1616"/>
      <c r="HS98" s="1616"/>
      <c r="HT98" s="1616"/>
      <c r="HU98" s="1616"/>
      <c r="HV98" s="1616"/>
      <c r="HW98" s="1616"/>
      <c r="HX98" s="1616"/>
      <c r="HY98" s="1616"/>
      <c r="HZ98" s="1616"/>
      <c r="IA98" s="1616"/>
      <c r="IB98" s="1616"/>
      <c r="IC98" s="1616"/>
      <c r="ID98" s="1616"/>
      <c r="IE98" s="1616"/>
      <c r="IF98" s="1616"/>
      <c r="IG98" s="1616"/>
      <c r="IH98" s="1616"/>
      <c r="II98" s="1616"/>
      <c r="IJ98" s="1616"/>
      <c r="IK98" s="1616"/>
      <c r="IL98" s="1616"/>
      <c r="IM98" s="1616"/>
      <c r="IN98" s="1616"/>
      <c r="IO98" s="1616"/>
      <c r="IP98" s="1616"/>
      <c r="IQ98" s="1616"/>
      <c r="IR98" s="1616"/>
      <c r="IS98" s="1616"/>
      <c r="IT98" s="1616"/>
      <c r="IU98" s="1616"/>
    </row>
    <row r="99" spans="1:255" s="1248" customFormat="1" ht="13.5" customHeight="1">
      <c r="A99" s="1614"/>
      <c r="B99" s="1615"/>
      <c r="C99" s="1615"/>
      <c r="D99" s="719" t="s">
        <v>5964</v>
      </c>
      <c r="E99" s="1615"/>
      <c r="F99" s="1444"/>
      <c r="G99" s="288"/>
      <c r="H99" s="609"/>
      <c r="I99" s="613"/>
      <c r="J99" s="1612"/>
      <c r="BC99" s="1616"/>
      <c r="BD99" s="1616"/>
      <c r="BE99" s="1616"/>
      <c r="BF99" s="1616"/>
      <c r="BG99" s="1616"/>
      <c r="BH99" s="1616"/>
      <c r="BI99" s="1616"/>
      <c r="BJ99" s="1616"/>
      <c r="BK99" s="1616"/>
      <c r="BL99" s="1616"/>
      <c r="BM99" s="1616"/>
      <c r="BN99" s="1616"/>
      <c r="BO99" s="1616"/>
      <c r="BP99" s="1616"/>
      <c r="BQ99" s="1616"/>
      <c r="BR99" s="1616"/>
      <c r="BS99" s="1616"/>
      <c r="BT99" s="1616"/>
      <c r="BU99" s="1616"/>
      <c r="BV99" s="1616"/>
      <c r="BW99" s="1616"/>
      <c r="BX99" s="1616"/>
      <c r="BY99" s="1616"/>
      <c r="BZ99" s="1616"/>
      <c r="CA99" s="1616"/>
      <c r="CB99" s="1616"/>
      <c r="CC99" s="1616"/>
      <c r="CD99" s="1616"/>
      <c r="CE99" s="1616"/>
      <c r="CF99" s="1616"/>
      <c r="CG99" s="1616"/>
      <c r="CH99" s="1616"/>
      <c r="CI99" s="1616"/>
      <c r="CJ99" s="1616"/>
      <c r="CK99" s="1616"/>
      <c r="CL99" s="1616"/>
      <c r="CM99" s="1616"/>
      <c r="CN99" s="1616"/>
      <c r="CO99" s="1616"/>
      <c r="CP99" s="1616"/>
      <c r="CQ99" s="1616"/>
      <c r="CR99" s="1616"/>
      <c r="CS99" s="1616"/>
      <c r="CT99" s="1616"/>
      <c r="CU99" s="1616"/>
      <c r="CV99" s="1616"/>
      <c r="CW99" s="1616"/>
      <c r="CX99" s="1616"/>
      <c r="CY99" s="1616"/>
      <c r="CZ99" s="1616"/>
      <c r="DA99" s="1616"/>
      <c r="DB99" s="1616"/>
      <c r="DC99" s="1616"/>
      <c r="DD99" s="1616"/>
      <c r="DE99" s="1616"/>
      <c r="DF99" s="1616"/>
      <c r="DG99" s="1616"/>
      <c r="DH99" s="1616"/>
      <c r="DI99" s="1616"/>
      <c r="DJ99" s="1616"/>
      <c r="DK99" s="1616"/>
      <c r="DL99" s="1616"/>
      <c r="DM99" s="1616"/>
      <c r="DN99" s="1616"/>
      <c r="DO99" s="1616"/>
      <c r="DP99" s="1616"/>
      <c r="DQ99" s="1616"/>
      <c r="DR99" s="1616"/>
      <c r="DS99" s="1616"/>
      <c r="DT99" s="1616"/>
      <c r="DU99" s="1616"/>
      <c r="DV99" s="1616"/>
      <c r="DW99" s="1616"/>
      <c r="DX99" s="1616"/>
      <c r="DY99" s="1616"/>
      <c r="DZ99" s="1616"/>
      <c r="EA99" s="1616"/>
      <c r="EB99" s="1616"/>
      <c r="EC99" s="1616"/>
      <c r="ED99" s="1616"/>
      <c r="EE99" s="1616"/>
      <c r="EF99" s="1616"/>
      <c r="EG99" s="1616"/>
      <c r="EH99" s="1616"/>
      <c r="EI99" s="1616"/>
      <c r="EJ99" s="1616"/>
      <c r="EK99" s="1616"/>
      <c r="EL99" s="1616"/>
      <c r="EM99" s="1616"/>
      <c r="EN99" s="1616"/>
      <c r="EO99" s="1616"/>
      <c r="EP99" s="1616"/>
      <c r="EQ99" s="1616"/>
      <c r="ER99" s="1616"/>
      <c r="ES99" s="1616"/>
      <c r="ET99" s="1616"/>
      <c r="EU99" s="1616"/>
      <c r="EV99" s="1616"/>
      <c r="EW99" s="1616"/>
      <c r="EX99" s="1616"/>
      <c r="EY99" s="1616"/>
      <c r="EZ99" s="1616"/>
      <c r="FA99" s="1616"/>
      <c r="FB99" s="1616"/>
      <c r="FC99" s="1616"/>
      <c r="FD99" s="1616"/>
      <c r="FE99" s="1616"/>
      <c r="FF99" s="1616"/>
      <c r="FG99" s="1616"/>
      <c r="FH99" s="1616"/>
      <c r="FI99" s="1616"/>
      <c r="FJ99" s="1616"/>
      <c r="FK99" s="1616"/>
      <c r="FL99" s="1616"/>
      <c r="FM99" s="1616"/>
      <c r="FN99" s="1616"/>
      <c r="FO99" s="1616"/>
      <c r="FP99" s="1616"/>
      <c r="FQ99" s="1616"/>
      <c r="FR99" s="1616"/>
      <c r="FS99" s="1616"/>
      <c r="FT99" s="1616"/>
      <c r="FU99" s="1616"/>
      <c r="FV99" s="1616"/>
      <c r="FW99" s="1616"/>
      <c r="FX99" s="1616"/>
      <c r="FY99" s="1616"/>
      <c r="FZ99" s="1616"/>
      <c r="GA99" s="1616"/>
      <c r="GB99" s="1616"/>
      <c r="GC99" s="1616"/>
      <c r="GD99" s="1616"/>
      <c r="GE99" s="1616"/>
      <c r="GF99" s="1616"/>
      <c r="GG99" s="1616"/>
      <c r="GH99" s="1616"/>
      <c r="GI99" s="1616"/>
      <c r="GJ99" s="1616"/>
      <c r="GK99" s="1616"/>
      <c r="GL99" s="1616"/>
      <c r="GM99" s="1616"/>
      <c r="GN99" s="1616"/>
      <c r="GO99" s="1616"/>
      <c r="GP99" s="1616"/>
      <c r="GQ99" s="1616"/>
      <c r="GR99" s="1616"/>
      <c r="GS99" s="1616"/>
      <c r="GT99" s="1616"/>
      <c r="GU99" s="1616"/>
      <c r="GV99" s="1616"/>
      <c r="GW99" s="1616"/>
      <c r="GX99" s="1616"/>
      <c r="GY99" s="1616"/>
      <c r="GZ99" s="1616"/>
      <c r="HA99" s="1616"/>
      <c r="HB99" s="1616"/>
      <c r="HC99" s="1616"/>
      <c r="HD99" s="1616"/>
      <c r="HE99" s="1616"/>
      <c r="HF99" s="1616"/>
      <c r="HG99" s="1616"/>
      <c r="HH99" s="1616"/>
      <c r="HI99" s="1616"/>
      <c r="HJ99" s="1616"/>
      <c r="HK99" s="1616"/>
      <c r="HL99" s="1616"/>
      <c r="HM99" s="1616"/>
      <c r="HN99" s="1616"/>
      <c r="HO99" s="1616"/>
      <c r="HP99" s="1616"/>
      <c r="HQ99" s="1616"/>
      <c r="HR99" s="1616"/>
      <c r="HS99" s="1616"/>
      <c r="HT99" s="1616"/>
      <c r="HU99" s="1616"/>
      <c r="HV99" s="1616"/>
      <c r="HW99" s="1616"/>
      <c r="HX99" s="1616"/>
      <c r="HY99" s="1616"/>
      <c r="HZ99" s="1616"/>
      <c r="IA99" s="1616"/>
      <c r="IB99" s="1616"/>
      <c r="IC99" s="1616"/>
      <c r="ID99" s="1616"/>
      <c r="IE99" s="1616"/>
      <c r="IF99" s="1616"/>
      <c r="IG99" s="1616"/>
      <c r="IH99" s="1616"/>
      <c r="II99" s="1616"/>
      <c r="IJ99" s="1616"/>
      <c r="IK99" s="1616"/>
      <c r="IL99" s="1616"/>
      <c r="IM99" s="1616"/>
      <c r="IN99" s="1616"/>
      <c r="IO99" s="1616"/>
      <c r="IP99" s="1616"/>
      <c r="IQ99" s="1616"/>
      <c r="IR99" s="1616"/>
      <c r="IS99" s="1616"/>
      <c r="IT99" s="1616"/>
      <c r="IU99" s="1616"/>
    </row>
    <row r="100" spans="1:255" s="604" customFormat="1" ht="13.5" customHeight="1">
      <c r="A100" s="595"/>
      <c r="B100" s="596"/>
      <c r="C100" s="597"/>
      <c r="D100" s="719" t="s">
        <v>5965</v>
      </c>
      <c r="E100" s="599"/>
      <c r="F100" s="600">
        <f>(5.8)*2</f>
        <v>11.6</v>
      </c>
      <c r="G100" s="289"/>
      <c r="H100" s="601"/>
      <c r="I100" s="602"/>
      <c r="J100" s="606"/>
      <c r="U100" s="605"/>
      <c r="W100" s="605"/>
    </row>
    <row r="101" spans="1:255" s="604" customFormat="1" ht="13.5" customHeight="1">
      <c r="A101" s="595"/>
      <c r="B101" s="596"/>
      <c r="C101" s="597"/>
      <c r="D101" s="719" t="s">
        <v>5854</v>
      </c>
      <c r="E101" s="599"/>
      <c r="F101" s="600"/>
      <c r="G101" s="289"/>
      <c r="H101" s="601"/>
      <c r="I101" s="602"/>
      <c r="J101" s="606"/>
      <c r="U101" s="605"/>
      <c r="W101" s="605"/>
    </row>
    <row r="102" spans="1:255" s="604" customFormat="1" ht="27" customHeight="1">
      <c r="A102" s="595"/>
      <c r="B102" s="596"/>
      <c r="C102" s="597"/>
      <c r="D102" s="719" t="s">
        <v>5855</v>
      </c>
      <c r="E102" s="599"/>
      <c r="F102" s="600"/>
      <c r="G102" s="289"/>
      <c r="H102" s="601"/>
      <c r="I102" s="602"/>
      <c r="J102" s="606"/>
      <c r="U102" s="605"/>
      <c r="W102" s="605"/>
    </row>
    <row r="103" spans="1:255" s="1248" customFormat="1" ht="13.5" customHeight="1">
      <c r="A103" s="1614">
        <v>29</v>
      </c>
      <c r="B103" s="1615" t="s">
        <v>5808</v>
      </c>
      <c r="C103" s="1615">
        <v>460671113</v>
      </c>
      <c r="D103" s="1615" t="s">
        <v>5859</v>
      </c>
      <c r="E103" s="1615" t="s">
        <v>141</v>
      </c>
      <c r="F103" s="573">
        <f>ROUND(SUM(F105),3)</f>
        <v>11.6</v>
      </c>
      <c r="G103" s="288"/>
      <c r="H103" s="568">
        <f>ROUND(F103*G103,2)</f>
        <v>0</v>
      </c>
      <c r="I103" s="613" t="s">
        <v>137</v>
      </c>
      <c r="J103" s="1612"/>
      <c r="BC103" s="1616"/>
      <c r="BD103" s="1616"/>
      <c r="BE103" s="1616"/>
      <c r="BF103" s="1616"/>
      <c r="BG103" s="1616"/>
      <c r="BH103" s="1616"/>
      <c r="BI103" s="1616"/>
      <c r="BJ103" s="1616"/>
      <c r="BK103" s="1616"/>
      <c r="BL103" s="1616"/>
      <c r="BM103" s="1616"/>
      <c r="BN103" s="1616"/>
      <c r="BO103" s="1616"/>
      <c r="BP103" s="1616"/>
      <c r="BQ103" s="1616"/>
      <c r="BR103" s="1616"/>
      <c r="BS103" s="1616"/>
      <c r="BT103" s="1616"/>
      <c r="BU103" s="1616"/>
      <c r="BV103" s="1616"/>
      <c r="BW103" s="1616"/>
      <c r="BX103" s="1616"/>
      <c r="BY103" s="1616"/>
      <c r="BZ103" s="1616"/>
      <c r="CA103" s="1616"/>
      <c r="CB103" s="1616"/>
      <c r="CC103" s="1616"/>
      <c r="CD103" s="1616"/>
      <c r="CE103" s="1616"/>
      <c r="CF103" s="1616"/>
      <c r="CG103" s="1616"/>
      <c r="CH103" s="1616"/>
      <c r="CI103" s="1616"/>
      <c r="CJ103" s="1616"/>
      <c r="CK103" s="1616"/>
      <c r="CL103" s="1616"/>
      <c r="CM103" s="1616"/>
      <c r="CN103" s="1616"/>
      <c r="CO103" s="1616"/>
      <c r="CP103" s="1616"/>
      <c r="CQ103" s="1616"/>
      <c r="CR103" s="1616"/>
      <c r="CS103" s="1616"/>
      <c r="CT103" s="1616"/>
      <c r="CU103" s="1616"/>
      <c r="CV103" s="1616"/>
      <c r="CW103" s="1616"/>
      <c r="CX103" s="1616"/>
      <c r="CY103" s="1616"/>
      <c r="CZ103" s="1616"/>
      <c r="DA103" s="1616"/>
      <c r="DB103" s="1616"/>
      <c r="DC103" s="1616"/>
      <c r="DD103" s="1616"/>
      <c r="DE103" s="1616"/>
      <c r="DF103" s="1616"/>
      <c r="DG103" s="1616"/>
      <c r="DH103" s="1616"/>
      <c r="DI103" s="1616"/>
      <c r="DJ103" s="1616"/>
      <c r="DK103" s="1616"/>
      <c r="DL103" s="1616"/>
      <c r="DM103" s="1616"/>
      <c r="DN103" s="1616"/>
      <c r="DO103" s="1616"/>
      <c r="DP103" s="1616"/>
      <c r="DQ103" s="1616"/>
      <c r="DR103" s="1616"/>
      <c r="DS103" s="1616"/>
      <c r="DT103" s="1616"/>
      <c r="DU103" s="1616"/>
      <c r="DV103" s="1616"/>
      <c r="DW103" s="1616"/>
      <c r="DX103" s="1616"/>
      <c r="DY103" s="1616"/>
      <c r="DZ103" s="1616"/>
      <c r="EA103" s="1616"/>
      <c r="EB103" s="1616"/>
      <c r="EC103" s="1616"/>
      <c r="ED103" s="1616"/>
      <c r="EE103" s="1616"/>
      <c r="EF103" s="1616"/>
      <c r="EG103" s="1616"/>
      <c r="EH103" s="1616"/>
      <c r="EI103" s="1616"/>
      <c r="EJ103" s="1616"/>
      <c r="EK103" s="1616"/>
      <c r="EL103" s="1616"/>
      <c r="EM103" s="1616"/>
      <c r="EN103" s="1616"/>
      <c r="EO103" s="1616"/>
      <c r="EP103" s="1616"/>
      <c r="EQ103" s="1616"/>
      <c r="ER103" s="1616"/>
      <c r="ES103" s="1616"/>
      <c r="ET103" s="1616"/>
      <c r="EU103" s="1616"/>
      <c r="EV103" s="1616"/>
      <c r="EW103" s="1616"/>
      <c r="EX103" s="1616"/>
      <c r="EY103" s="1616"/>
      <c r="EZ103" s="1616"/>
      <c r="FA103" s="1616"/>
      <c r="FB103" s="1616"/>
      <c r="FC103" s="1616"/>
      <c r="FD103" s="1616"/>
      <c r="FE103" s="1616"/>
      <c r="FF103" s="1616"/>
      <c r="FG103" s="1616"/>
      <c r="FH103" s="1616"/>
      <c r="FI103" s="1616"/>
      <c r="FJ103" s="1616"/>
      <c r="FK103" s="1616"/>
      <c r="FL103" s="1616"/>
      <c r="FM103" s="1616"/>
      <c r="FN103" s="1616"/>
      <c r="FO103" s="1616"/>
      <c r="FP103" s="1616"/>
      <c r="FQ103" s="1616"/>
      <c r="FR103" s="1616"/>
      <c r="FS103" s="1616"/>
      <c r="FT103" s="1616"/>
      <c r="FU103" s="1616"/>
      <c r="FV103" s="1616"/>
      <c r="FW103" s="1616"/>
      <c r="FX103" s="1616"/>
      <c r="FY103" s="1616"/>
      <c r="FZ103" s="1616"/>
      <c r="GA103" s="1616"/>
      <c r="GB103" s="1616"/>
      <c r="GC103" s="1616"/>
      <c r="GD103" s="1616"/>
      <c r="GE103" s="1616"/>
      <c r="GF103" s="1616"/>
      <c r="GG103" s="1616"/>
      <c r="GH103" s="1616"/>
      <c r="GI103" s="1616"/>
      <c r="GJ103" s="1616"/>
      <c r="GK103" s="1616"/>
      <c r="GL103" s="1616"/>
      <c r="GM103" s="1616"/>
      <c r="GN103" s="1616"/>
      <c r="GO103" s="1616"/>
      <c r="GP103" s="1616"/>
      <c r="GQ103" s="1616"/>
      <c r="GR103" s="1616"/>
      <c r="GS103" s="1616"/>
      <c r="GT103" s="1616"/>
      <c r="GU103" s="1616"/>
      <c r="GV103" s="1616"/>
      <c r="GW103" s="1616"/>
      <c r="GX103" s="1616"/>
      <c r="GY103" s="1616"/>
      <c r="GZ103" s="1616"/>
      <c r="HA103" s="1616"/>
      <c r="HB103" s="1616"/>
      <c r="HC103" s="1616"/>
      <c r="HD103" s="1616"/>
      <c r="HE103" s="1616"/>
      <c r="HF103" s="1616"/>
      <c r="HG103" s="1616"/>
      <c r="HH103" s="1616"/>
      <c r="HI103" s="1616"/>
      <c r="HJ103" s="1616"/>
      <c r="HK103" s="1616"/>
      <c r="HL103" s="1616"/>
      <c r="HM103" s="1616"/>
      <c r="HN103" s="1616"/>
      <c r="HO103" s="1616"/>
      <c r="HP103" s="1616"/>
      <c r="HQ103" s="1616"/>
      <c r="HR103" s="1616"/>
      <c r="HS103" s="1616"/>
      <c r="HT103" s="1616"/>
      <c r="HU103" s="1616"/>
      <c r="HV103" s="1616"/>
      <c r="HW103" s="1616"/>
      <c r="HX103" s="1616"/>
      <c r="HY103" s="1616"/>
      <c r="HZ103" s="1616"/>
      <c r="IA103" s="1616"/>
      <c r="IB103" s="1616"/>
      <c r="IC103" s="1616"/>
      <c r="ID103" s="1616"/>
      <c r="IE103" s="1616"/>
      <c r="IF103" s="1616"/>
      <c r="IG103" s="1616"/>
      <c r="IH103" s="1616"/>
      <c r="II103" s="1616"/>
      <c r="IJ103" s="1616"/>
      <c r="IK103" s="1616"/>
      <c r="IL103" s="1616"/>
      <c r="IM103" s="1616"/>
      <c r="IN103" s="1616"/>
      <c r="IO103" s="1616"/>
      <c r="IP103" s="1616"/>
      <c r="IQ103" s="1616"/>
      <c r="IR103" s="1616"/>
      <c r="IS103" s="1616"/>
      <c r="IT103" s="1616"/>
      <c r="IU103" s="1616"/>
    </row>
    <row r="104" spans="1:255" s="1248" customFormat="1" ht="13.5" customHeight="1">
      <c r="A104" s="1614"/>
      <c r="B104" s="1615"/>
      <c r="C104" s="1615"/>
      <c r="D104" s="719" t="s">
        <v>5966</v>
      </c>
      <c r="E104" s="1615"/>
      <c r="F104" s="1444"/>
      <c r="G104" s="288"/>
      <c r="H104" s="609"/>
      <c r="I104" s="613"/>
      <c r="J104" s="1612"/>
      <c r="BC104" s="1616"/>
      <c r="BD104" s="1616"/>
      <c r="BE104" s="1616"/>
      <c r="BF104" s="1616"/>
      <c r="BG104" s="1616"/>
      <c r="BH104" s="1616"/>
      <c r="BI104" s="1616"/>
      <c r="BJ104" s="1616"/>
      <c r="BK104" s="1616"/>
      <c r="BL104" s="1616"/>
      <c r="BM104" s="1616"/>
      <c r="BN104" s="1616"/>
      <c r="BO104" s="1616"/>
      <c r="BP104" s="1616"/>
      <c r="BQ104" s="1616"/>
      <c r="BR104" s="1616"/>
      <c r="BS104" s="1616"/>
      <c r="BT104" s="1616"/>
      <c r="BU104" s="1616"/>
      <c r="BV104" s="1616"/>
      <c r="BW104" s="1616"/>
      <c r="BX104" s="1616"/>
      <c r="BY104" s="1616"/>
      <c r="BZ104" s="1616"/>
      <c r="CA104" s="1616"/>
      <c r="CB104" s="1616"/>
      <c r="CC104" s="1616"/>
      <c r="CD104" s="1616"/>
      <c r="CE104" s="1616"/>
      <c r="CF104" s="1616"/>
      <c r="CG104" s="1616"/>
      <c r="CH104" s="1616"/>
      <c r="CI104" s="1616"/>
      <c r="CJ104" s="1616"/>
      <c r="CK104" s="1616"/>
      <c r="CL104" s="1616"/>
      <c r="CM104" s="1616"/>
      <c r="CN104" s="1616"/>
      <c r="CO104" s="1616"/>
      <c r="CP104" s="1616"/>
      <c r="CQ104" s="1616"/>
      <c r="CR104" s="1616"/>
      <c r="CS104" s="1616"/>
      <c r="CT104" s="1616"/>
      <c r="CU104" s="1616"/>
      <c r="CV104" s="1616"/>
      <c r="CW104" s="1616"/>
      <c r="CX104" s="1616"/>
      <c r="CY104" s="1616"/>
      <c r="CZ104" s="1616"/>
      <c r="DA104" s="1616"/>
      <c r="DB104" s="1616"/>
      <c r="DC104" s="1616"/>
      <c r="DD104" s="1616"/>
      <c r="DE104" s="1616"/>
      <c r="DF104" s="1616"/>
      <c r="DG104" s="1616"/>
      <c r="DH104" s="1616"/>
      <c r="DI104" s="1616"/>
      <c r="DJ104" s="1616"/>
      <c r="DK104" s="1616"/>
      <c r="DL104" s="1616"/>
      <c r="DM104" s="1616"/>
      <c r="DN104" s="1616"/>
      <c r="DO104" s="1616"/>
      <c r="DP104" s="1616"/>
      <c r="DQ104" s="1616"/>
      <c r="DR104" s="1616"/>
      <c r="DS104" s="1616"/>
      <c r="DT104" s="1616"/>
      <c r="DU104" s="1616"/>
      <c r="DV104" s="1616"/>
      <c r="DW104" s="1616"/>
      <c r="DX104" s="1616"/>
      <c r="DY104" s="1616"/>
      <c r="DZ104" s="1616"/>
      <c r="EA104" s="1616"/>
      <c r="EB104" s="1616"/>
      <c r="EC104" s="1616"/>
      <c r="ED104" s="1616"/>
      <c r="EE104" s="1616"/>
      <c r="EF104" s="1616"/>
      <c r="EG104" s="1616"/>
      <c r="EH104" s="1616"/>
      <c r="EI104" s="1616"/>
      <c r="EJ104" s="1616"/>
      <c r="EK104" s="1616"/>
      <c r="EL104" s="1616"/>
      <c r="EM104" s="1616"/>
      <c r="EN104" s="1616"/>
      <c r="EO104" s="1616"/>
      <c r="EP104" s="1616"/>
      <c r="EQ104" s="1616"/>
      <c r="ER104" s="1616"/>
      <c r="ES104" s="1616"/>
      <c r="ET104" s="1616"/>
      <c r="EU104" s="1616"/>
      <c r="EV104" s="1616"/>
      <c r="EW104" s="1616"/>
      <c r="EX104" s="1616"/>
      <c r="EY104" s="1616"/>
      <c r="EZ104" s="1616"/>
      <c r="FA104" s="1616"/>
      <c r="FB104" s="1616"/>
      <c r="FC104" s="1616"/>
      <c r="FD104" s="1616"/>
      <c r="FE104" s="1616"/>
      <c r="FF104" s="1616"/>
      <c r="FG104" s="1616"/>
      <c r="FH104" s="1616"/>
      <c r="FI104" s="1616"/>
      <c r="FJ104" s="1616"/>
      <c r="FK104" s="1616"/>
      <c r="FL104" s="1616"/>
      <c r="FM104" s="1616"/>
      <c r="FN104" s="1616"/>
      <c r="FO104" s="1616"/>
      <c r="FP104" s="1616"/>
      <c r="FQ104" s="1616"/>
      <c r="FR104" s="1616"/>
      <c r="FS104" s="1616"/>
      <c r="FT104" s="1616"/>
      <c r="FU104" s="1616"/>
      <c r="FV104" s="1616"/>
      <c r="FW104" s="1616"/>
      <c r="FX104" s="1616"/>
      <c r="FY104" s="1616"/>
      <c r="FZ104" s="1616"/>
      <c r="GA104" s="1616"/>
      <c r="GB104" s="1616"/>
      <c r="GC104" s="1616"/>
      <c r="GD104" s="1616"/>
      <c r="GE104" s="1616"/>
      <c r="GF104" s="1616"/>
      <c r="GG104" s="1616"/>
      <c r="GH104" s="1616"/>
      <c r="GI104" s="1616"/>
      <c r="GJ104" s="1616"/>
      <c r="GK104" s="1616"/>
      <c r="GL104" s="1616"/>
      <c r="GM104" s="1616"/>
      <c r="GN104" s="1616"/>
      <c r="GO104" s="1616"/>
      <c r="GP104" s="1616"/>
      <c r="GQ104" s="1616"/>
      <c r="GR104" s="1616"/>
      <c r="GS104" s="1616"/>
      <c r="GT104" s="1616"/>
      <c r="GU104" s="1616"/>
      <c r="GV104" s="1616"/>
      <c r="GW104" s="1616"/>
      <c r="GX104" s="1616"/>
      <c r="GY104" s="1616"/>
      <c r="GZ104" s="1616"/>
      <c r="HA104" s="1616"/>
      <c r="HB104" s="1616"/>
      <c r="HC104" s="1616"/>
      <c r="HD104" s="1616"/>
      <c r="HE104" s="1616"/>
      <c r="HF104" s="1616"/>
      <c r="HG104" s="1616"/>
      <c r="HH104" s="1616"/>
      <c r="HI104" s="1616"/>
      <c r="HJ104" s="1616"/>
      <c r="HK104" s="1616"/>
      <c r="HL104" s="1616"/>
      <c r="HM104" s="1616"/>
      <c r="HN104" s="1616"/>
      <c r="HO104" s="1616"/>
      <c r="HP104" s="1616"/>
      <c r="HQ104" s="1616"/>
      <c r="HR104" s="1616"/>
      <c r="HS104" s="1616"/>
      <c r="HT104" s="1616"/>
      <c r="HU104" s="1616"/>
      <c r="HV104" s="1616"/>
      <c r="HW104" s="1616"/>
      <c r="HX104" s="1616"/>
      <c r="HY104" s="1616"/>
      <c r="HZ104" s="1616"/>
      <c r="IA104" s="1616"/>
      <c r="IB104" s="1616"/>
      <c r="IC104" s="1616"/>
      <c r="ID104" s="1616"/>
      <c r="IE104" s="1616"/>
      <c r="IF104" s="1616"/>
      <c r="IG104" s="1616"/>
      <c r="IH104" s="1616"/>
      <c r="II104" s="1616"/>
      <c r="IJ104" s="1616"/>
      <c r="IK104" s="1616"/>
      <c r="IL104" s="1616"/>
      <c r="IM104" s="1616"/>
      <c r="IN104" s="1616"/>
      <c r="IO104" s="1616"/>
      <c r="IP104" s="1616"/>
      <c r="IQ104" s="1616"/>
      <c r="IR104" s="1616"/>
      <c r="IS104" s="1616"/>
      <c r="IT104" s="1616"/>
      <c r="IU104" s="1616"/>
    </row>
    <row r="105" spans="1:255" s="604" customFormat="1" ht="13.5" customHeight="1">
      <c r="A105" s="595"/>
      <c r="B105" s="596"/>
      <c r="C105" s="597"/>
      <c r="D105" s="719" t="s">
        <v>5967</v>
      </c>
      <c r="E105" s="599"/>
      <c r="F105" s="600">
        <f>(5.8)*2</f>
        <v>11.6</v>
      </c>
      <c r="G105" s="289"/>
      <c r="H105" s="601"/>
      <c r="I105" s="602"/>
      <c r="J105" s="606"/>
      <c r="U105" s="605"/>
      <c r="W105" s="605"/>
    </row>
    <row r="106" spans="1:255" s="1248" customFormat="1" ht="13.5" customHeight="1">
      <c r="A106" s="1624" t="s">
        <v>5552</v>
      </c>
      <c r="B106" s="1615" t="s">
        <v>5808</v>
      </c>
      <c r="C106" s="1615" t="s">
        <v>5865</v>
      </c>
      <c r="D106" s="1615" t="s">
        <v>5866</v>
      </c>
      <c r="E106" s="1615" t="s">
        <v>141</v>
      </c>
      <c r="F106" s="573">
        <f>ROUND(SUM(F108:F108),3)</f>
        <v>2.75</v>
      </c>
      <c r="G106" s="288"/>
      <c r="H106" s="568">
        <f>ROUND(F106*G106,2)</f>
        <v>0</v>
      </c>
      <c r="I106" s="1014" t="s">
        <v>111</v>
      </c>
      <c r="J106" s="1565"/>
      <c r="K106" s="612"/>
      <c r="U106" s="1569"/>
      <c r="CF106" s="1616"/>
      <c r="CG106" s="1616"/>
      <c r="CH106" s="1616"/>
      <c r="CI106" s="1616"/>
      <c r="CJ106" s="1616"/>
      <c r="CK106" s="1616"/>
      <c r="CL106" s="1616"/>
      <c r="CM106" s="1616"/>
      <c r="CN106" s="1616"/>
      <c r="CO106" s="1616"/>
      <c r="CP106" s="1616"/>
      <c r="CQ106" s="1616"/>
      <c r="CR106" s="1616"/>
      <c r="CS106" s="1616"/>
      <c r="CT106" s="1616"/>
      <c r="CU106" s="1616"/>
      <c r="CV106" s="1616"/>
      <c r="CW106" s="1616"/>
      <c r="CX106" s="1616"/>
      <c r="CY106" s="1616"/>
      <c r="CZ106" s="1616"/>
      <c r="DA106" s="1616"/>
      <c r="DB106" s="1616"/>
      <c r="DC106" s="1616"/>
      <c r="DD106" s="1616"/>
      <c r="DE106" s="1616"/>
      <c r="DF106" s="1616"/>
      <c r="DG106" s="1616"/>
      <c r="DH106" s="1616"/>
      <c r="DI106" s="1616"/>
      <c r="DJ106" s="1616"/>
      <c r="DK106" s="1616"/>
      <c r="DL106" s="1616"/>
      <c r="DM106" s="1616"/>
      <c r="DN106" s="1616"/>
      <c r="DO106" s="1616"/>
      <c r="DP106" s="1616"/>
      <c r="DQ106" s="1616"/>
      <c r="DR106" s="1616"/>
      <c r="DS106" s="1616"/>
      <c r="DT106" s="1616"/>
      <c r="DU106" s="1616"/>
      <c r="DV106" s="1616"/>
      <c r="DW106" s="1616"/>
      <c r="DX106" s="1616"/>
      <c r="DY106" s="1616"/>
      <c r="DZ106" s="1616"/>
      <c r="EA106" s="1616"/>
      <c r="EB106" s="1616"/>
      <c r="EC106" s="1616"/>
      <c r="ED106" s="1616"/>
      <c r="EE106" s="1616"/>
      <c r="EF106" s="1616"/>
      <c r="EG106" s="1616"/>
      <c r="EH106" s="1616"/>
      <c r="EI106" s="1616"/>
      <c r="EJ106" s="1616"/>
      <c r="EK106" s="1616"/>
      <c r="EL106" s="1616"/>
      <c r="EM106" s="1616"/>
      <c r="EN106" s="1616"/>
      <c r="EO106" s="1616"/>
      <c r="EP106" s="1616"/>
      <c r="EQ106" s="1616"/>
      <c r="ER106" s="1616"/>
      <c r="ES106" s="1616"/>
      <c r="ET106" s="1616"/>
      <c r="EU106" s="1616"/>
      <c r="EV106" s="1616"/>
      <c r="EW106" s="1616"/>
      <c r="EX106" s="1616"/>
      <c r="EY106" s="1616"/>
      <c r="EZ106" s="1616"/>
      <c r="FA106" s="1616"/>
      <c r="FB106" s="1616"/>
      <c r="FC106" s="1616"/>
      <c r="FD106" s="1616"/>
      <c r="FE106" s="1616"/>
      <c r="FF106" s="1616"/>
      <c r="FG106" s="1616"/>
      <c r="FH106" s="1616"/>
      <c r="FI106" s="1616"/>
      <c r="FJ106" s="1616"/>
      <c r="FK106" s="1616"/>
      <c r="FL106" s="1616"/>
      <c r="FM106" s="1616"/>
      <c r="FN106" s="1616"/>
      <c r="FO106" s="1616"/>
      <c r="FP106" s="1616"/>
      <c r="FQ106" s="1616"/>
      <c r="FR106" s="1616"/>
      <c r="FS106" s="1616"/>
      <c r="FT106" s="1616"/>
      <c r="FU106" s="1616"/>
      <c r="FV106" s="1616"/>
      <c r="FW106" s="1616"/>
      <c r="FX106" s="1616"/>
      <c r="FY106" s="1616"/>
      <c r="FZ106" s="1616"/>
      <c r="GA106" s="1616"/>
      <c r="GB106" s="1616"/>
      <c r="GC106" s="1616"/>
      <c r="GD106" s="1616"/>
      <c r="GE106" s="1616"/>
      <c r="GF106" s="1616"/>
      <c r="GG106" s="1616"/>
      <c r="GH106" s="1616"/>
      <c r="GI106" s="1616"/>
      <c r="GJ106" s="1616"/>
      <c r="GK106" s="1616"/>
      <c r="GL106" s="1616"/>
      <c r="GM106" s="1616"/>
      <c r="GN106" s="1616"/>
      <c r="GO106" s="1616"/>
      <c r="GP106" s="1616"/>
      <c r="GQ106" s="1616"/>
      <c r="GR106" s="1616"/>
      <c r="GS106" s="1616"/>
      <c r="GT106" s="1616"/>
      <c r="GU106" s="1616"/>
      <c r="GV106" s="1616"/>
      <c r="GW106" s="1616"/>
      <c r="GX106" s="1616"/>
      <c r="GY106" s="1616"/>
      <c r="GZ106" s="1616"/>
      <c r="HA106" s="1616"/>
      <c r="HB106" s="1616"/>
      <c r="HC106" s="1616"/>
      <c r="HD106" s="1616"/>
      <c r="HE106" s="1616"/>
      <c r="HF106" s="1616"/>
      <c r="HG106" s="1616"/>
      <c r="HH106" s="1616"/>
      <c r="HI106" s="1616"/>
      <c r="HJ106" s="1616"/>
      <c r="HK106" s="1616"/>
      <c r="HL106" s="1616"/>
      <c r="HM106" s="1616"/>
      <c r="HN106" s="1616"/>
      <c r="HO106" s="1616"/>
      <c r="HP106" s="1616"/>
      <c r="HQ106" s="1616"/>
      <c r="HR106" s="1616"/>
      <c r="HS106" s="1616"/>
      <c r="HT106" s="1616"/>
      <c r="HU106" s="1616"/>
      <c r="HV106" s="1616"/>
      <c r="HW106" s="1616"/>
      <c r="HX106" s="1616"/>
      <c r="HY106" s="1616"/>
      <c r="HZ106" s="1616"/>
      <c r="IA106" s="1616"/>
      <c r="IB106" s="1616"/>
      <c r="IC106" s="1616"/>
      <c r="ID106" s="1616"/>
      <c r="IE106" s="1616"/>
      <c r="IF106" s="1616"/>
      <c r="IG106" s="1616"/>
      <c r="IH106" s="1616"/>
      <c r="II106" s="1616"/>
      <c r="IJ106" s="1616"/>
      <c r="IK106" s="1616"/>
      <c r="IL106" s="1616"/>
      <c r="IM106" s="1616"/>
      <c r="IN106" s="1616"/>
      <c r="IO106" s="1616"/>
      <c r="IP106" s="1616"/>
      <c r="IQ106" s="1616"/>
      <c r="IR106" s="1616"/>
      <c r="IS106" s="1616"/>
      <c r="IT106" s="1616"/>
      <c r="IU106" s="1616"/>
    </row>
    <row r="107" spans="1:255" s="1631" customFormat="1" ht="13.5" customHeight="1">
      <c r="A107" s="1625"/>
      <c r="B107" s="1626"/>
      <c r="C107" s="1627"/>
      <c r="D107" s="1628" t="s">
        <v>5867</v>
      </c>
      <c r="E107" s="599"/>
      <c r="F107" s="600"/>
      <c r="G107" s="410"/>
      <c r="H107" s="1629"/>
      <c r="I107" s="1630"/>
      <c r="J107" s="1566"/>
      <c r="K107" s="1567"/>
      <c r="L107" s="604"/>
      <c r="M107" s="604"/>
      <c r="N107" s="604"/>
      <c r="O107" s="604"/>
      <c r="P107" s="604"/>
      <c r="Q107" s="604"/>
      <c r="R107" s="604"/>
      <c r="S107" s="604"/>
      <c r="T107" s="604"/>
      <c r="U107" s="1572"/>
      <c r="W107" s="1632"/>
    </row>
    <row r="108" spans="1:255" s="1631" customFormat="1" ht="13.5" customHeight="1">
      <c r="A108" s="1625"/>
      <c r="B108" s="1626"/>
      <c r="C108" s="1627"/>
      <c r="D108" s="1628" t="s">
        <v>5968</v>
      </c>
      <c r="E108" s="599"/>
      <c r="F108" s="600">
        <f>(2.5)*1.1</f>
        <v>2.75</v>
      </c>
      <c r="G108" s="410"/>
      <c r="H108" s="1629"/>
      <c r="I108" s="1630"/>
      <c r="J108" s="1633"/>
      <c r="U108" s="1632"/>
      <c r="W108" s="1632"/>
    </row>
    <row r="109" spans="1:255" s="1631" customFormat="1" ht="13.5" customHeight="1">
      <c r="A109" s="1625"/>
      <c r="B109" s="1626"/>
      <c r="C109" s="1627"/>
      <c r="D109" s="1634" t="s">
        <v>5869</v>
      </c>
      <c r="E109" s="599"/>
      <c r="F109" s="600"/>
      <c r="G109" s="410"/>
      <c r="H109" s="1629"/>
      <c r="I109" s="1630"/>
      <c r="J109" s="1635"/>
      <c r="P109" s="1636"/>
      <c r="U109" s="1632"/>
      <c r="W109" s="1632"/>
    </row>
    <row r="110" spans="1:255" s="1631" customFormat="1" ht="13.5" customHeight="1">
      <c r="A110" s="1625"/>
      <c r="B110" s="1626"/>
      <c r="C110" s="1627"/>
      <c r="D110" s="1634" t="s">
        <v>5870</v>
      </c>
      <c r="E110" s="599"/>
      <c r="F110" s="600"/>
      <c r="G110" s="410"/>
      <c r="H110" s="1629"/>
      <c r="I110" s="1630"/>
      <c r="J110" s="1637"/>
      <c r="U110" s="1632"/>
      <c r="W110" s="1632"/>
    </row>
    <row r="111" spans="1:255" s="1248" customFormat="1" ht="13.5" customHeight="1">
      <c r="A111" s="1624" t="s">
        <v>5452</v>
      </c>
      <c r="B111" s="1615" t="s">
        <v>5808</v>
      </c>
      <c r="C111" s="1615" t="s">
        <v>5871</v>
      </c>
      <c r="D111" s="1615" t="s">
        <v>5872</v>
      </c>
      <c r="E111" s="1615" t="s">
        <v>141</v>
      </c>
      <c r="F111" s="573">
        <f>ROUND(SUM(F113),3)</f>
        <v>6.38</v>
      </c>
      <c r="G111" s="288"/>
      <c r="H111" s="568">
        <f>ROUND(F111*G111,2)</f>
        <v>0</v>
      </c>
      <c r="I111" s="1014" t="s">
        <v>111</v>
      </c>
      <c r="J111" s="1565"/>
      <c r="K111" s="612"/>
      <c r="U111" s="1569"/>
      <c r="BU111" s="1616"/>
      <c r="BV111" s="1616"/>
      <c r="BW111" s="1616"/>
      <c r="BX111" s="1616"/>
      <c r="BY111" s="1616"/>
      <c r="BZ111" s="1616"/>
      <c r="CA111" s="1616"/>
      <c r="CB111" s="1616"/>
      <c r="CC111" s="1616"/>
      <c r="CD111" s="1616"/>
      <c r="CE111" s="1616"/>
      <c r="CF111" s="1616"/>
      <c r="CG111" s="1616"/>
      <c r="CH111" s="1616"/>
      <c r="CI111" s="1616"/>
      <c r="CJ111" s="1616"/>
      <c r="CK111" s="1616"/>
      <c r="CL111" s="1616"/>
      <c r="CM111" s="1616"/>
      <c r="CN111" s="1616"/>
      <c r="CO111" s="1616"/>
      <c r="CP111" s="1616"/>
      <c r="CQ111" s="1616"/>
      <c r="CR111" s="1616"/>
      <c r="CS111" s="1616"/>
      <c r="CT111" s="1616"/>
      <c r="CU111" s="1616"/>
      <c r="CV111" s="1616"/>
      <c r="CW111" s="1616"/>
      <c r="CX111" s="1616"/>
      <c r="CY111" s="1616"/>
      <c r="CZ111" s="1616"/>
      <c r="DA111" s="1616"/>
      <c r="DB111" s="1616"/>
      <c r="DC111" s="1616"/>
      <c r="DD111" s="1616"/>
      <c r="DE111" s="1616"/>
      <c r="DF111" s="1616"/>
      <c r="DG111" s="1616"/>
      <c r="DH111" s="1616"/>
      <c r="DI111" s="1616"/>
      <c r="DJ111" s="1616"/>
      <c r="DK111" s="1616"/>
      <c r="DL111" s="1616"/>
      <c r="DM111" s="1616"/>
      <c r="DN111" s="1616"/>
      <c r="DO111" s="1616"/>
      <c r="DP111" s="1616"/>
      <c r="DQ111" s="1616"/>
      <c r="DR111" s="1616"/>
      <c r="DS111" s="1616"/>
      <c r="DT111" s="1616"/>
      <c r="DU111" s="1616"/>
      <c r="DV111" s="1616"/>
      <c r="DW111" s="1616"/>
      <c r="DX111" s="1616"/>
      <c r="DY111" s="1616"/>
      <c r="DZ111" s="1616"/>
      <c r="EA111" s="1616"/>
      <c r="EB111" s="1616"/>
      <c r="EC111" s="1616"/>
      <c r="ED111" s="1616"/>
      <c r="EE111" s="1616"/>
      <c r="EF111" s="1616"/>
      <c r="EG111" s="1616"/>
      <c r="EH111" s="1616"/>
      <c r="EI111" s="1616"/>
      <c r="EJ111" s="1616"/>
      <c r="EK111" s="1616"/>
      <c r="EL111" s="1616"/>
      <c r="EM111" s="1616"/>
      <c r="EN111" s="1616"/>
      <c r="EO111" s="1616"/>
      <c r="EP111" s="1616"/>
      <c r="EQ111" s="1616"/>
      <c r="ER111" s="1616"/>
      <c r="ES111" s="1616"/>
      <c r="ET111" s="1616"/>
      <c r="EU111" s="1616"/>
      <c r="EV111" s="1616"/>
      <c r="EW111" s="1616"/>
      <c r="EX111" s="1616"/>
      <c r="EY111" s="1616"/>
      <c r="EZ111" s="1616"/>
      <c r="FA111" s="1616"/>
      <c r="FB111" s="1616"/>
      <c r="FC111" s="1616"/>
      <c r="FD111" s="1616"/>
      <c r="FE111" s="1616"/>
      <c r="FF111" s="1616"/>
      <c r="FG111" s="1616"/>
      <c r="FH111" s="1616"/>
      <c r="FI111" s="1616"/>
      <c r="FJ111" s="1616"/>
      <c r="FK111" s="1616"/>
      <c r="FL111" s="1616"/>
      <c r="FM111" s="1616"/>
      <c r="FN111" s="1616"/>
      <c r="FO111" s="1616"/>
      <c r="FP111" s="1616"/>
      <c r="FQ111" s="1616"/>
      <c r="FR111" s="1616"/>
      <c r="FS111" s="1616"/>
      <c r="FT111" s="1616"/>
      <c r="FU111" s="1616"/>
      <c r="FV111" s="1616"/>
      <c r="FW111" s="1616"/>
      <c r="FX111" s="1616"/>
      <c r="FY111" s="1616"/>
      <c r="FZ111" s="1616"/>
      <c r="GA111" s="1616"/>
      <c r="GB111" s="1616"/>
      <c r="GC111" s="1616"/>
      <c r="GD111" s="1616"/>
      <c r="GE111" s="1616"/>
      <c r="GF111" s="1616"/>
      <c r="GG111" s="1616"/>
      <c r="GH111" s="1616"/>
      <c r="GI111" s="1616"/>
      <c r="GJ111" s="1616"/>
      <c r="GK111" s="1616"/>
      <c r="GL111" s="1616"/>
      <c r="GM111" s="1616"/>
      <c r="GN111" s="1616"/>
      <c r="GO111" s="1616"/>
      <c r="GP111" s="1616"/>
      <c r="GQ111" s="1616"/>
      <c r="GR111" s="1616"/>
      <c r="GS111" s="1616"/>
      <c r="GT111" s="1616"/>
      <c r="GU111" s="1616"/>
      <c r="GV111" s="1616"/>
      <c r="GW111" s="1616"/>
      <c r="GX111" s="1616"/>
      <c r="GY111" s="1616"/>
      <c r="GZ111" s="1616"/>
      <c r="HA111" s="1616"/>
      <c r="HB111" s="1616"/>
      <c r="HC111" s="1616"/>
      <c r="HD111" s="1616"/>
      <c r="HE111" s="1616"/>
      <c r="HF111" s="1616"/>
      <c r="HG111" s="1616"/>
      <c r="HH111" s="1616"/>
      <c r="HI111" s="1616"/>
      <c r="HJ111" s="1616"/>
      <c r="HK111" s="1616"/>
      <c r="HL111" s="1616"/>
      <c r="HM111" s="1616"/>
      <c r="HN111" s="1616"/>
      <c r="HO111" s="1616"/>
      <c r="HP111" s="1616"/>
      <c r="HQ111" s="1616"/>
      <c r="HR111" s="1616"/>
      <c r="HS111" s="1616"/>
      <c r="HT111" s="1616"/>
      <c r="HU111" s="1616"/>
      <c r="HV111" s="1616"/>
      <c r="HW111" s="1616"/>
      <c r="HX111" s="1616"/>
      <c r="HY111" s="1616"/>
      <c r="HZ111" s="1616"/>
      <c r="IA111" s="1616"/>
      <c r="IB111" s="1616"/>
      <c r="IC111" s="1616"/>
      <c r="ID111" s="1616"/>
      <c r="IE111" s="1616"/>
      <c r="IF111" s="1616"/>
      <c r="IG111" s="1616"/>
      <c r="IH111" s="1616"/>
      <c r="II111" s="1616"/>
      <c r="IJ111" s="1616"/>
      <c r="IK111" s="1616"/>
      <c r="IL111" s="1616"/>
      <c r="IM111" s="1616"/>
      <c r="IN111" s="1616"/>
      <c r="IO111" s="1616"/>
      <c r="IP111" s="1616"/>
      <c r="IQ111" s="1616"/>
      <c r="IR111" s="1616"/>
      <c r="IS111" s="1616"/>
      <c r="IT111" s="1616"/>
      <c r="IU111" s="1616"/>
    </row>
    <row r="112" spans="1:255" s="1631" customFormat="1" ht="13.5" customHeight="1">
      <c r="A112" s="1625"/>
      <c r="B112" s="1626"/>
      <c r="C112" s="1627"/>
      <c r="D112" s="1628" t="s">
        <v>5873</v>
      </c>
      <c r="E112" s="599"/>
      <c r="F112" s="600"/>
      <c r="G112" s="410"/>
      <c r="H112" s="1629"/>
      <c r="I112" s="1630"/>
      <c r="J112" s="1566"/>
      <c r="K112" s="1567"/>
      <c r="L112" s="604"/>
      <c r="M112" s="604"/>
      <c r="N112" s="604"/>
      <c r="O112" s="604"/>
      <c r="P112" s="604"/>
      <c r="Q112" s="604"/>
      <c r="R112" s="604"/>
      <c r="S112" s="604"/>
      <c r="T112" s="604"/>
      <c r="U112" s="1572"/>
    </row>
    <row r="113" spans="1:256" s="1631" customFormat="1" ht="13.5" customHeight="1">
      <c r="A113" s="1625"/>
      <c r="B113" s="1626"/>
      <c r="C113" s="1627"/>
      <c r="D113" s="1628" t="s">
        <v>5969</v>
      </c>
      <c r="E113" s="599"/>
      <c r="F113" s="600">
        <f>(5.8)*1.1</f>
        <v>6.38</v>
      </c>
      <c r="G113" s="410"/>
      <c r="H113" s="1629"/>
      <c r="I113" s="1630"/>
      <c r="J113" s="1633"/>
      <c r="K113" s="1567"/>
      <c r="U113" s="1572"/>
      <c r="W113" s="1638"/>
    </row>
    <row r="114" spans="1:256" s="1631" customFormat="1" ht="13.5" customHeight="1">
      <c r="A114" s="1625"/>
      <c r="B114" s="1626"/>
      <c r="C114" s="1627"/>
      <c r="D114" s="1634" t="s">
        <v>5869</v>
      </c>
      <c r="E114" s="599"/>
      <c r="F114" s="600"/>
      <c r="G114" s="410"/>
      <c r="H114" s="1629"/>
      <c r="I114" s="1630"/>
      <c r="J114" s="1639"/>
      <c r="U114" s="1632"/>
      <c r="W114" s="1632"/>
    </row>
    <row r="115" spans="1:256" s="1631" customFormat="1" ht="13.5" customHeight="1">
      <c r="A115" s="1625"/>
      <c r="B115" s="1626"/>
      <c r="C115" s="1627"/>
      <c r="D115" s="1634" t="s">
        <v>5870</v>
      </c>
      <c r="E115" s="599"/>
      <c r="F115" s="600"/>
      <c r="G115" s="410"/>
      <c r="H115" s="1629"/>
      <c r="I115" s="1630"/>
      <c r="J115" s="1637"/>
      <c r="N115" s="1635"/>
      <c r="U115" s="1632"/>
      <c r="W115" s="1632"/>
    </row>
    <row r="116" spans="1:256" s="1248" customFormat="1" ht="27" customHeight="1">
      <c r="A116" s="1614">
        <v>32</v>
      </c>
      <c r="B116" s="1252">
        <v>946</v>
      </c>
      <c r="C116" s="1245" t="s">
        <v>5875</v>
      </c>
      <c r="D116" s="1245" t="s">
        <v>5876</v>
      </c>
      <c r="E116" s="1245" t="s">
        <v>146</v>
      </c>
      <c r="F116" s="1640">
        <f>ROUND(SUM(F118,F120),3)</f>
        <v>1.885</v>
      </c>
      <c r="G116" s="1641">
        <f>ROUND(SUM(H122:H125)/F116,2)</f>
        <v>0</v>
      </c>
      <c r="H116" s="568">
        <f>ROUND(F116*G116,2)</f>
        <v>0</v>
      </c>
      <c r="I116" s="1280" t="s">
        <v>111</v>
      </c>
    </row>
    <row r="117" spans="1:256" s="1248" customFormat="1" ht="13.5" customHeight="1">
      <c r="A117" s="1244"/>
      <c r="B117" s="1252"/>
      <c r="C117" s="1245"/>
      <c r="D117" s="1255" t="s">
        <v>4784</v>
      </c>
      <c r="E117" s="1245"/>
      <c r="F117" s="1246"/>
      <c r="G117" s="404"/>
      <c r="H117" s="1247"/>
      <c r="I117" s="1280"/>
      <c r="J117" s="1642"/>
      <c r="K117" s="1643"/>
      <c r="L117" s="1643"/>
      <c r="M117" s="1642"/>
      <c r="N117" s="1644"/>
    </row>
    <row r="118" spans="1:256" s="593" customFormat="1" ht="13.5" customHeight="1">
      <c r="A118" s="789"/>
      <c r="B118" s="790"/>
      <c r="C118" s="1245"/>
      <c r="D118" s="756" t="s">
        <v>182</v>
      </c>
      <c r="E118" s="1260"/>
      <c r="F118" s="758">
        <f>SUM(F119)</f>
        <v>1.6965000000000001</v>
      </c>
      <c r="G118" s="879"/>
      <c r="H118" s="587"/>
      <c r="I118" s="1014"/>
      <c r="J118" s="1262"/>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row>
    <row r="119" spans="1:256" s="1248" customFormat="1" ht="27" customHeight="1">
      <c r="A119" s="1524"/>
      <c r="B119" s="1525"/>
      <c r="C119" s="1645"/>
      <c r="D119" s="1255" t="s">
        <v>5970</v>
      </c>
      <c r="E119" s="1255"/>
      <c r="F119" s="1249">
        <f>(5.8*0.65*0.5)*(0.85+0.05)</f>
        <v>1.6965000000000001</v>
      </c>
      <c r="G119" s="404"/>
      <c r="H119" s="1247"/>
      <c r="I119" s="1492"/>
      <c r="J119" s="1523"/>
    </row>
    <row r="120" spans="1:256" s="593" customFormat="1" ht="13.5" customHeight="1">
      <c r="A120" s="789"/>
      <c r="B120" s="790"/>
      <c r="C120" s="1245"/>
      <c r="D120" s="756" t="s">
        <v>185</v>
      </c>
      <c r="E120" s="1260"/>
      <c r="F120" s="758">
        <f>SUM(F121)</f>
        <v>0.1885</v>
      </c>
      <c r="G120" s="879"/>
      <c r="H120" s="587"/>
      <c r="I120" s="1014"/>
      <c r="J120" s="1262"/>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c r="HF120" s="213"/>
      <c r="HG120" s="213"/>
      <c r="HH120" s="213"/>
      <c r="HI120" s="213"/>
      <c r="HJ120" s="213"/>
      <c r="HK120" s="213"/>
      <c r="HL120" s="213"/>
      <c r="HM120" s="213"/>
      <c r="HN120" s="213"/>
      <c r="HO120" s="213"/>
      <c r="HP120" s="213"/>
      <c r="HQ120" s="213"/>
      <c r="HR120" s="213"/>
      <c r="HS120" s="213"/>
      <c r="HT120" s="213"/>
      <c r="HU120" s="213"/>
      <c r="HV120" s="213"/>
      <c r="HW120" s="213"/>
      <c r="HX120" s="213"/>
      <c r="HY120" s="213"/>
      <c r="HZ120" s="213"/>
      <c r="IA120" s="213"/>
      <c r="IB120" s="213"/>
      <c r="IC120" s="213"/>
      <c r="ID120" s="213"/>
      <c r="IE120" s="213"/>
      <c r="IF120" s="213"/>
      <c r="IG120" s="213"/>
      <c r="IH120" s="213"/>
      <c r="II120" s="213"/>
      <c r="IJ120" s="213"/>
      <c r="IK120" s="213"/>
      <c r="IL120" s="213"/>
      <c r="IM120" s="213"/>
      <c r="IN120" s="213"/>
      <c r="IO120" s="213"/>
      <c r="IP120" s="213"/>
      <c r="IQ120" s="213"/>
      <c r="IR120" s="213"/>
      <c r="IS120" s="213"/>
      <c r="IT120" s="213"/>
      <c r="IU120" s="213"/>
      <c r="IV120" s="213"/>
    </row>
    <row r="121" spans="1:256" s="1248" customFormat="1" ht="27" customHeight="1">
      <c r="A121" s="1524"/>
      <c r="B121" s="1525"/>
      <c r="C121" s="1645"/>
      <c r="D121" s="1255" t="s">
        <v>5971</v>
      </c>
      <c r="E121" s="1255"/>
      <c r="F121" s="1249">
        <f>(5.8*0.65*0.5)*(0.1)</f>
        <v>0.1885</v>
      </c>
      <c r="G121" s="404"/>
      <c r="H121" s="1247"/>
      <c r="I121" s="1492"/>
      <c r="J121" s="1523"/>
    </row>
    <row r="122" spans="1:256" s="1248" customFormat="1" ht="13.5" customHeight="1">
      <c r="A122" s="1518" t="s">
        <v>5579</v>
      </c>
      <c r="B122" s="1245"/>
      <c r="C122" s="777">
        <v>460371121</v>
      </c>
      <c r="D122" s="1255" t="s">
        <v>5880</v>
      </c>
      <c r="E122" s="1259" t="s">
        <v>146</v>
      </c>
      <c r="F122" s="1249">
        <f>F118</f>
        <v>1.6965000000000001</v>
      </c>
      <c r="G122" s="415"/>
      <c r="H122" s="803">
        <f t="shared" ref="H122:H125" si="0">ROUND(F122*G122,2)</f>
        <v>0</v>
      </c>
      <c r="I122" s="781" t="s">
        <v>137</v>
      </c>
      <c r="J122" s="647"/>
      <c r="K122" s="647"/>
      <c r="L122" s="612"/>
      <c r="M122" s="612"/>
      <c r="N122" s="612"/>
      <c r="O122" s="612"/>
      <c r="P122" s="612"/>
      <c r="Q122" s="612"/>
      <c r="R122" s="612"/>
      <c r="S122" s="788"/>
      <c r="V122" s="1646"/>
    </row>
    <row r="123" spans="1:256" s="1248" customFormat="1" ht="13.5" customHeight="1">
      <c r="A123" s="1518" t="s">
        <v>5582</v>
      </c>
      <c r="B123" s="1245"/>
      <c r="C123" s="777">
        <v>460371123</v>
      </c>
      <c r="D123" s="1255" t="s">
        <v>5882</v>
      </c>
      <c r="E123" s="1259" t="s">
        <v>146</v>
      </c>
      <c r="F123" s="1249">
        <f>F120</f>
        <v>0.1885</v>
      </c>
      <c r="G123" s="415"/>
      <c r="H123" s="803">
        <f t="shared" si="0"/>
        <v>0</v>
      </c>
      <c r="I123" s="781" t="s">
        <v>137</v>
      </c>
      <c r="J123" s="647"/>
      <c r="K123" s="647"/>
      <c r="L123" s="612"/>
      <c r="M123" s="612"/>
      <c r="N123" s="612"/>
      <c r="O123" s="612"/>
      <c r="P123" s="612"/>
      <c r="Q123" s="612"/>
      <c r="R123" s="612"/>
      <c r="S123" s="788"/>
      <c r="V123" s="1646"/>
    </row>
    <row r="124" spans="1:256" s="1248" customFormat="1" ht="27" customHeight="1">
      <c r="A124" s="1518" t="s">
        <v>5972</v>
      </c>
      <c r="B124" s="1245"/>
      <c r="C124" s="777">
        <v>460341112</v>
      </c>
      <c r="D124" s="1255" t="s">
        <v>5884</v>
      </c>
      <c r="E124" s="1259" t="s">
        <v>146</v>
      </c>
      <c r="F124" s="1249">
        <f>F116</f>
        <v>1.885</v>
      </c>
      <c r="G124" s="415"/>
      <c r="H124" s="803">
        <f t="shared" si="0"/>
        <v>0</v>
      </c>
      <c r="I124" s="781" t="s">
        <v>137</v>
      </c>
      <c r="J124" s="647"/>
      <c r="K124" s="647"/>
      <c r="L124" s="612"/>
      <c r="M124" s="612"/>
      <c r="N124" s="612"/>
      <c r="O124" s="612"/>
      <c r="P124" s="612"/>
      <c r="Q124" s="612"/>
      <c r="R124" s="612"/>
      <c r="S124" s="788"/>
      <c r="V124" s="1646"/>
    </row>
    <row r="125" spans="1:256" s="1248" customFormat="1" ht="13.5" customHeight="1">
      <c r="A125" s="1518" t="s">
        <v>5973</v>
      </c>
      <c r="B125" s="1245"/>
      <c r="C125" s="777">
        <v>171251201</v>
      </c>
      <c r="D125" s="1255" t="s">
        <v>4795</v>
      </c>
      <c r="E125" s="1259" t="s">
        <v>146</v>
      </c>
      <c r="F125" s="1249">
        <f>F116</f>
        <v>1.885</v>
      </c>
      <c r="G125" s="415"/>
      <c r="H125" s="803">
        <f t="shared" si="0"/>
        <v>0</v>
      </c>
      <c r="I125" s="781" t="s">
        <v>137</v>
      </c>
      <c r="J125" s="647"/>
      <c r="K125" s="647"/>
      <c r="L125" s="612"/>
      <c r="M125" s="612"/>
      <c r="N125" s="612"/>
      <c r="O125" s="612"/>
      <c r="P125" s="612"/>
      <c r="Q125" s="612"/>
      <c r="R125" s="612"/>
      <c r="S125" s="788"/>
      <c r="V125" s="1646"/>
    </row>
    <row r="126" spans="1:256" s="1248" customFormat="1" ht="13.5" customHeight="1">
      <c r="A126" s="1518"/>
      <c r="B126" s="1245"/>
      <c r="C126" s="777"/>
      <c r="D126" s="1255" t="s">
        <v>4796</v>
      </c>
      <c r="E126" s="1259"/>
      <c r="F126" s="1249"/>
      <c r="G126" s="416"/>
      <c r="H126" s="1267"/>
      <c r="I126" s="781"/>
      <c r="J126" s="647"/>
      <c r="K126" s="647"/>
      <c r="L126" s="612"/>
      <c r="M126" s="612"/>
      <c r="N126" s="612"/>
      <c r="O126" s="612"/>
      <c r="P126" s="612"/>
      <c r="Q126" s="612"/>
      <c r="R126" s="612"/>
      <c r="S126" s="788"/>
      <c r="V126" s="1646"/>
    </row>
    <row r="127" spans="1:256" s="1248" customFormat="1" ht="27" customHeight="1">
      <c r="A127" s="1244">
        <v>33</v>
      </c>
      <c r="B127" s="1252">
        <v>946</v>
      </c>
      <c r="C127" s="1245" t="s">
        <v>5886</v>
      </c>
      <c r="D127" s="1245" t="s">
        <v>5887</v>
      </c>
      <c r="E127" s="1245" t="s">
        <v>146</v>
      </c>
      <c r="F127" s="1640">
        <f>ROUND(SUM(F129,F131),3)</f>
        <v>1.885</v>
      </c>
      <c r="G127" s="1641">
        <f>ROUND(SUM(H133:H135)/F127,2)</f>
        <v>0</v>
      </c>
      <c r="H127" s="568">
        <f>ROUND(F127*G127,2)</f>
        <v>0</v>
      </c>
      <c r="I127" s="1280" t="s">
        <v>111</v>
      </c>
    </row>
    <row r="128" spans="1:256" s="1248" customFormat="1" ht="13.5" customHeight="1">
      <c r="A128" s="1518"/>
      <c r="B128" s="1245"/>
      <c r="C128" s="777"/>
      <c r="D128" s="1255" t="s">
        <v>4799</v>
      </c>
      <c r="E128" s="1259"/>
      <c r="F128" s="1249"/>
      <c r="G128" s="416"/>
      <c r="H128" s="1267"/>
      <c r="I128" s="781"/>
      <c r="J128" s="647"/>
      <c r="K128" s="647"/>
      <c r="L128" s="612"/>
      <c r="M128" s="612"/>
      <c r="N128" s="612"/>
      <c r="O128" s="612"/>
      <c r="P128" s="612"/>
      <c r="Q128" s="612"/>
      <c r="R128" s="612"/>
      <c r="S128" s="788"/>
      <c r="V128" s="1646"/>
    </row>
    <row r="129" spans="1:256" s="593" customFormat="1" ht="13.5" customHeight="1">
      <c r="A129" s="789"/>
      <c r="B129" s="790"/>
      <c r="C129" s="1245"/>
      <c r="D129" s="756" t="s">
        <v>4800</v>
      </c>
      <c r="E129" s="1260"/>
      <c r="F129" s="758">
        <f>SUM(F130)</f>
        <v>1.6965000000000001</v>
      </c>
      <c r="G129" s="879"/>
      <c r="H129" s="587"/>
      <c r="I129" s="1014"/>
      <c r="J129" s="1262"/>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c r="CP129" s="213"/>
      <c r="CQ129" s="213"/>
      <c r="CR129" s="213"/>
      <c r="CS129" s="213"/>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3"/>
      <c r="EA129" s="213"/>
      <c r="EB129" s="213"/>
      <c r="EC129" s="213"/>
      <c r="ED129" s="213"/>
      <c r="EE129" s="213"/>
      <c r="EF129" s="213"/>
      <c r="EG129" s="213"/>
      <c r="EH129" s="213"/>
      <c r="EI129" s="213"/>
      <c r="EJ129" s="213"/>
      <c r="EK129" s="213"/>
      <c r="EL129" s="213"/>
      <c r="EM129" s="213"/>
      <c r="EN129" s="213"/>
      <c r="EO129" s="213"/>
      <c r="EP129" s="213"/>
      <c r="EQ129" s="213"/>
      <c r="ER129" s="213"/>
      <c r="ES129" s="213"/>
      <c r="ET129" s="213"/>
      <c r="EU129" s="213"/>
      <c r="EV129" s="213"/>
      <c r="EW129" s="213"/>
      <c r="EX129" s="213"/>
      <c r="EY129" s="213"/>
      <c r="EZ129" s="213"/>
      <c r="FA129" s="213"/>
      <c r="FB129" s="213"/>
      <c r="FC129" s="213"/>
      <c r="FD129" s="213"/>
      <c r="FE129" s="213"/>
      <c r="FF129" s="213"/>
      <c r="FG129" s="213"/>
      <c r="FH129" s="213"/>
      <c r="FI129" s="213"/>
      <c r="FJ129" s="213"/>
      <c r="FK129" s="213"/>
      <c r="FL129" s="213"/>
      <c r="FM129" s="213"/>
      <c r="FN129" s="213"/>
      <c r="FO129" s="213"/>
      <c r="FP129" s="213"/>
      <c r="FQ129" s="213"/>
      <c r="FR129" s="213"/>
      <c r="FS129" s="213"/>
      <c r="FT129" s="213"/>
      <c r="FU129" s="213"/>
      <c r="FV129" s="213"/>
      <c r="FW129" s="213"/>
      <c r="FX129" s="213"/>
      <c r="FY129" s="213"/>
      <c r="FZ129" s="213"/>
      <c r="GA129" s="213"/>
      <c r="GB129" s="213"/>
      <c r="GC129" s="213"/>
      <c r="GD129" s="213"/>
      <c r="GE129" s="213"/>
      <c r="GF129" s="213"/>
      <c r="GG129" s="213"/>
      <c r="GH129" s="213"/>
      <c r="GI129" s="213"/>
      <c r="GJ129" s="213"/>
      <c r="GK129" s="213"/>
      <c r="GL129" s="213"/>
      <c r="GM129" s="213"/>
      <c r="GN129" s="213"/>
      <c r="GO129" s="213"/>
      <c r="GP129" s="213"/>
      <c r="GQ129" s="213"/>
      <c r="GR129" s="213"/>
      <c r="GS129" s="213"/>
      <c r="GT129" s="213"/>
      <c r="GU129" s="213"/>
      <c r="GV129" s="213"/>
      <c r="GW129" s="213"/>
      <c r="GX129" s="213"/>
      <c r="GY129" s="213"/>
      <c r="GZ129" s="213"/>
      <c r="HA129" s="213"/>
      <c r="HB129" s="213"/>
      <c r="HC129" s="213"/>
      <c r="HD129" s="213"/>
      <c r="HE129" s="213"/>
      <c r="HF129" s="213"/>
      <c r="HG129" s="213"/>
      <c r="HH129" s="213"/>
      <c r="HI129" s="213"/>
      <c r="HJ129" s="213"/>
      <c r="HK129" s="213"/>
      <c r="HL129" s="213"/>
      <c r="HM129" s="213"/>
      <c r="HN129" s="213"/>
      <c r="HO129" s="213"/>
      <c r="HP129" s="213"/>
      <c r="HQ129" s="213"/>
      <c r="HR129" s="213"/>
      <c r="HS129" s="213"/>
      <c r="HT129" s="213"/>
      <c r="HU129" s="213"/>
      <c r="HV129" s="213"/>
      <c r="HW129" s="213"/>
      <c r="HX129" s="213"/>
      <c r="HY129" s="213"/>
      <c r="HZ129" s="213"/>
      <c r="IA129" s="213"/>
      <c r="IB129" s="213"/>
      <c r="IC129" s="213"/>
      <c r="ID129" s="213"/>
      <c r="IE129" s="213"/>
      <c r="IF129" s="213"/>
      <c r="IG129" s="213"/>
      <c r="IH129" s="213"/>
      <c r="II129" s="213"/>
      <c r="IJ129" s="213"/>
      <c r="IK129" s="213"/>
      <c r="IL129" s="213"/>
      <c r="IM129" s="213"/>
      <c r="IN129" s="213"/>
      <c r="IO129" s="213"/>
      <c r="IP129" s="213"/>
      <c r="IQ129" s="213"/>
      <c r="IR129" s="213"/>
      <c r="IS129" s="213"/>
      <c r="IT129" s="213"/>
      <c r="IU129" s="213"/>
      <c r="IV129" s="213"/>
    </row>
    <row r="130" spans="1:256" s="1248" customFormat="1" ht="27" customHeight="1">
      <c r="A130" s="1524"/>
      <c r="B130" s="1525"/>
      <c r="C130" s="1645"/>
      <c r="D130" s="1255" t="s">
        <v>5974</v>
      </c>
      <c r="E130" s="1255"/>
      <c r="F130" s="1249">
        <f>(5.8*0.65*0.5)*(0.85+0.05)</f>
        <v>1.6965000000000001</v>
      </c>
      <c r="G130" s="404"/>
      <c r="H130" s="1247"/>
      <c r="I130" s="1492"/>
      <c r="J130" s="1523"/>
    </row>
    <row r="131" spans="1:256" s="593" customFormat="1" ht="13.5" customHeight="1">
      <c r="A131" s="789"/>
      <c r="B131" s="790"/>
      <c r="C131" s="1245"/>
      <c r="D131" s="756" t="s">
        <v>4802</v>
      </c>
      <c r="E131" s="1260"/>
      <c r="F131" s="758">
        <f>SUM(F132)</f>
        <v>0.1885</v>
      </c>
      <c r="G131" s="879"/>
      <c r="H131" s="587"/>
      <c r="I131" s="1014"/>
      <c r="J131" s="1262"/>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c r="CP131" s="213"/>
      <c r="CQ131" s="213"/>
      <c r="CR131" s="213"/>
      <c r="CS131" s="213"/>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213"/>
      <c r="EV131" s="213"/>
      <c r="EW131" s="213"/>
      <c r="EX131" s="213"/>
      <c r="EY131" s="213"/>
      <c r="EZ131" s="213"/>
      <c r="FA131" s="213"/>
      <c r="FB131" s="213"/>
      <c r="FC131" s="213"/>
      <c r="FD131" s="213"/>
      <c r="FE131" s="213"/>
      <c r="FF131" s="213"/>
      <c r="FG131" s="213"/>
      <c r="FH131" s="213"/>
      <c r="FI131" s="213"/>
      <c r="FJ131" s="213"/>
      <c r="FK131" s="213"/>
      <c r="FL131" s="213"/>
      <c r="FM131" s="213"/>
      <c r="FN131" s="213"/>
      <c r="FO131" s="213"/>
      <c r="FP131" s="213"/>
      <c r="FQ131" s="213"/>
      <c r="FR131" s="213"/>
      <c r="FS131" s="213"/>
      <c r="FT131" s="213"/>
      <c r="FU131" s="213"/>
      <c r="FV131" s="213"/>
      <c r="FW131" s="213"/>
      <c r="FX131" s="213"/>
      <c r="FY131" s="213"/>
      <c r="FZ131" s="213"/>
      <c r="GA131" s="213"/>
      <c r="GB131" s="213"/>
      <c r="GC131" s="213"/>
      <c r="GD131" s="213"/>
      <c r="GE131" s="213"/>
      <c r="GF131" s="213"/>
      <c r="GG131" s="213"/>
      <c r="GH131" s="213"/>
      <c r="GI131" s="213"/>
      <c r="GJ131" s="213"/>
      <c r="GK131" s="213"/>
      <c r="GL131" s="213"/>
      <c r="GM131" s="213"/>
      <c r="GN131" s="213"/>
      <c r="GO131" s="213"/>
      <c r="GP131" s="213"/>
      <c r="GQ131" s="213"/>
      <c r="GR131" s="213"/>
      <c r="GS131" s="213"/>
      <c r="GT131" s="213"/>
      <c r="GU131" s="213"/>
      <c r="GV131" s="213"/>
      <c r="GW131" s="213"/>
      <c r="GX131" s="213"/>
      <c r="GY131" s="213"/>
      <c r="GZ131" s="213"/>
      <c r="HA131" s="213"/>
      <c r="HB131" s="213"/>
      <c r="HC131" s="213"/>
      <c r="HD131" s="213"/>
      <c r="HE131" s="213"/>
      <c r="HF131" s="213"/>
      <c r="HG131" s="213"/>
      <c r="HH131" s="213"/>
      <c r="HI131" s="213"/>
      <c r="HJ131" s="213"/>
      <c r="HK131" s="213"/>
      <c r="HL131" s="213"/>
      <c r="HM131" s="213"/>
      <c r="HN131" s="213"/>
      <c r="HO131" s="213"/>
      <c r="HP131" s="213"/>
      <c r="HQ131" s="213"/>
      <c r="HR131" s="213"/>
      <c r="HS131" s="213"/>
      <c r="HT131" s="213"/>
      <c r="HU131" s="213"/>
      <c r="HV131" s="213"/>
      <c r="HW131" s="213"/>
      <c r="HX131" s="213"/>
      <c r="HY131" s="213"/>
      <c r="HZ131" s="213"/>
      <c r="IA131" s="213"/>
      <c r="IB131" s="213"/>
      <c r="IC131" s="213"/>
      <c r="ID131" s="213"/>
      <c r="IE131" s="213"/>
      <c r="IF131" s="213"/>
      <c r="IG131" s="213"/>
      <c r="IH131" s="213"/>
      <c r="II131" s="213"/>
      <c r="IJ131" s="213"/>
      <c r="IK131" s="213"/>
      <c r="IL131" s="213"/>
      <c r="IM131" s="213"/>
      <c r="IN131" s="213"/>
      <c r="IO131" s="213"/>
      <c r="IP131" s="213"/>
      <c r="IQ131" s="213"/>
      <c r="IR131" s="213"/>
      <c r="IS131" s="213"/>
      <c r="IT131" s="213"/>
      <c r="IU131" s="213"/>
      <c r="IV131" s="213"/>
    </row>
    <row r="132" spans="1:256" s="1248" customFormat="1" ht="27" customHeight="1">
      <c r="A132" s="1524"/>
      <c r="B132" s="1525"/>
      <c r="C132" s="1645"/>
      <c r="D132" s="1255" t="s">
        <v>5975</v>
      </c>
      <c r="E132" s="1255"/>
      <c r="F132" s="1249">
        <f>(5.8*0.65*0.5)*(0.1)</f>
        <v>0.1885</v>
      </c>
      <c r="G132" s="404"/>
      <c r="H132" s="1247"/>
      <c r="I132" s="1492"/>
      <c r="J132" s="1523"/>
    </row>
    <row r="133" spans="1:256" s="1248" customFormat="1" ht="13.5" customHeight="1">
      <c r="A133" s="1518" t="s">
        <v>5587</v>
      </c>
      <c r="B133" s="1245"/>
      <c r="C133" s="777">
        <v>460371121</v>
      </c>
      <c r="D133" s="1255" t="s">
        <v>5880</v>
      </c>
      <c r="E133" s="1259" t="s">
        <v>146</v>
      </c>
      <c r="F133" s="1249">
        <f>F130</f>
        <v>1.6965000000000001</v>
      </c>
      <c r="G133" s="415"/>
      <c r="H133" s="803">
        <f t="shared" ref="H133:H135" si="1">ROUND(F133*G133,2)</f>
        <v>0</v>
      </c>
      <c r="I133" s="781" t="s">
        <v>137</v>
      </c>
      <c r="J133" s="647"/>
      <c r="K133" s="647"/>
      <c r="L133" s="612"/>
      <c r="M133" s="612"/>
      <c r="N133" s="612"/>
      <c r="O133" s="612"/>
      <c r="P133" s="612"/>
      <c r="Q133" s="612"/>
      <c r="R133" s="612"/>
      <c r="S133" s="788"/>
      <c r="V133" s="1646"/>
    </row>
    <row r="134" spans="1:256" s="1248" customFormat="1" ht="13.5" customHeight="1">
      <c r="A134" s="1518" t="s">
        <v>5976</v>
      </c>
      <c r="B134" s="1245"/>
      <c r="C134" s="777">
        <v>460371123</v>
      </c>
      <c r="D134" s="1255" t="s">
        <v>5882</v>
      </c>
      <c r="E134" s="1259" t="s">
        <v>146</v>
      </c>
      <c r="F134" s="1249">
        <f>F132</f>
        <v>0.1885</v>
      </c>
      <c r="G134" s="415"/>
      <c r="H134" s="803">
        <f t="shared" si="1"/>
        <v>0</v>
      </c>
      <c r="I134" s="781" t="s">
        <v>137</v>
      </c>
      <c r="J134" s="647"/>
      <c r="K134" s="647"/>
      <c r="L134" s="612"/>
      <c r="M134" s="612"/>
      <c r="N134" s="612"/>
      <c r="O134" s="612"/>
      <c r="P134" s="612"/>
      <c r="Q134" s="612"/>
      <c r="R134" s="612"/>
      <c r="S134" s="788"/>
      <c r="V134" s="1646"/>
    </row>
    <row r="135" spans="1:256" s="1248" customFormat="1" ht="27" customHeight="1">
      <c r="A135" s="1518" t="s">
        <v>5977</v>
      </c>
      <c r="B135" s="1245"/>
      <c r="C135" s="777">
        <v>460341112</v>
      </c>
      <c r="D135" s="1255" t="s">
        <v>5884</v>
      </c>
      <c r="E135" s="1259" t="s">
        <v>146</v>
      </c>
      <c r="F135" s="1249">
        <f>F127</f>
        <v>1.885</v>
      </c>
      <c r="G135" s="415"/>
      <c r="H135" s="803">
        <f t="shared" si="1"/>
        <v>0</v>
      </c>
      <c r="I135" s="781" t="s">
        <v>137</v>
      </c>
      <c r="J135" s="647"/>
      <c r="K135" s="647"/>
      <c r="L135" s="612"/>
      <c r="M135" s="612"/>
      <c r="N135" s="612"/>
      <c r="O135" s="612"/>
      <c r="P135" s="612"/>
      <c r="Q135" s="612"/>
      <c r="R135" s="612"/>
      <c r="S135" s="788"/>
      <c r="V135" s="1646"/>
    </row>
    <row r="136" spans="1:256" s="1248" customFormat="1" ht="27" customHeight="1">
      <c r="A136" s="1518"/>
      <c r="B136" s="1245"/>
      <c r="C136" s="777"/>
      <c r="D136" s="1255" t="s">
        <v>5893</v>
      </c>
      <c r="E136" s="1259"/>
      <c r="F136" s="1249"/>
      <c r="G136" s="416"/>
      <c r="H136" s="1267"/>
      <c r="I136" s="781"/>
      <c r="J136" s="647"/>
      <c r="K136" s="647"/>
      <c r="L136" s="612"/>
      <c r="M136" s="612"/>
      <c r="N136" s="612"/>
      <c r="O136" s="612"/>
      <c r="P136" s="612"/>
      <c r="Q136" s="612"/>
      <c r="R136" s="612"/>
      <c r="S136" s="788"/>
      <c r="V136" s="1646"/>
    </row>
    <row r="137" spans="1:256" s="593" customFormat="1" ht="27" customHeight="1">
      <c r="A137" s="789">
        <v>34</v>
      </c>
      <c r="B137" s="790" t="s">
        <v>5808</v>
      </c>
      <c r="C137" s="1245" t="s">
        <v>5894</v>
      </c>
      <c r="D137" s="776" t="s">
        <v>6326</v>
      </c>
      <c r="E137" s="776" t="s">
        <v>146</v>
      </c>
      <c r="F137" s="1640">
        <f>ROUND(SUM(F139,F141),3)</f>
        <v>1.508</v>
      </c>
      <c r="G137" s="1641">
        <f>ROUND(SUM(H143:H147)/F137,2)</f>
        <v>0</v>
      </c>
      <c r="H137" s="568">
        <f>ROUND(F137*G137,2)</f>
        <v>0</v>
      </c>
      <c r="I137" s="1280" t="s">
        <v>111</v>
      </c>
      <c r="J137" s="1647"/>
      <c r="K137" s="1248"/>
      <c r="L137" s="1248"/>
      <c r="M137" s="1248"/>
      <c r="N137" s="1248"/>
      <c r="O137" s="1248"/>
      <c r="P137" s="1248"/>
      <c r="Q137" s="1248"/>
      <c r="R137" s="1248"/>
      <c r="S137" s="1248"/>
      <c r="T137" s="1248"/>
      <c r="U137" s="1248"/>
      <c r="V137" s="1248"/>
      <c r="W137" s="1248"/>
      <c r="X137" s="1248"/>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213"/>
      <c r="EV137" s="213"/>
      <c r="EW137" s="213"/>
      <c r="EX137" s="213"/>
      <c r="EY137" s="213"/>
      <c r="EZ137" s="213"/>
      <c r="FA137" s="213"/>
      <c r="FB137" s="213"/>
      <c r="FC137" s="213"/>
      <c r="FD137" s="213"/>
      <c r="FE137" s="213"/>
      <c r="FF137" s="213"/>
      <c r="FG137" s="213"/>
      <c r="FH137" s="213"/>
      <c r="FI137" s="213"/>
      <c r="FJ137" s="213"/>
      <c r="FK137" s="213"/>
      <c r="FL137" s="213"/>
      <c r="FM137" s="213"/>
      <c r="FN137" s="213"/>
      <c r="FO137" s="213"/>
      <c r="FP137" s="213"/>
      <c r="FQ137" s="213"/>
      <c r="FR137" s="213"/>
      <c r="FS137" s="213"/>
      <c r="FT137" s="213"/>
      <c r="FU137" s="213"/>
      <c r="FV137" s="213"/>
      <c r="FW137" s="213"/>
      <c r="FX137" s="213"/>
      <c r="FY137" s="213"/>
      <c r="FZ137" s="213"/>
      <c r="GA137" s="213"/>
      <c r="GB137" s="213"/>
      <c r="GC137" s="213"/>
      <c r="GD137" s="213"/>
      <c r="GE137" s="213"/>
      <c r="GF137" s="213"/>
      <c r="GG137" s="213"/>
      <c r="GH137" s="213"/>
      <c r="GI137" s="213"/>
      <c r="GJ137" s="213"/>
      <c r="GK137" s="213"/>
      <c r="GL137" s="213"/>
      <c r="GM137" s="213"/>
      <c r="GN137" s="213"/>
      <c r="GO137" s="213"/>
      <c r="GP137" s="213"/>
      <c r="GQ137" s="213"/>
      <c r="GR137" s="213"/>
      <c r="GS137" s="213"/>
      <c r="GT137" s="213"/>
      <c r="GU137" s="213"/>
      <c r="GV137" s="213"/>
      <c r="GW137" s="213"/>
      <c r="GX137" s="213"/>
      <c r="GY137" s="213"/>
      <c r="GZ137" s="213"/>
      <c r="HA137" s="213"/>
      <c r="HB137" s="213"/>
      <c r="HC137" s="213"/>
      <c r="HD137" s="213"/>
      <c r="HE137" s="213"/>
      <c r="HF137" s="213"/>
      <c r="HG137" s="213"/>
      <c r="HH137" s="213"/>
      <c r="HI137" s="213"/>
      <c r="HJ137" s="213"/>
      <c r="HK137" s="213"/>
      <c r="HL137" s="213"/>
      <c r="HM137" s="213"/>
      <c r="HN137" s="213"/>
      <c r="HO137" s="213"/>
      <c r="HP137" s="213"/>
      <c r="HQ137" s="213"/>
      <c r="HR137" s="213"/>
      <c r="HS137" s="213"/>
      <c r="HT137" s="213"/>
      <c r="HU137" s="213"/>
      <c r="HV137" s="213"/>
      <c r="HW137" s="213"/>
      <c r="HX137" s="213"/>
      <c r="HY137" s="213"/>
      <c r="HZ137" s="213"/>
      <c r="IA137" s="213"/>
      <c r="IB137" s="213"/>
      <c r="IC137" s="213"/>
      <c r="ID137" s="213"/>
      <c r="IE137" s="213"/>
      <c r="IF137" s="213"/>
      <c r="IG137" s="213"/>
      <c r="IH137" s="213"/>
      <c r="II137" s="213"/>
      <c r="IJ137" s="213"/>
      <c r="IK137" s="213"/>
      <c r="IL137" s="213"/>
      <c r="IM137" s="213"/>
      <c r="IN137" s="213"/>
      <c r="IO137" s="213"/>
      <c r="IP137" s="213"/>
      <c r="IQ137" s="213"/>
      <c r="IR137" s="213"/>
      <c r="IS137" s="213"/>
      <c r="IT137" s="213"/>
      <c r="IU137" s="213"/>
      <c r="IV137" s="213"/>
    </row>
    <row r="138" spans="1:256" s="796" customFormat="1" ht="13.5" customHeight="1">
      <c r="A138" s="1015"/>
      <c r="B138" s="1016"/>
      <c r="C138" s="1648"/>
      <c r="D138" s="1036" t="s">
        <v>5895</v>
      </c>
      <c r="E138" s="1648"/>
      <c r="F138" s="1649"/>
      <c r="G138" s="298"/>
      <c r="H138" s="1038"/>
      <c r="I138" s="1019"/>
      <c r="J138" s="1650"/>
      <c r="L138" s="797"/>
      <c r="M138" s="797"/>
      <c r="N138" s="797"/>
      <c r="O138" s="797"/>
      <c r="P138" s="797"/>
      <c r="Q138" s="797"/>
      <c r="R138" s="797"/>
      <c r="S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7"/>
      <c r="AY138" s="797"/>
      <c r="AZ138" s="797"/>
      <c r="BA138" s="797"/>
      <c r="BB138" s="797"/>
      <c r="BC138" s="797"/>
      <c r="BD138" s="797"/>
      <c r="BE138" s="797"/>
      <c r="BF138" s="797"/>
      <c r="BG138" s="797"/>
      <c r="BH138" s="797"/>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7"/>
      <c r="CF138" s="797"/>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7"/>
      <c r="DD138" s="797"/>
      <c r="DE138" s="797"/>
      <c r="DF138" s="797"/>
      <c r="DG138" s="797"/>
      <c r="DH138" s="797"/>
      <c r="DI138" s="797"/>
      <c r="DJ138" s="797"/>
      <c r="DK138" s="797"/>
      <c r="DL138" s="797"/>
      <c r="DM138" s="797"/>
      <c r="DN138" s="797"/>
      <c r="DO138" s="797"/>
      <c r="DP138" s="797"/>
      <c r="DQ138" s="797"/>
      <c r="DR138" s="797"/>
      <c r="DS138" s="797"/>
      <c r="DT138" s="797"/>
      <c r="DU138" s="797"/>
      <c r="DV138" s="797"/>
      <c r="DW138" s="797"/>
      <c r="DX138" s="797"/>
      <c r="DY138" s="797"/>
      <c r="DZ138" s="797"/>
      <c r="EA138" s="797"/>
      <c r="EB138" s="797"/>
      <c r="EC138" s="797"/>
      <c r="ED138" s="797"/>
      <c r="EE138" s="797"/>
      <c r="EF138" s="797"/>
      <c r="EG138" s="797"/>
      <c r="EH138" s="797"/>
      <c r="EI138" s="797"/>
      <c r="EJ138" s="797"/>
      <c r="EK138" s="797"/>
      <c r="EL138" s="797"/>
      <c r="EM138" s="797"/>
      <c r="EN138" s="797"/>
      <c r="EO138" s="797"/>
      <c r="EP138" s="797"/>
      <c r="EQ138" s="797"/>
      <c r="ER138" s="797"/>
      <c r="ES138" s="797"/>
      <c r="ET138" s="797"/>
      <c r="EU138" s="797"/>
      <c r="EV138" s="797"/>
      <c r="EW138" s="797"/>
      <c r="EX138" s="797"/>
      <c r="EY138" s="797"/>
      <c r="EZ138" s="797"/>
      <c r="FA138" s="797"/>
      <c r="FB138" s="797"/>
      <c r="FC138" s="797"/>
      <c r="FD138" s="797"/>
      <c r="FE138" s="797"/>
      <c r="FF138" s="797"/>
      <c r="FG138" s="797"/>
      <c r="FH138" s="797"/>
      <c r="FI138" s="797"/>
      <c r="FJ138" s="797"/>
      <c r="FK138" s="797"/>
      <c r="FL138" s="797"/>
      <c r="FM138" s="797"/>
      <c r="FN138" s="797"/>
      <c r="FO138" s="797"/>
      <c r="FP138" s="797"/>
      <c r="FQ138" s="797"/>
      <c r="FR138" s="797"/>
      <c r="FS138" s="797"/>
      <c r="FT138" s="797"/>
      <c r="FU138" s="797"/>
      <c r="FV138" s="797"/>
      <c r="FW138" s="797"/>
      <c r="FX138" s="797"/>
      <c r="FY138" s="797"/>
      <c r="FZ138" s="797"/>
      <c r="GA138" s="797"/>
      <c r="GB138" s="797"/>
      <c r="GC138" s="797"/>
      <c r="GD138" s="797"/>
      <c r="GE138" s="797"/>
      <c r="GF138" s="797"/>
      <c r="GG138" s="797"/>
      <c r="GH138" s="797"/>
      <c r="GI138" s="797"/>
      <c r="GJ138" s="797"/>
      <c r="GK138" s="797"/>
      <c r="GL138" s="797"/>
      <c r="GM138" s="797"/>
      <c r="GN138" s="797"/>
      <c r="GO138" s="797"/>
      <c r="GP138" s="797"/>
      <c r="GQ138" s="797"/>
      <c r="GR138" s="797"/>
      <c r="GS138" s="797"/>
      <c r="GT138" s="797"/>
      <c r="GU138" s="797"/>
      <c r="GV138" s="797"/>
      <c r="GW138" s="797"/>
      <c r="GX138" s="797"/>
      <c r="GY138" s="797"/>
      <c r="GZ138" s="797"/>
      <c r="HA138" s="797"/>
      <c r="HB138" s="797"/>
      <c r="HC138" s="797"/>
      <c r="HD138" s="797"/>
      <c r="HE138" s="797"/>
      <c r="HF138" s="797"/>
      <c r="HG138" s="797"/>
      <c r="HH138" s="797"/>
      <c r="HI138" s="797"/>
      <c r="HJ138" s="797"/>
      <c r="HK138" s="797"/>
      <c r="HL138" s="797"/>
      <c r="HM138" s="797"/>
      <c r="HN138" s="797"/>
      <c r="HO138" s="797"/>
      <c r="HP138" s="797"/>
      <c r="HQ138" s="797"/>
      <c r="HR138" s="797"/>
      <c r="HS138" s="797"/>
      <c r="HT138" s="797"/>
      <c r="HU138" s="797"/>
      <c r="HV138" s="797"/>
      <c r="HW138" s="797"/>
      <c r="HX138" s="797"/>
      <c r="HY138" s="797"/>
      <c r="HZ138" s="797"/>
      <c r="IA138" s="797"/>
      <c r="IB138" s="797"/>
      <c r="IC138" s="797"/>
      <c r="ID138" s="797"/>
      <c r="IE138" s="797"/>
      <c r="IF138" s="797"/>
      <c r="IG138" s="797"/>
      <c r="IH138" s="797"/>
      <c r="II138" s="797"/>
      <c r="IJ138" s="797"/>
      <c r="IK138" s="797"/>
      <c r="IL138" s="797"/>
      <c r="IM138" s="797"/>
      <c r="IN138" s="797"/>
      <c r="IO138" s="797"/>
      <c r="IP138" s="797"/>
      <c r="IQ138" s="797"/>
      <c r="IR138" s="797"/>
      <c r="IS138" s="797"/>
      <c r="IT138" s="797"/>
      <c r="IU138" s="797"/>
      <c r="IV138" s="797"/>
    </row>
    <row r="139" spans="1:256" s="753" customFormat="1" ht="13.5" customHeight="1">
      <c r="A139" s="745"/>
      <c r="B139" s="746"/>
      <c r="C139" s="1245"/>
      <c r="D139" s="756" t="s">
        <v>182</v>
      </c>
      <c r="E139" s="757"/>
      <c r="F139" s="758">
        <f>SUM(F140)</f>
        <v>1.3572</v>
      </c>
      <c r="G139" s="374"/>
      <c r="H139" s="759"/>
      <c r="I139" s="751"/>
      <c r="J139" s="760"/>
      <c r="K139" s="593"/>
      <c r="L139" s="213"/>
      <c r="M139" s="213"/>
      <c r="N139" s="213"/>
      <c r="O139" s="213"/>
      <c r="P139" s="213"/>
      <c r="Q139" s="213"/>
      <c r="R139" s="213"/>
      <c r="S139" s="213"/>
      <c r="T139" s="213"/>
      <c r="U139" s="213"/>
      <c r="V139" s="213"/>
      <c r="W139" s="213"/>
      <c r="X139" s="213"/>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c r="CB139" s="754"/>
      <c r="CC139" s="754"/>
      <c r="CD139" s="754"/>
      <c r="CE139" s="754"/>
      <c r="CF139" s="754"/>
      <c r="CG139" s="754"/>
      <c r="CH139" s="754"/>
      <c r="CI139" s="754"/>
      <c r="CJ139" s="754"/>
      <c r="CK139" s="754"/>
      <c r="CL139" s="754"/>
      <c r="CM139" s="754"/>
      <c r="CN139" s="754"/>
      <c r="CO139" s="754"/>
      <c r="CP139" s="754"/>
      <c r="CQ139" s="754"/>
      <c r="CR139" s="754"/>
      <c r="CS139" s="754"/>
      <c r="CT139" s="754"/>
      <c r="CU139" s="754"/>
      <c r="CV139" s="754"/>
      <c r="CW139" s="754"/>
      <c r="CX139" s="754"/>
      <c r="CY139" s="754"/>
      <c r="CZ139" s="754"/>
      <c r="DA139" s="754"/>
      <c r="DB139" s="754"/>
      <c r="DC139" s="754"/>
      <c r="DD139" s="754"/>
      <c r="DE139" s="754"/>
      <c r="DF139" s="754"/>
      <c r="DG139" s="754"/>
      <c r="DH139" s="754"/>
      <c r="DI139" s="754"/>
      <c r="DJ139" s="754"/>
      <c r="DK139" s="754"/>
      <c r="DL139" s="754"/>
      <c r="DM139" s="754"/>
      <c r="DN139" s="754"/>
      <c r="DO139" s="754"/>
      <c r="DP139" s="754"/>
      <c r="DQ139" s="754"/>
      <c r="DR139" s="754"/>
      <c r="DS139" s="754"/>
      <c r="DT139" s="754"/>
      <c r="DU139" s="754"/>
      <c r="DV139" s="754"/>
      <c r="DW139" s="754"/>
      <c r="DX139" s="754"/>
      <c r="DY139" s="754"/>
      <c r="DZ139" s="754"/>
      <c r="EA139" s="754"/>
      <c r="EB139" s="754"/>
      <c r="EC139" s="754"/>
      <c r="ED139" s="754"/>
      <c r="EE139" s="754"/>
      <c r="EF139" s="754"/>
      <c r="EG139" s="754"/>
      <c r="EH139" s="754"/>
      <c r="EI139" s="754"/>
      <c r="EJ139" s="754"/>
      <c r="EK139" s="754"/>
      <c r="EL139" s="754"/>
      <c r="EM139" s="754"/>
      <c r="EN139" s="754"/>
      <c r="EO139" s="754"/>
      <c r="EP139" s="754"/>
      <c r="EQ139" s="754"/>
      <c r="ER139" s="754"/>
      <c r="ES139" s="754"/>
      <c r="ET139" s="754"/>
      <c r="EU139" s="754"/>
      <c r="EV139" s="754"/>
      <c r="EW139" s="754"/>
      <c r="EX139" s="754"/>
      <c r="EY139" s="754"/>
      <c r="EZ139" s="754"/>
      <c r="FA139" s="754"/>
      <c r="FB139" s="754"/>
      <c r="FC139" s="754"/>
      <c r="FD139" s="754"/>
      <c r="FE139" s="754"/>
      <c r="FF139" s="754"/>
      <c r="FG139" s="754"/>
      <c r="FH139" s="754"/>
      <c r="FI139" s="754"/>
      <c r="FJ139" s="754"/>
      <c r="FK139" s="754"/>
      <c r="FL139" s="754"/>
      <c r="FM139" s="754"/>
      <c r="FN139" s="754"/>
      <c r="FO139" s="754"/>
      <c r="FP139" s="754"/>
      <c r="FQ139" s="754"/>
      <c r="FR139" s="754"/>
      <c r="FS139" s="754"/>
      <c r="FT139" s="754"/>
      <c r="FU139" s="754"/>
      <c r="FV139" s="754"/>
      <c r="FW139" s="754"/>
      <c r="FX139" s="754"/>
      <c r="FY139" s="754"/>
      <c r="FZ139" s="754"/>
      <c r="GA139" s="754"/>
      <c r="GB139" s="754"/>
      <c r="GC139" s="754"/>
      <c r="GD139" s="754"/>
      <c r="GE139" s="754"/>
      <c r="GF139" s="754"/>
      <c r="GG139" s="754"/>
      <c r="GH139" s="754"/>
      <c r="GI139" s="754"/>
      <c r="GJ139" s="754"/>
      <c r="GK139" s="754"/>
      <c r="GL139" s="754"/>
      <c r="GM139" s="754"/>
      <c r="GN139" s="754"/>
      <c r="GO139" s="754"/>
      <c r="GP139" s="754"/>
      <c r="GQ139" s="754"/>
      <c r="GR139" s="754"/>
      <c r="GS139" s="754"/>
      <c r="GT139" s="754"/>
      <c r="GU139" s="754"/>
      <c r="GV139" s="754"/>
      <c r="GW139" s="754"/>
      <c r="GX139" s="754"/>
      <c r="GY139" s="754"/>
      <c r="GZ139" s="754"/>
      <c r="HA139" s="754"/>
      <c r="HB139" s="754"/>
      <c r="HC139" s="754"/>
      <c r="HD139" s="754"/>
      <c r="HE139" s="754"/>
      <c r="HF139" s="754"/>
      <c r="HG139" s="754"/>
      <c r="HH139" s="754"/>
      <c r="HI139" s="754"/>
      <c r="HJ139" s="754"/>
      <c r="HK139" s="754"/>
      <c r="HL139" s="754"/>
      <c r="HM139" s="754"/>
      <c r="HN139" s="754"/>
      <c r="HO139" s="754"/>
      <c r="HP139" s="754"/>
      <c r="HQ139" s="754"/>
      <c r="HR139" s="754"/>
      <c r="HS139" s="754"/>
      <c r="HT139" s="754"/>
      <c r="HU139" s="754"/>
      <c r="HV139" s="754"/>
      <c r="HW139" s="754"/>
      <c r="HX139" s="754"/>
      <c r="HY139" s="754"/>
      <c r="HZ139" s="754"/>
      <c r="IA139" s="754"/>
      <c r="IB139" s="754"/>
      <c r="IC139" s="754"/>
      <c r="ID139" s="754"/>
      <c r="IE139" s="754"/>
      <c r="IF139" s="754"/>
      <c r="IG139" s="754"/>
      <c r="IH139" s="754"/>
      <c r="II139" s="754"/>
      <c r="IJ139" s="754"/>
      <c r="IK139" s="754"/>
      <c r="IL139" s="754"/>
      <c r="IM139" s="754"/>
      <c r="IN139" s="754"/>
      <c r="IO139" s="754"/>
      <c r="IP139" s="754"/>
      <c r="IQ139" s="754"/>
      <c r="IR139" s="754"/>
      <c r="IS139" s="754"/>
      <c r="IT139" s="754"/>
      <c r="IU139" s="754"/>
      <c r="IV139" s="754"/>
    </row>
    <row r="140" spans="1:256" s="593" customFormat="1" ht="27" customHeight="1">
      <c r="A140" s="761"/>
      <c r="B140" s="582"/>
      <c r="C140" s="583"/>
      <c r="D140" s="585" t="s">
        <v>5978</v>
      </c>
      <c r="E140" s="585"/>
      <c r="F140" s="762">
        <f>(5.8*0.65*(0.9-0.5))*(0.85+0.05)</f>
        <v>1.3572</v>
      </c>
      <c r="G140" s="879"/>
      <c r="H140" s="587"/>
      <c r="I140" s="588"/>
      <c r="J140" s="1651"/>
      <c r="K140" s="753"/>
      <c r="L140" s="754"/>
      <c r="M140" s="754"/>
      <c r="N140" s="754"/>
      <c r="O140" s="754"/>
      <c r="P140" s="754"/>
      <c r="Q140" s="754"/>
      <c r="R140" s="754"/>
      <c r="S140" s="754"/>
      <c r="T140" s="754"/>
      <c r="U140" s="754"/>
      <c r="V140" s="754"/>
      <c r="W140" s="754"/>
      <c r="X140" s="754"/>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c r="CP140" s="213"/>
      <c r="CQ140" s="213"/>
      <c r="CR140" s="213"/>
      <c r="CS140" s="213"/>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13"/>
      <c r="GD140" s="213"/>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13"/>
      <c r="HN140" s="213"/>
      <c r="HO140" s="213"/>
      <c r="HP140" s="213"/>
      <c r="HQ140" s="213"/>
      <c r="HR140" s="213"/>
      <c r="HS140" s="213"/>
      <c r="HT140" s="213"/>
      <c r="HU140" s="213"/>
      <c r="HV140" s="213"/>
      <c r="HW140" s="213"/>
      <c r="HX140" s="213"/>
      <c r="HY140" s="213"/>
      <c r="HZ140" s="213"/>
      <c r="IA140" s="213"/>
      <c r="IB140" s="213"/>
      <c r="IC140" s="213"/>
      <c r="ID140" s="213"/>
      <c r="IE140" s="213"/>
      <c r="IF140" s="213"/>
      <c r="IG140" s="213"/>
      <c r="IH140" s="213"/>
      <c r="II140" s="213"/>
      <c r="IJ140" s="213"/>
      <c r="IK140" s="213"/>
      <c r="IL140" s="213"/>
      <c r="IM140" s="213"/>
      <c r="IN140" s="213"/>
      <c r="IO140" s="213"/>
      <c r="IP140" s="213"/>
      <c r="IQ140" s="213"/>
      <c r="IR140" s="213"/>
      <c r="IS140" s="213"/>
      <c r="IT140" s="213"/>
      <c r="IU140" s="213"/>
      <c r="IV140" s="213"/>
    </row>
    <row r="141" spans="1:256" s="753" customFormat="1" ht="13.5" customHeight="1">
      <c r="A141" s="745"/>
      <c r="B141" s="746"/>
      <c r="C141" s="1245"/>
      <c r="D141" s="756" t="s">
        <v>185</v>
      </c>
      <c r="E141" s="757"/>
      <c r="F141" s="758">
        <f>SUM(F142)</f>
        <v>0.15080000000000002</v>
      </c>
      <c r="G141" s="374"/>
      <c r="H141" s="759"/>
      <c r="I141" s="751"/>
      <c r="J141" s="1652"/>
      <c r="K141" s="1653"/>
      <c r="L141" s="375"/>
      <c r="M141" s="375"/>
      <c r="N141" s="375"/>
      <c r="O141" s="375"/>
      <c r="P141" s="213"/>
      <c r="Q141" s="213"/>
      <c r="R141" s="213"/>
      <c r="S141" s="213"/>
      <c r="T141" s="213"/>
      <c r="U141" s="213"/>
      <c r="V141" s="213"/>
      <c r="W141" s="213"/>
      <c r="X141" s="213"/>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c r="CB141" s="754"/>
      <c r="CC141" s="754"/>
      <c r="CD141" s="754"/>
      <c r="CE141" s="754"/>
      <c r="CF141" s="754"/>
      <c r="CG141" s="754"/>
      <c r="CH141" s="754"/>
      <c r="CI141" s="754"/>
      <c r="CJ141" s="754"/>
      <c r="CK141" s="754"/>
      <c r="CL141" s="754"/>
      <c r="CM141" s="754"/>
      <c r="CN141" s="754"/>
      <c r="CO141" s="754"/>
      <c r="CP141" s="754"/>
      <c r="CQ141" s="754"/>
      <c r="CR141" s="754"/>
      <c r="CS141" s="754"/>
      <c r="CT141" s="754"/>
      <c r="CU141" s="754"/>
      <c r="CV141" s="754"/>
      <c r="CW141" s="754"/>
      <c r="CX141" s="754"/>
      <c r="CY141" s="754"/>
      <c r="CZ141" s="754"/>
      <c r="DA141" s="754"/>
      <c r="DB141" s="754"/>
      <c r="DC141" s="754"/>
      <c r="DD141" s="754"/>
      <c r="DE141" s="754"/>
      <c r="DF141" s="754"/>
      <c r="DG141" s="754"/>
      <c r="DH141" s="754"/>
      <c r="DI141" s="754"/>
      <c r="DJ141" s="754"/>
      <c r="DK141" s="754"/>
      <c r="DL141" s="754"/>
      <c r="DM141" s="754"/>
      <c r="DN141" s="754"/>
      <c r="DO141" s="754"/>
      <c r="DP141" s="754"/>
      <c r="DQ141" s="754"/>
      <c r="DR141" s="754"/>
      <c r="DS141" s="754"/>
      <c r="DT141" s="754"/>
      <c r="DU141" s="754"/>
      <c r="DV141" s="754"/>
      <c r="DW141" s="754"/>
      <c r="DX141" s="754"/>
      <c r="DY141" s="754"/>
      <c r="DZ141" s="754"/>
      <c r="EA141" s="754"/>
      <c r="EB141" s="754"/>
      <c r="EC141" s="754"/>
      <c r="ED141" s="754"/>
      <c r="EE141" s="754"/>
      <c r="EF141" s="754"/>
      <c r="EG141" s="754"/>
      <c r="EH141" s="754"/>
      <c r="EI141" s="754"/>
      <c r="EJ141" s="754"/>
      <c r="EK141" s="754"/>
      <c r="EL141" s="754"/>
      <c r="EM141" s="754"/>
      <c r="EN141" s="754"/>
      <c r="EO141" s="754"/>
      <c r="EP141" s="754"/>
      <c r="EQ141" s="754"/>
      <c r="ER141" s="754"/>
      <c r="ES141" s="754"/>
      <c r="ET141" s="754"/>
      <c r="EU141" s="754"/>
      <c r="EV141" s="754"/>
      <c r="EW141" s="754"/>
      <c r="EX141" s="754"/>
      <c r="EY141" s="754"/>
      <c r="EZ141" s="754"/>
      <c r="FA141" s="754"/>
      <c r="FB141" s="754"/>
      <c r="FC141" s="754"/>
      <c r="FD141" s="754"/>
      <c r="FE141" s="754"/>
      <c r="FF141" s="754"/>
      <c r="FG141" s="754"/>
      <c r="FH141" s="754"/>
      <c r="FI141" s="754"/>
      <c r="FJ141" s="754"/>
      <c r="FK141" s="754"/>
      <c r="FL141" s="754"/>
      <c r="FM141" s="754"/>
      <c r="FN141" s="754"/>
      <c r="FO141" s="754"/>
      <c r="FP141" s="754"/>
      <c r="FQ141" s="754"/>
      <c r="FR141" s="754"/>
      <c r="FS141" s="754"/>
      <c r="FT141" s="754"/>
      <c r="FU141" s="754"/>
      <c r="FV141" s="754"/>
      <c r="FW141" s="754"/>
      <c r="FX141" s="754"/>
      <c r="FY141" s="754"/>
      <c r="FZ141" s="754"/>
      <c r="GA141" s="754"/>
      <c r="GB141" s="754"/>
      <c r="GC141" s="754"/>
      <c r="GD141" s="754"/>
      <c r="GE141" s="754"/>
      <c r="GF141" s="754"/>
      <c r="GG141" s="754"/>
      <c r="GH141" s="754"/>
      <c r="GI141" s="754"/>
      <c r="GJ141" s="754"/>
      <c r="GK141" s="754"/>
      <c r="GL141" s="754"/>
      <c r="GM141" s="754"/>
      <c r="GN141" s="754"/>
      <c r="GO141" s="754"/>
      <c r="GP141" s="754"/>
      <c r="GQ141" s="754"/>
      <c r="GR141" s="754"/>
      <c r="GS141" s="754"/>
      <c r="GT141" s="754"/>
      <c r="GU141" s="754"/>
      <c r="GV141" s="754"/>
      <c r="GW141" s="754"/>
      <c r="GX141" s="754"/>
      <c r="GY141" s="754"/>
      <c r="GZ141" s="754"/>
      <c r="HA141" s="754"/>
      <c r="HB141" s="754"/>
      <c r="HC141" s="754"/>
      <c r="HD141" s="754"/>
      <c r="HE141" s="754"/>
      <c r="HF141" s="754"/>
      <c r="HG141" s="754"/>
      <c r="HH141" s="754"/>
      <c r="HI141" s="754"/>
      <c r="HJ141" s="754"/>
      <c r="HK141" s="754"/>
      <c r="HL141" s="754"/>
      <c r="HM141" s="754"/>
      <c r="HN141" s="754"/>
      <c r="HO141" s="754"/>
      <c r="HP141" s="754"/>
      <c r="HQ141" s="754"/>
      <c r="HR141" s="754"/>
      <c r="HS141" s="754"/>
      <c r="HT141" s="754"/>
      <c r="HU141" s="754"/>
      <c r="HV141" s="754"/>
      <c r="HW141" s="754"/>
      <c r="HX141" s="754"/>
      <c r="HY141" s="754"/>
      <c r="HZ141" s="754"/>
      <c r="IA141" s="754"/>
      <c r="IB141" s="754"/>
      <c r="IC141" s="754"/>
      <c r="ID141" s="754"/>
      <c r="IE141" s="754"/>
      <c r="IF141" s="754"/>
      <c r="IG141" s="754"/>
      <c r="IH141" s="754"/>
      <c r="II141" s="754"/>
      <c r="IJ141" s="754"/>
      <c r="IK141" s="754"/>
      <c r="IL141" s="754"/>
      <c r="IM141" s="754"/>
      <c r="IN141" s="754"/>
      <c r="IO141" s="754"/>
      <c r="IP141" s="754"/>
      <c r="IQ141" s="754"/>
      <c r="IR141" s="754"/>
      <c r="IS141" s="754"/>
      <c r="IT141" s="754"/>
      <c r="IU141" s="754"/>
      <c r="IV141" s="754"/>
    </row>
    <row r="142" spans="1:256" s="593" customFormat="1" ht="13.5" customHeight="1">
      <c r="A142" s="761"/>
      <c r="B142" s="582"/>
      <c r="C142" s="583"/>
      <c r="D142" s="585" t="s">
        <v>5979</v>
      </c>
      <c r="E142" s="585"/>
      <c r="F142" s="762">
        <f>(5.8*0.65*(0.9-0.5))*(0.1)</f>
        <v>0.15080000000000002</v>
      </c>
      <c r="G142" s="879"/>
      <c r="H142" s="587"/>
      <c r="I142" s="588"/>
      <c r="J142" s="767"/>
      <c r="K142" s="766"/>
      <c r="L142" s="375"/>
      <c r="M142" s="375"/>
      <c r="N142" s="375"/>
      <c r="O142" s="375"/>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3"/>
      <c r="FU142" s="213"/>
      <c r="FV142" s="213"/>
      <c r="FW142" s="213"/>
      <c r="FX142" s="213"/>
      <c r="FY142" s="213"/>
      <c r="FZ142" s="213"/>
      <c r="GA142" s="213"/>
      <c r="GB142" s="213"/>
      <c r="GC142" s="213"/>
      <c r="GD142" s="213"/>
      <c r="GE142" s="213"/>
      <c r="GF142" s="213"/>
      <c r="GG142" s="213"/>
      <c r="GH142" s="213"/>
      <c r="GI142" s="213"/>
      <c r="GJ142" s="213"/>
      <c r="GK142" s="213"/>
      <c r="GL142" s="213"/>
      <c r="GM142" s="213"/>
      <c r="GN142" s="213"/>
      <c r="GO142" s="213"/>
      <c r="GP142" s="213"/>
      <c r="GQ142" s="213"/>
      <c r="GR142" s="213"/>
      <c r="GS142" s="213"/>
      <c r="GT142" s="213"/>
      <c r="GU142" s="213"/>
      <c r="GV142" s="213"/>
      <c r="GW142" s="213"/>
      <c r="GX142" s="213"/>
      <c r="GY142" s="213"/>
      <c r="GZ142" s="213"/>
      <c r="HA142" s="213"/>
      <c r="HB142" s="213"/>
      <c r="HC142" s="213"/>
      <c r="HD142" s="213"/>
      <c r="HE142" s="213"/>
      <c r="HF142" s="213"/>
      <c r="HG142" s="213"/>
      <c r="HH142" s="213"/>
      <c r="HI142" s="213"/>
      <c r="HJ142" s="213"/>
      <c r="HK142" s="213"/>
      <c r="HL142" s="213"/>
      <c r="HM142" s="213"/>
      <c r="HN142" s="213"/>
      <c r="HO142" s="213"/>
      <c r="HP142" s="213"/>
      <c r="HQ142" s="213"/>
      <c r="HR142" s="213"/>
      <c r="HS142" s="213"/>
      <c r="HT142" s="213"/>
      <c r="HU142" s="213"/>
      <c r="HV142" s="213"/>
      <c r="HW142" s="213"/>
      <c r="HX142" s="213"/>
      <c r="HY142" s="213"/>
      <c r="HZ142" s="213"/>
      <c r="IA142" s="213"/>
      <c r="IB142" s="213"/>
      <c r="IC142" s="213"/>
      <c r="ID142" s="213"/>
      <c r="IE142" s="213"/>
      <c r="IF142" s="213"/>
      <c r="IG142" s="213"/>
      <c r="IH142" s="213"/>
      <c r="II142" s="213"/>
      <c r="IJ142" s="213"/>
      <c r="IK142" s="213"/>
      <c r="IL142" s="213"/>
      <c r="IM142" s="213"/>
      <c r="IN142" s="213"/>
      <c r="IO142" s="213"/>
      <c r="IP142" s="213"/>
      <c r="IQ142" s="213"/>
      <c r="IR142" s="213"/>
      <c r="IS142" s="213"/>
      <c r="IT142" s="213"/>
      <c r="IU142" s="213"/>
      <c r="IV142" s="213"/>
    </row>
    <row r="143" spans="1:256" s="1248" customFormat="1" ht="13.5" customHeight="1">
      <c r="A143" s="1518" t="s">
        <v>5592</v>
      </c>
      <c r="B143" s="1245"/>
      <c r="C143" s="777">
        <v>460371121</v>
      </c>
      <c r="D143" s="1255" t="s">
        <v>5880</v>
      </c>
      <c r="E143" s="1259" t="s">
        <v>146</v>
      </c>
      <c r="F143" s="1249">
        <f>F139</f>
        <v>1.3572</v>
      </c>
      <c r="G143" s="415"/>
      <c r="H143" s="803">
        <f t="shared" ref="H143:H147" si="2">ROUND(F143*G143,2)</f>
        <v>0</v>
      </c>
      <c r="I143" s="781" t="s">
        <v>137</v>
      </c>
      <c r="J143" s="647"/>
      <c r="K143" s="647"/>
      <c r="L143" s="612"/>
      <c r="M143" s="612"/>
      <c r="N143" s="612"/>
      <c r="O143" s="612"/>
      <c r="P143" s="612"/>
      <c r="Q143" s="612"/>
      <c r="R143" s="612"/>
      <c r="S143" s="788"/>
      <c r="V143" s="1646"/>
    </row>
    <row r="144" spans="1:256" s="1248" customFormat="1" ht="13.5" customHeight="1">
      <c r="A144" s="1518" t="s">
        <v>5980</v>
      </c>
      <c r="B144" s="1245"/>
      <c r="C144" s="777">
        <v>460371123</v>
      </c>
      <c r="D144" s="1255" t="s">
        <v>5882</v>
      </c>
      <c r="E144" s="1259" t="s">
        <v>146</v>
      </c>
      <c r="F144" s="1249">
        <f>F141</f>
        <v>0.15080000000000002</v>
      </c>
      <c r="G144" s="415"/>
      <c r="H144" s="803">
        <f t="shared" si="2"/>
        <v>0</v>
      </c>
      <c r="I144" s="781" t="s">
        <v>137</v>
      </c>
      <c r="J144" s="647"/>
      <c r="K144" s="647"/>
      <c r="L144" s="612"/>
      <c r="M144" s="612"/>
      <c r="N144" s="612"/>
      <c r="O144" s="612"/>
      <c r="P144" s="612"/>
      <c r="Q144" s="612"/>
      <c r="R144" s="612"/>
      <c r="S144" s="788"/>
      <c r="V144" s="1646"/>
    </row>
    <row r="145" spans="1:256" s="593" customFormat="1" ht="27" customHeight="1">
      <c r="A145" s="775" t="s">
        <v>5981</v>
      </c>
      <c r="B145" s="776"/>
      <c r="C145" s="777" t="s">
        <v>6327</v>
      </c>
      <c r="D145" s="585" t="s">
        <v>6333</v>
      </c>
      <c r="E145" s="778" t="s">
        <v>146</v>
      </c>
      <c r="F145" s="779">
        <f>F137</f>
        <v>1.508</v>
      </c>
      <c r="G145" s="880"/>
      <c r="H145" s="803">
        <f t="shared" si="2"/>
        <v>0</v>
      </c>
      <c r="I145" s="781" t="s">
        <v>112</v>
      </c>
      <c r="J145" s="782"/>
      <c r="K145" s="783"/>
      <c r="L145" s="621"/>
      <c r="M145" s="621"/>
      <c r="N145" s="621"/>
      <c r="O145" s="621"/>
      <c r="P145" s="621"/>
      <c r="Q145" s="621"/>
      <c r="R145" s="621"/>
      <c r="S145" s="784"/>
      <c r="T145" s="78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c r="FX145" s="213"/>
      <c r="FY145" s="213"/>
      <c r="FZ145" s="213"/>
      <c r="GA145" s="213"/>
      <c r="GB145" s="213"/>
      <c r="GC145" s="213"/>
      <c r="GD145" s="213"/>
      <c r="GE145" s="213"/>
      <c r="GF145" s="213"/>
      <c r="GG145" s="213"/>
      <c r="GH145" s="213"/>
      <c r="GI145" s="213"/>
      <c r="GJ145" s="213"/>
      <c r="GK145" s="213"/>
      <c r="GL145" s="213"/>
      <c r="GM145" s="213"/>
      <c r="GN145" s="213"/>
      <c r="GO145" s="213"/>
      <c r="GP145" s="213"/>
      <c r="GQ145" s="213"/>
      <c r="GR145" s="213"/>
      <c r="GS145" s="213"/>
      <c r="GT145" s="213"/>
      <c r="GU145" s="213"/>
      <c r="GV145" s="213"/>
      <c r="GW145" s="213"/>
      <c r="GX145" s="213"/>
      <c r="GY145" s="213"/>
      <c r="GZ145" s="213"/>
      <c r="HA145" s="213"/>
      <c r="HB145" s="213"/>
      <c r="HC145" s="213"/>
      <c r="HD145" s="213"/>
      <c r="HE145" s="213"/>
      <c r="HF145" s="213"/>
      <c r="HG145" s="213"/>
      <c r="HH145" s="213"/>
      <c r="HI145" s="213"/>
      <c r="HJ145" s="213"/>
      <c r="HK145" s="213"/>
      <c r="HL145" s="213"/>
      <c r="HM145" s="213"/>
      <c r="HN145" s="213"/>
      <c r="HO145" s="213"/>
      <c r="HP145" s="213"/>
      <c r="HQ145" s="213"/>
      <c r="HR145" s="213"/>
      <c r="HS145" s="213"/>
      <c r="HT145" s="213"/>
      <c r="HU145" s="213"/>
      <c r="HV145" s="213"/>
      <c r="HW145" s="213"/>
      <c r="HX145" s="213"/>
      <c r="HY145" s="213"/>
      <c r="HZ145" s="213"/>
      <c r="IA145" s="213"/>
      <c r="IB145" s="213"/>
      <c r="IC145" s="213"/>
      <c r="ID145" s="213"/>
      <c r="IE145" s="213"/>
      <c r="IF145" s="213"/>
      <c r="IG145" s="213"/>
      <c r="IH145" s="213"/>
      <c r="II145" s="213"/>
      <c r="IJ145" s="213"/>
      <c r="IK145" s="213"/>
      <c r="IL145" s="213"/>
      <c r="IM145" s="213"/>
      <c r="IN145" s="213"/>
      <c r="IO145" s="213"/>
      <c r="IP145" s="213"/>
      <c r="IQ145" s="213"/>
      <c r="IR145" s="213"/>
      <c r="IS145" s="213"/>
      <c r="IT145" s="213"/>
      <c r="IU145" s="213"/>
      <c r="IV145" s="213"/>
    </row>
    <row r="146" spans="1:256" s="593" customFormat="1" ht="27" customHeight="1">
      <c r="A146" s="775" t="s">
        <v>5982</v>
      </c>
      <c r="B146" s="776"/>
      <c r="C146" s="777">
        <v>171251101</v>
      </c>
      <c r="D146" s="585" t="s">
        <v>192</v>
      </c>
      <c r="E146" s="778" t="s">
        <v>146</v>
      </c>
      <c r="F146" s="779">
        <f>F137</f>
        <v>1.508</v>
      </c>
      <c r="G146" s="880"/>
      <c r="H146" s="803">
        <f t="shared" si="2"/>
        <v>0</v>
      </c>
      <c r="I146" s="781" t="s">
        <v>137</v>
      </c>
      <c r="J146" s="647"/>
      <c r="K146" s="647"/>
      <c r="L146" s="612"/>
      <c r="M146" s="612"/>
      <c r="N146" s="612"/>
      <c r="O146" s="612"/>
      <c r="P146" s="637"/>
      <c r="Q146" s="612"/>
      <c r="R146" s="612"/>
      <c r="S146" s="788"/>
      <c r="T146" s="612"/>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c r="FX146" s="213"/>
      <c r="FY146" s="213"/>
      <c r="FZ146" s="213"/>
      <c r="GA146" s="213"/>
      <c r="GB146" s="213"/>
      <c r="GC146" s="213"/>
      <c r="GD146" s="213"/>
      <c r="GE146" s="213"/>
      <c r="GF146" s="213"/>
      <c r="GG146" s="213"/>
      <c r="GH146" s="213"/>
      <c r="GI146" s="213"/>
      <c r="GJ146" s="213"/>
      <c r="GK146" s="213"/>
      <c r="GL146" s="213"/>
      <c r="GM146" s="213"/>
      <c r="GN146" s="213"/>
      <c r="GO146" s="213"/>
      <c r="GP146" s="213"/>
      <c r="GQ146" s="213"/>
      <c r="GR146" s="213"/>
      <c r="GS146" s="213"/>
      <c r="GT146" s="213"/>
      <c r="GU146" s="213"/>
      <c r="GV146" s="213"/>
      <c r="GW146" s="213"/>
      <c r="GX146" s="213"/>
      <c r="GY146" s="213"/>
      <c r="GZ146" s="213"/>
      <c r="HA146" s="213"/>
      <c r="HB146" s="213"/>
      <c r="HC146" s="213"/>
      <c r="HD146" s="213"/>
      <c r="HE146" s="213"/>
      <c r="HF146" s="213"/>
      <c r="HG146" s="213"/>
      <c r="HH146" s="213"/>
      <c r="HI146" s="213"/>
      <c r="HJ146" s="213"/>
      <c r="HK146" s="213"/>
      <c r="HL146" s="213"/>
      <c r="HM146" s="213"/>
      <c r="HN146" s="213"/>
      <c r="HO146" s="213"/>
      <c r="HP146" s="213"/>
      <c r="HQ146" s="213"/>
      <c r="HR146" s="213"/>
      <c r="HS146" s="213"/>
      <c r="HT146" s="213"/>
      <c r="HU146" s="213"/>
      <c r="HV146" s="213"/>
      <c r="HW146" s="213"/>
      <c r="HX146" s="213"/>
      <c r="HY146" s="213"/>
      <c r="HZ146" s="213"/>
      <c r="IA146" s="213"/>
      <c r="IB146" s="213"/>
      <c r="IC146" s="213"/>
      <c r="ID146" s="213"/>
      <c r="IE146" s="213"/>
      <c r="IF146" s="213"/>
      <c r="IG146" s="213"/>
      <c r="IH146" s="213"/>
      <c r="II146" s="213"/>
      <c r="IJ146" s="213"/>
      <c r="IK146" s="213"/>
      <c r="IL146" s="213"/>
      <c r="IM146" s="213"/>
      <c r="IN146" s="213"/>
      <c r="IO146" s="213"/>
      <c r="IP146" s="213"/>
      <c r="IQ146" s="213"/>
      <c r="IR146" s="213"/>
      <c r="IS146" s="213"/>
      <c r="IT146" s="213"/>
      <c r="IU146" s="213"/>
      <c r="IV146" s="213"/>
    </row>
    <row r="147" spans="1:256" s="593" customFormat="1" ht="27" customHeight="1">
      <c r="A147" s="1654" t="s">
        <v>5983</v>
      </c>
      <c r="B147" s="1655"/>
      <c r="C147" s="777" t="s">
        <v>6328</v>
      </c>
      <c r="D147" s="810" t="s">
        <v>6329</v>
      </c>
      <c r="E147" s="1656" t="s">
        <v>175</v>
      </c>
      <c r="F147" s="802">
        <f>F137*2</f>
        <v>3.016</v>
      </c>
      <c r="G147" s="414"/>
      <c r="H147" s="803">
        <f t="shared" si="2"/>
        <v>0</v>
      </c>
      <c r="I147" s="781" t="s">
        <v>112</v>
      </c>
      <c r="J147" s="647"/>
      <c r="K147" s="647"/>
      <c r="L147" s="612"/>
      <c r="M147" s="612"/>
      <c r="N147" s="612"/>
      <c r="O147" s="612"/>
      <c r="P147" s="612"/>
      <c r="Q147" s="612"/>
      <c r="R147" s="612"/>
      <c r="S147" s="788"/>
      <c r="T147" s="1657"/>
      <c r="U147" s="213"/>
      <c r="V147" s="213"/>
      <c r="W147" s="213"/>
      <c r="X147" s="213"/>
      <c r="Y147" s="1658"/>
      <c r="Z147" s="1658"/>
      <c r="AA147" s="1658"/>
      <c r="AB147" s="1658"/>
      <c r="AC147" s="1658"/>
      <c r="AD147" s="1658"/>
      <c r="AE147" s="1658"/>
      <c r="AF147" s="1658"/>
      <c r="AG147" s="1658"/>
      <c r="AH147" s="1658"/>
      <c r="AI147" s="1658"/>
      <c r="AJ147" s="1658"/>
      <c r="AK147" s="1658"/>
      <c r="AL147" s="1658"/>
      <c r="AM147" s="1658"/>
      <c r="AN147" s="1658"/>
      <c r="AO147" s="1658"/>
      <c r="AP147" s="1658"/>
      <c r="AQ147" s="1658"/>
      <c r="AR147" s="1658"/>
      <c r="AS147" s="1658"/>
      <c r="AT147" s="1658"/>
      <c r="AU147" s="1658"/>
      <c r="AV147" s="1658"/>
      <c r="AW147" s="1658"/>
      <c r="AX147" s="1658"/>
      <c r="AY147" s="1658"/>
      <c r="AZ147" s="1658"/>
      <c r="BA147" s="1658"/>
      <c r="BB147" s="1658"/>
      <c r="BC147" s="1658"/>
      <c r="BD147" s="1658"/>
      <c r="BE147" s="1658"/>
      <c r="BF147" s="1658"/>
      <c r="BG147" s="1658"/>
      <c r="BH147" s="1658"/>
      <c r="BI147" s="1658"/>
      <c r="BJ147" s="1658"/>
      <c r="BK147" s="1658"/>
      <c r="BL147" s="1658"/>
      <c r="BM147" s="1658"/>
      <c r="BN147" s="1658"/>
      <c r="BO147" s="1658"/>
      <c r="BP147" s="1658"/>
      <c r="BQ147" s="1658"/>
      <c r="BR147" s="1658"/>
      <c r="BS147" s="1658"/>
      <c r="BT147" s="1658"/>
      <c r="BU147" s="1658"/>
      <c r="BV147" s="1658"/>
      <c r="BW147" s="1658"/>
      <c r="BX147" s="1658"/>
      <c r="BY147" s="1658"/>
      <c r="BZ147" s="1658"/>
      <c r="CA147" s="1658"/>
      <c r="CB147" s="1658"/>
      <c r="CC147" s="1658"/>
      <c r="CD147" s="1658"/>
      <c r="CE147" s="1658"/>
      <c r="CF147" s="1658"/>
      <c r="CG147" s="1658"/>
      <c r="CH147" s="1658"/>
      <c r="CI147" s="1658"/>
      <c r="CJ147" s="1658"/>
      <c r="CK147" s="1658"/>
      <c r="CL147" s="1658"/>
      <c r="CM147" s="1658"/>
      <c r="CN147" s="1658"/>
      <c r="CO147" s="1658"/>
      <c r="CP147" s="1658"/>
      <c r="CQ147" s="1658"/>
      <c r="CR147" s="1658"/>
      <c r="CS147" s="1658"/>
      <c r="CT147" s="1658"/>
      <c r="CU147" s="1658"/>
      <c r="CV147" s="1658"/>
      <c r="CW147" s="1658"/>
      <c r="CX147" s="1658"/>
      <c r="CY147" s="1658"/>
      <c r="CZ147" s="1658"/>
      <c r="DA147" s="1658"/>
      <c r="DB147" s="1658"/>
      <c r="DC147" s="1658"/>
      <c r="DD147" s="1658"/>
      <c r="DE147" s="1658"/>
      <c r="DF147" s="1658"/>
      <c r="DG147" s="1658"/>
      <c r="DH147" s="1658"/>
      <c r="DI147" s="1658"/>
      <c r="DJ147" s="1658"/>
      <c r="DK147" s="1658"/>
      <c r="DL147" s="1658"/>
      <c r="DM147" s="1658"/>
      <c r="DN147" s="1658"/>
      <c r="DO147" s="1658"/>
      <c r="DP147" s="1658"/>
      <c r="DQ147" s="1658"/>
      <c r="DR147" s="1658"/>
      <c r="DS147" s="1658"/>
      <c r="DT147" s="1658"/>
      <c r="DU147" s="1658"/>
      <c r="DV147" s="1658"/>
      <c r="DW147" s="1658"/>
      <c r="DX147" s="1658"/>
      <c r="DY147" s="1658"/>
      <c r="DZ147" s="1658"/>
      <c r="EA147" s="1658"/>
      <c r="EB147" s="1658"/>
      <c r="EC147" s="1658"/>
      <c r="ED147" s="1658"/>
      <c r="EE147" s="1658"/>
      <c r="EF147" s="1658"/>
      <c r="EG147" s="1658"/>
      <c r="EH147" s="1658"/>
      <c r="EI147" s="1658"/>
      <c r="EJ147" s="1658"/>
      <c r="EK147" s="1658"/>
      <c r="EL147" s="1658"/>
      <c r="EM147" s="1658"/>
      <c r="EN147" s="1658"/>
      <c r="EO147" s="1658"/>
      <c r="EP147" s="1658"/>
      <c r="EQ147" s="1658"/>
      <c r="ER147" s="1658"/>
      <c r="ES147" s="1658"/>
      <c r="ET147" s="1658"/>
      <c r="EU147" s="1658"/>
      <c r="EV147" s="1658"/>
      <c r="EW147" s="1658"/>
      <c r="EX147" s="1658"/>
      <c r="EY147" s="1658"/>
      <c r="EZ147" s="1658"/>
      <c r="FA147" s="1658"/>
      <c r="FB147" s="1658"/>
      <c r="FC147" s="1658"/>
      <c r="FD147" s="1658"/>
      <c r="FE147" s="1658"/>
      <c r="FF147" s="1658"/>
      <c r="FG147" s="1658"/>
      <c r="FH147" s="1658"/>
      <c r="FI147" s="1658"/>
      <c r="FJ147" s="1658"/>
      <c r="FK147" s="1658"/>
      <c r="FL147" s="1658"/>
      <c r="FM147" s="1658"/>
      <c r="FN147" s="1658"/>
      <c r="FO147" s="1658"/>
      <c r="FP147" s="1658"/>
      <c r="FQ147" s="1658"/>
      <c r="FR147" s="1658"/>
      <c r="FS147" s="1658"/>
      <c r="FT147" s="1658"/>
      <c r="FU147" s="1658"/>
      <c r="FV147" s="1658"/>
      <c r="FW147" s="1658"/>
      <c r="FX147" s="1658"/>
      <c r="FY147" s="1658"/>
      <c r="FZ147" s="1658"/>
      <c r="GA147" s="1658"/>
      <c r="GB147" s="1658"/>
      <c r="GC147" s="1658"/>
      <c r="GD147" s="1658"/>
      <c r="GE147" s="1658"/>
      <c r="GF147" s="1658"/>
      <c r="GG147" s="1658"/>
      <c r="GH147" s="1658"/>
      <c r="GI147" s="1658"/>
      <c r="GJ147" s="1658"/>
      <c r="GK147" s="1658"/>
      <c r="GL147" s="1658"/>
      <c r="GM147" s="1658"/>
      <c r="GN147" s="1658"/>
      <c r="GO147" s="1658"/>
      <c r="GP147" s="1658"/>
      <c r="GQ147" s="1658"/>
      <c r="GR147" s="1658"/>
      <c r="GS147" s="1658"/>
      <c r="GT147" s="1658"/>
      <c r="GU147" s="1658"/>
      <c r="GV147" s="1658"/>
      <c r="GW147" s="1658"/>
      <c r="GX147" s="1658"/>
      <c r="GY147" s="1658"/>
      <c r="GZ147" s="1658"/>
      <c r="HA147" s="1658"/>
      <c r="HB147" s="1658"/>
      <c r="HC147" s="1658"/>
      <c r="HD147" s="1658"/>
      <c r="HE147" s="1658"/>
      <c r="HF147" s="1658"/>
      <c r="HG147" s="1658"/>
      <c r="HH147" s="1658"/>
      <c r="HI147" s="1658"/>
      <c r="HJ147" s="1658"/>
      <c r="HK147" s="1658"/>
      <c r="HL147" s="1658"/>
      <c r="HM147" s="1658"/>
      <c r="HN147" s="1658"/>
      <c r="HO147" s="1658"/>
      <c r="HP147" s="1658"/>
      <c r="HQ147" s="1658"/>
      <c r="HR147" s="1658"/>
      <c r="HS147" s="1658"/>
      <c r="HT147" s="1658"/>
      <c r="HU147" s="1658"/>
      <c r="HV147" s="1658"/>
      <c r="HW147" s="1658"/>
      <c r="HX147" s="1658"/>
      <c r="HY147" s="1658"/>
      <c r="HZ147" s="1658"/>
      <c r="IA147" s="1658"/>
      <c r="IB147" s="1658"/>
      <c r="IC147" s="1658"/>
      <c r="ID147" s="1658"/>
      <c r="IE147" s="1658"/>
      <c r="IF147" s="1658"/>
      <c r="IG147" s="1658"/>
      <c r="IH147" s="1658"/>
      <c r="II147" s="1658"/>
      <c r="IJ147" s="1658"/>
      <c r="IK147" s="1658"/>
      <c r="IL147" s="1658"/>
      <c r="IM147" s="1658"/>
      <c r="IN147" s="1658"/>
      <c r="IO147" s="1658"/>
      <c r="IP147" s="1658"/>
      <c r="IQ147" s="1658"/>
      <c r="IR147" s="1658"/>
      <c r="IS147" s="1658"/>
      <c r="IT147" s="1658"/>
      <c r="IU147" s="1658"/>
      <c r="IV147" s="1658"/>
    </row>
    <row r="148" spans="1:256" s="647" customFormat="1" ht="13.5" customHeight="1">
      <c r="A148" s="807"/>
      <c r="B148" s="808"/>
      <c r="C148" s="809"/>
      <c r="D148" s="810" t="s">
        <v>193</v>
      </c>
      <c r="E148" s="811"/>
      <c r="F148" s="812"/>
      <c r="G148" s="881"/>
      <c r="H148" s="813"/>
      <c r="I148" s="814"/>
      <c r="J148" s="815"/>
      <c r="L148" s="612"/>
      <c r="M148" s="612"/>
      <c r="N148" s="612"/>
      <c r="O148" s="612"/>
      <c r="P148" s="612"/>
      <c r="Q148" s="612"/>
      <c r="R148" s="612"/>
      <c r="S148" s="788"/>
      <c r="T148" s="816"/>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c r="AU148" s="816"/>
      <c r="AV148" s="816"/>
      <c r="AW148" s="816"/>
      <c r="AX148" s="816"/>
      <c r="AY148" s="816"/>
      <c r="AZ148" s="816"/>
      <c r="BA148" s="816"/>
      <c r="BB148" s="816"/>
      <c r="BC148" s="816"/>
      <c r="BD148" s="816"/>
      <c r="BE148" s="816"/>
      <c r="BF148" s="816"/>
      <c r="BG148" s="816"/>
      <c r="BH148" s="816"/>
      <c r="BI148" s="816"/>
      <c r="BJ148" s="816"/>
      <c r="BK148" s="816"/>
      <c r="BL148" s="816"/>
      <c r="BM148" s="816"/>
      <c r="BN148" s="816"/>
      <c r="BO148" s="816"/>
      <c r="BP148" s="816"/>
      <c r="BQ148" s="816"/>
      <c r="BR148" s="816"/>
      <c r="BS148" s="816"/>
      <c r="BT148" s="816"/>
      <c r="BU148" s="816"/>
      <c r="BV148" s="816"/>
      <c r="BW148" s="816"/>
      <c r="BX148" s="816"/>
      <c r="BY148" s="816"/>
      <c r="BZ148" s="816"/>
      <c r="CA148" s="816"/>
      <c r="CB148" s="816"/>
      <c r="CC148" s="816"/>
      <c r="CD148" s="816"/>
      <c r="CE148" s="816"/>
      <c r="CF148" s="816"/>
      <c r="CG148" s="816"/>
      <c r="CH148" s="816"/>
      <c r="CI148" s="816"/>
      <c r="CJ148" s="816"/>
      <c r="CK148" s="816"/>
      <c r="CL148" s="816"/>
      <c r="CM148" s="816"/>
      <c r="CN148" s="816"/>
      <c r="CO148" s="816"/>
      <c r="CP148" s="816"/>
      <c r="CQ148" s="816"/>
      <c r="CR148" s="816"/>
      <c r="CS148" s="816"/>
      <c r="CT148" s="816"/>
      <c r="CU148" s="816"/>
      <c r="CV148" s="816"/>
      <c r="CW148" s="816"/>
      <c r="CX148" s="816"/>
      <c r="CY148" s="816"/>
      <c r="CZ148" s="816"/>
      <c r="DA148" s="816"/>
      <c r="DB148" s="816"/>
      <c r="DC148" s="816"/>
      <c r="DD148" s="816"/>
      <c r="DE148" s="816"/>
      <c r="DF148" s="816"/>
      <c r="DG148" s="816"/>
      <c r="DH148" s="816"/>
      <c r="DI148" s="816"/>
      <c r="DJ148" s="816"/>
      <c r="DK148" s="816"/>
      <c r="DL148" s="816"/>
      <c r="DM148" s="816"/>
      <c r="DN148" s="816"/>
      <c r="DO148" s="816"/>
      <c r="DP148" s="816"/>
      <c r="DQ148" s="816"/>
      <c r="DR148" s="816"/>
      <c r="DS148" s="816"/>
      <c r="DT148" s="816"/>
      <c r="DU148" s="816"/>
      <c r="DV148" s="816"/>
      <c r="DW148" s="816"/>
      <c r="DX148" s="816"/>
      <c r="DY148" s="816"/>
      <c r="DZ148" s="816"/>
      <c r="EA148" s="816"/>
      <c r="EB148" s="816"/>
      <c r="EC148" s="816"/>
      <c r="ED148" s="816"/>
      <c r="EE148" s="816"/>
      <c r="EF148" s="816"/>
      <c r="EG148" s="816"/>
      <c r="EH148" s="816"/>
      <c r="EI148" s="816"/>
      <c r="EJ148" s="816"/>
      <c r="EK148" s="816"/>
      <c r="EL148" s="816"/>
      <c r="EM148" s="816"/>
      <c r="EN148" s="816"/>
      <c r="EO148" s="816"/>
      <c r="EP148" s="816"/>
      <c r="EQ148" s="816"/>
      <c r="ER148" s="816"/>
      <c r="ES148" s="816"/>
      <c r="ET148" s="816"/>
      <c r="EU148" s="816"/>
      <c r="EV148" s="816"/>
      <c r="EW148" s="816"/>
      <c r="EX148" s="816"/>
      <c r="EY148" s="816"/>
      <c r="EZ148" s="816"/>
      <c r="FA148" s="816"/>
      <c r="FB148" s="816"/>
      <c r="FC148" s="816"/>
      <c r="FD148" s="816"/>
      <c r="FE148" s="816"/>
      <c r="FF148" s="816"/>
      <c r="FG148" s="816"/>
      <c r="FH148" s="816"/>
      <c r="FI148" s="816"/>
      <c r="FJ148" s="816"/>
      <c r="FK148" s="816"/>
      <c r="FL148" s="816"/>
      <c r="FM148" s="816"/>
      <c r="FN148" s="816"/>
      <c r="FO148" s="816"/>
      <c r="FP148" s="816"/>
      <c r="FQ148" s="816"/>
      <c r="FR148" s="816"/>
      <c r="FS148" s="816"/>
      <c r="FT148" s="816"/>
      <c r="FU148" s="816"/>
      <c r="FV148" s="816"/>
      <c r="FW148" s="816"/>
      <c r="FX148" s="816"/>
      <c r="FY148" s="816"/>
      <c r="FZ148" s="816"/>
      <c r="GA148" s="816"/>
      <c r="GB148" s="816"/>
      <c r="GC148" s="816"/>
      <c r="GD148" s="816"/>
      <c r="GE148" s="816"/>
      <c r="GF148" s="816"/>
      <c r="GG148" s="816"/>
      <c r="GH148" s="816"/>
      <c r="GI148" s="816"/>
      <c r="GJ148" s="816"/>
      <c r="GK148" s="816"/>
      <c r="GL148" s="816"/>
      <c r="GM148" s="816"/>
      <c r="GN148" s="816"/>
      <c r="GO148" s="816"/>
      <c r="GP148" s="816"/>
      <c r="GQ148" s="816"/>
      <c r="GR148" s="816"/>
      <c r="GS148" s="816"/>
      <c r="GT148" s="816"/>
      <c r="GU148" s="816"/>
      <c r="GV148" s="816"/>
      <c r="GW148" s="816"/>
      <c r="GX148" s="816"/>
      <c r="GY148" s="816"/>
      <c r="GZ148" s="816"/>
      <c r="HA148" s="816"/>
      <c r="HB148" s="816"/>
      <c r="HC148" s="816"/>
      <c r="HD148" s="816"/>
      <c r="HE148" s="816"/>
      <c r="HF148" s="816"/>
      <c r="HG148" s="816"/>
      <c r="HH148" s="816"/>
      <c r="HI148" s="816"/>
      <c r="HJ148" s="816"/>
      <c r="HK148" s="816"/>
      <c r="HL148" s="816"/>
      <c r="HM148" s="816"/>
      <c r="HN148" s="816"/>
      <c r="HO148" s="816"/>
      <c r="HP148" s="816"/>
      <c r="HQ148" s="816"/>
      <c r="HR148" s="816"/>
      <c r="HS148" s="816"/>
      <c r="HT148" s="816"/>
      <c r="HU148" s="816"/>
      <c r="HV148" s="816"/>
      <c r="HW148" s="816"/>
      <c r="HX148" s="816"/>
      <c r="HY148" s="816"/>
      <c r="HZ148" s="816"/>
      <c r="IA148" s="816"/>
      <c r="IB148" s="816"/>
      <c r="IC148" s="816"/>
      <c r="ID148" s="816"/>
      <c r="IE148" s="816"/>
      <c r="IF148" s="816"/>
      <c r="IG148" s="816"/>
      <c r="IH148" s="816"/>
      <c r="II148" s="816"/>
      <c r="IJ148" s="816"/>
      <c r="IK148" s="816"/>
      <c r="IL148" s="816"/>
      <c r="IM148" s="816"/>
      <c r="IN148" s="816"/>
      <c r="IO148" s="816"/>
      <c r="IP148" s="816"/>
      <c r="IQ148" s="816"/>
      <c r="IR148" s="816"/>
      <c r="IS148" s="816"/>
      <c r="IT148" s="816"/>
      <c r="IU148" s="816"/>
      <c r="IV148" s="816"/>
    </row>
    <row r="149" spans="1:256" s="1587" customFormat="1" ht="81" customHeight="1">
      <c r="A149" s="1602"/>
      <c r="B149" s="1603"/>
      <c r="C149" s="1604"/>
      <c r="D149" s="584" t="s">
        <v>2404</v>
      </c>
      <c r="E149" s="1605"/>
      <c r="F149" s="1606"/>
      <c r="G149" s="299"/>
      <c r="H149" s="1607"/>
      <c r="I149" s="160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c r="BS149" s="1588"/>
      <c r="BT149" s="1588"/>
      <c r="BU149" s="1588"/>
      <c r="BV149" s="1588"/>
      <c r="BW149" s="1588"/>
      <c r="BX149" s="1588"/>
      <c r="BY149" s="1588"/>
      <c r="BZ149" s="1588"/>
      <c r="CA149" s="1588"/>
      <c r="CB149" s="1588"/>
      <c r="CC149" s="1588"/>
      <c r="CD149" s="1588"/>
      <c r="CE149" s="1588"/>
      <c r="CF149" s="1588"/>
      <c r="CG149" s="1588"/>
      <c r="CH149" s="1588"/>
      <c r="CI149" s="1588"/>
      <c r="CJ149" s="1588"/>
      <c r="CK149" s="1588"/>
      <c r="CL149" s="1588"/>
      <c r="CM149" s="1588"/>
      <c r="CN149" s="1588"/>
      <c r="CO149" s="1588"/>
      <c r="CP149" s="1588"/>
      <c r="CQ149" s="1588"/>
      <c r="CR149" s="1588"/>
      <c r="CS149" s="1588"/>
      <c r="CT149" s="1588"/>
      <c r="CU149" s="1588"/>
      <c r="CV149" s="1588"/>
      <c r="CW149" s="1588"/>
      <c r="CX149" s="1588"/>
      <c r="CY149" s="1588"/>
      <c r="CZ149" s="1588"/>
      <c r="DA149" s="1588"/>
      <c r="DB149" s="1588"/>
      <c r="DC149" s="1588"/>
      <c r="DD149" s="1588"/>
      <c r="DE149" s="1588"/>
      <c r="DF149" s="1588"/>
      <c r="DG149" s="1588"/>
      <c r="DH149" s="1588"/>
      <c r="DI149" s="1588"/>
      <c r="DJ149" s="1588"/>
      <c r="DK149" s="1588"/>
      <c r="DL149" s="1588"/>
      <c r="DM149" s="1588"/>
      <c r="DN149" s="1588"/>
      <c r="DO149" s="1588"/>
      <c r="DP149" s="1588"/>
      <c r="DQ149" s="1588"/>
      <c r="DR149" s="1588"/>
      <c r="DS149" s="1588"/>
      <c r="DT149" s="1588"/>
      <c r="DU149" s="1588"/>
      <c r="DV149" s="1588"/>
      <c r="DW149" s="1588"/>
      <c r="DX149" s="1588"/>
      <c r="DY149" s="1588"/>
      <c r="DZ149" s="1588"/>
      <c r="EA149" s="1588"/>
      <c r="EB149" s="1588"/>
      <c r="EC149" s="1588"/>
      <c r="ED149" s="1588"/>
      <c r="EE149" s="1588"/>
      <c r="EF149" s="1588"/>
      <c r="EG149" s="1588"/>
      <c r="EH149" s="1588"/>
      <c r="EI149" s="1588"/>
      <c r="EJ149" s="1588"/>
      <c r="EK149" s="1588"/>
      <c r="EL149" s="1588"/>
      <c r="EM149" s="1588"/>
      <c r="EN149" s="1588"/>
      <c r="EO149" s="1588"/>
      <c r="EP149" s="1588"/>
      <c r="EQ149" s="1588"/>
      <c r="ER149" s="1588"/>
      <c r="ES149" s="1588"/>
      <c r="ET149" s="1588"/>
      <c r="EU149" s="1588"/>
      <c r="EV149" s="1588"/>
      <c r="EW149" s="1588"/>
      <c r="EX149" s="1588"/>
      <c r="EY149" s="1588"/>
      <c r="EZ149" s="1588"/>
      <c r="FA149" s="1588"/>
      <c r="FB149" s="1588"/>
      <c r="FC149" s="1588"/>
      <c r="FD149" s="1588"/>
      <c r="FE149" s="1588"/>
      <c r="FF149" s="1588"/>
      <c r="FG149" s="1588"/>
      <c r="FH149" s="1588"/>
      <c r="FI149" s="1588"/>
      <c r="FJ149" s="1588"/>
      <c r="FK149" s="1588"/>
      <c r="FL149" s="1588"/>
      <c r="FM149" s="1588"/>
      <c r="FN149" s="1588"/>
      <c r="FO149" s="1588"/>
      <c r="FP149" s="1588"/>
      <c r="FQ149" s="1588"/>
      <c r="FR149" s="1588"/>
      <c r="FS149" s="1588"/>
      <c r="FT149" s="1588"/>
      <c r="FU149" s="1588"/>
      <c r="FV149" s="1588"/>
      <c r="FW149" s="1588"/>
      <c r="FX149" s="1588"/>
      <c r="FY149" s="1588"/>
      <c r="FZ149" s="1588"/>
      <c r="GA149" s="1588"/>
      <c r="GB149" s="1588"/>
      <c r="GC149" s="1588"/>
      <c r="GD149" s="1588"/>
      <c r="GE149" s="1588"/>
      <c r="GF149" s="1588"/>
      <c r="GG149" s="1588"/>
      <c r="GH149" s="1588"/>
      <c r="GI149" s="1588"/>
      <c r="GJ149" s="1588"/>
      <c r="GK149" s="1588"/>
      <c r="GL149" s="1588"/>
      <c r="GM149" s="1588"/>
      <c r="GN149" s="1588"/>
      <c r="GO149" s="1588"/>
      <c r="GP149" s="1588"/>
      <c r="GQ149" s="1588"/>
      <c r="GR149" s="1588"/>
      <c r="GS149" s="1588"/>
      <c r="GT149" s="1588"/>
      <c r="GU149" s="1588"/>
      <c r="GV149" s="1588"/>
      <c r="GW149" s="1588"/>
      <c r="GX149" s="1588"/>
      <c r="GY149" s="1588"/>
      <c r="GZ149" s="1588"/>
      <c r="HA149" s="1588"/>
      <c r="HB149" s="1588"/>
      <c r="HC149" s="1588"/>
      <c r="HD149" s="1588"/>
      <c r="HE149" s="1588"/>
      <c r="HF149" s="1588"/>
      <c r="HG149" s="1588"/>
      <c r="HH149" s="1588"/>
      <c r="HI149" s="1588"/>
      <c r="HJ149" s="1588"/>
      <c r="HK149" s="1588"/>
      <c r="HL149" s="1588"/>
      <c r="HM149" s="1588"/>
      <c r="HN149" s="1588"/>
      <c r="HO149" s="1588"/>
      <c r="HP149" s="1588"/>
      <c r="HQ149" s="1588"/>
      <c r="HR149" s="1588"/>
      <c r="HS149" s="1588"/>
      <c r="HT149" s="1588"/>
      <c r="HU149" s="1588"/>
      <c r="HV149" s="1588"/>
      <c r="HW149" s="1588"/>
      <c r="HX149" s="1588"/>
      <c r="HY149" s="1588"/>
      <c r="HZ149" s="1588"/>
      <c r="IA149" s="1588"/>
      <c r="IB149" s="1588"/>
      <c r="IC149" s="1588"/>
      <c r="ID149" s="1588"/>
      <c r="IE149" s="1588"/>
      <c r="IF149" s="1588"/>
      <c r="IG149" s="1588"/>
      <c r="IH149" s="1588"/>
      <c r="II149" s="1588"/>
      <c r="IJ149" s="1588"/>
      <c r="IK149" s="1588"/>
      <c r="IL149" s="1588"/>
      <c r="IM149" s="1588"/>
      <c r="IN149" s="1588"/>
      <c r="IO149" s="1588"/>
      <c r="IP149" s="1588"/>
      <c r="IQ149" s="1588"/>
      <c r="IR149" s="1588"/>
      <c r="IS149" s="1588"/>
      <c r="IT149" s="1588"/>
      <c r="IU149" s="1588"/>
      <c r="IV149" s="1588"/>
    </row>
    <row r="150" spans="1:256" s="1248" customFormat="1" ht="13.5" customHeight="1">
      <c r="A150" s="1614">
        <v>35</v>
      </c>
      <c r="B150" s="1615">
        <v>946</v>
      </c>
      <c r="C150" s="1615">
        <v>469981111</v>
      </c>
      <c r="D150" s="1615" t="s">
        <v>5901</v>
      </c>
      <c r="E150" s="1615" t="s">
        <v>175</v>
      </c>
      <c r="F150" s="573">
        <f>ROUND(SUM(F151:F153),3)</f>
        <v>3.0720000000000001</v>
      </c>
      <c r="G150" s="288"/>
      <c r="H150" s="568">
        <f>ROUND(F150*G150,2)</f>
        <v>0</v>
      </c>
      <c r="I150" s="613" t="s">
        <v>137</v>
      </c>
      <c r="J150" s="1612"/>
      <c r="BC150" s="1616"/>
      <c r="BD150" s="1616"/>
      <c r="BE150" s="1616"/>
      <c r="BF150" s="1616"/>
      <c r="BG150" s="1616"/>
      <c r="BH150" s="1616"/>
      <c r="BI150" s="1616"/>
      <c r="BJ150" s="1616"/>
      <c r="BK150" s="1616"/>
      <c r="BL150" s="1616"/>
      <c r="BM150" s="1616"/>
      <c r="BN150" s="1616"/>
      <c r="BO150" s="1616"/>
      <c r="BP150" s="1616"/>
      <c r="BQ150" s="1616"/>
      <c r="BR150" s="1616"/>
      <c r="BS150" s="1616"/>
      <c r="BT150" s="1616"/>
      <c r="BU150" s="1616"/>
      <c r="BV150" s="1616"/>
      <c r="BW150" s="1616"/>
      <c r="BX150" s="1616"/>
      <c r="BY150" s="1616"/>
      <c r="BZ150" s="1616"/>
      <c r="CA150" s="1616"/>
      <c r="CB150" s="1616"/>
      <c r="CC150" s="1616"/>
      <c r="CD150" s="1616"/>
      <c r="CE150" s="1616"/>
      <c r="CF150" s="1616"/>
      <c r="CG150" s="1616"/>
      <c r="CH150" s="1616"/>
      <c r="CI150" s="1616"/>
      <c r="CJ150" s="1616"/>
      <c r="CK150" s="1616"/>
      <c r="CL150" s="1616"/>
      <c r="CM150" s="1616"/>
      <c r="CN150" s="1616"/>
      <c r="CO150" s="1616"/>
      <c r="CP150" s="1616"/>
      <c r="CQ150" s="1616"/>
      <c r="CR150" s="1616"/>
      <c r="CS150" s="1616"/>
      <c r="CT150" s="1616"/>
      <c r="CU150" s="1616"/>
      <c r="CV150" s="1616"/>
      <c r="CW150" s="1616"/>
      <c r="CX150" s="1616"/>
      <c r="CY150" s="1616"/>
      <c r="CZ150" s="1616"/>
      <c r="DA150" s="1616"/>
      <c r="DB150" s="1616"/>
      <c r="DC150" s="1616"/>
      <c r="DD150" s="1616"/>
      <c r="DE150" s="1616"/>
      <c r="DF150" s="1616"/>
      <c r="DG150" s="1616"/>
      <c r="DH150" s="1616"/>
      <c r="DI150" s="1616"/>
      <c r="DJ150" s="1616"/>
      <c r="DK150" s="1616"/>
      <c r="DL150" s="1616"/>
      <c r="DM150" s="1616"/>
      <c r="DN150" s="1616"/>
      <c r="DO150" s="1616"/>
      <c r="DP150" s="1616"/>
      <c r="DQ150" s="1616"/>
      <c r="DR150" s="1616"/>
      <c r="DS150" s="1616"/>
      <c r="DT150" s="1616"/>
      <c r="DU150" s="1616"/>
      <c r="DV150" s="1616"/>
      <c r="DW150" s="1616"/>
      <c r="DX150" s="1616"/>
      <c r="DY150" s="1616"/>
      <c r="DZ150" s="1616"/>
      <c r="EA150" s="1616"/>
      <c r="EB150" s="1616"/>
      <c r="EC150" s="1616"/>
      <c r="ED150" s="1616"/>
      <c r="EE150" s="1616"/>
      <c r="EF150" s="1616"/>
      <c r="EG150" s="1616"/>
      <c r="EH150" s="1616"/>
      <c r="EI150" s="1616"/>
      <c r="EJ150" s="1616"/>
      <c r="EK150" s="1616"/>
      <c r="EL150" s="1616"/>
      <c r="EM150" s="1616"/>
      <c r="EN150" s="1616"/>
      <c r="EO150" s="1616"/>
      <c r="EP150" s="1616"/>
      <c r="EQ150" s="1616"/>
      <c r="ER150" s="1616"/>
      <c r="ES150" s="1616"/>
      <c r="ET150" s="1616"/>
      <c r="EU150" s="1616"/>
      <c r="EV150" s="1616"/>
      <c r="EW150" s="1616"/>
      <c r="EX150" s="1616"/>
      <c r="EY150" s="1616"/>
      <c r="EZ150" s="1616"/>
      <c r="FA150" s="1616"/>
      <c r="FB150" s="1616"/>
      <c r="FC150" s="1616"/>
      <c r="FD150" s="1616"/>
      <c r="FE150" s="1616"/>
      <c r="FF150" s="1616"/>
      <c r="FG150" s="1616"/>
      <c r="FH150" s="1616"/>
      <c r="FI150" s="1616"/>
      <c r="FJ150" s="1616"/>
      <c r="FK150" s="1616"/>
      <c r="FL150" s="1616"/>
      <c r="FM150" s="1616"/>
      <c r="FN150" s="1616"/>
      <c r="FO150" s="1616"/>
      <c r="FP150" s="1616"/>
      <c r="FQ150" s="1616"/>
      <c r="FR150" s="1616"/>
      <c r="FS150" s="1616"/>
      <c r="FT150" s="1616"/>
      <c r="FU150" s="1616"/>
      <c r="FV150" s="1616"/>
      <c r="FW150" s="1616"/>
      <c r="FX150" s="1616"/>
      <c r="FY150" s="1616"/>
      <c r="FZ150" s="1616"/>
      <c r="GA150" s="1616"/>
      <c r="GB150" s="1616"/>
      <c r="GC150" s="1616"/>
      <c r="GD150" s="1616"/>
      <c r="GE150" s="1616"/>
      <c r="GF150" s="1616"/>
      <c r="GG150" s="1616"/>
      <c r="GH150" s="1616"/>
      <c r="GI150" s="1616"/>
      <c r="GJ150" s="1616"/>
      <c r="GK150" s="1616"/>
      <c r="GL150" s="1616"/>
      <c r="GM150" s="1616"/>
      <c r="GN150" s="1616"/>
      <c r="GO150" s="1616"/>
      <c r="GP150" s="1616"/>
      <c r="GQ150" s="1616"/>
      <c r="GR150" s="1616"/>
      <c r="GS150" s="1616"/>
      <c r="GT150" s="1616"/>
      <c r="GU150" s="1616"/>
      <c r="GV150" s="1616"/>
      <c r="GW150" s="1616"/>
      <c r="GX150" s="1616"/>
      <c r="GY150" s="1616"/>
      <c r="GZ150" s="1616"/>
      <c r="HA150" s="1616"/>
      <c r="HB150" s="1616"/>
      <c r="HC150" s="1616"/>
      <c r="HD150" s="1616"/>
      <c r="HE150" s="1616"/>
      <c r="HF150" s="1616"/>
      <c r="HG150" s="1616"/>
      <c r="HH150" s="1616"/>
      <c r="HI150" s="1616"/>
      <c r="HJ150" s="1616"/>
      <c r="HK150" s="1616"/>
      <c r="HL150" s="1616"/>
      <c r="HM150" s="1616"/>
      <c r="HN150" s="1616"/>
      <c r="HO150" s="1616"/>
      <c r="HP150" s="1616"/>
      <c r="HQ150" s="1616"/>
      <c r="HR150" s="1616"/>
      <c r="HS150" s="1616"/>
      <c r="HT150" s="1616"/>
      <c r="HU150" s="1616"/>
      <c r="HV150" s="1616"/>
      <c r="HW150" s="1616"/>
      <c r="HX150" s="1616"/>
      <c r="HY150" s="1616"/>
      <c r="HZ150" s="1616"/>
      <c r="IA150" s="1616"/>
      <c r="IB150" s="1616"/>
      <c r="IC150" s="1616"/>
      <c r="ID150" s="1616"/>
      <c r="IE150" s="1616"/>
      <c r="IF150" s="1616"/>
      <c r="IG150" s="1616"/>
      <c r="IH150" s="1616"/>
      <c r="II150" s="1616"/>
      <c r="IJ150" s="1616"/>
      <c r="IK150" s="1616"/>
      <c r="IL150" s="1616"/>
      <c r="IM150" s="1616"/>
      <c r="IN150" s="1616"/>
      <c r="IO150" s="1616"/>
      <c r="IP150" s="1616"/>
      <c r="IQ150" s="1616"/>
      <c r="IR150" s="1616"/>
      <c r="IS150" s="1616"/>
      <c r="IT150" s="1616"/>
      <c r="IU150" s="1616"/>
    </row>
    <row r="151" spans="1:256" s="604" customFormat="1" ht="13.5" customHeight="1">
      <c r="A151" s="595"/>
      <c r="B151" s="596"/>
      <c r="C151" s="597"/>
      <c r="D151" s="719" t="s">
        <v>5984</v>
      </c>
      <c r="E151" s="599"/>
      <c r="F151" s="600">
        <f>0.008</f>
        <v>8.0000000000000002E-3</v>
      </c>
      <c r="G151" s="289"/>
      <c r="H151" s="601"/>
      <c r="I151" s="602"/>
      <c r="J151" s="606"/>
      <c r="U151" s="605"/>
      <c r="W151" s="605"/>
    </row>
    <row r="152" spans="1:256" s="604" customFormat="1" ht="13.5" customHeight="1">
      <c r="A152" s="595"/>
      <c r="B152" s="596"/>
      <c r="C152" s="597"/>
      <c r="D152" s="719" t="s">
        <v>5903</v>
      </c>
      <c r="E152" s="599"/>
      <c r="F152" s="600">
        <f>0.001</f>
        <v>1E-3</v>
      </c>
      <c r="G152" s="289"/>
      <c r="H152" s="601"/>
      <c r="I152" s="602"/>
      <c r="J152" s="606"/>
      <c r="U152" s="605"/>
      <c r="W152" s="605"/>
    </row>
    <row r="153" spans="1:256" s="604" customFormat="1" ht="13.5" customHeight="1">
      <c r="A153" s="595"/>
      <c r="B153" s="596"/>
      <c r="C153" s="597"/>
      <c r="D153" s="719" t="s">
        <v>5985</v>
      </c>
      <c r="E153" s="599"/>
      <c r="F153" s="600">
        <f>3.063</f>
        <v>3.0630000000000002</v>
      </c>
      <c r="G153" s="289"/>
      <c r="H153" s="601"/>
      <c r="I153" s="602"/>
      <c r="J153" s="606"/>
      <c r="U153" s="605"/>
      <c r="W153" s="605"/>
    </row>
    <row r="154" spans="1:256" s="612" customFormat="1" ht="13.5" customHeight="1">
      <c r="A154" s="608">
        <v>36</v>
      </c>
      <c r="B154" s="557" t="s">
        <v>362</v>
      </c>
      <c r="C154" s="557" t="s">
        <v>1802</v>
      </c>
      <c r="D154" s="557" t="s">
        <v>1803</v>
      </c>
      <c r="E154" s="557" t="s">
        <v>69</v>
      </c>
      <c r="F154" s="573">
        <f>ROUND(SUM(F155),3)</f>
        <v>2</v>
      </c>
      <c r="G154" s="288"/>
      <c r="H154" s="568">
        <f>ROUND(F154*G154,2)</f>
        <v>0</v>
      </c>
      <c r="I154" s="613" t="s">
        <v>137</v>
      </c>
      <c r="J154" s="408"/>
    </row>
    <row r="155" spans="1:256" s="604" customFormat="1" ht="27" customHeight="1">
      <c r="A155" s="595"/>
      <c r="B155" s="596"/>
      <c r="C155" s="597"/>
      <c r="D155" s="719" t="s">
        <v>5778</v>
      </c>
      <c r="E155" s="599"/>
      <c r="F155" s="600">
        <v>2</v>
      </c>
      <c r="G155" s="289"/>
      <c r="H155" s="601"/>
      <c r="I155" s="602"/>
      <c r="J155" s="606"/>
      <c r="U155" s="605"/>
      <c r="W155" s="605"/>
    </row>
    <row r="156" spans="1:256" ht="21" customHeight="1">
      <c r="A156" s="1659"/>
      <c r="B156" s="1660"/>
      <c r="C156" s="1660"/>
      <c r="D156" s="1660" t="s">
        <v>0</v>
      </c>
      <c r="E156" s="1660"/>
      <c r="F156" s="1661"/>
      <c r="G156" s="1662"/>
      <c r="H156" s="1662">
        <f>H9</f>
        <v>0</v>
      </c>
      <c r="I156" s="1248"/>
    </row>
    <row r="157" spans="1:256">
      <c r="A157" s="1663"/>
      <c r="B157" s="1663"/>
      <c r="C157" s="1664"/>
      <c r="D157" s="1664"/>
      <c r="E157" s="1665"/>
      <c r="F157" s="1666"/>
      <c r="G157" s="1667"/>
      <c r="H157" s="1667"/>
      <c r="I157" s="1668"/>
    </row>
    <row r="158" spans="1:256" ht="13.5" customHeight="1">
      <c r="A158" s="5243" t="s">
        <v>862</v>
      </c>
      <c r="B158" s="5244"/>
      <c r="C158" s="5245"/>
      <c r="D158" s="1669" t="s">
        <v>5738</v>
      </c>
      <c r="E158" s="1670"/>
      <c r="F158" s="1671"/>
      <c r="G158" s="1672"/>
      <c r="H158" s="1673">
        <f>H156</f>
        <v>0</v>
      </c>
      <c r="I158" s="1674"/>
    </row>
    <row r="159" spans="1:256" ht="13.5" customHeight="1">
      <c r="A159" s="1675"/>
      <c r="B159" s="1676"/>
      <c r="C159" s="1676"/>
      <c r="D159" s="1295"/>
      <c r="E159" s="1677"/>
      <c r="F159" s="1678"/>
      <c r="G159" s="1679"/>
      <c r="H159" s="1297"/>
      <c r="I159" s="1248"/>
    </row>
    <row r="160" spans="1:256" ht="13.5" customHeight="1">
      <c r="A160" s="689" t="s">
        <v>1</v>
      </c>
      <c r="B160" s="689"/>
      <c r="C160" s="689"/>
      <c r="D160" s="689"/>
      <c r="E160" s="689"/>
      <c r="F160" s="689"/>
      <c r="G160" s="689"/>
      <c r="H160" s="689"/>
      <c r="I160" s="689"/>
    </row>
    <row r="161" spans="1:9" ht="27" customHeight="1">
      <c r="A161" s="5159" t="s">
        <v>864</v>
      </c>
      <c r="B161" s="5159"/>
      <c r="C161" s="5159"/>
      <c r="D161" s="5159"/>
      <c r="E161" s="5159"/>
      <c r="F161" s="5159"/>
      <c r="G161" s="5159"/>
      <c r="H161" s="689"/>
      <c r="I161" s="1248"/>
    </row>
    <row r="162" spans="1:9" ht="93.75" customHeight="1">
      <c r="A162" s="5159" t="s">
        <v>104</v>
      </c>
      <c r="B162" s="5159"/>
      <c r="C162" s="5159"/>
      <c r="D162" s="5159"/>
      <c r="E162" s="5159"/>
      <c r="F162" s="5159"/>
      <c r="G162" s="5159"/>
      <c r="H162" s="689"/>
      <c r="I162" s="689"/>
    </row>
    <row r="163" spans="1:9" ht="13.5" customHeight="1">
      <c r="A163" s="5159" t="s">
        <v>105</v>
      </c>
      <c r="B163" s="5159"/>
      <c r="C163" s="5159"/>
      <c r="D163" s="5159"/>
      <c r="E163" s="5159"/>
      <c r="F163" s="5159"/>
      <c r="G163" s="5159"/>
      <c r="H163" s="691"/>
      <c r="I163" s="691"/>
    </row>
    <row r="164" spans="1:9" ht="13.5" customHeight="1">
      <c r="A164" s="5159" t="s">
        <v>106</v>
      </c>
      <c r="B164" s="5159"/>
      <c r="C164" s="5159"/>
      <c r="D164" s="5159"/>
      <c r="E164" s="5159"/>
      <c r="F164" s="5159"/>
      <c r="G164" s="5159"/>
      <c r="H164" s="691"/>
      <c r="I164" s="691"/>
    </row>
    <row r="165" spans="1:9" s="1680" customFormat="1" ht="13.5" customHeight="1">
      <c r="A165" s="5156" t="s">
        <v>5905</v>
      </c>
      <c r="B165" s="5156"/>
      <c r="C165" s="5156"/>
      <c r="D165" s="5156"/>
      <c r="E165" s="5156"/>
      <c r="F165" s="5156"/>
      <c r="G165" s="5156"/>
      <c r="I165" s="1681"/>
    </row>
    <row r="166" spans="1:9" ht="40.5" customHeight="1">
      <c r="A166" s="5156" t="s">
        <v>865</v>
      </c>
      <c r="B166" s="5156"/>
      <c r="C166" s="5156"/>
      <c r="D166" s="5156"/>
      <c r="E166" s="5156"/>
      <c r="F166" s="5156"/>
      <c r="G166" s="5156"/>
      <c r="I166" s="1248"/>
    </row>
    <row r="167" spans="1:9" s="695" customFormat="1" ht="94.5" customHeight="1">
      <c r="A167" s="5156" t="s">
        <v>1013</v>
      </c>
      <c r="B167" s="5156"/>
      <c r="C167" s="5156"/>
      <c r="D167" s="5156"/>
      <c r="E167" s="5156"/>
      <c r="F167" s="5156"/>
      <c r="G167" s="5156"/>
      <c r="H167" s="693"/>
      <c r="I167" s="694"/>
    </row>
  </sheetData>
  <sheetProtection algorithmName="SHA-512" hashValue="Asu+aBC1vQk/rVD4Vz0dYDEhNZVAyY+o8NxOP6k7WCIqp+G0zbcXRQNK/H0iDnsYXRCJWLayMaoCla5flstz5Q==" saltValue="wuuY2p++Adg7QmRVk8R4Bg==" spinCount="100000" sheet="1" objects="1" scenarios="1"/>
  <mergeCells count="12">
    <mergeCell ref="A167:G167"/>
    <mergeCell ref="A2:I2"/>
    <mergeCell ref="A3:D3"/>
    <mergeCell ref="A4:D4"/>
    <mergeCell ref="E4:H4"/>
    <mergeCell ref="A158:C158"/>
    <mergeCell ref="A161:G161"/>
    <mergeCell ref="A162:G162"/>
    <mergeCell ref="A163:G163"/>
    <mergeCell ref="A164:G164"/>
    <mergeCell ref="A165:G165"/>
    <mergeCell ref="A166:G16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5485-36AF-4759-AF42-DB1593CF91E7}">
  <sheetPr>
    <tabColor rgb="FFFF00FF"/>
    <pageSetUpPr fitToPage="1"/>
  </sheetPr>
  <dimension ref="A1:I11"/>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866</v>
      </c>
      <c r="B1" s="28"/>
      <c r="C1" s="28"/>
    </row>
    <row r="2" spans="1:9" s="884" customFormat="1" ht="13.5" customHeight="1">
      <c r="A2" s="58" t="s">
        <v>1639</v>
      </c>
      <c r="B2" s="58"/>
      <c r="C2" s="58"/>
      <c r="D2" s="58"/>
      <c r="E2" s="882"/>
      <c r="F2" s="882"/>
      <c r="G2" s="882"/>
      <c r="H2" s="882"/>
      <c r="I2" s="883"/>
    </row>
    <row r="3" spans="1:9" s="889" customFormat="1" ht="13.5" customHeight="1">
      <c r="A3" s="885" t="s">
        <v>6132</v>
      </c>
      <c r="B3" s="886"/>
      <c r="C3" s="886"/>
      <c r="D3" s="886"/>
      <c r="E3" s="886"/>
      <c r="F3" s="887"/>
      <c r="G3" s="887"/>
      <c r="H3" s="888"/>
      <c r="I3" s="888"/>
    </row>
    <row r="4" spans="1:9" s="889" customFormat="1" ht="13.5" customHeight="1">
      <c r="A4" s="885"/>
      <c r="B4" s="886"/>
      <c r="C4" s="886"/>
      <c r="D4" s="886"/>
      <c r="E4" s="886"/>
      <c r="F4" s="887"/>
      <c r="G4" s="887"/>
      <c r="H4" s="888"/>
      <c r="I4" s="888"/>
    </row>
    <row r="5" spans="1:9" ht="23.25" customHeight="1">
      <c r="A5" s="30" t="s">
        <v>868</v>
      </c>
      <c r="B5" s="31" t="s">
        <v>121</v>
      </c>
      <c r="C5" s="32" t="s">
        <v>5344</v>
      </c>
    </row>
    <row r="6" spans="1:9" ht="12.6" customHeight="1">
      <c r="A6" s="276">
        <v>1</v>
      </c>
      <c r="B6" s="277">
        <v>2</v>
      </c>
      <c r="C6" s="278">
        <v>3</v>
      </c>
    </row>
    <row r="7" spans="1:9" ht="21" customHeight="1">
      <c r="A7" s="36"/>
      <c r="B7" s="37"/>
      <c r="C7" s="37"/>
    </row>
    <row r="8" spans="1:9" ht="13.5" customHeight="1">
      <c r="A8" s="279">
        <v>1</v>
      </c>
      <c r="B8" s="280" t="s">
        <v>6268</v>
      </c>
      <c r="C8" s="365">
        <f>'D.1.4.10.1. SADOVÉ ÚPRAVY'!H116</f>
        <v>0</v>
      </c>
    </row>
    <row r="9" spans="1:9" ht="13.5" customHeight="1">
      <c r="A9" s="279">
        <v>2</v>
      </c>
      <c r="B9" s="280" t="s">
        <v>6269</v>
      </c>
      <c r="C9" s="365">
        <f>'D.1.4.10. OPLOCENÍ'!H89</f>
        <v>0</v>
      </c>
    </row>
    <row r="10" spans="1:9" ht="21" customHeight="1">
      <c r="A10" s="282"/>
      <c r="B10" s="283" t="s">
        <v>6267</v>
      </c>
      <c r="C10" s="366">
        <f>SUM(C8:C9)</f>
        <v>0</v>
      </c>
    </row>
    <row r="11" spans="1:9" ht="13.5" customHeight="1">
      <c r="A11" s="367"/>
      <c r="C11" s="368"/>
    </row>
  </sheetData>
  <sheetProtection algorithmName="SHA-512" hashValue="nKNb+w4a/caOfttwGq7EHgsUWmvkNZydfBpeiOW7oU0DeDfZfD06XFLFfVN+NmBwwklspQl2oA64tgEPwVi/og==" saltValue="7SS3LPDw1dl8BpENrNoLlQ=="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DBF8-E8DC-41EA-B797-0E2702938F4F}">
  <sheetPr>
    <tabColor rgb="FFFF00FF"/>
    <pageSetUpPr fitToPage="1"/>
  </sheetPr>
  <dimension ref="A1:IV124"/>
  <sheetViews>
    <sheetView zoomScaleNormal="100" workbookViewId="0"/>
  </sheetViews>
  <sheetFormatPr defaultColWidth="10.5" defaultRowHeight="12" customHeight="1"/>
  <cols>
    <col min="1" max="1" width="4.83203125" style="438" customWidth="1"/>
    <col min="2" max="2" width="5" style="439" customWidth="1"/>
    <col min="3" max="3" width="15.83203125" style="439" customWidth="1"/>
    <col min="4" max="4" width="75.83203125" style="439" customWidth="1"/>
    <col min="5" max="5" width="7.83203125" style="439" customWidth="1"/>
    <col min="6" max="6" width="12.33203125" style="440" customWidth="1"/>
    <col min="7" max="7" width="12.33203125" style="441" customWidth="1"/>
    <col min="8" max="8" width="18.33203125" style="441" customWidth="1"/>
    <col min="9" max="10" width="20.5" style="424" customWidth="1"/>
    <col min="11" max="11" width="13.6640625" style="424" customWidth="1"/>
    <col min="12" max="12" width="10.5" style="424"/>
    <col min="13" max="14" width="14.83203125" style="424" customWidth="1"/>
    <col min="15" max="15" width="16.6640625" style="424" customWidth="1"/>
    <col min="16" max="16" width="20.1640625" style="424" customWidth="1"/>
    <col min="17" max="17" width="17.5" style="424" customWidth="1"/>
    <col min="18" max="18" width="14.33203125" style="424" customWidth="1"/>
    <col min="19" max="19" width="16.1640625" style="424" customWidth="1"/>
    <col min="20" max="256" width="10.5" style="424"/>
    <col min="257" max="257" width="4.83203125" style="424" customWidth="1"/>
    <col min="258" max="258" width="5" style="424" customWidth="1"/>
    <col min="259" max="259" width="15.83203125" style="424" customWidth="1"/>
    <col min="260" max="260" width="75.83203125" style="424" customWidth="1"/>
    <col min="261" max="261" width="7.83203125" style="424" customWidth="1"/>
    <col min="262" max="262" width="9.83203125" style="424" customWidth="1"/>
    <col min="263" max="263" width="11.6640625" style="424" customWidth="1"/>
    <col min="264" max="264" width="18.33203125" style="424" customWidth="1"/>
    <col min="265" max="265" width="20.5" style="424" customWidth="1"/>
    <col min="266" max="266" width="14.5" style="424" customWidth="1"/>
    <col min="267" max="268" width="10.5" style="424"/>
    <col min="269" max="270" width="14.83203125" style="424" customWidth="1"/>
    <col min="271" max="271" width="12.6640625" style="424" customWidth="1"/>
    <col min="272" max="272" width="20.1640625" style="424" customWidth="1"/>
    <col min="273" max="273" width="17.5" style="424" customWidth="1"/>
    <col min="274" max="274" width="14.33203125" style="424" customWidth="1"/>
    <col min="275" max="275" width="16.1640625" style="424" customWidth="1"/>
    <col min="276" max="512" width="10.5" style="424"/>
    <col min="513" max="513" width="4.83203125" style="424" customWidth="1"/>
    <col min="514" max="514" width="5" style="424" customWidth="1"/>
    <col min="515" max="515" width="15.83203125" style="424" customWidth="1"/>
    <col min="516" max="516" width="75.83203125" style="424" customWidth="1"/>
    <col min="517" max="517" width="7.83203125" style="424" customWidth="1"/>
    <col min="518" max="518" width="9.83203125" style="424" customWidth="1"/>
    <col min="519" max="519" width="11.6640625" style="424" customWidth="1"/>
    <col min="520" max="520" width="18.33203125" style="424" customWidth="1"/>
    <col min="521" max="521" width="20.5" style="424" customWidth="1"/>
    <col min="522" max="522" width="14.5" style="424" customWidth="1"/>
    <col min="523" max="524" width="10.5" style="424"/>
    <col min="525" max="526" width="14.83203125" style="424" customWidth="1"/>
    <col min="527" max="527" width="12.6640625" style="424" customWidth="1"/>
    <col min="528" max="528" width="20.1640625" style="424" customWidth="1"/>
    <col min="529" max="529" width="17.5" style="424" customWidth="1"/>
    <col min="530" max="530" width="14.33203125" style="424" customWidth="1"/>
    <col min="531" max="531" width="16.1640625" style="424" customWidth="1"/>
    <col min="532" max="768" width="10.5" style="424"/>
    <col min="769" max="769" width="4.83203125" style="424" customWidth="1"/>
    <col min="770" max="770" width="5" style="424" customWidth="1"/>
    <col min="771" max="771" width="15.83203125" style="424" customWidth="1"/>
    <col min="772" max="772" width="75.83203125" style="424" customWidth="1"/>
    <col min="773" max="773" width="7.83203125" style="424" customWidth="1"/>
    <col min="774" max="774" width="9.83203125" style="424" customWidth="1"/>
    <col min="775" max="775" width="11.6640625" style="424" customWidth="1"/>
    <col min="776" max="776" width="18.33203125" style="424" customWidth="1"/>
    <col min="777" max="777" width="20.5" style="424" customWidth="1"/>
    <col min="778" max="778" width="14.5" style="424" customWidth="1"/>
    <col min="779" max="780" width="10.5" style="424"/>
    <col min="781" max="782" width="14.83203125" style="424" customWidth="1"/>
    <col min="783" max="783" width="12.6640625" style="424" customWidth="1"/>
    <col min="784" max="784" width="20.1640625" style="424" customWidth="1"/>
    <col min="785" max="785" width="17.5" style="424" customWidth="1"/>
    <col min="786" max="786" width="14.33203125" style="424" customWidth="1"/>
    <col min="787" max="787" width="16.1640625" style="424" customWidth="1"/>
    <col min="788" max="1024" width="10.5" style="424"/>
    <col min="1025" max="1025" width="4.83203125" style="424" customWidth="1"/>
    <col min="1026" max="1026" width="5" style="424" customWidth="1"/>
    <col min="1027" max="1027" width="15.83203125" style="424" customWidth="1"/>
    <col min="1028" max="1028" width="75.83203125" style="424" customWidth="1"/>
    <col min="1029" max="1029" width="7.83203125" style="424" customWidth="1"/>
    <col min="1030" max="1030" width="9.83203125" style="424" customWidth="1"/>
    <col min="1031" max="1031" width="11.6640625" style="424" customWidth="1"/>
    <col min="1032" max="1032" width="18.33203125" style="424" customWidth="1"/>
    <col min="1033" max="1033" width="20.5" style="424" customWidth="1"/>
    <col min="1034" max="1034" width="14.5" style="424" customWidth="1"/>
    <col min="1035" max="1036" width="10.5" style="424"/>
    <col min="1037" max="1038" width="14.83203125" style="424" customWidth="1"/>
    <col min="1039" max="1039" width="12.6640625" style="424" customWidth="1"/>
    <col min="1040" max="1040" width="20.1640625" style="424" customWidth="1"/>
    <col min="1041" max="1041" width="17.5" style="424" customWidth="1"/>
    <col min="1042" max="1042" width="14.33203125" style="424" customWidth="1"/>
    <col min="1043" max="1043" width="16.1640625" style="424" customWidth="1"/>
    <col min="1044" max="1280" width="10.5" style="424"/>
    <col min="1281" max="1281" width="4.83203125" style="424" customWidth="1"/>
    <col min="1282" max="1282" width="5" style="424" customWidth="1"/>
    <col min="1283" max="1283" width="15.83203125" style="424" customWidth="1"/>
    <col min="1284" max="1284" width="75.83203125" style="424" customWidth="1"/>
    <col min="1285" max="1285" width="7.83203125" style="424" customWidth="1"/>
    <col min="1286" max="1286" width="9.83203125" style="424" customWidth="1"/>
    <col min="1287" max="1287" width="11.6640625" style="424" customWidth="1"/>
    <col min="1288" max="1288" width="18.33203125" style="424" customWidth="1"/>
    <col min="1289" max="1289" width="20.5" style="424" customWidth="1"/>
    <col min="1290" max="1290" width="14.5" style="424" customWidth="1"/>
    <col min="1291" max="1292" width="10.5" style="424"/>
    <col min="1293" max="1294" width="14.83203125" style="424" customWidth="1"/>
    <col min="1295" max="1295" width="12.6640625" style="424" customWidth="1"/>
    <col min="1296" max="1296" width="20.1640625" style="424" customWidth="1"/>
    <col min="1297" max="1297" width="17.5" style="424" customWidth="1"/>
    <col min="1298" max="1298" width="14.33203125" style="424" customWidth="1"/>
    <col min="1299" max="1299" width="16.1640625" style="424" customWidth="1"/>
    <col min="1300" max="1536" width="10.5" style="424"/>
    <col min="1537" max="1537" width="4.83203125" style="424" customWidth="1"/>
    <col min="1538" max="1538" width="5" style="424" customWidth="1"/>
    <col min="1539" max="1539" width="15.83203125" style="424" customWidth="1"/>
    <col min="1540" max="1540" width="75.83203125" style="424" customWidth="1"/>
    <col min="1541" max="1541" width="7.83203125" style="424" customWidth="1"/>
    <col min="1542" max="1542" width="9.83203125" style="424" customWidth="1"/>
    <col min="1543" max="1543" width="11.6640625" style="424" customWidth="1"/>
    <col min="1544" max="1544" width="18.33203125" style="424" customWidth="1"/>
    <col min="1545" max="1545" width="20.5" style="424" customWidth="1"/>
    <col min="1546" max="1546" width="14.5" style="424" customWidth="1"/>
    <col min="1547" max="1548" width="10.5" style="424"/>
    <col min="1549" max="1550" width="14.83203125" style="424" customWidth="1"/>
    <col min="1551" max="1551" width="12.6640625" style="424" customWidth="1"/>
    <col min="1552" max="1552" width="20.1640625" style="424" customWidth="1"/>
    <col min="1553" max="1553" width="17.5" style="424" customWidth="1"/>
    <col min="1554" max="1554" width="14.33203125" style="424" customWidth="1"/>
    <col min="1555" max="1555" width="16.1640625" style="424" customWidth="1"/>
    <col min="1556" max="1792" width="10.5" style="424"/>
    <col min="1793" max="1793" width="4.83203125" style="424" customWidth="1"/>
    <col min="1794" max="1794" width="5" style="424" customWidth="1"/>
    <col min="1795" max="1795" width="15.83203125" style="424" customWidth="1"/>
    <col min="1796" max="1796" width="75.83203125" style="424" customWidth="1"/>
    <col min="1797" max="1797" width="7.83203125" style="424" customWidth="1"/>
    <col min="1798" max="1798" width="9.83203125" style="424" customWidth="1"/>
    <col min="1799" max="1799" width="11.6640625" style="424" customWidth="1"/>
    <col min="1800" max="1800" width="18.33203125" style="424" customWidth="1"/>
    <col min="1801" max="1801" width="20.5" style="424" customWidth="1"/>
    <col min="1802" max="1802" width="14.5" style="424" customWidth="1"/>
    <col min="1803" max="1804" width="10.5" style="424"/>
    <col min="1805" max="1806" width="14.83203125" style="424" customWidth="1"/>
    <col min="1807" max="1807" width="12.6640625" style="424" customWidth="1"/>
    <col min="1808" max="1808" width="20.1640625" style="424" customWidth="1"/>
    <col min="1809" max="1809" width="17.5" style="424" customWidth="1"/>
    <col min="1810" max="1810" width="14.33203125" style="424" customWidth="1"/>
    <col min="1811" max="1811" width="16.1640625" style="424" customWidth="1"/>
    <col min="1812" max="2048" width="10.5" style="424"/>
    <col min="2049" max="2049" width="4.83203125" style="424" customWidth="1"/>
    <col min="2050" max="2050" width="5" style="424" customWidth="1"/>
    <col min="2051" max="2051" width="15.83203125" style="424" customWidth="1"/>
    <col min="2052" max="2052" width="75.83203125" style="424" customWidth="1"/>
    <col min="2053" max="2053" width="7.83203125" style="424" customWidth="1"/>
    <col min="2054" max="2054" width="9.83203125" style="424" customWidth="1"/>
    <col min="2055" max="2055" width="11.6640625" style="424" customWidth="1"/>
    <col min="2056" max="2056" width="18.33203125" style="424" customWidth="1"/>
    <col min="2057" max="2057" width="20.5" style="424" customWidth="1"/>
    <col min="2058" max="2058" width="14.5" style="424" customWidth="1"/>
    <col min="2059" max="2060" width="10.5" style="424"/>
    <col min="2061" max="2062" width="14.83203125" style="424" customWidth="1"/>
    <col min="2063" max="2063" width="12.6640625" style="424" customWidth="1"/>
    <col min="2064" max="2064" width="20.1640625" style="424" customWidth="1"/>
    <col min="2065" max="2065" width="17.5" style="424" customWidth="1"/>
    <col min="2066" max="2066" width="14.33203125" style="424" customWidth="1"/>
    <col min="2067" max="2067" width="16.1640625" style="424" customWidth="1"/>
    <col min="2068" max="2304" width="10.5" style="424"/>
    <col min="2305" max="2305" width="4.83203125" style="424" customWidth="1"/>
    <col min="2306" max="2306" width="5" style="424" customWidth="1"/>
    <col min="2307" max="2307" width="15.83203125" style="424" customWidth="1"/>
    <col min="2308" max="2308" width="75.83203125" style="424" customWidth="1"/>
    <col min="2309" max="2309" width="7.83203125" style="424" customWidth="1"/>
    <col min="2310" max="2310" width="9.83203125" style="424" customWidth="1"/>
    <col min="2311" max="2311" width="11.6640625" style="424" customWidth="1"/>
    <col min="2312" max="2312" width="18.33203125" style="424" customWidth="1"/>
    <col min="2313" max="2313" width="20.5" style="424" customWidth="1"/>
    <col min="2314" max="2314" width="14.5" style="424" customWidth="1"/>
    <col min="2315" max="2316" width="10.5" style="424"/>
    <col min="2317" max="2318" width="14.83203125" style="424" customWidth="1"/>
    <col min="2319" max="2319" width="12.6640625" style="424" customWidth="1"/>
    <col min="2320" max="2320" width="20.1640625" style="424" customWidth="1"/>
    <col min="2321" max="2321" width="17.5" style="424" customWidth="1"/>
    <col min="2322" max="2322" width="14.33203125" style="424" customWidth="1"/>
    <col min="2323" max="2323" width="16.1640625" style="424" customWidth="1"/>
    <col min="2324" max="2560" width="10.5" style="424"/>
    <col min="2561" max="2561" width="4.83203125" style="424" customWidth="1"/>
    <col min="2562" max="2562" width="5" style="424" customWidth="1"/>
    <col min="2563" max="2563" width="15.83203125" style="424" customWidth="1"/>
    <col min="2564" max="2564" width="75.83203125" style="424" customWidth="1"/>
    <col min="2565" max="2565" width="7.83203125" style="424" customWidth="1"/>
    <col min="2566" max="2566" width="9.83203125" style="424" customWidth="1"/>
    <col min="2567" max="2567" width="11.6640625" style="424" customWidth="1"/>
    <col min="2568" max="2568" width="18.33203125" style="424" customWidth="1"/>
    <col min="2569" max="2569" width="20.5" style="424" customWidth="1"/>
    <col min="2570" max="2570" width="14.5" style="424" customWidth="1"/>
    <col min="2571" max="2572" width="10.5" style="424"/>
    <col min="2573" max="2574" width="14.83203125" style="424" customWidth="1"/>
    <col min="2575" max="2575" width="12.6640625" style="424" customWidth="1"/>
    <col min="2576" max="2576" width="20.1640625" style="424" customWidth="1"/>
    <col min="2577" max="2577" width="17.5" style="424" customWidth="1"/>
    <col min="2578" max="2578" width="14.33203125" style="424" customWidth="1"/>
    <col min="2579" max="2579" width="16.1640625" style="424" customWidth="1"/>
    <col min="2580" max="2816" width="10.5" style="424"/>
    <col min="2817" max="2817" width="4.83203125" style="424" customWidth="1"/>
    <col min="2818" max="2818" width="5" style="424" customWidth="1"/>
    <col min="2819" max="2819" width="15.83203125" style="424" customWidth="1"/>
    <col min="2820" max="2820" width="75.83203125" style="424" customWidth="1"/>
    <col min="2821" max="2821" width="7.83203125" style="424" customWidth="1"/>
    <col min="2822" max="2822" width="9.83203125" style="424" customWidth="1"/>
    <col min="2823" max="2823" width="11.6640625" style="424" customWidth="1"/>
    <col min="2824" max="2824" width="18.33203125" style="424" customWidth="1"/>
    <col min="2825" max="2825" width="20.5" style="424" customWidth="1"/>
    <col min="2826" max="2826" width="14.5" style="424" customWidth="1"/>
    <col min="2827" max="2828" width="10.5" style="424"/>
    <col min="2829" max="2830" width="14.83203125" style="424" customWidth="1"/>
    <col min="2831" max="2831" width="12.6640625" style="424" customWidth="1"/>
    <col min="2832" max="2832" width="20.1640625" style="424" customWidth="1"/>
    <col min="2833" max="2833" width="17.5" style="424" customWidth="1"/>
    <col min="2834" max="2834" width="14.33203125" style="424" customWidth="1"/>
    <col min="2835" max="2835" width="16.1640625" style="424" customWidth="1"/>
    <col min="2836" max="3072" width="10.5" style="424"/>
    <col min="3073" max="3073" width="4.83203125" style="424" customWidth="1"/>
    <col min="3074" max="3074" width="5" style="424" customWidth="1"/>
    <col min="3075" max="3075" width="15.83203125" style="424" customWidth="1"/>
    <col min="3076" max="3076" width="75.83203125" style="424" customWidth="1"/>
    <col min="3077" max="3077" width="7.83203125" style="424" customWidth="1"/>
    <col min="3078" max="3078" width="9.83203125" style="424" customWidth="1"/>
    <col min="3079" max="3079" width="11.6640625" style="424" customWidth="1"/>
    <col min="3080" max="3080" width="18.33203125" style="424" customWidth="1"/>
    <col min="3081" max="3081" width="20.5" style="424" customWidth="1"/>
    <col min="3082" max="3082" width="14.5" style="424" customWidth="1"/>
    <col min="3083" max="3084" width="10.5" style="424"/>
    <col min="3085" max="3086" width="14.83203125" style="424" customWidth="1"/>
    <col min="3087" max="3087" width="12.6640625" style="424" customWidth="1"/>
    <col min="3088" max="3088" width="20.1640625" style="424" customWidth="1"/>
    <col min="3089" max="3089" width="17.5" style="424" customWidth="1"/>
    <col min="3090" max="3090" width="14.33203125" style="424" customWidth="1"/>
    <col min="3091" max="3091" width="16.1640625" style="424" customWidth="1"/>
    <col min="3092" max="3328" width="10.5" style="424"/>
    <col min="3329" max="3329" width="4.83203125" style="424" customWidth="1"/>
    <col min="3330" max="3330" width="5" style="424" customWidth="1"/>
    <col min="3331" max="3331" width="15.83203125" style="424" customWidth="1"/>
    <col min="3332" max="3332" width="75.83203125" style="424" customWidth="1"/>
    <col min="3333" max="3333" width="7.83203125" style="424" customWidth="1"/>
    <col min="3334" max="3334" width="9.83203125" style="424" customWidth="1"/>
    <col min="3335" max="3335" width="11.6640625" style="424" customWidth="1"/>
    <col min="3336" max="3336" width="18.33203125" style="424" customWidth="1"/>
    <col min="3337" max="3337" width="20.5" style="424" customWidth="1"/>
    <col min="3338" max="3338" width="14.5" style="424" customWidth="1"/>
    <col min="3339" max="3340" width="10.5" style="424"/>
    <col min="3341" max="3342" width="14.83203125" style="424" customWidth="1"/>
    <col min="3343" max="3343" width="12.6640625" style="424" customWidth="1"/>
    <col min="3344" max="3344" width="20.1640625" style="424" customWidth="1"/>
    <col min="3345" max="3345" width="17.5" style="424" customWidth="1"/>
    <col min="3346" max="3346" width="14.33203125" style="424" customWidth="1"/>
    <col min="3347" max="3347" width="16.1640625" style="424" customWidth="1"/>
    <col min="3348" max="3584" width="10.5" style="424"/>
    <col min="3585" max="3585" width="4.83203125" style="424" customWidth="1"/>
    <col min="3586" max="3586" width="5" style="424" customWidth="1"/>
    <col min="3587" max="3587" width="15.83203125" style="424" customWidth="1"/>
    <col min="3588" max="3588" width="75.83203125" style="424" customWidth="1"/>
    <col min="3589" max="3589" width="7.83203125" style="424" customWidth="1"/>
    <col min="3590" max="3590" width="9.83203125" style="424" customWidth="1"/>
    <col min="3591" max="3591" width="11.6640625" style="424" customWidth="1"/>
    <col min="3592" max="3592" width="18.33203125" style="424" customWidth="1"/>
    <col min="3593" max="3593" width="20.5" style="424" customWidth="1"/>
    <col min="3594" max="3594" width="14.5" style="424" customWidth="1"/>
    <col min="3595" max="3596" width="10.5" style="424"/>
    <col min="3597" max="3598" width="14.83203125" style="424" customWidth="1"/>
    <col min="3599" max="3599" width="12.6640625" style="424" customWidth="1"/>
    <col min="3600" max="3600" width="20.1640625" style="424" customWidth="1"/>
    <col min="3601" max="3601" width="17.5" style="424" customWidth="1"/>
    <col min="3602" max="3602" width="14.33203125" style="424" customWidth="1"/>
    <col min="3603" max="3603" width="16.1640625" style="424" customWidth="1"/>
    <col min="3604" max="3840" width="10.5" style="424"/>
    <col min="3841" max="3841" width="4.83203125" style="424" customWidth="1"/>
    <col min="3842" max="3842" width="5" style="424" customWidth="1"/>
    <col min="3843" max="3843" width="15.83203125" style="424" customWidth="1"/>
    <col min="3844" max="3844" width="75.83203125" style="424" customWidth="1"/>
    <col min="3845" max="3845" width="7.83203125" style="424" customWidth="1"/>
    <col min="3846" max="3846" width="9.83203125" style="424" customWidth="1"/>
    <col min="3847" max="3847" width="11.6640625" style="424" customWidth="1"/>
    <col min="3848" max="3848" width="18.33203125" style="424" customWidth="1"/>
    <col min="3849" max="3849" width="20.5" style="424" customWidth="1"/>
    <col min="3850" max="3850" width="14.5" style="424" customWidth="1"/>
    <col min="3851" max="3852" width="10.5" style="424"/>
    <col min="3853" max="3854" width="14.83203125" style="424" customWidth="1"/>
    <col min="3855" max="3855" width="12.6640625" style="424" customWidth="1"/>
    <col min="3856" max="3856" width="20.1640625" style="424" customWidth="1"/>
    <col min="3857" max="3857" width="17.5" style="424" customWidth="1"/>
    <col min="3858" max="3858" width="14.33203125" style="424" customWidth="1"/>
    <col min="3859" max="3859" width="16.1640625" style="424" customWidth="1"/>
    <col min="3860" max="4096" width="10.5" style="424"/>
    <col min="4097" max="4097" width="4.83203125" style="424" customWidth="1"/>
    <col min="4098" max="4098" width="5" style="424" customWidth="1"/>
    <col min="4099" max="4099" width="15.83203125" style="424" customWidth="1"/>
    <col min="4100" max="4100" width="75.83203125" style="424" customWidth="1"/>
    <col min="4101" max="4101" width="7.83203125" style="424" customWidth="1"/>
    <col min="4102" max="4102" width="9.83203125" style="424" customWidth="1"/>
    <col min="4103" max="4103" width="11.6640625" style="424" customWidth="1"/>
    <col min="4104" max="4104" width="18.33203125" style="424" customWidth="1"/>
    <col min="4105" max="4105" width="20.5" style="424" customWidth="1"/>
    <col min="4106" max="4106" width="14.5" style="424" customWidth="1"/>
    <col min="4107" max="4108" width="10.5" style="424"/>
    <col min="4109" max="4110" width="14.83203125" style="424" customWidth="1"/>
    <col min="4111" max="4111" width="12.6640625" style="424" customWidth="1"/>
    <col min="4112" max="4112" width="20.1640625" style="424" customWidth="1"/>
    <col min="4113" max="4113" width="17.5" style="424" customWidth="1"/>
    <col min="4114" max="4114" width="14.33203125" style="424" customWidth="1"/>
    <col min="4115" max="4115" width="16.1640625" style="424" customWidth="1"/>
    <col min="4116" max="4352" width="10.5" style="424"/>
    <col min="4353" max="4353" width="4.83203125" style="424" customWidth="1"/>
    <col min="4354" max="4354" width="5" style="424" customWidth="1"/>
    <col min="4355" max="4355" width="15.83203125" style="424" customWidth="1"/>
    <col min="4356" max="4356" width="75.83203125" style="424" customWidth="1"/>
    <col min="4357" max="4357" width="7.83203125" style="424" customWidth="1"/>
    <col min="4358" max="4358" width="9.83203125" style="424" customWidth="1"/>
    <col min="4359" max="4359" width="11.6640625" style="424" customWidth="1"/>
    <col min="4360" max="4360" width="18.33203125" style="424" customWidth="1"/>
    <col min="4361" max="4361" width="20.5" style="424" customWidth="1"/>
    <col min="4362" max="4362" width="14.5" style="424" customWidth="1"/>
    <col min="4363" max="4364" width="10.5" style="424"/>
    <col min="4365" max="4366" width="14.83203125" style="424" customWidth="1"/>
    <col min="4367" max="4367" width="12.6640625" style="424" customWidth="1"/>
    <col min="4368" max="4368" width="20.1640625" style="424" customWidth="1"/>
    <col min="4369" max="4369" width="17.5" style="424" customWidth="1"/>
    <col min="4370" max="4370" width="14.33203125" style="424" customWidth="1"/>
    <col min="4371" max="4371" width="16.1640625" style="424" customWidth="1"/>
    <col min="4372" max="4608" width="10.5" style="424"/>
    <col min="4609" max="4609" width="4.83203125" style="424" customWidth="1"/>
    <col min="4610" max="4610" width="5" style="424" customWidth="1"/>
    <col min="4611" max="4611" width="15.83203125" style="424" customWidth="1"/>
    <col min="4612" max="4612" width="75.83203125" style="424" customWidth="1"/>
    <col min="4613" max="4613" width="7.83203125" style="424" customWidth="1"/>
    <col min="4614" max="4614" width="9.83203125" style="424" customWidth="1"/>
    <col min="4615" max="4615" width="11.6640625" style="424" customWidth="1"/>
    <col min="4616" max="4616" width="18.33203125" style="424" customWidth="1"/>
    <col min="4617" max="4617" width="20.5" style="424" customWidth="1"/>
    <col min="4618" max="4618" width="14.5" style="424" customWidth="1"/>
    <col min="4619" max="4620" width="10.5" style="424"/>
    <col min="4621" max="4622" width="14.83203125" style="424" customWidth="1"/>
    <col min="4623" max="4623" width="12.6640625" style="424" customWidth="1"/>
    <col min="4624" max="4624" width="20.1640625" style="424" customWidth="1"/>
    <col min="4625" max="4625" width="17.5" style="424" customWidth="1"/>
    <col min="4626" max="4626" width="14.33203125" style="424" customWidth="1"/>
    <col min="4627" max="4627" width="16.1640625" style="424" customWidth="1"/>
    <col min="4628" max="4864" width="10.5" style="424"/>
    <col min="4865" max="4865" width="4.83203125" style="424" customWidth="1"/>
    <col min="4866" max="4866" width="5" style="424" customWidth="1"/>
    <col min="4867" max="4867" width="15.83203125" style="424" customWidth="1"/>
    <col min="4868" max="4868" width="75.83203125" style="424" customWidth="1"/>
    <col min="4869" max="4869" width="7.83203125" style="424" customWidth="1"/>
    <col min="4870" max="4870" width="9.83203125" style="424" customWidth="1"/>
    <col min="4871" max="4871" width="11.6640625" style="424" customWidth="1"/>
    <col min="4872" max="4872" width="18.33203125" style="424" customWidth="1"/>
    <col min="4873" max="4873" width="20.5" style="424" customWidth="1"/>
    <col min="4874" max="4874" width="14.5" style="424" customWidth="1"/>
    <col min="4875" max="4876" width="10.5" style="424"/>
    <col min="4877" max="4878" width="14.83203125" style="424" customWidth="1"/>
    <col min="4879" max="4879" width="12.6640625" style="424" customWidth="1"/>
    <col min="4880" max="4880" width="20.1640625" style="424" customWidth="1"/>
    <col min="4881" max="4881" width="17.5" style="424" customWidth="1"/>
    <col min="4882" max="4882" width="14.33203125" style="424" customWidth="1"/>
    <col min="4883" max="4883" width="16.1640625" style="424" customWidth="1"/>
    <col min="4884" max="5120" width="10.5" style="424"/>
    <col min="5121" max="5121" width="4.83203125" style="424" customWidth="1"/>
    <col min="5122" max="5122" width="5" style="424" customWidth="1"/>
    <col min="5123" max="5123" width="15.83203125" style="424" customWidth="1"/>
    <col min="5124" max="5124" width="75.83203125" style="424" customWidth="1"/>
    <col min="5125" max="5125" width="7.83203125" style="424" customWidth="1"/>
    <col min="5126" max="5126" width="9.83203125" style="424" customWidth="1"/>
    <col min="5127" max="5127" width="11.6640625" style="424" customWidth="1"/>
    <col min="5128" max="5128" width="18.33203125" style="424" customWidth="1"/>
    <col min="5129" max="5129" width="20.5" style="424" customWidth="1"/>
    <col min="5130" max="5130" width="14.5" style="424" customWidth="1"/>
    <col min="5131" max="5132" width="10.5" style="424"/>
    <col min="5133" max="5134" width="14.83203125" style="424" customWidth="1"/>
    <col min="5135" max="5135" width="12.6640625" style="424" customWidth="1"/>
    <col min="5136" max="5136" width="20.1640625" style="424" customWidth="1"/>
    <col min="5137" max="5137" width="17.5" style="424" customWidth="1"/>
    <col min="5138" max="5138" width="14.33203125" style="424" customWidth="1"/>
    <col min="5139" max="5139" width="16.1640625" style="424" customWidth="1"/>
    <col min="5140" max="5376" width="10.5" style="424"/>
    <col min="5377" max="5377" width="4.83203125" style="424" customWidth="1"/>
    <col min="5378" max="5378" width="5" style="424" customWidth="1"/>
    <col min="5379" max="5379" width="15.83203125" style="424" customWidth="1"/>
    <col min="5380" max="5380" width="75.83203125" style="424" customWidth="1"/>
    <col min="5381" max="5381" width="7.83203125" style="424" customWidth="1"/>
    <col min="5382" max="5382" width="9.83203125" style="424" customWidth="1"/>
    <col min="5383" max="5383" width="11.6640625" style="424" customWidth="1"/>
    <col min="5384" max="5384" width="18.33203125" style="424" customWidth="1"/>
    <col min="5385" max="5385" width="20.5" style="424" customWidth="1"/>
    <col min="5386" max="5386" width="14.5" style="424" customWidth="1"/>
    <col min="5387" max="5388" width="10.5" style="424"/>
    <col min="5389" max="5390" width="14.83203125" style="424" customWidth="1"/>
    <col min="5391" max="5391" width="12.6640625" style="424" customWidth="1"/>
    <col min="5392" max="5392" width="20.1640625" style="424" customWidth="1"/>
    <col min="5393" max="5393" width="17.5" style="424" customWidth="1"/>
    <col min="5394" max="5394" width="14.33203125" style="424" customWidth="1"/>
    <col min="5395" max="5395" width="16.1640625" style="424" customWidth="1"/>
    <col min="5396" max="5632" width="10.5" style="424"/>
    <col min="5633" max="5633" width="4.83203125" style="424" customWidth="1"/>
    <col min="5634" max="5634" width="5" style="424" customWidth="1"/>
    <col min="5635" max="5635" width="15.83203125" style="424" customWidth="1"/>
    <col min="5636" max="5636" width="75.83203125" style="424" customWidth="1"/>
    <col min="5637" max="5637" width="7.83203125" style="424" customWidth="1"/>
    <col min="5638" max="5638" width="9.83203125" style="424" customWidth="1"/>
    <col min="5639" max="5639" width="11.6640625" style="424" customWidth="1"/>
    <col min="5640" max="5640" width="18.33203125" style="424" customWidth="1"/>
    <col min="5641" max="5641" width="20.5" style="424" customWidth="1"/>
    <col min="5642" max="5642" width="14.5" style="424" customWidth="1"/>
    <col min="5643" max="5644" width="10.5" style="424"/>
    <col min="5645" max="5646" width="14.83203125" style="424" customWidth="1"/>
    <col min="5647" max="5647" width="12.6640625" style="424" customWidth="1"/>
    <col min="5648" max="5648" width="20.1640625" style="424" customWidth="1"/>
    <col min="5649" max="5649" width="17.5" style="424" customWidth="1"/>
    <col min="5650" max="5650" width="14.33203125" style="424" customWidth="1"/>
    <col min="5651" max="5651" width="16.1640625" style="424" customWidth="1"/>
    <col min="5652" max="5888" width="10.5" style="424"/>
    <col min="5889" max="5889" width="4.83203125" style="424" customWidth="1"/>
    <col min="5890" max="5890" width="5" style="424" customWidth="1"/>
    <col min="5891" max="5891" width="15.83203125" style="424" customWidth="1"/>
    <col min="5892" max="5892" width="75.83203125" style="424" customWidth="1"/>
    <col min="5893" max="5893" width="7.83203125" style="424" customWidth="1"/>
    <col min="5894" max="5894" width="9.83203125" style="424" customWidth="1"/>
    <col min="5895" max="5895" width="11.6640625" style="424" customWidth="1"/>
    <col min="5896" max="5896" width="18.33203125" style="424" customWidth="1"/>
    <col min="5897" max="5897" width="20.5" style="424" customWidth="1"/>
    <col min="5898" max="5898" width="14.5" style="424" customWidth="1"/>
    <col min="5899" max="5900" width="10.5" style="424"/>
    <col min="5901" max="5902" width="14.83203125" style="424" customWidth="1"/>
    <col min="5903" max="5903" width="12.6640625" style="424" customWidth="1"/>
    <col min="5904" max="5904" width="20.1640625" style="424" customWidth="1"/>
    <col min="5905" max="5905" width="17.5" style="424" customWidth="1"/>
    <col min="5906" max="5906" width="14.33203125" style="424" customWidth="1"/>
    <col min="5907" max="5907" width="16.1640625" style="424" customWidth="1"/>
    <col min="5908" max="6144" width="10.5" style="424"/>
    <col min="6145" max="6145" width="4.83203125" style="424" customWidth="1"/>
    <col min="6146" max="6146" width="5" style="424" customWidth="1"/>
    <col min="6147" max="6147" width="15.83203125" style="424" customWidth="1"/>
    <col min="6148" max="6148" width="75.83203125" style="424" customWidth="1"/>
    <col min="6149" max="6149" width="7.83203125" style="424" customWidth="1"/>
    <col min="6150" max="6150" width="9.83203125" style="424" customWidth="1"/>
    <col min="6151" max="6151" width="11.6640625" style="424" customWidth="1"/>
    <col min="6152" max="6152" width="18.33203125" style="424" customWidth="1"/>
    <col min="6153" max="6153" width="20.5" style="424" customWidth="1"/>
    <col min="6154" max="6154" width="14.5" style="424" customWidth="1"/>
    <col min="6155" max="6156" width="10.5" style="424"/>
    <col min="6157" max="6158" width="14.83203125" style="424" customWidth="1"/>
    <col min="6159" max="6159" width="12.6640625" style="424" customWidth="1"/>
    <col min="6160" max="6160" width="20.1640625" style="424" customWidth="1"/>
    <col min="6161" max="6161" width="17.5" style="424" customWidth="1"/>
    <col min="6162" max="6162" width="14.33203125" style="424" customWidth="1"/>
    <col min="6163" max="6163" width="16.1640625" style="424" customWidth="1"/>
    <col min="6164" max="6400" width="10.5" style="424"/>
    <col min="6401" max="6401" width="4.83203125" style="424" customWidth="1"/>
    <col min="6402" max="6402" width="5" style="424" customWidth="1"/>
    <col min="6403" max="6403" width="15.83203125" style="424" customWidth="1"/>
    <col min="6404" max="6404" width="75.83203125" style="424" customWidth="1"/>
    <col min="6405" max="6405" width="7.83203125" style="424" customWidth="1"/>
    <col min="6406" max="6406" width="9.83203125" style="424" customWidth="1"/>
    <col min="6407" max="6407" width="11.6640625" style="424" customWidth="1"/>
    <col min="6408" max="6408" width="18.33203125" style="424" customWidth="1"/>
    <col min="6409" max="6409" width="20.5" style="424" customWidth="1"/>
    <col min="6410" max="6410" width="14.5" style="424" customWidth="1"/>
    <col min="6411" max="6412" width="10.5" style="424"/>
    <col min="6413" max="6414" width="14.83203125" style="424" customWidth="1"/>
    <col min="6415" max="6415" width="12.6640625" style="424" customWidth="1"/>
    <col min="6416" max="6416" width="20.1640625" style="424" customWidth="1"/>
    <col min="6417" max="6417" width="17.5" style="424" customWidth="1"/>
    <col min="6418" max="6418" width="14.33203125" style="424" customWidth="1"/>
    <col min="6419" max="6419" width="16.1640625" style="424" customWidth="1"/>
    <col min="6420" max="6656" width="10.5" style="424"/>
    <col min="6657" max="6657" width="4.83203125" style="424" customWidth="1"/>
    <col min="6658" max="6658" width="5" style="424" customWidth="1"/>
    <col min="6659" max="6659" width="15.83203125" style="424" customWidth="1"/>
    <col min="6660" max="6660" width="75.83203125" style="424" customWidth="1"/>
    <col min="6661" max="6661" width="7.83203125" style="424" customWidth="1"/>
    <col min="6662" max="6662" width="9.83203125" style="424" customWidth="1"/>
    <col min="6663" max="6663" width="11.6640625" style="424" customWidth="1"/>
    <col min="6664" max="6664" width="18.33203125" style="424" customWidth="1"/>
    <col min="6665" max="6665" width="20.5" style="424" customWidth="1"/>
    <col min="6666" max="6666" width="14.5" style="424" customWidth="1"/>
    <col min="6667" max="6668" width="10.5" style="424"/>
    <col min="6669" max="6670" width="14.83203125" style="424" customWidth="1"/>
    <col min="6671" max="6671" width="12.6640625" style="424" customWidth="1"/>
    <col min="6672" max="6672" width="20.1640625" style="424" customWidth="1"/>
    <col min="6673" max="6673" width="17.5" style="424" customWidth="1"/>
    <col min="6674" max="6674" width="14.33203125" style="424" customWidth="1"/>
    <col min="6675" max="6675" width="16.1640625" style="424" customWidth="1"/>
    <col min="6676" max="6912" width="10.5" style="424"/>
    <col min="6913" max="6913" width="4.83203125" style="424" customWidth="1"/>
    <col min="6914" max="6914" width="5" style="424" customWidth="1"/>
    <col min="6915" max="6915" width="15.83203125" style="424" customWidth="1"/>
    <col min="6916" max="6916" width="75.83203125" style="424" customWidth="1"/>
    <col min="6917" max="6917" width="7.83203125" style="424" customWidth="1"/>
    <col min="6918" max="6918" width="9.83203125" style="424" customWidth="1"/>
    <col min="6919" max="6919" width="11.6640625" style="424" customWidth="1"/>
    <col min="6920" max="6920" width="18.33203125" style="424" customWidth="1"/>
    <col min="6921" max="6921" width="20.5" style="424" customWidth="1"/>
    <col min="6922" max="6922" width="14.5" style="424" customWidth="1"/>
    <col min="6923" max="6924" width="10.5" style="424"/>
    <col min="6925" max="6926" width="14.83203125" style="424" customWidth="1"/>
    <col min="6927" max="6927" width="12.6640625" style="424" customWidth="1"/>
    <col min="6928" max="6928" width="20.1640625" style="424" customWidth="1"/>
    <col min="6929" max="6929" width="17.5" style="424" customWidth="1"/>
    <col min="6930" max="6930" width="14.33203125" style="424" customWidth="1"/>
    <col min="6931" max="6931" width="16.1640625" style="424" customWidth="1"/>
    <col min="6932" max="7168" width="10.5" style="424"/>
    <col min="7169" max="7169" width="4.83203125" style="424" customWidth="1"/>
    <col min="7170" max="7170" width="5" style="424" customWidth="1"/>
    <col min="7171" max="7171" width="15.83203125" style="424" customWidth="1"/>
    <col min="7172" max="7172" width="75.83203125" style="424" customWidth="1"/>
    <col min="7173" max="7173" width="7.83203125" style="424" customWidth="1"/>
    <col min="7174" max="7174" width="9.83203125" style="424" customWidth="1"/>
    <col min="7175" max="7175" width="11.6640625" style="424" customWidth="1"/>
    <col min="7176" max="7176" width="18.33203125" style="424" customWidth="1"/>
    <col min="7177" max="7177" width="20.5" style="424" customWidth="1"/>
    <col min="7178" max="7178" width="14.5" style="424" customWidth="1"/>
    <col min="7179" max="7180" width="10.5" style="424"/>
    <col min="7181" max="7182" width="14.83203125" style="424" customWidth="1"/>
    <col min="7183" max="7183" width="12.6640625" style="424" customWidth="1"/>
    <col min="7184" max="7184" width="20.1640625" style="424" customWidth="1"/>
    <col min="7185" max="7185" width="17.5" style="424" customWidth="1"/>
    <col min="7186" max="7186" width="14.33203125" style="424" customWidth="1"/>
    <col min="7187" max="7187" width="16.1640625" style="424" customWidth="1"/>
    <col min="7188" max="7424" width="10.5" style="424"/>
    <col min="7425" max="7425" width="4.83203125" style="424" customWidth="1"/>
    <col min="7426" max="7426" width="5" style="424" customWidth="1"/>
    <col min="7427" max="7427" width="15.83203125" style="424" customWidth="1"/>
    <col min="7428" max="7428" width="75.83203125" style="424" customWidth="1"/>
    <col min="7429" max="7429" width="7.83203125" style="424" customWidth="1"/>
    <col min="7430" max="7430" width="9.83203125" style="424" customWidth="1"/>
    <col min="7431" max="7431" width="11.6640625" style="424" customWidth="1"/>
    <col min="7432" max="7432" width="18.33203125" style="424" customWidth="1"/>
    <col min="7433" max="7433" width="20.5" style="424" customWidth="1"/>
    <col min="7434" max="7434" width="14.5" style="424" customWidth="1"/>
    <col min="7435" max="7436" width="10.5" style="424"/>
    <col min="7437" max="7438" width="14.83203125" style="424" customWidth="1"/>
    <col min="7439" max="7439" width="12.6640625" style="424" customWidth="1"/>
    <col min="7440" max="7440" width="20.1640625" style="424" customWidth="1"/>
    <col min="7441" max="7441" width="17.5" style="424" customWidth="1"/>
    <col min="7442" max="7442" width="14.33203125" style="424" customWidth="1"/>
    <col min="7443" max="7443" width="16.1640625" style="424" customWidth="1"/>
    <col min="7444" max="7680" width="10.5" style="424"/>
    <col min="7681" max="7681" width="4.83203125" style="424" customWidth="1"/>
    <col min="7682" max="7682" width="5" style="424" customWidth="1"/>
    <col min="7683" max="7683" width="15.83203125" style="424" customWidth="1"/>
    <col min="7684" max="7684" width="75.83203125" style="424" customWidth="1"/>
    <col min="7685" max="7685" width="7.83203125" style="424" customWidth="1"/>
    <col min="7686" max="7686" width="9.83203125" style="424" customWidth="1"/>
    <col min="7687" max="7687" width="11.6640625" style="424" customWidth="1"/>
    <col min="7688" max="7688" width="18.33203125" style="424" customWidth="1"/>
    <col min="7689" max="7689" width="20.5" style="424" customWidth="1"/>
    <col min="7690" max="7690" width="14.5" style="424" customWidth="1"/>
    <col min="7691" max="7692" width="10.5" style="424"/>
    <col min="7693" max="7694" width="14.83203125" style="424" customWidth="1"/>
    <col min="7695" max="7695" width="12.6640625" style="424" customWidth="1"/>
    <col min="7696" max="7696" width="20.1640625" style="424" customWidth="1"/>
    <col min="7697" max="7697" width="17.5" style="424" customWidth="1"/>
    <col min="7698" max="7698" width="14.33203125" style="424" customWidth="1"/>
    <col min="7699" max="7699" width="16.1640625" style="424" customWidth="1"/>
    <col min="7700" max="7936" width="10.5" style="424"/>
    <col min="7937" max="7937" width="4.83203125" style="424" customWidth="1"/>
    <col min="7938" max="7938" width="5" style="424" customWidth="1"/>
    <col min="7939" max="7939" width="15.83203125" style="424" customWidth="1"/>
    <col min="7940" max="7940" width="75.83203125" style="424" customWidth="1"/>
    <col min="7941" max="7941" width="7.83203125" style="424" customWidth="1"/>
    <col min="7942" max="7942" width="9.83203125" style="424" customWidth="1"/>
    <col min="7943" max="7943" width="11.6640625" style="424" customWidth="1"/>
    <col min="7944" max="7944" width="18.33203125" style="424" customWidth="1"/>
    <col min="7945" max="7945" width="20.5" style="424" customWidth="1"/>
    <col min="7946" max="7946" width="14.5" style="424" customWidth="1"/>
    <col min="7947" max="7948" width="10.5" style="424"/>
    <col min="7949" max="7950" width="14.83203125" style="424" customWidth="1"/>
    <col min="7951" max="7951" width="12.6640625" style="424" customWidth="1"/>
    <col min="7952" max="7952" width="20.1640625" style="424" customWidth="1"/>
    <col min="7953" max="7953" width="17.5" style="424" customWidth="1"/>
    <col min="7954" max="7954" width="14.33203125" style="424" customWidth="1"/>
    <col min="7955" max="7955" width="16.1640625" style="424" customWidth="1"/>
    <col min="7956" max="8192" width="10.5" style="424"/>
    <col min="8193" max="8193" width="4.83203125" style="424" customWidth="1"/>
    <col min="8194" max="8194" width="5" style="424" customWidth="1"/>
    <col min="8195" max="8195" width="15.83203125" style="424" customWidth="1"/>
    <col min="8196" max="8196" width="75.83203125" style="424" customWidth="1"/>
    <col min="8197" max="8197" width="7.83203125" style="424" customWidth="1"/>
    <col min="8198" max="8198" width="9.83203125" style="424" customWidth="1"/>
    <col min="8199" max="8199" width="11.6640625" style="424" customWidth="1"/>
    <col min="8200" max="8200" width="18.33203125" style="424" customWidth="1"/>
    <col min="8201" max="8201" width="20.5" style="424" customWidth="1"/>
    <col min="8202" max="8202" width="14.5" style="424" customWidth="1"/>
    <col min="8203" max="8204" width="10.5" style="424"/>
    <col min="8205" max="8206" width="14.83203125" style="424" customWidth="1"/>
    <col min="8207" max="8207" width="12.6640625" style="424" customWidth="1"/>
    <col min="8208" max="8208" width="20.1640625" style="424" customWidth="1"/>
    <col min="8209" max="8209" width="17.5" style="424" customWidth="1"/>
    <col min="8210" max="8210" width="14.33203125" style="424" customWidth="1"/>
    <col min="8211" max="8211" width="16.1640625" style="424" customWidth="1"/>
    <col min="8212" max="8448" width="10.5" style="424"/>
    <col min="8449" max="8449" width="4.83203125" style="424" customWidth="1"/>
    <col min="8450" max="8450" width="5" style="424" customWidth="1"/>
    <col min="8451" max="8451" width="15.83203125" style="424" customWidth="1"/>
    <col min="8452" max="8452" width="75.83203125" style="424" customWidth="1"/>
    <col min="8453" max="8453" width="7.83203125" style="424" customWidth="1"/>
    <col min="8454" max="8454" width="9.83203125" style="424" customWidth="1"/>
    <col min="8455" max="8455" width="11.6640625" style="424" customWidth="1"/>
    <col min="8456" max="8456" width="18.33203125" style="424" customWidth="1"/>
    <col min="8457" max="8457" width="20.5" style="424" customWidth="1"/>
    <col min="8458" max="8458" width="14.5" style="424" customWidth="1"/>
    <col min="8459" max="8460" width="10.5" style="424"/>
    <col min="8461" max="8462" width="14.83203125" style="424" customWidth="1"/>
    <col min="8463" max="8463" width="12.6640625" style="424" customWidth="1"/>
    <col min="8464" max="8464" width="20.1640625" style="424" customWidth="1"/>
    <col min="8465" max="8465" width="17.5" style="424" customWidth="1"/>
    <col min="8466" max="8466" width="14.33203125" style="424" customWidth="1"/>
    <col min="8467" max="8467" width="16.1640625" style="424" customWidth="1"/>
    <col min="8468" max="8704" width="10.5" style="424"/>
    <col min="8705" max="8705" width="4.83203125" style="424" customWidth="1"/>
    <col min="8706" max="8706" width="5" style="424" customWidth="1"/>
    <col min="8707" max="8707" width="15.83203125" style="424" customWidth="1"/>
    <col min="8708" max="8708" width="75.83203125" style="424" customWidth="1"/>
    <col min="8709" max="8709" width="7.83203125" style="424" customWidth="1"/>
    <col min="8710" max="8710" width="9.83203125" style="424" customWidth="1"/>
    <col min="8711" max="8711" width="11.6640625" style="424" customWidth="1"/>
    <col min="8712" max="8712" width="18.33203125" style="424" customWidth="1"/>
    <col min="8713" max="8713" width="20.5" style="424" customWidth="1"/>
    <col min="8714" max="8714" width="14.5" style="424" customWidth="1"/>
    <col min="8715" max="8716" width="10.5" style="424"/>
    <col min="8717" max="8718" width="14.83203125" style="424" customWidth="1"/>
    <col min="8719" max="8719" width="12.6640625" style="424" customWidth="1"/>
    <col min="8720" max="8720" width="20.1640625" style="424" customWidth="1"/>
    <col min="8721" max="8721" width="17.5" style="424" customWidth="1"/>
    <col min="8722" max="8722" width="14.33203125" style="424" customWidth="1"/>
    <col min="8723" max="8723" width="16.1640625" style="424" customWidth="1"/>
    <col min="8724" max="8960" width="10.5" style="424"/>
    <col min="8961" max="8961" width="4.83203125" style="424" customWidth="1"/>
    <col min="8962" max="8962" width="5" style="424" customWidth="1"/>
    <col min="8963" max="8963" width="15.83203125" style="424" customWidth="1"/>
    <col min="8964" max="8964" width="75.83203125" style="424" customWidth="1"/>
    <col min="8965" max="8965" width="7.83203125" style="424" customWidth="1"/>
    <col min="8966" max="8966" width="9.83203125" style="424" customWidth="1"/>
    <col min="8967" max="8967" width="11.6640625" style="424" customWidth="1"/>
    <col min="8968" max="8968" width="18.33203125" style="424" customWidth="1"/>
    <col min="8969" max="8969" width="20.5" style="424" customWidth="1"/>
    <col min="8970" max="8970" width="14.5" style="424" customWidth="1"/>
    <col min="8971" max="8972" width="10.5" style="424"/>
    <col min="8973" max="8974" width="14.83203125" style="424" customWidth="1"/>
    <col min="8975" max="8975" width="12.6640625" style="424" customWidth="1"/>
    <col min="8976" max="8976" width="20.1640625" style="424" customWidth="1"/>
    <col min="8977" max="8977" width="17.5" style="424" customWidth="1"/>
    <col min="8978" max="8978" width="14.33203125" style="424" customWidth="1"/>
    <col min="8979" max="8979" width="16.1640625" style="424" customWidth="1"/>
    <col min="8980" max="9216" width="10.5" style="424"/>
    <col min="9217" max="9217" width="4.83203125" style="424" customWidth="1"/>
    <col min="9218" max="9218" width="5" style="424" customWidth="1"/>
    <col min="9219" max="9219" width="15.83203125" style="424" customWidth="1"/>
    <col min="9220" max="9220" width="75.83203125" style="424" customWidth="1"/>
    <col min="9221" max="9221" width="7.83203125" style="424" customWidth="1"/>
    <col min="9222" max="9222" width="9.83203125" style="424" customWidth="1"/>
    <col min="9223" max="9223" width="11.6640625" style="424" customWidth="1"/>
    <col min="9224" max="9224" width="18.33203125" style="424" customWidth="1"/>
    <col min="9225" max="9225" width="20.5" style="424" customWidth="1"/>
    <col min="9226" max="9226" width="14.5" style="424" customWidth="1"/>
    <col min="9227" max="9228" width="10.5" style="424"/>
    <col min="9229" max="9230" width="14.83203125" style="424" customWidth="1"/>
    <col min="9231" max="9231" width="12.6640625" style="424" customWidth="1"/>
    <col min="9232" max="9232" width="20.1640625" style="424" customWidth="1"/>
    <col min="9233" max="9233" width="17.5" style="424" customWidth="1"/>
    <col min="9234" max="9234" width="14.33203125" style="424" customWidth="1"/>
    <col min="9235" max="9235" width="16.1640625" style="424" customWidth="1"/>
    <col min="9236" max="9472" width="10.5" style="424"/>
    <col min="9473" max="9473" width="4.83203125" style="424" customWidth="1"/>
    <col min="9474" max="9474" width="5" style="424" customWidth="1"/>
    <col min="9475" max="9475" width="15.83203125" style="424" customWidth="1"/>
    <col min="9476" max="9476" width="75.83203125" style="424" customWidth="1"/>
    <col min="9477" max="9477" width="7.83203125" style="424" customWidth="1"/>
    <col min="9478" max="9478" width="9.83203125" style="424" customWidth="1"/>
    <col min="9479" max="9479" width="11.6640625" style="424" customWidth="1"/>
    <col min="9480" max="9480" width="18.33203125" style="424" customWidth="1"/>
    <col min="9481" max="9481" width="20.5" style="424" customWidth="1"/>
    <col min="9482" max="9482" width="14.5" style="424" customWidth="1"/>
    <col min="9483" max="9484" width="10.5" style="424"/>
    <col min="9485" max="9486" width="14.83203125" style="424" customWidth="1"/>
    <col min="9487" max="9487" width="12.6640625" style="424" customWidth="1"/>
    <col min="9488" max="9488" width="20.1640625" style="424" customWidth="1"/>
    <col min="9489" max="9489" width="17.5" style="424" customWidth="1"/>
    <col min="9490" max="9490" width="14.33203125" style="424" customWidth="1"/>
    <col min="9491" max="9491" width="16.1640625" style="424" customWidth="1"/>
    <col min="9492" max="9728" width="10.5" style="424"/>
    <col min="9729" max="9729" width="4.83203125" style="424" customWidth="1"/>
    <col min="9730" max="9730" width="5" style="424" customWidth="1"/>
    <col min="9731" max="9731" width="15.83203125" style="424" customWidth="1"/>
    <col min="9732" max="9732" width="75.83203125" style="424" customWidth="1"/>
    <col min="9733" max="9733" width="7.83203125" style="424" customWidth="1"/>
    <col min="9734" max="9734" width="9.83203125" style="424" customWidth="1"/>
    <col min="9735" max="9735" width="11.6640625" style="424" customWidth="1"/>
    <col min="9736" max="9736" width="18.33203125" style="424" customWidth="1"/>
    <col min="9737" max="9737" width="20.5" style="424" customWidth="1"/>
    <col min="9738" max="9738" width="14.5" style="424" customWidth="1"/>
    <col min="9739" max="9740" width="10.5" style="424"/>
    <col min="9741" max="9742" width="14.83203125" style="424" customWidth="1"/>
    <col min="9743" max="9743" width="12.6640625" style="424" customWidth="1"/>
    <col min="9744" max="9744" width="20.1640625" style="424" customWidth="1"/>
    <col min="9745" max="9745" width="17.5" style="424" customWidth="1"/>
    <col min="9746" max="9746" width="14.33203125" style="424" customWidth="1"/>
    <col min="9747" max="9747" width="16.1640625" style="424" customWidth="1"/>
    <col min="9748" max="9984" width="10.5" style="424"/>
    <col min="9985" max="9985" width="4.83203125" style="424" customWidth="1"/>
    <col min="9986" max="9986" width="5" style="424" customWidth="1"/>
    <col min="9987" max="9987" width="15.83203125" style="424" customWidth="1"/>
    <col min="9988" max="9988" width="75.83203125" style="424" customWidth="1"/>
    <col min="9989" max="9989" width="7.83203125" style="424" customWidth="1"/>
    <col min="9990" max="9990" width="9.83203125" style="424" customWidth="1"/>
    <col min="9991" max="9991" width="11.6640625" style="424" customWidth="1"/>
    <col min="9992" max="9992" width="18.33203125" style="424" customWidth="1"/>
    <col min="9993" max="9993" width="20.5" style="424" customWidth="1"/>
    <col min="9994" max="9994" width="14.5" style="424" customWidth="1"/>
    <col min="9995" max="9996" width="10.5" style="424"/>
    <col min="9997" max="9998" width="14.83203125" style="424" customWidth="1"/>
    <col min="9999" max="9999" width="12.6640625" style="424" customWidth="1"/>
    <col min="10000" max="10000" width="20.1640625" style="424" customWidth="1"/>
    <col min="10001" max="10001" width="17.5" style="424" customWidth="1"/>
    <col min="10002" max="10002" width="14.33203125" style="424" customWidth="1"/>
    <col min="10003" max="10003" width="16.1640625" style="424" customWidth="1"/>
    <col min="10004" max="10240" width="10.5" style="424"/>
    <col min="10241" max="10241" width="4.83203125" style="424" customWidth="1"/>
    <col min="10242" max="10242" width="5" style="424" customWidth="1"/>
    <col min="10243" max="10243" width="15.83203125" style="424" customWidth="1"/>
    <col min="10244" max="10244" width="75.83203125" style="424" customWidth="1"/>
    <col min="10245" max="10245" width="7.83203125" style="424" customWidth="1"/>
    <col min="10246" max="10246" width="9.83203125" style="424" customWidth="1"/>
    <col min="10247" max="10247" width="11.6640625" style="424" customWidth="1"/>
    <col min="10248" max="10248" width="18.33203125" style="424" customWidth="1"/>
    <col min="10249" max="10249" width="20.5" style="424" customWidth="1"/>
    <col min="10250" max="10250" width="14.5" style="424" customWidth="1"/>
    <col min="10251" max="10252" width="10.5" style="424"/>
    <col min="10253" max="10254" width="14.83203125" style="424" customWidth="1"/>
    <col min="10255" max="10255" width="12.6640625" style="424" customWidth="1"/>
    <col min="10256" max="10256" width="20.1640625" style="424" customWidth="1"/>
    <col min="10257" max="10257" width="17.5" style="424" customWidth="1"/>
    <col min="10258" max="10258" width="14.33203125" style="424" customWidth="1"/>
    <col min="10259" max="10259" width="16.1640625" style="424" customWidth="1"/>
    <col min="10260" max="10496" width="10.5" style="424"/>
    <col min="10497" max="10497" width="4.83203125" style="424" customWidth="1"/>
    <col min="10498" max="10498" width="5" style="424" customWidth="1"/>
    <col min="10499" max="10499" width="15.83203125" style="424" customWidth="1"/>
    <col min="10500" max="10500" width="75.83203125" style="424" customWidth="1"/>
    <col min="10501" max="10501" width="7.83203125" style="424" customWidth="1"/>
    <col min="10502" max="10502" width="9.83203125" style="424" customWidth="1"/>
    <col min="10503" max="10503" width="11.6640625" style="424" customWidth="1"/>
    <col min="10504" max="10504" width="18.33203125" style="424" customWidth="1"/>
    <col min="10505" max="10505" width="20.5" style="424" customWidth="1"/>
    <col min="10506" max="10506" width="14.5" style="424" customWidth="1"/>
    <col min="10507" max="10508" width="10.5" style="424"/>
    <col min="10509" max="10510" width="14.83203125" style="424" customWidth="1"/>
    <col min="10511" max="10511" width="12.6640625" style="424" customWidth="1"/>
    <col min="10512" max="10512" width="20.1640625" style="424" customWidth="1"/>
    <col min="10513" max="10513" width="17.5" style="424" customWidth="1"/>
    <col min="10514" max="10514" width="14.33203125" style="424" customWidth="1"/>
    <col min="10515" max="10515" width="16.1640625" style="424" customWidth="1"/>
    <col min="10516" max="10752" width="10.5" style="424"/>
    <col min="10753" max="10753" width="4.83203125" style="424" customWidth="1"/>
    <col min="10754" max="10754" width="5" style="424" customWidth="1"/>
    <col min="10755" max="10755" width="15.83203125" style="424" customWidth="1"/>
    <col min="10756" max="10756" width="75.83203125" style="424" customWidth="1"/>
    <col min="10757" max="10757" width="7.83203125" style="424" customWidth="1"/>
    <col min="10758" max="10758" width="9.83203125" style="424" customWidth="1"/>
    <col min="10759" max="10759" width="11.6640625" style="424" customWidth="1"/>
    <col min="10760" max="10760" width="18.33203125" style="424" customWidth="1"/>
    <col min="10761" max="10761" width="20.5" style="424" customWidth="1"/>
    <col min="10762" max="10762" width="14.5" style="424" customWidth="1"/>
    <col min="10763" max="10764" width="10.5" style="424"/>
    <col min="10765" max="10766" width="14.83203125" style="424" customWidth="1"/>
    <col min="10767" max="10767" width="12.6640625" style="424" customWidth="1"/>
    <col min="10768" max="10768" width="20.1640625" style="424" customWidth="1"/>
    <col min="10769" max="10769" width="17.5" style="424" customWidth="1"/>
    <col min="10770" max="10770" width="14.33203125" style="424" customWidth="1"/>
    <col min="10771" max="10771" width="16.1640625" style="424" customWidth="1"/>
    <col min="10772" max="11008" width="10.5" style="424"/>
    <col min="11009" max="11009" width="4.83203125" style="424" customWidth="1"/>
    <col min="11010" max="11010" width="5" style="424" customWidth="1"/>
    <col min="11011" max="11011" width="15.83203125" style="424" customWidth="1"/>
    <col min="11012" max="11012" width="75.83203125" style="424" customWidth="1"/>
    <col min="11013" max="11013" width="7.83203125" style="424" customWidth="1"/>
    <col min="11014" max="11014" width="9.83203125" style="424" customWidth="1"/>
    <col min="11015" max="11015" width="11.6640625" style="424" customWidth="1"/>
    <col min="11016" max="11016" width="18.33203125" style="424" customWidth="1"/>
    <col min="11017" max="11017" width="20.5" style="424" customWidth="1"/>
    <col min="11018" max="11018" width="14.5" style="424" customWidth="1"/>
    <col min="11019" max="11020" width="10.5" style="424"/>
    <col min="11021" max="11022" width="14.83203125" style="424" customWidth="1"/>
    <col min="11023" max="11023" width="12.6640625" style="424" customWidth="1"/>
    <col min="11024" max="11024" width="20.1640625" style="424" customWidth="1"/>
    <col min="11025" max="11025" width="17.5" style="424" customWidth="1"/>
    <col min="11026" max="11026" width="14.33203125" style="424" customWidth="1"/>
    <col min="11027" max="11027" width="16.1640625" style="424" customWidth="1"/>
    <col min="11028" max="11264" width="10.5" style="424"/>
    <col min="11265" max="11265" width="4.83203125" style="424" customWidth="1"/>
    <col min="11266" max="11266" width="5" style="424" customWidth="1"/>
    <col min="11267" max="11267" width="15.83203125" style="424" customWidth="1"/>
    <col min="11268" max="11268" width="75.83203125" style="424" customWidth="1"/>
    <col min="11269" max="11269" width="7.83203125" style="424" customWidth="1"/>
    <col min="11270" max="11270" width="9.83203125" style="424" customWidth="1"/>
    <col min="11271" max="11271" width="11.6640625" style="424" customWidth="1"/>
    <col min="11272" max="11272" width="18.33203125" style="424" customWidth="1"/>
    <col min="11273" max="11273" width="20.5" style="424" customWidth="1"/>
    <col min="11274" max="11274" width="14.5" style="424" customWidth="1"/>
    <col min="11275" max="11276" width="10.5" style="424"/>
    <col min="11277" max="11278" width="14.83203125" style="424" customWidth="1"/>
    <col min="11279" max="11279" width="12.6640625" style="424" customWidth="1"/>
    <col min="11280" max="11280" width="20.1640625" style="424" customWidth="1"/>
    <col min="11281" max="11281" width="17.5" style="424" customWidth="1"/>
    <col min="11282" max="11282" width="14.33203125" style="424" customWidth="1"/>
    <col min="11283" max="11283" width="16.1640625" style="424" customWidth="1"/>
    <col min="11284" max="11520" width="10.5" style="424"/>
    <col min="11521" max="11521" width="4.83203125" style="424" customWidth="1"/>
    <col min="11522" max="11522" width="5" style="424" customWidth="1"/>
    <col min="11523" max="11523" width="15.83203125" style="424" customWidth="1"/>
    <col min="11524" max="11524" width="75.83203125" style="424" customWidth="1"/>
    <col min="11525" max="11525" width="7.83203125" style="424" customWidth="1"/>
    <col min="11526" max="11526" width="9.83203125" style="424" customWidth="1"/>
    <col min="11527" max="11527" width="11.6640625" style="424" customWidth="1"/>
    <col min="11528" max="11528" width="18.33203125" style="424" customWidth="1"/>
    <col min="11529" max="11529" width="20.5" style="424" customWidth="1"/>
    <col min="11530" max="11530" width="14.5" style="424" customWidth="1"/>
    <col min="11531" max="11532" width="10.5" style="424"/>
    <col min="11533" max="11534" width="14.83203125" style="424" customWidth="1"/>
    <col min="11535" max="11535" width="12.6640625" style="424" customWidth="1"/>
    <col min="11536" max="11536" width="20.1640625" style="424" customWidth="1"/>
    <col min="11537" max="11537" width="17.5" style="424" customWidth="1"/>
    <col min="11538" max="11538" width="14.33203125" style="424" customWidth="1"/>
    <col min="11539" max="11539" width="16.1640625" style="424" customWidth="1"/>
    <col min="11540" max="11776" width="10.5" style="424"/>
    <col min="11777" max="11777" width="4.83203125" style="424" customWidth="1"/>
    <col min="11778" max="11778" width="5" style="424" customWidth="1"/>
    <col min="11779" max="11779" width="15.83203125" style="424" customWidth="1"/>
    <col min="11780" max="11780" width="75.83203125" style="424" customWidth="1"/>
    <col min="11781" max="11781" width="7.83203125" style="424" customWidth="1"/>
    <col min="11782" max="11782" width="9.83203125" style="424" customWidth="1"/>
    <col min="11783" max="11783" width="11.6640625" style="424" customWidth="1"/>
    <col min="11784" max="11784" width="18.33203125" style="424" customWidth="1"/>
    <col min="11785" max="11785" width="20.5" style="424" customWidth="1"/>
    <col min="11786" max="11786" width="14.5" style="424" customWidth="1"/>
    <col min="11787" max="11788" width="10.5" style="424"/>
    <col min="11789" max="11790" width="14.83203125" style="424" customWidth="1"/>
    <col min="11791" max="11791" width="12.6640625" style="424" customWidth="1"/>
    <col min="11792" max="11792" width="20.1640625" style="424" customWidth="1"/>
    <col min="11793" max="11793" width="17.5" style="424" customWidth="1"/>
    <col min="11794" max="11794" width="14.33203125" style="424" customWidth="1"/>
    <col min="11795" max="11795" width="16.1640625" style="424" customWidth="1"/>
    <col min="11796" max="12032" width="10.5" style="424"/>
    <col min="12033" max="12033" width="4.83203125" style="424" customWidth="1"/>
    <col min="12034" max="12034" width="5" style="424" customWidth="1"/>
    <col min="12035" max="12035" width="15.83203125" style="424" customWidth="1"/>
    <col min="12036" max="12036" width="75.83203125" style="424" customWidth="1"/>
    <col min="12037" max="12037" width="7.83203125" style="424" customWidth="1"/>
    <col min="12038" max="12038" width="9.83203125" style="424" customWidth="1"/>
    <col min="12039" max="12039" width="11.6640625" style="424" customWidth="1"/>
    <col min="12040" max="12040" width="18.33203125" style="424" customWidth="1"/>
    <col min="12041" max="12041" width="20.5" style="424" customWidth="1"/>
    <col min="12042" max="12042" width="14.5" style="424" customWidth="1"/>
    <col min="12043" max="12044" width="10.5" style="424"/>
    <col min="12045" max="12046" width="14.83203125" style="424" customWidth="1"/>
    <col min="12047" max="12047" width="12.6640625" style="424" customWidth="1"/>
    <col min="12048" max="12048" width="20.1640625" style="424" customWidth="1"/>
    <col min="12049" max="12049" width="17.5" style="424" customWidth="1"/>
    <col min="12050" max="12050" width="14.33203125" style="424" customWidth="1"/>
    <col min="12051" max="12051" width="16.1640625" style="424" customWidth="1"/>
    <col min="12052" max="12288" width="10.5" style="424"/>
    <col min="12289" max="12289" width="4.83203125" style="424" customWidth="1"/>
    <col min="12290" max="12290" width="5" style="424" customWidth="1"/>
    <col min="12291" max="12291" width="15.83203125" style="424" customWidth="1"/>
    <col min="12292" max="12292" width="75.83203125" style="424" customWidth="1"/>
    <col min="12293" max="12293" width="7.83203125" style="424" customWidth="1"/>
    <col min="12294" max="12294" width="9.83203125" style="424" customWidth="1"/>
    <col min="12295" max="12295" width="11.6640625" style="424" customWidth="1"/>
    <col min="12296" max="12296" width="18.33203125" style="424" customWidth="1"/>
    <col min="12297" max="12297" width="20.5" style="424" customWidth="1"/>
    <col min="12298" max="12298" width="14.5" style="424" customWidth="1"/>
    <col min="12299" max="12300" width="10.5" style="424"/>
    <col min="12301" max="12302" width="14.83203125" style="424" customWidth="1"/>
    <col min="12303" max="12303" width="12.6640625" style="424" customWidth="1"/>
    <col min="12304" max="12304" width="20.1640625" style="424" customWidth="1"/>
    <col min="12305" max="12305" width="17.5" style="424" customWidth="1"/>
    <col min="12306" max="12306" width="14.33203125" style="424" customWidth="1"/>
    <col min="12307" max="12307" width="16.1640625" style="424" customWidth="1"/>
    <col min="12308" max="12544" width="10.5" style="424"/>
    <col min="12545" max="12545" width="4.83203125" style="424" customWidth="1"/>
    <col min="12546" max="12546" width="5" style="424" customWidth="1"/>
    <col min="12547" max="12547" width="15.83203125" style="424" customWidth="1"/>
    <col min="12548" max="12548" width="75.83203125" style="424" customWidth="1"/>
    <col min="12549" max="12549" width="7.83203125" style="424" customWidth="1"/>
    <col min="12550" max="12550" width="9.83203125" style="424" customWidth="1"/>
    <col min="12551" max="12551" width="11.6640625" style="424" customWidth="1"/>
    <col min="12552" max="12552" width="18.33203125" style="424" customWidth="1"/>
    <col min="12553" max="12553" width="20.5" style="424" customWidth="1"/>
    <col min="12554" max="12554" width="14.5" style="424" customWidth="1"/>
    <col min="12555" max="12556" width="10.5" style="424"/>
    <col min="12557" max="12558" width="14.83203125" style="424" customWidth="1"/>
    <col min="12559" max="12559" width="12.6640625" style="424" customWidth="1"/>
    <col min="12560" max="12560" width="20.1640625" style="424" customWidth="1"/>
    <col min="12561" max="12561" width="17.5" style="424" customWidth="1"/>
    <col min="12562" max="12562" width="14.33203125" style="424" customWidth="1"/>
    <col min="12563" max="12563" width="16.1640625" style="424" customWidth="1"/>
    <col min="12564" max="12800" width="10.5" style="424"/>
    <col min="12801" max="12801" width="4.83203125" style="424" customWidth="1"/>
    <col min="12802" max="12802" width="5" style="424" customWidth="1"/>
    <col min="12803" max="12803" width="15.83203125" style="424" customWidth="1"/>
    <col min="12804" max="12804" width="75.83203125" style="424" customWidth="1"/>
    <col min="12805" max="12805" width="7.83203125" style="424" customWidth="1"/>
    <col min="12806" max="12806" width="9.83203125" style="424" customWidth="1"/>
    <col min="12807" max="12807" width="11.6640625" style="424" customWidth="1"/>
    <col min="12808" max="12808" width="18.33203125" style="424" customWidth="1"/>
    <col min="12809" max="12809" width="20.5" style="424" customWidth="1"/>
    <col min="12810" max="12810" width="14.5" style="424" customWidth="1"/>
    <col min="12811" max="12812" width="10.5" style="424"/>
    <col min="12813" max="12814" width="14.83203125" style="424" customWidth="1"/>
    <col min="12815" max="12815" width="12.6640625" style="424" customWidth="1"/>
    <col min="12816" max="12816" width="20.1640625" style="424" customWidth="1"/>
    <col min="12817" max="12817" width="17.5" style="424" customWidth="1"/>
    <col min="12818" max="12818" width="14.33203125" style="424" customWidth="1"/>
    <col min="12819" max="12819" width="16.1640625" style="424" customWidth="1"/>
    <col min="12820" max="13056" width="10.5" style="424"/>
    <col min="13057" max="13057" width="4.83203125" style="424" customWidth="1"/>
    <col min="13058" max="13058" width="5" style="424" customWidth="1"/>
    <col min="13059" max="13059" width="15.83203125" style="424" customWidth="1"/>
    <col min="13060" max="13060" width="75.83203125" style="424" customWidth="1"/>
    <col min="13061" max="13061" width="7.83203125" style="424" customWidth="1"/>
    <col min="13062" max="13062" width="9.83203125" style="424" customWidth="1"/>
    <col min="13063" max="13063" width="11.6640625" style="424" customWidth="1"/>
    <col min="13064" max="13064" width="18.33203125" style="424" customWidth="1"/>
    <col min="13065" max="13065" width="20.5" style="424" customWidth="1"/>
    <col min="13066" max="13066" width="14.5" style="424" customWidth="1"/>
    <col min="13067" max="13068" width="10.5" style="424"/>
    <col min="13069" max="13070" width="14.83203125" style="424" customWidth="1"/>
    <col min="13071" max="13071" width="12.6640625" style="424" customWidth="1"/>
    <col min="13072" max="13072" width="20.1640625" style="424" customWidth="1"/>
    <col min="13073" max="13073" width="17.5" style="424" customWidth="1"/>
    <col min="13074" max="13074" width="14.33203125" style="424" customWidth="1"/>
    <col min="13075" max="13075" width="16.1640625" style="424" customWidth="1"/>
    <col min="13076" max="13312" width="10.5" style="424"/>
    <col min="13313" max="13313" width="4.83203125" style="424" customWidth="1"/>
    <col min="13314" max="13314" width="5" style="424" customWidth="1"/>
    <col min="13315" max="13315" width="15.83203125" style="424" customWidth="1"/>
    <col min="13316" max="13316" width="75.83203125" style="424" customWidth="1"/>
    <col min="13317" max="13317" width="7.83203125" style="424" customWidth="1"/>
    <col min="13318" max="13318" width="9.83203125" style="424" customWidth="1"/>
    <col min="13319" max="13319" width="11.6640625" style="424" customWidth="1"/>
    <col min="13320" max="13320" width="18.33203125" style="424" customWidth="1"/>
    <col min="13321" max="13321" width="20.5" style="424" customWidth="1"/>
    <col min="13322" max="13322" width="14.5" style="424" customWidth="1"/>
    <col min="13323" max="13324" width="10.5" style="424"/>
    <col min="13325" max="13326" width="14.83203125" style="424" customWidth="1"/>
    <col min="13327" max="13327" width="12.6640625" style="424" customWidth="1"/>
    <col min="13328" max="13328" width="20.1640625" style="424" customWidth="1"/>
    <col min="13329" max="13329" width="17.5" style="424" customWidth="1"/>
    <col min="13330" max="13330" width="14.33203125" style="424" customWidth="1"/>
    <col min="13331" max="13331" width="16.1640625" style="424" customWidth="1"/>
    <col min="13332" max="13568" width="10.5" style="424"/>
    <col min="13569" max="13569" width="4.83203125" style="424" customWidth="1"/>
    <col min="13570" max="13570" width="5" style="424" customWidth="1"/>
    <col min="13571" max="13571" width="15.83203125" style="424" customWidth="1"/>
    <col min="13572" max="13572" width="75.83203125" style="424" customWidth="1"/>
    <col min="13573" max="13573" width="7.83203125" style="424" customWidth="1"/>
    <col min="13574" max="13574" width="9.83203125" style="424" customWidth="1"/>
    <col min="13575" max="13575" width="11.6640625" style="424" customWidth="1"/>
    <col min="13576" max="13576" width="18.33203125" style="424" customWidth="1"/>
    <col min="13577" max="13577" width="20.5" style="424" customWidth="1"/>
    <col min="13578" max="13578" width="14.5" style="424" customWidth="1"/>
    <col min="13579" max="13580" width="10.5" style="424"/>
    <col min="13581" max="13582" width="14.83203125" style="424" customWidth="1"/>
    <col min="13583" max="13583" width="12.6640625" style="424" customWidth="1"/>
    <col min="13584" max="13584" width="20.1640625" style="424" customWidth="1"/>
    <col min="13585" max="13585" width="17.5" style="424" customWidth="1"/>
    <col min="13586" max="13586" width="14.33203125" style="424" customWidth="1"/>
    <col min="13587" max="13587" width="16.1640625" style="424" customWidth="1"/>
    <col min="13588" max="13824" width="10.5" style="424"/>
    <col min="13825" max="13825" width="4.83203125" style="424" customWidth="1"/>
    <col min="13826" max="13826" width="5" style="424" customWidth="1"/>
    <col min="13827" max="13827" width="15.83203125" style="424" customWidth="1"/>
    <col min="13828" max="13828" width="75.83203125" style="424" customWidth="1"/>
    <col min="13829" max="13829" width="7.83203125" style="424" customWidth="1"/>
    <col min="13830" max="13830" width="9.83203125" style="424" customWidth="1"/>
    <col min="13831" max="13831" width="11.6640625" style="424" customWidth="1"/>
    <col min="13832" max="13832" width="18.33203125" style="424" customWidth="1"/>
    <col min="13833" max="13833" width="20.5" style="424" customWidth="1"/>
    <col min="13834" max="13834" width="14.5" style="424" customWidth="1"/>
    <col min="13835" max="13836" width="10.5" style="424"/>
    <col min="13837" max="13838" width="14.83203125" style="424" customWidth="1"/>
    <col min="13839" max="13839" width="12.6640625" style="424" customWidth="1"/>
    <col min="13840" max="13840" width="20.1640625" style="424" customWidth="1"/>
    <col min="13841" max="13841" width="17.5" style="424" customWidth="1"/>
    <col min="13842" max="13842" width="14.33203125" style="424" customWidth="1"/>
    <col min="13843" max="13843" width="16.1640625" style="424" customWidth="1"/>
    <col min="13844" max="14080" width="10.5" style="424"/>
    <col min="14081" max="14081" width="4.83203125" style="424" customWidth="1"/>
    <col min="14082" max="14082" width="5" style="424" customWidth="1"/>
    <col min="14083" max="14083" width="15.83203125" style="424" customWidth="1"/>
    <col min="14084" max="14084" width="75.83203125" style="424" customWidth="1"/>
    <col min="14085" max="14085" width="7.83203125" style="424" customWidth="1"/>
    <col min="14086" max="14086" width="9.83203125" style="424" customWidth="1"/>
    <col min="14087" max="14087" width="11.6640625" style="424" customWidth="1"/>
    <col min="14088" max="14088" width="18.33203125" style="424" customWidth="1"/>
    <col min="14089" max="14089" width="20.5" style="424" customWidth="1"/>
    <col min="14090" max="14090" width="14.5" style="424" customWidth="1"/>
    <col min="14091" max="14092" width="10.5" style="424"/>
    <col min="14093" max="14094" width="14.83203125" style="424" customWidth="1"/>
    <col min="14095" max="14095" width="12.6640625" style="424" customWidth="1"/>
    <col min="14096" max="14096" width="20.1640625" style="424" customWidth="1"/>
    <col min="14097" max="14097" width="17.5" style="424" customWidth="1"/>
    <col min="14098" max="14098" width="14.33203125" style="424" customWidth="1"/>
    <col min="14099" max="14099" width="16.1640625" style="424" customWidth="1"/>
    <col min="14100" max="14336" width="10.5" style="424"/>
    <col min="14337" max="14337" width="4.83203125" style="424" customWidth="1"/>
    <col min="14338" max="14338" width="5" style="424" customWidth="1"/>
    <col min="14339" max="14339" width="15.83203125" style="424" customWidth="1"/>
    <col min="14340" max="14340" width="75.83203125" style="424" customWidth="1"/>
    <col min="14341" max="14341" width="7.83203125" style="424" customWidth="1"/>
    <col min="14342" max="14342" width="9.83203125" style="424" customWidth="1"/>
    <col min="14343" max="14343" width="11.6640625" style="424" customWidth="1"/>
    <col min="14344" max="14344" width="18.33203125" style="424" customWidth="1"/>
    <col min="14345" max="14345" width="20.5" style="424" customWidth="1"/>
    <col min="14346" max="14346" width="14.5" style="424" customWidth="1"/>
    <col min="14347" max="14348" width="10.5" style="424"/>
    <col min="14349" max="14350" width="14.83203125" style="424" customWidth="1"/>
    <col min="14351" max="14351" width="12.6640625" style="424" customWidth="1"/>
    <col min="14352" max="14352" width="20.1640625" style="424" customWidth="1"/>
    <col min="14353" max="14353" width="17.5" style="424" customWidth="1"/>
    <col min="14354" max="14354" width="14.33203125" style="424" customWidth="1"/>
    <col min="14355" max="14355" width="16.1640625" style="424" customWidth="1"/>
    <col min="14356" max="14592" width="10.5" style="424"/>
    <col min="14593" max="14593" width="4.83203125" style="424" customWidth="1"/>
    <col min="14594" max="14594" width="5" style="424" customWidth="1"/>
    <col min="14595" max="14595" width="15.83203125" style="424" customWidth="1"/>
    <col min="14596" max="14596" width="75.83203125" style="424" customWidth="1"/>
    <col min="14597" max="14597" width="7.83203125" style="424" customWidth="1"/>
    <col min="14598" max="14598" width="9.83203125" style="424" customWidth="1"/>
    <col min="14599" max="14599" width="11.6640625" style="424" customWidth="1"/>
    <col min="14600" max="14600" width="18.33203125" style="424" customWidth="1"/>
    <col min="14601" max="14601" width="20.5" style="424" customWidth="1"/>
    <col min="14602" max="14602" width="14.5" style="424" customWidth="1"/>
    <col min="14603" max="14604" width="10.5" style="424"/>
    <col min="14605" max="14606" width="14.83203125" style="424" customWidth="1"/>
    <col min="14607" max="14607" width="12.6640625" style="424" customWidth="1"/>
    <col min="14608" max="14608" width="20.1640625" style="424" customWidth="1"/>
    <col min="14609" max="14609" width="17.5" style="424" customWidth="1"/>
    <col min="14610" max="14610" width="14.33203125" style="424" customWidth="1"/>
    <col min="14611" max="14611" width="16.1640625" style="424" customWidth="1"/>
    <col min="14612" max="14848" width="10.5" style="424"/>
    <col min="14849" max="14849" width="4.83203125" style="424" customWidth="1"/>
    <col min="14850" max="14850" width="5" style="424" customWidth="1"/>
    <col min="14851" max="14851" width="15.83203125" style="424" customWidth="1"/>
    <col min="14852" max="14852" width="75.83203125" style="424" customWidth="1"/>
    <col min="14853" max="14853" width="7.83203125" style="424" customWidth="1"/>
    <col min="14854" max="14854" width="9.83203125" style="424" customWidth="1"/>
    <col min="14855" max="14855" width="11.6640625" style="424" customWidth="1"/>
    <col min="14856" max="14856" width="18.33203125" style="424" customWidth="1"/>
    <col min="14857" max="14857" width="20.5" style="424" customWidth="1"/>
    <col min="14858" max="14858" width="14.5" style="424" customWidth="1"/>
    <col min="14859" max="14860" width="10.5" style="424"/>
    <col min="14861" max="14862" width="14.83203125" style="424" customWidth="1"/>
    <col min="14863" max="14863" width="12.6640625" style="424" customWidth="1"/>
    <col min="14864" max="14864" width="20.1640625" style="424" customWidth="1"/>
    <col min="14865" max="14865" width="17.5" style="424" customWidth="1"/>
    <col min="14866" max="14866" width="14.33203125" style="424" customWidth="1"/>
    <col min="14867" max="14867" width="16.1640625" style="424" customWidth="1"/>
    <col min="14868" max="15104" width="10.5" style="424"/>
    <col min="15105" max="15105" width="4.83203125" style="424" customWidth="1"/>
    <col min="15106" max="15106" width="5" style="424" customWidth="1"/>
    <col min="15107" max="15107" width="15.83203125" style="424" customWidth="1"/>
    <col min="15108" max="15108" width="75.83203125" style="424" customWidth="1"/>
    <col min="15109" max="15109" width="7.83203125" style="424" customWidth="1"/>
    <col min="15110" max="15110" width="9.83203125" style="424" customWidth="1"/>
    <col min="15111" max="15111" width="11.6640625" style="424" customWidth="1"/>
    <col min="15112" max="15112" width="18.33203125" style="424" customWidth="1"/>
    <col min="15113" max="15113" width="20.5" style="424" customWidth="1"/>
    <col min="15114" max="15114" width="14.5" style="424" customWidth="1"/>
    <col min="15115" max="15116" width="10.5" style="424"/>
    <col min="15117" max="15118" width="14.83203125" style="424" customWidth="1"/>
    <col min="15119" max="15119" width="12.6640625" style="424" customWidth="1"/>
    <col min="15120" max="15120" width="20.1640625" style="424" customWidth="1"/>
    <col min="15121" max="15121" width="17.5" style="424" customWidth="1"/>
    <col min="15122" max="15122" width="14.33203125" style="424" customWidth="1"/>
    <col min="15123" max="15123" width="16.1640625" style="424" customWidth="1"/>
    <col min="15124" max="15360" width="10.5" style="424"/>
    <col min="15361" max="15361" width="4.83203125" style="424" customWidth="1"/>
    <col min="15362" max="15362" width="5" style="424" customWidth="1"/>
    <col min="15363" max="15363" width="15.83203125" style="424" customWidth="1"/>
    <col min="15364" max="15364" width="75.83203125" style="424" customWidth="1"/>
    <col min="15365" max="15365" width="7.83203125" style="424" customWidth="1"/>
    <col min="15366" max="15366" width="9.83203125" style="424" customWidth="1"/>
    <col min="15367" max="15367" width="11.6640625" style="424" customWidth="1"/>
    <col min="15368" max="15368" width="18.33203125" style="424" customWidth="1"/>
    <col min="15369" max="15369" width="20.5" style="424" customWidth="1"/>
    <col min="15370" max="15370" width="14.5" style="424" customWidth="1"/>
    <col min="15371" max="15372" width="10.5" style="424"/>
    <col min="15373" max="15374" width="14.83203125" style="424" customWidth="1"/>
    <col min="15375" max="15375" width="12.6640625" style="424" customWidth="1"/>
    <col min="15376" max="15376" width="20.1640625" style="424" customWidth="1"/>
    <col min="15377" max="15377" width="17.5" style="424" customWidth="1"/>
    <col min="15378" max="15378" width="14.33203125" style="424" customWidth="1"/>
    <col min="15379" max="15379" width="16.1640625" style="424" customWidth="1"/>
    <col min="15380" max="15616" width="10.5" style="424"/>
    <col min="15617" max="15617" width="4.83203125" style="424" customWidth="1"/>
    <col min="15618" max="15618" width="5" style="424" customWidth="1"/>
    <col min="15619" max="15619" width="15.83203125" style="424" customWidth="1"/>
    <col min="15620" max="15620" width="75.83203125" style="424" customWidth="1"/>
    <col min="15621" max="15621" width="7.83203125" style="424" customWidth="1"/>
    <col min="15622" max="15622" width="9.83203125" style="424" customWidth="1"/>
    <col min="15623" max="15623" width="11.6640625" style="424" customWidth="1"/>
    <col min="15624" max="15624" width="18.33203125" style="424" customWidth="1"/>
    <col min="15625" max="15625" width="20.5" style="424" customWidth="1"/>
    <col min="15626" max="15626" width="14.5" style="424" customWidth="1"/>
    <col min="15627" max="15628" width="10.5" style="424"/>
    <col min="15629" max="15630" width="14.83203125" style="424" customWidth="1"/>
    <col min="15631" max="15631" width="12.6640625" style="424" customWidth="1"/>
    <col min="15632" max="15632" width="20.1640625" style="424" customWidth="1"/>
    <col min="15633" max="15633" width="17.5" style="424" customWidth="1"/>
    <col min="15634" max="15634" width="14.33203125" style="424" customWidth="1"/>
    <col min="15635" max="15635" width="16.1640625" style="424" customWidth="1"/>
    <col min="15636" max="15872" width="10.5" style="424"/>
    <col min="15873" max="15873" width="4.83203125" style="424" customWidth="1"/>
    <col min="15874" max="15874" width="5" style="424" customWidth="1"/>
    <col min="15875" max="15875" width="15.83203125" style="424" customWidth="1"/>
    <col min="15876" max="15876" width="75.83203125" style="424" customWidth="1"/>
    <col min="15877" max="15877" width="7.83203125" style="424" customWidth="1"/>
    <col min="15878" max="15878" width="9.83203125" style="424" customWidth="1"/>
    <col min="15879" max="15879" width="11.6640625" style="424" customWidth="1"/>
    <col min="15880" max="15880" width="18.33203125" style="424" customWidth="1"/>
    <col min="15881" max="15881" width="20.5" style="424" customWidth="1"/>
    <col min="15882" max="15882" width="14.5" style="424" customWidth="1"/>
    <col min="15883" max="15884" width="10.5" style="424"/>
    <col min="15885" max="15886" width="14.83203125" style="424" customWidth="1"/>
    <col min="15887" max="15887" width="12.6640625" style="424" customWidth="1"/>
    <col min="15888" max="15888" width="20.1640625" style="424" customWidth="1"/>
    <col min="15889" max="15889" width="17.5" style="424" customWidth="1"/>
    <col min="15890" max="15890" width="14.33203125" style="424" customWidth="1"/>
    <col min="15891" max="15891" width="16.1640625" style="424" customWidth="1"/>
    <col min="15892" max="16128" width="10.5" style="424"/>
    <col min="16129" max="16129" width="4.83203125" style="424" customWidth="1"/>
    <col min="16130" max="16130" width="5" style="424" customWidth="1"/>
    <col min="16131" max="16131" width="15.83203125" style="424" customWidth="1"/>
    <col min="16132" max="16132" width="75.83203125" style="424" customWidth="1"/>
    <col min="16133" max="16133" width="7.83203125" style="424" customWidth="1"/>
    <col min="16134" max="16134" width="9.83203125" style="424" customWidth="1"/>
    <col min="16135" max="16135" width="11.6640625" style="424" customWidth="1"/>
    <col min="16136" max="16136" width="18.33203125" style="424" customWidth="1"/>
    <col min="16137" max="16137" width="20.5" style="424" customWidth="1"/>
    <col min="16138" max="16138" width="14.5" style="424" customWidth="1"/>
    <col min="16139" max="16140" width="10.5" style="424"/>
    <col min="16141" max="16142" width="14.83203125" style="424" customWidth="1"/>
    <col min="16143" max="16143" width="12.6640625" style="424" customWidth="1"/>
    <col min="16144" max="16144" width="20.1640625" style="424" customWidth="1"/>
    <col min="16145" max="16145" width="17.5" style="424" customWidth="1"/>
    <col min="16146" max="16146" width="14.33203125" style="424" customWidth="1"/>
    <col min="16147" max="16147" width="16.1640625" style="424" customWidth="1"/>
    <col min="16148" max="16384" width="10.5" style="424"/>
  </cols>
  <sheetData>
    <row r="1" spans="1:37" ht="20.25" customHeight="1">
      <c r="A1" s="1" t="s">
        <v>2760</v>
      </c>
      <c r="B1" s="887"/>
      <c r="C1" s="887"/>
      <c r="D1" s="887"/>
      <c r="E1" s="887"/>
      <c r="F1" s="1421"/>
      <c r="G1" s="887"/>
      <c r="H1" s="887"/>
      <c r="I1" s="888"/>
      <c r="J1" s="1422"/>
      <c r="K1" s="593"/>
      <c r="L1" s="593"/>
      <c r="M1" s="593"/>
    </row>
    <row r="2" spans="1:37" s="1423" customFormat="1" ht="13.5" customHeight="1">
      <c r="A2" s="5199" t="s">
        <v>115</v>
      </c>
      <c r="B2" s="5200"/>
      <c r="C2" s="5200"/>
      <c r="D2" s="5200"/>
      <c r="E2" s="5200"/>
      <c r="F2" s="5200"/>
      <c r="G2" s="5200"/>
      <c r="H2" s="5200"/>
      <c r="I2" s="5200"/>
    </row>
    <row r="3" spans="1:37" s="1424" customFormat="1" ht="13.5" customHeight="1">
      <c r="A3" s="5228" t="s">
        <v>6132</v>
      </c>
      <c r="B3" s="5228"/>
      <c r="C3" s="5228"/>
      <c r="D3" s="5228"/>
      <c r="E3" s="886"/>
      <c r="F3" s="1421"/>
      <c r="G3" s="887"/>
      <c r="H3" s="888"/>
      <c r="I3" s="888"/>
    </row>
    <row r="4" spans="1:37" s="1423" customFormat="1" ht="12.75" customHeight="1">
      <c r="A4" s="417" t="s">
        <v>6133</v>
      </c>
      <c r="B4" s="1425"/>
      <c r="C4" s="1425"/>
      <c r="D4" s="1425"/>
      <c r="E4" s="418"/>
      <c r="F4" s="419"/>
      <c r="G4" s="420"/>
      <c r="H4" s="420"/>
    </row>
    <row r="5" spans="1:37" ht="12.75" customHeight="1">
      <c r="A5" s="421"/>
      <c r="B5" s="421"/>
      <c r="C5" s="421"/>
      <c r="D5" s="1426"/>
      <c r="E5" s="421"/>
      <c r="F5" s="422"/>
      <c r="G5" s="423"/>
      <c r="H5" s="423"/>
    </row>
    <row r="6" spans="1:37" ht="24.75" customHeight="1">
      <c r="A6" s="425" t="s">
        <v>118</v>
      </c>
      <c r="B6" s="425" t="s">
        <v>119</v>
      </c>
      <c r="C6" s="425" t="s">
        <v>120</v>
      </c>
      <c r="D6" s="425" t="s">
        <v>121</v>
      </c>
      <c r="E6" s="425" t="s">
        <v>122</v>
      </c>
      <c r="F6" s="426" t="s">
        <v>123</v>
      </c>
      <c r="G6" s="425" t="s">
        <v>124</v>
      </c>
      <c r="H6" s="425" t="s">
        <v>2</v>
      </c>
      <c r="I6" s="425" t="s">
        <v>46</v>
      </c>
      <c r="J6" s="1427"/>
    </row>
    <row r="7" spans="1:37" ht="12.75" customHeight="1">
      <c r="A7" s="425" t="s">
        <v>125</v>
      </c>
      <c r="B7" s="425" t="s">
        <v>126</v>
      </c>
      <c r="C7" s="425" t="s">
        <v>127</v>
      </c>
      <c r="D7" s="425" t="s">
        <v>128</v>
      </c>
      <c r="E7" s="425" t="s">
        <v>129</v>
      </c>
      <c r="F7" s="426" t="s">
        <v>130</v>
      </c>
      <c r="G7" s="425" t="s">
        <v>131</v>
      </c>
      <c r="H7" s="425">
        <v>8</v>
      </c>
      <c r="I7" s="425">
        <v>9</v>
      </c>
      <c r="J7" s="1428"/>
    </row>
    <row r="8" spans="1:37" ht="21" customHeight="1">
      <c r="A8" s="427"/>
      <c r="B8" s="428"/>
      <c r="C8" s="428" t="s">
        <v>132</v>
      </c>
      <c r="D8" s="428" t="s">
        <v>133</v>
      </c>
      <c r="E8" s="428"/>
      <c r="F8" s="429"/>
      <c r="G8" s="430"/>
      <c r="H8" s="430">
        <f>H9+H109</f>
        <v>0</v>
      </c>
      <c r="J8" s="1429"/>
      <c r="K8" s="1430"/>
      <c r="M8" s="1431"/>
      <c r="N8" s="1431"/>
    </row>
    <row r="9" spans="1:37" s="1423" customFormat="1" ht="13.5" customHeight="1">
      <c r="A9" s="1432"/>
      <c r="B9" s="1433"/>
      <c r="C9" s="1433">
        <v>1</v>
      </c>
      <c r="D9" s="1433" t="s">
        <v>134</v>
      </c>
      <c r="E9" s="1433"/>
      <c r="F9" s="1434"/>
      <c r="G9" s="1435"/>
      <c r="H9" s="1435">
        <f>SUM(H10:H92,H96:H97,H100:H102,H107:H108)</f>
        <v>0</v>
      </c>
      <c r="I9" s="1436"/>
      <c r="J9" s="1437"/>
      <c r="K9" s="1437"/>
      <c r="O9" s="1438"/>
      <c r="P9" s="1438"/>
    </row>
    <row r="10" spans="1:37" s="467" customFormat="1" ht="13.5" customHeight="1">
      <c r="A10" s="942">
        <v>1</v>
      </c>
      <c r="B10" s="1439" t="s">
        <v>135</v>
      </c>
      <c r="C10" s="943">
        <v>111111101</v>
      </c>
      <c r="D10" s="943" t="s">
        <v>6134</v>
      </c>
      <c r="E10" s="943" t="s">
        <v>163</v>
      </c>
      <c r="F10" s="1128">
        <f>SUM(F11:F11)</f>
        <v>964.4</v>
      </c>
      <c r="G10" s="1209"/>
      <c r="H10" s="945">
        <f>F10*G10</f>
        <v>0</v>
      </c>
      <c r="I10" s="744" t="s">
        <v>137</v>
      </c>
      <c r="J10" s="1440"/>
      <c r="K10" s="1441"/>
      <c r="L10" s="1136"/>
      <c r="M10" s="1127"/>
      <c r="N10" s="1127"/>
      <c r="O10" s="1055"/>
      <c r="P10" s="1127"/>
      <c r="Q10" s="1057"/>
      <c r="R10" s="1058"/>
      <c r="S10" s="1058"/>
      <c r="T10" s="1059"/>
      <c r="V10" s="1060"/>
    </row>
    <row r="11" spans="1:37" s="467" customFormat="1" ht="13.5" customHeight="1">
      <c r="A11" s="942"/>
      <c r="B11" s="1439"/>
      <c r="C11" s="943"/>
      <c r="D11" s="1132" t="s">
        <v>6135</v>
      </c>
      <c r="E11" s="943"/>
      <c r="F11" s="951">
        <f>(567+397.4)</f>
        <v>964.4</v>
      </c>
      <c r="G11" s="1209"/>
      <c r="H11" s="945"/>
      <c r="I11" s="744"/>
      <c r="J11" s="1442"/>
      <c r="K11" s="1441"/>
      <c r="L11" s="1443"/>
      <c r="M11" s="1443"/>
      <c r="N11" s="1443"/>
      <c r="O11" s="1055"/>
      <c r="P11" s="1127"/>
      <c r="Q11" s="1057"/>
      <c r="R11" s="1058"/>
      <c r="S11" s="1058"/>
      <c r="T11" s="1059"/>
      <c r="V11" s="1060"/>
    </row>
    <row r="12" spans="1:37" s="467" customFormat="1" ht="13.5" customHeight="1">
      <c r="A12" s="942">
        <v>2</v>
      </c>
      <c r="B12" s="1439" t="s">
        <v>135</v>
      </c>
      <c r="C12" s="943">
        <v>111111102</v>
      </c>
      <c r="D12" s="943" t="s">
        <v>6136</v>
      </c>
      <c r="E12" s="943" t="s">
        <v>163</v>
      </c>
      <c r="F12" s="1128">
        <f>SUM(F13:F13)</f>
        <v>197.2</v>
      </c>
      <c r="G12" s="1209"/>
      <c r="H12" s="945">
        <f>F12*G12</f>
        <v>0</v>
      </c>
      <c r="I12" s="744" t="s">
        <v>137</v>
      </c>
      <c r="J12" s="1440"/>
      <c r="K12" s="1441"/>
      <c r="L12" s="1136"/>
      <c r="M12" s="1127"/>
      <c r="N12" s="1127"/>
      <c r="O12" s="1055"/>
      <c r="P12" s="1127"/>
      <c r="Q12" s="1057"/>
      <c r="R12" s="1058"/>
      <c r="S12" s="1058"/>
      <c r="T12" s="1059"/>
      <c r="V12" s="1060"/>
    </row>
    <row r="13" spans="1:37" s="467" customFormat="1" ht="13.5" customHeight="1">
      <c r="A13" s="942"/>
      <c r="B13" s="1439"/>
      <c r="C13" s="943"/>
      <c r="D13" s="1132" t="s">
        <v>6137</v>
      </c>
      <c r="E13" s="943"/>
      <c r="F13" s="951">
        <f>(197.2)</f>
        <v>197.2</v>
      </c>
      <c r="G13" s="1209"/>
      <c r="H13" s="945"/>
      <c r="I13" s="744"/>
      <c r="J13" s="1442"/>
      <c r="K13" s="1441"/>
      <c r="L13" s="1443"/>
      <c r="M13" s="1443"/>
      <c r="N13" s="1443"/>
      <c r="O13" s="1055"/>
      <c r="P13" s="1127"/>
      <c r="Q13" s="1057"/>
      <c r="R13" s="1058"/>
      <c r="S13" s="1058"/>
      <c r="T13" s="1059"/>
      <c r="V13" s="1060"/>
    </row>
    <row r="14" spans="1:37" s="647" customFormat="1" ht="13.5" customHeight="1">
      <c r="A14" s="608">
        <v>3</v>
      </c>
      <c r="B14" s="659" t="s">
        <v>135</v>
      </c>
      <c r="C14" s="557">
        <v>111211101</v>
      </c>
      <c r="D14" s="557" t="s">
        <v>6138</v>
      </c>
      <c r="E14" s="557" t="s">
        <v>163</v>
      </c>
      <c r="F14" s="1444">
        <f>SUM(F16:F16)</f>
        <v>54</v>
      </c>
      <c r="G14" s="301"/>
      <c r="H14" s="620">
        <f>F14*G14</f>
        <v>0</v>
      </c>
      <c r="I14" s="744" t="s">
        <v>137</v>
      </c>
      <c r="J14" s="1445"/>
      <c r="K14" s="1446"/>
      <c r="L14" s="1248"/>
      <c r="M14" s="1248"/>
      <c r="N14" s="1248"/>
      <c r="O14" s="1248"/>
      <c r="P14" s="1447"/>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row>
    <row r="15" spans="1:37" s="647" customFormat="1" ht="13.5" customHeight="1">
      <c r="A15" s="608"/>
      <c r="B15" s="659"/>
      <c r="C15" s="557"/>
      <c r="D15" s="1132" t="s">
        <v>6139</v>
      </c>
      <c r="E15" s="557"/>
      <c r="F15" s="1444"/>
      <c r="G15" s="301"/>
      <c r="H15" s="620"/>
      <c r="I15" s="613"/>
      <c r="J15" s="1448"/>
      <c r="K15" s="1446"/>
      <c r="L15" s="1248"/>
      <c r="M15" s="1447"/>
      <c r="N15" s="1447"/>
      <c r="O15" s="1449"/>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row>
    <row r="16" spans="1:37" s="647" customFormat="1" ht="13.5" customHeight="1">
      <c r="A16" s="608"/>
      <c r="B16" s="659"/>
      <c r="C16" s="557"/>
      <c r="D16" s="1132" t="s">
        <v>6140</v>
      </c>
      <c r="E16" s="557"/>
      <c r="F16" s="1450">
        <f>(24+30)</f>
        <v>54</v>
      </c>
      <c r="G16" s="301"/>
      <c r="H16" s="620"/>
      <c r="I16" s="613"/>
      <c r="J16" s="1445"/>
      <c r="K16" s="1282"/>
      <c r="L16" s="1248"/>
      <c r="M16" s="1447"/>
      <c r="N16" s="1447"/>
      <c r="O16" s="1449"/>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row>
    <row r="17" spans="1:256" s="647" customFormat="1" ht="27" customHeight="1">
      <c r="A17" s="608"/>
      <c r="B17" s="659"/>
      <c r="C17" s="557"/>
      <c r="D17" s="599" t="s">
        <v>6141</v>
      </c>
      <c r="E17" s="557"/>
      <c r="F17" s="600"/>
      <c r="G17" s="301"/>
      <c r="H17" s="620"/>
      <c r="I17" s="613"/>
      <c r="J17" s="1451"/>
      <c r="K17" s="1451"/>
      <c r="L17" s="1248"/>
      <c r="M17" s="1452"/>
      <c r="N17" s="1452"/>
      <c r="O17" s="1449"/>
      <c r="P17" s="1294"/>
      <c r="Q17" s="1295"/>
      <c r="R17" s="1296"/>
      <c r="S17" s="1297"/>
      <c r="T17" s="1297"/>
      <c r="U17" s="1254"/>
      <c r="V17" s="1248"/>
      <c r="W17" s="1248"/>
      <c r="X17" s="1248"/>
      <c r="Y17" s="1248"/>
      <c r="Z17" s="1248"/>
      <c r="AA17" s="1248"/>
      <c r="AB17" s="1248"/>
      <c r="AC17" s="1248"/>
      <c r="AD17" s="1248"/>
      <c r="AE17" s="1248"/>
      <c r="AF17" s="1248"/>
      <c r="AG17" s="1248"/>
      <c r="AH17" s="1248"/>
      <c r="AI17" s="1248"/>
      <c r="AJ17" s="1248"/>
      <c r="AK17" s="1248"/>
    </row>
    <row r="18" spans="1:256" s="1248" customFormat="1" ht="13.5" customHeight="1">
      <c r="A18" s="942">
        <v>4</v>
      </c>
      <c r="B18" s="1439" t="s">
        <v>135</v>
      </c>
      <c r="C18" s="943">
        <v>121112003</v>
      </c>
      <c r="D18" s="943" t="s">
        <v>5076</v>
      </c>
      <c r="E18" s="943" t="s">
        <v>163</v>
      </c>
      <c r="F18" s="944">
        <f>SUM(F20:F21)</f>
        <v>1161.5999999999999</v>
      </c>
      <c r="G18" s="1209"/>
      <c r="H18" s="945">
        <f>F18*G18</f>
        <v>0</v>
      </c>
      <c r="I18" s="744" t="s">
        <v>137</v>
      </c>
      <c r="J18" s="1441"/>
      <c r="K18" s="1441"/>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7"/>
      <c r="GR18" s="467"/>
      <c r="GS18" s="467"/>
      <c r="GT18" s="467"/>
      <c r="GU18" s="467"/>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7"/>
      <c r="IB18" s="467"/>
      <c r="IC18" s="467"/>
      <c r="ID18" s="467"/>
      <c r="IE18" s="467"/>
      <c r="IF18" s="467"/>
      <c r="IG18" s="467"/>
      <c r="IH18" s="467"/>
      <c r="II18" s="467"/>
      <c r="IJ18" s="467"/>
      <c r="IK18" s="467"/>
      <c r="IL18" s="467"/>
      <c r="IM18" s="467"/>
      <c r="IN18" s="467"/>
      <c r="IO18" s="467"/>
      <c r="IP18" s="467"/>
      <c r="IQ18" s="467"/>
      <c r="IR18" s="467"/>
      <c r="IS18" s="467"/>
      <c r="IT18" s="467"/>
      <c r="IU18" s="467"/>
      <c r="IV18" s="467"/>
    </row>
    <row r="19" spans="1:256" s="1248" customFormat="1" ht="13.5" customHeight="1">
      <c r="A19" s="942"/>
      <c r="B19" s="1439"/>
      <c r="C19" s="943"/>
      <c r="D19" s="1132" t="s">
        <v>6142</v>
      </c>
      <c r="E19" s="943"/>
      <c r="F19" s="944"/>
      <c r="G19" s="1209"/>
      <c r="H19" s="945"/>
      <c r="I19" s="744"/>
      <c r="J19" s="1441"/>
      <c r="K19" s="1441"/>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7"/>
      <c r="FC19" s="467"/>
      <c r="FD19" s="467"/>
      <c r="FE19" s="467"/>
      <c r="FF19" s="467"/>
      <c r="FG19" s="467"/>
      <c r="FH19" s="467"/>
      <c r="FI19" s="467"/>
      <c r="FJ19" s="467"/>
      <c r="FK19" s="467"/>
      <c r="FL19" s="467"/>
      <c r="FM19" s="467"/>
      <c r="FN19" s="467"/>
      <c r="FO19" s="467"/>
      <c r="FP19" s="467"/>
      <c r="FQ19" s="467"/>
      <c r="FR19" s="467"/>
      <c r="FS19" s="467"/>
      <c r="FT19" s="467"/>
      <c r="FU19" s="467"/>
      <c r="FV19" s="467"/>
      <c r="FW19" s="467"/>
      <c r="FX19" s="467"/>
      <c r="FY19" s="467"/>
      <c r="FZ19" s="467"/>
      <c r="GA19" s="467"/>
      <c r="GB19" s="467"/>
      <c r="GC19" s="467"/>
      <c r="GD19" s="467"/>
      <c r="GE19" s="467"/>
      <c r="GF19" s="467"/>
      <c r="GG19" s="467"/>
      <c r="GH19" s="467"/>
      <c r="GI19" s="467"/>
      <c r="GJ19" s="467"/>
      <c r="GK19" s="467"/>
      <c r="GL19" s="467"/>
      <c r="GM19" s="467"/>
      <c r="GN19" s="467"/>
      <c r="GO19" s="467"/>
      <c r="GP19" s="467"/>
      <c r="GQ19" s="467"/>
      <c r="GR19" s="467"/>
      <c r="GS19" s="467"/>
      <c r="GT19" s="467"/>
      <c r="GU19" s="467"/>
      <c r="GV19" s="467"/>
      <c r="GW19" s="467"/>
      <c r="GX19" s="467"/>
      <c r="GY19" s="467"/>
      <c r="GZ19" s="467"/>
      <c r="HA19" s="467"/>
      <c r="HB19" s="467"/>
      <c r="HC19" s="467"/>
      <c r="HD19" s="467"/>
      <c r="HE19" s="467"/>
      <c r="HF19" s="467"/>
      <c r="HG19" s="467"/>
      <c r="HH19" s="467"/>
      <c r="HI19" s="467"/>
      <c r="HJ19" s="467"/>
      <c r="HK19" s="467"/>
      <c r="HL19" s="467"/>
      <c r="HM19" s="467"/>
      <c r="HN19" s="467"/>
      <c r="HO19" s="467"/>
      <c r="HP19" s="467"/>
      <c r="HQ19" s="467"/>
      <c r="HR19" s="467"/>
      <c r="HS19" s="467"/>
      <c r="HT19" s="467"/>
      <c r="HU19" s="467"/>
      <c r="HV19" s="467"/>
      <c r="HW19" s="467"/>
      <c r="HX19" s="467"/>
      <c r="HY19" s="467"/>
      <c r="HZ19" s="467"/>
      <c r="IA19" s="467"/>
      <c r="IB19" s="467"/>
      <c r="IC19" s="467"/>
      <c r="ID19" s="467"/>
      <c r="IE19" s="467"/>
      <c r="IF19" s="467"/>
      <c r="IG19" s="467"/>
      <c r="IH19" s="467"/>
      <c r="II19" s="467"/>
      <c r="IJ19" s="467"/>
      <c r="IK19" s="467"/>
      <c r="IL19" s="467"/>
      <c r="IM19" s="467"/>
      <c r="IN19" s="467"/>
      <c r="IO19" s="467"/>
      <c r="IP19" s="467"/>
      <c r="IQ19" s="467"/>
      <c r="IR19" s="467"/>
      <c r="IS19" s="467"/>
      <c r="IT19" s="467"/>
      <c r="IU19" s="467"/>
      <c r="IV19" s="467"/>
    </row>
    <row r="20" spans="1:256" s="1248" customFormat="1" ht="13.5" customHeight="1">
      <c r="A20" s="942"/>
      <c r="B20" s="943"/>
      <c r="C20" s="943"/>
      <c r="D20" s="1132" t="s">
        <v>6143</v>
      </c>
      <c r="E20" s="943"/>
      <c r="F20" s="951">
        <f>(397.4+567)</f>
        <v>964.4</v>
      </c>
      <c r="G20" s="1545"/>
      <c r="H20" s="945"/>
      <c r="I20" s="744"/>
      <c r="J20" s="1453"/>
      <c r="K20" s="1441"/>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467"/>
      <c r="DL20" s="467"/>
      <c r="DM20" s="467"/>
      <c r="DN20" s="467"/>
      <c r="DO20" s="467"/>
      <c r="DP20" s="467"/>
      <c r="DQ20" s="467"/>
      <c r="DR20" s="467"/>
      <c r="DS20" s="467"/>
      <c r="DT20" s="467"/>
      <c r="DU20" s="467"/>
      <c r="DV20" s="467"/>
      <c r="DW20" s="467"/>
      <c r="DX20" s="467"/>
      <c r="DY20" s="467"/>
      <c r="DZ20" s="467"/>
      <c r="EA20" s="467"/>
      <c r="EB20" s="467"/>
      <c r="EC20" s="467"/>
      <c r="ED20" s="467"/>
      <c r="EE20" s="467"/>
      <c r="EF20" s="467"/>
      <c r="EG20" s="467"/>
      <c r="EH20" s="467"/>
      <c r="EI20" s="467"/>
      <c r="EJ20" s="467"/>
      <c r="EK20" s="467"/>
      <c r="EL20" s="467"/>
      <c r="EM20" s="467"/>
      <c r="EN20" s="467"/>
      <c r="EO20" s="467"/>
      <c r="EP20" s="467"/>
      <c r="EQ20" s="467"/>
      <c r="ER20" s="467"/>
      <c r="ES20" s="467"/>
      <c r="ET20" s="467"/>
      <c r="EU20" s="467"/>
      <c r="EV20" s="467"/>
      <c r="EW20" s="467"/>
      <c r="EX20" s="467"/>
      <c r="EY20" s="467"/>
      <c r="EZ20" s="467"/>
      <c r="FA20" s="467"/>
      <c r="FB20" s="467"/>
      <c r="FC20" s="467"/>
      <c r="FD20" s="467"/>
      <c r="FE20" s="467"/>
      <c r="FF20" s="467"/>
      <c r="FG20" s="467"/>
      <c r="FH20" s="467"/>
      <c r="FI20" s="467"/>
      <c r="FJ20" s="467"/>
      <c r="FK20" s="467"/>
      <c r="FL20" s="467"/>
      <c r="FM20" s="467"/>
      <c r="FN20" s="467"/>
      <c r="FO20" s="467"/>
      <c r="FP20" s="467"/>
      <c r="FQ20" s="467"/>
      <c r="FR20" s="467"/>
      <c r="FS20" s="467"/>
      <c r="FT20" s="467"/>
      <c r="FU20" s="467"/>
      <c r="FV20" s="467"/>
      <c r="FW20" s="467"/>
      <c r="FX20" s="467"/>
      <c r="FY20" s="467"/>
      <c r="FZ20" s="467"/>
      <c r="GA20" s="467"/>
      <c r="GB20" s="467"/>
      <c r="GC20" s="467"/>
      <c r="GD20" s="467"/>
      <c r="GE20" s="467"/>
      <c r="GF20" s="467"/>
      <c r="GG20" s="467"/>
      <c r="GH20" s="467"/>
      <c r="GI20" s="467"/>
      <c r="GJ20" s="467"/>
      <c r="GK20" s="467"/>
      <c r="GL20" s="467"/>
      <c r="GM20" s="467"/>
      <c r="GN20" s="467"/>
      <c r="GO20" s="467"/>
      <c r="GP20" s="467"/>
      <c r="GQ20" s="467"/>
      <c r="GR20" s="467"/>
      <c r="GS20" s="467"/>
      <c r="GT20" s="467"/>
      <c r="GU20" s="467"/>
      <c r="GV20" s="467"/>
      <c r="GW20" s="467"/>
      <c r="GX20" s="467"/>
      <c r="GY20" s="467"/>
      <c r="GZ20" s="467"/>
      <c r="HA20" s="467"/>
      <c r="HB20" s="467"/>
      <c r="HC20" s="467"/>
      <c r="HD20" s="467"/>
      <c r="HE20" s="467"/>
      <c r="HF20" s="467"/>
      <c r="HG20" s="467"/>
      <c r="HH20" s="467"/>
      <c r="HI20" s="467"/>
      <c r="HJ20" s="467"/>
      <c r="HK20" s="467"/>
      <c r="HL20" s="467"/>
      <c r="HM20" s="467"/>
      <c r="HN20" s="467"/>
      <c r="HO20" s="467"/>
      <c r="HP20" s="467"/>
      <c r="HQ20" s="467"/>
      <c r="HR20" s="467"/>
      <c r="HS20" s="467"/>
      <c r="HT20" s="467"/>
      <c r="HU20" s="467"/>
      <c r="HV20" s="467"/>
      <c r="HW20" s="467"/>
      <c r="HX20" s="467"/>
      <c r="HY20" s="467"/>
      <c r="HZ20" s="467"/>
      <c r="IA20" s="467"/>
      <c r="IB20" s="467"/>
      <c r="IC20" s="467"/>
      <c r="ID20" s="467"/>
      <c r="IE20" s="467"/>
      <c r="IF20" s="467"/>
      <c r="IG20" s="467"/>
      <c r="IH20" s="467"/>
      <c r="II20" s="467"/>
      <c r="IJ20" s="467"/>
      <c r="IK20" s="467"/>
      <c r="IL20" s="467"/>
      <c r="IM20" s="467"/>
      <c r="IN20" s="467"/>
      <c r="IO20" s="467"/>
      <c r="IP20" s="467"/>
      <c r="IQ20" s="467"/>
      <c r="IR20" s="467"/>
      <c r="IS20" s="467"/>
      <c r="IT20" s="467"/>
      <c r="IU20" s="467"/>
      <c r="IV20" s="467"/>
    </row>
    <row r="21" spans="1:256" s="1248" customFormat="1" ht="13.5" customHeight="1">
      <c r="A21" s="942"/>
      <c r="B21" s="943"/>
      <c r="C21" s="943"/>
      <c r="D21" s="1132" t="s">
        <v>6144</v>
      </c>
      <c r="E21" s="943"/>
      <c r="F21" s="951">
        <v>197.2</v>
      </c>
      <c r="G21" s="1545"/>
      <c r="H21" s="945"/>
      <c r="I21" s="744"/>
      <c r="J21" s="1453"/>
      <c r="K21" s="1441"/>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c r="EY21" s="467"/>
      <c r="EZ21" s="467"/>
      <c r="FA21" s="467"/>
      <c r="FB21" s="467"/>
      <c r="FC21" s="467"/>
      <c r="FD21" s="467"/>
      <c r="FE21" s="467"/>
      <c r="FF21" s="467"/>
      <c r="FG21" s="467"/>
      <c r="FH21" s="467"/>
      <c r="FI21" s="467"/>
      <c r="FJ21" s="467"/>
      <c r="FK21" s="467"/>
      <c r="FL21" s="467"/>
      <c r="FM21" s="467"/>
      <c r="FN21" s="467"/>
      <c r="FO21" s="467"/>
      <c r="FP21" s="467"/>
      <c r="FQ21" s="467"/>
      <c r="FR21" s="467"/>
      <c r="FS21" s="467"/>
      <c r="FT21" s="467"/>
      <c r="FU21" s="467"/>
      <c r="FV21" s="467"/>
      <c r="FW21" s="467"/>
      <c r="FX21" s="467"/>
      <c r="FY21" s="467"/>
      <c r="FZ21" s="467"/>
      <c r="GA21" s="467"/>
      <c r="GB21" s="467"/>
      <c r="GC21" s="467"/>
      <c r="GD21" s="467"/>
      <c r="GE21" s="467"/>
      <c r="GF21" s="467"/>
      <c r="GG21" s="467"/>
      <c r="GH21" s="467"/>
      <c r="GI21" s="467"/>
      <c r="GJ21" s="467"/>
      <c r="GK21" s="467"/>
      <c r="GL21" s="467"/>
      <c r="GM21" s="467"/>
      <c r="GN21" s="467"/>
      <c r="GO21" s="467"/>
      <c r="GP21" s="467"/>
      <c r="GQ21" s="467"/>
      <c r="GR21" s="467"/>
      <c r="GS21" s="467"/>
      <c r="GT21" s="467"/>
      <c r="GU21" s="467"/>
      <c r="GV21" s="467"/>
      <c r="GW21" s="467"/>
      <c r="GX21" s="467"/>
      <c r="GY21" s="467"/>
      <c r="GZ21" s="467"/>
      <c r="HA21" s="467"/>
      <c r="HB21" s="467"/>
      <c r="HC21" s="467"/>
      <c r="HD21" s="467"/>
      <c r="HE21" s="467"/>
      <c r="HF21" s="467"/>
      <c r="HG21" s="467"/>
      <c r="HH21" s="467"/>
      <c r="HI21" s="467"/>
      <c r="HJ21" s="467"/>
      <c r="HK21" s="467"/>
      <c r="HL21" s="467"/>
      <c r="HM21" s="467"/>
      <c r="HN21" s="467"/>
      <c r="HO21" s="467"/>
      <c r="HP21" s="467"/>
      <c r="HQ21" s="467"/>
      <c r="HR21" s="467"/>
      <c r="HS21" s="467"/>
      <c r="HT21" s="467"/>
      <c r="HU21" s="467"/>
      <c r="HV21" s="467"/>
      <c r="HW21" s="467"/>
      <c r="HX21" s="467"/>
      <c r="HY21" s="467"/>
      <c r="HZ21" s="467"/>
      <c r="IA21" s="467"/>
      <c r="IB21" s="467"/>
      <c r="IC21" s="467"/>
      <c r="ID21" s="467"/>
      <c r="IE21" s="467"/>
      <c r="IF21" s="467"/>
      <c r="IG21" s="467"/>
      <c r="IH21" s="467"/>
      <c r="II21" s="467"/>
      <c r="IJ21" s="467"/>
      <c r="IK21" s="467"/>
      <c r="IL21" s="467"/>
      <c r="IM21" s="467"/>
      <c r="IN21" s="467"/>
      <c r="IO21" s="467"/>
      <c r="IP21" s="467"/>
      <c r="IQ21" s="467"/>
      <c r="IR21" s="467"/>
      <c r="IS21" s="467"/>
      <c r="IT21" s="467"/>
      <c r="IU21" s="467"/>
      <c r="IV21" s="467"/>
    </row>
    <row r="22" spans="1:256" s="1248" customFormat="1" ht="13.5" customHeight="1">
      <c r="A22" s="1454"/>
      <c r="B22" s="1278"/>
      <c r="C22" s="1278"/>
      <c r="D22" s="1132" t="s">
        <v>6145</v>
      </c>
      <c r="E22" s="1278"/>
      <c r="F22" s="1279"/>
      <c r="G22" s="431"/>
      <c r="H22" s="1455"/>
      <c r="I22" s="1256"/>
      <c r="J22" s="1441"/>
      <c r="K22" s="1282"/>
    </row>
    <row r="23" spans="1:256" s="1248" customFormat="1" ht="27" customHeight="1">
      <c r="A23" s="1251" t="s">
        <v>129</v>
      </c>
      <c r="B23" s="1252" t="s">
        <v>5110</v>
      </c>
      <c r="C23" s="1245">
        <v>181111111</v>
      </c>
      <c r="D23" s="1245" t="s">
        <v>6146</v>
      </c>
      <c r="E23" s="1245" t="s">
        <v>163</v>
      </c>
      <c r="F23" s="1246">
        <f>SUM(F24)</f>
        <v>964.4</v>
      </c>
      <c r="G23" s="405"/>
      <c r="H23" s="1253">
        <f>F23*G23</f>
        <v>0</v>
      </c>
      <c r="I23" s="744" t="s">
        <v>137</v>
      </c>
      <c r="J23" s="1456"/>
      <c r="K23" s="1282"/>
    </row>
    <row r="24" spans="1:256" s="1248" customFormat="1" ht="13.5" customHeight="1">
      <c r="A24" s="1251"/>
      <c r="B24" s="1252"/>
      <c r="C24" s="1245"/>
      <c r="D24" s="1255" t="s">
        <v>6147</v>
      </c>
      <c r="E24" s="1245"/>
      <c r="F24" s="1249">
        <v>964.4</v>
      </c>
      <c r="G24" s="405"/>
      <c r="H24" s="1253"/>
      <c r="I24" s="1280"/>
      <c r="J24" s="1457"/>
      <c r="K24" s="1458"/>
      <c r="M24" s="1458"/>
      <c r="N24" s="1458"/>
    </row>
    <row r="25" spans="1:256" s="1248" customFormat="1" ht="27" customHeight="1">
      <c r="A25" s="1251" t="s">
        <v>130</v>
      </c>
      <c r="B25" s="1252" t="s">
        <v>5110</v>
      </c>
      <c r="C25" s="1245">
        <v>181111113</v>
      </c>
      <c r="D25" s="1245" t="s">
        <v>6148</v>
      </c>
      <c r="E25" s="1245" t="s">
        <v>163</v>
      </c>
      <c r="F25" s="1246">
        <f>SUM(F26)</f>
        <v>197.2</v>
      </c>
      <c r="G25" s="405"/>
      <c r="H25" s="1253">
        <f>F25*G25</f>
        <v>0</v>
      </c>
      <c r="I25" s="744" t="s">
        <v>137</v>
      </c>
      <c r="J25" s="1456"/>
      <c r="K25" s="1282"/>
    </row>
    <row r="26" spans="1:256" s="1248" customFormat="1" ht="13.5" customHeight="1">
      <c r="A26" s="1251"/>
      <c r="B26" s="1252"/>
      <c r="C26" s="1245"/>
      <c r="D26" s="1255" t="s">
        <v>6149</v>
      </c>
      <c r="E26" s="1245"/>
      <c r="F26" s="1249">
        <v>197.2</v>
      </c>
      <c r="G26" s="405"/>
      <c r="H26" s="1253"/>
      <c r="I26" s="1280"/>
      <c r="J26" s="1457"/>
      <c r="K26" s="1458"/>
      <c r="M26" s="1458"/>
      <c r="N26" s="1458"/>
    </row>
    <row r="27" spans="1:256" s="1248" customFormat="1" ht="13.5" customHeight="1">
      <c r="A27" s="1251" t="s">
        <v>131</v>
      </c>
      <c r="B27" s="1252" t="s">
        <v>135</v>
      </c>
      <c r="C27" s="1245">
        <v>181311103</v>
      </c>
      <c r="D27" s="1245" t="s">
        <v>5113</v>
      </c>
      <c r="E27" s="1245" t="s">
        <v>163</v>
      </c>
      <c r="F27" s="1246">
        <f>SUM(F28:F28)</f>
        <v>680</v>
      </c>
      <c r="G27" s="405"/>
      <c r="H27" s="1253">
        <f>F27*G27</f>
        <v>0</v>
      </c>
      <c r="I27" s="744" t="s">
        <v>137</v>
      </c>
      <c r="J27" s="1459"/>
    </row>
    <row r="28" spans="1:256" s="1248" customFormat="1" ht="13.5" customHeight="1">
      <c r="A28" s="1251"/>
      <c r="B28" s="1252"/>
      <c r="C28" s="1245"/>
      <c r="D28" s="1255" t="s">
        <v>6150</v>
      </c>
      <c r="E28" s="1245"/>
      <c r="F28" s="1249">
        <f>(322+358)</f>
        <v>680</v>
      </c>
      <c r="G28" s="405"/>
      <c r="H28" s="1253"/>
      <c r="I28" s="1280"/>
      <c r="J28" s="1460"/>
      <c r="K28" s="1461"/>
    </row>
    <row r="29" spans="1:256" s="1248" customFormat="1" ht="13.5" customHeight="1">
      <c r="A29" s="1251" t="s">
        <v>1171</v>
      </c>
      <c r="B29" s="1252" t="s">
        <v>135</v>
      </c>
      <c r="C29" s="1245">
        <v>182311123</v>
      </c>
      <c r="D29" s="1245" t="s">
        <v>6151</v>
      </c>
      <c r="E29" s="1245" t="s">
        <v>163</v>
      </c>
      <c r="F29" s="1246">
        <f>SUM(F30:F30)</f>
        <v>127.6</v>
      </c>
      <c r="G29" s="405"/>
      <c r="H29" s="1253">
        <f>F29*G29</f>
        <v>0</v>
      </c>
      <c r="I29" s="744" t="s">
        <v>137</v>
      </c>
      <c r="J29" s="1459"/>
    </row>
    <row r="30" spans="1:256" s="1248" customFormat="1" ht="13.5" customHeight="1">
      <c r="A30" s="1251"/>
      <c r="B30" s="1252"/>
      <c r="C30" s="1245"/>
      <c r="D30" s="1255" t="s">
        <v>6152</v>
      </c>
      <c r="E30" s="1245"/>
      <c r="F30" s="1249">
        <v>127.6</v>
      </c>
      <c r="G30" s="405"/>
      <c r="H30" s="1253"/>
      <c r="I30" s="1280"/>
      <c r="J30" s="1460"/>
      <c r="K30" s="1461"/>
    </row>
    <row r="31" spans="1:256" s="1248" customFormat="1" ht="13.5" customHeight="1">
      <c r="A31" s="1291">
        <v>9</v>
      </c>
      <c r="B31" s="1252" t="s">
        <v>5110</v>
      </c>
      <c r="C31" s="1245">
        <v>181411151</v>
      </c>
      <c r="D31" s="1462" t="s">
        <v>6153</v>
      </c>
      <c r="E31" s="1245" t="s">
        <v>163</v>
      </c>
      <c r="F31" s="1246">
        <f>SUM(F32)</f>
        <v>680</v>
      </c>
      <c r="G31" s="405"/>
      <c r="H31" s="1253">
        <f>F31*G31</f>
        <v>0</v>
      </c>
      <c r="I31" s="744" t="s">
        <v>137</v>
      </c>
      <c r="J31" s="1463"/>
      <c r="K31" s="1464"/>
      <c r="L31" s="1465"/>
      <c r="M31" s="1466"/>
      <c r="N31" s="1466"/>
      <c r="O31" s="1467"/>
      <c r="P31" s="1466"/>
      <c r="Q31" s="1468"/>
      <c r="R31" s="1469"/>
      <c r="S31" s="1470"/>
      <c r="W31" s="1471"/>
    </row>
    <row r="32" spans="1:256" s="1248" customFormat="1" ht="13.5" customHeight="1">
      <c r="A32" s="1291"/>
      <c r="B32" s="1252"/>
      <c r="C32" s="1472"/>
      <c r="D32" s="1255" t="s">
        <v>6154</v>
      </c>
      <c r="E32" s="1245"/>
      <c r="F32" s="1249">
        <f xml:space="preserve"> (680)</f>
        <v>680</v>
      </c>
      <c r="G32" s="405"/>
      <c r="H32" s="1253"/>
      <c r="I32" s="1280"/>
      <c r="J32" s="1458"/>
      <c r="K32" s="1458"/>
      <c r="L32" s="1465"/>
      <c r="M32" s="1466"/>
      <c r="N32" s="1466"/>
      <c r="O32" s="1467"/>
      <c r="P32" s="1466"/>
      <c r="Q32" s="1468"/>
      <c r="R32" s="1469"/>
      <c r="S32" s="1470"/>
      <c r="W32" s="1471"/>
    </row>
    <row r="33" spans="1:23" s="1248" customFormat="1" ht="13.5" customHeight="1">
      <c r="A33" s="1291">
        <v>10</v>
      </c>
      <c r="B33" s="1252" t="s">
        <v>5110</v>
      </c>
      <c r="C33" s="1245">
        <v>181411153</v>
      </c>
      <c r="D33" s="1462" t="s">
        <v>6155</v>
      </c>
      <c r="E33" s="1245" t="s">
        <v>163</v>
      </c>
      <c r="F33" s="1246">
        <f>SUM(F34)</f>
        <v>127.6</v>
      </c>
      <c r="G33" s="405"/>
      <c r="H33" s="1253">
        <f>F33*G33</f>
        <v>0</v>
      </c>
      <c r="I33" s="744" t="s">
        <v>137</v>
      </c>
      <c r="J33" s="1463"/>
      <c r="K33" s="1464"/>
      <c r="L33" s="1465"/>
      <c r="M33" s="1466"/>
      <c r="N33" s="1466"/>
      <c r="O33" s="1467"/>
      <c r="P33" s="1466"/>
      <c r="Q33" s="1468"/>
      <c r="R33" s="1469"/>
      <c r="S33" s="1470"/>
      <c r="W33" s="1471"/>
    </row>
    <row r="34" spans="1:23" s="1248" customFormat="1" ht="13.5" customHeight="1">
      <c r="A34" s="1291"/>
      <c r="B34" s="1252"/>
      <c r="C34" s="1472"/>
      <c r="D34" s="1255" t="s">
        <v>6156</v>
      </c>
      <c r="E34" s="1245"/>
      <c r="F34" s="1249">
        <v>127.6</v>
      </c>
      <c r="G34" s="405"/>
      <c r="H34" s="1253"/>
      <c r="I34" s="1280"/>
      <c r="J34" s="1458"/>
      <c r="K34" s="1458"/>
      <c r="L34" s="1465"/>
      <c r="M34" s="1466"/>
      <c r="N34" s="1466"/>
      <c r="O34" s="1467"/>
      <c r="P34" s="1466"/>
      <c r="Q34" s="1468"/>
      <c r="R34" s="1469"/>
      <c r="S34" s="1470"/>
      <c r="W34" s="1471"/>
    </row>
    <row r="35" spans="1:23" s="1248" customFormat="1" ht="13.5" customHeight="1">
      <c r="A35" s="1473">
        <v>11</v>
      </c>
      <c r="B35" s="1474" t="s">
        <v>5123</v>
      </c>
      <c r="C35" s="1474" t="s">
        <v>6157</v>
      </c>
      <c r="D35" s="1475" t="s">
        <v>6158</v>
      </c>
      <c r="E35" s="1476" t="s">
        <v>163</v>
      </c>
      <c r="F35" s="1477">
        <f>SUM(F36:F36)</f>
        <v>847.98</v>
      </c>
      <c r="G35" s="405"/>
      <c r="H35" s="1478">
        <f>F35*G35</f>
        <v>0</v>
      </c>
      <c r="I35" s="1052" t="s">
        <v>137</v>
      </c>
      <c r="J35" s="1463"/>
      <c r="K35" s="1464"/>
      <c r="L35" s="1465"/>
      <c r="M35" s="1466"/>
      <c r="N35" s="1466"/>
      <c r="O35" s="1467"/>
      <c r="P35" s="1466"/>
      <c r="Q35" s="1468"/>
      <c r="R35" s="1469"/>
      <c r="S35" s="1470"/>
      <c r="W35" s="1471"/>
    </row>
    <row r="36" spans="1:23" s="1248" customFormat="1" ht="13.5" customHeight="1">
      <c r="A36" s="1479"/>
      <c r="B36" s="1480"/>
      <c r="C36" s="1472"/>
      <c r="D36" s="1481" t="s">
        <v>6159</v>
      </c>
      <c r="E36" s="1476"/>
      <c r="F36" s="1482">
        <f>(680+127.6)*1.05</f>
        <v>847.98</v>
      </c>
      <c r="G36" s="405"/>
      <c r="H36" s="1483"/>
      <c r="I36" s="1484"/>
      <c r="J36" s="1463"/>
      <c r="K36" s="1464"/>
      <c r="L36" s="1465"/>
      <c r="M36" s="1466"/>
      <c r="N36" s="1466"/>
      <c r="O36" s="1467"/>
      <c r="P36" s="1466"/>
      <c r="Q36" s="1468"/>
      <c r="R36" s="1469"/>
      <c r="S36" s="1470"/>
      <c r="W36" s="1471"/>
    </row>
    <row r="37" spans="1:23" s="1248" customFormat="1" ht="13.5" customHeight="1">
      <c r="A37" s="1251" t="s">
        <v>1185</v>
      </c>
      <c r="B37" s="1252" t="s">
        <v>5110</v>
      </c>
      <c r="C37" s="1245">
        <v>183403152</v>
      </c>
      <c r="D37" s="1245" t="s">
        <v>6160</v>
      </c>
      <c r="E37" s="1245" t="s">
        <v>163</v>
      </c>
      <c r="F37" s="1246">
        <f>SUM(F38:F38)</f>
        <v>1360</v>
      </c>
      <c r="G37" s="405"/>
      <c r="H37" s="1253">
        <f>F37*G37</f>
        <v>0</v>
      </c>
      <c r="I37" s="744" t="s">
        <v>137</v>
      </c>
      <c r="J37" s="1471"/>
      <c r="K37" s="1452"/>
      <c r="L37" s="1452"/>
      <c r="M37" s="1452"/>
      <c r="N37" s="1452"/>
      <c r="O37" s="1294"/>
      <c r="P37" s="1295"/>
      <c r="Q37" s="1296"/>
      <c r="R37" s="1297"/>
      <c r="S37" s="1297"/>
      <c r="T37" s="1254"/>
      <c r="V37" s="1298"/>
    </row>
    <row r="38" spans="1:23" s="1248" customFormat="1" ht="13.5" customHeight="1">
      <c r="A38" s="1251"/>
      <c r="B38" s="1485"/>
      <c r="C38" s="1485"/>
      <c r="D38" s="1255" t="s">
        <v>6161</v>
      </c>
      <c r="E38" s="1485"/>
      <c r="F38" s="1249">
        <f>(680)*2</f>
        <v>1360</v>
      </c>
      <c r="G38" s="405"/>
      <c r="H38" s="1253"/>
      <c r="I38" s="1280"/>
      <c r="J38" s="1458"/>
      <c r="K38" s="1458"/>
      <c r="L38" s="1486"/>
      <c r="M38" s="1452"/>
      <c r="N38" s="1452"/>
      <c r="O38" s="1294"/>
      <c r="P38" s="1295"/>
      <c r="Q38" s="1296"/>
      <c r="R38" s="1297"/>
      <c r="S38" s="1297"/>
      <c r="T38" s="1254"/>
      <c r="V38" s="1298"/>
    </row>
    <row r="39" spans="1:23" s="1248" customFormat="1" ht="13.5" customHeight="1">
      <c r="A39" s="1251" t="s">
        <v>5231</v>
      </c>
      <c r="B39" s="1245">
        <v>231</v>
      </c>
      <c r="C39" s="1245">
        <v>183403153</v>
      </c>
      <c r="D39" s="1245" t="s">
        <v>5115</v>
      </c>
      <c r="E39" s="1245" t="s">
        <v>163</v>
      </c>
      <c r="F39" s="1246">
        <f>SUM(F40:F40)</f>
        <v>680</v>
      </c>
      <c r="G39" s="405"/>
      <c r="H39" s="1253">
        <f>F39*G39</f>
        <v>0</v>
      </c>
      <c r="I39" s="744" t="s">
        <v>137</v>
      </c>
      <c r="K39" s="1452"/>
      <c r="L39" s="1452"/>
      <c r="M39" s="1452"/>
      <c r="N39" s="1452"/>
      <c r="O39" s="1294"/>
      <c r="P39" s="1295"/>
      <c r="Q39" s="1296"/>
      <c r="R39" s="1297"/>
      <c r="S39" s="1297"/>
      <c r="T39" s="1254"/>
      <c r="V39" s="1298"/>
    </row>
    <row r="40" spans="1:23" s="1248" customFormat="1" ht="13.5" customHeight="1">
      <c r="A40" s="1251"/>
      <c r="B40" s="1485"/>
      <c r="C40" s="1485"/>
      <c r="D40" s="1255" t="s">
        <v>6162</v>
      </c>
      <c r="E40" s="1485"/>
      <c r="F40" s="1249">
        <f>(680)*1</f>
        <v>680</v>
      </c>
      <c r="G40" s="405"/>
      <c r="H40" s="1253"/>
      <c r="I40" s="1280"/>
      <c r="J40" s="1458"/>
      <c r="K40" s="1458"/>
      <c r="L40" s="1486"/>
      <c r="M40" s="1452"/>
      <c r="N40" s="1452"/>
      <c r="O40" s="1294"/>
      <c r="P40" s="1295"/>
      <c r="Q40" s="1296"/>
      <c r="R40" s="1297"/>
      <c r="S40" s="1297"/>
      <c r="T40" s="1254"/>
      <c r="V40" s="1298"/>
    </row>
    <row r="41" spans="1:23" s="1248" customFormat="1" ht="13.5" customHeight="1">
      <c r="A41" s="1251" t="s">
        <v>5233</v>
      </c>
      <c r="B41" s="1245">
        <v>231</v>
      </c>
      <c r="C41" s="1245">
        <v>183403353</v>
      </c>
      <c r="D41" s="1245" t="s">
        <v>6163</v>
      </c>
      <c r="E41" s="1245" t="s">
        <v>163</v>
      </c>
      <c r="F41" s="1246">
        <f>SUM(F42:F42)</f>
        <v>127.6</v>
      </c>
      <c r="G41" s="405"/>
      <c r="H41" s="1253">
        <f>F41*G41</f>
        <v>0</v>
      </c>
      <c r="I41" s="744" t="s">
        <v>137</v>
      </c>
      <c r="K41" s="1452"/>
      <c r="L41" s="1452"/>
      <c r="M41" s="1452"/>
      <c r="N41" s="1452"/>
      <c r="O41" s="1294"/>
      <c r="P41" s="1295"/>
      <c r="Q41" s="1296"/>
      <c r="R41" s="1297"/>
      <c r="S41" s="1297"/>
      <c r="T41" s="1254"/>
      <c r="V41" s="1298"/>
    </row>
    <row r="42" spans="1:23" s="1248" customFormat="1" ht="13.5" customHeight="1">
      <c r="A42" s="1251"/>
      <c r="B42" s="1485"/>
      <c r="C42" s="1485"/>
      <c r="D42" s="1255" t="s">
        <v>6164</v>
      </c>
      <c r="E42" s="1485"/>
      <c r="F42" s="1249">
        <f xml:space="preserve"> (127.6)*1</f>
        <v>127.6</v>
      </c>
      <c r="G42" s="405"/>
      <c r="H42" s="1253"/>
      <c r="I42" s="1280"/>
      <c r="J42" s="1458"/>
      <c r="K42" s="1458"/>
      <c r="L42" s="1486"/>
      <c r="M42" s="1452"/>
      <c r="N42" s="1452"/>
      <c r="O42" s="1294"/>
      <c r="P42" s="1295"/>
      <c r="Q42" s="1296"/>
      <c r="R42" s="1297"/>
      <c r="S42" s="1297"/>
      <c r="T42" s="1254"/>
      <c r="V42" s="1298"/>
    </row>
    <row r="43" spans="1:23" s="1248" customFormat="1" ht="13.5" customHeight="1">
      <c r="A43" s="1251" t="s">
        <v>5239</v>
      </c>
      <c r="B43" s="1245">
        <v>231</v>
      </c>
      <c r="C43" s="1245">
        <v>183403161</v>
      </c>
      <c r="D43" s="1245" t="s">
        <v>5117</v>
      </c>
      <c r="E43" s="1245" t="s">
        <v>163</v>
      </c>
      <c r="F43" s="1246">
        <f>SUM(F44:F45)</f>
        <v>2040</v>
      </c>
      <c r="G43" s="405"/>
      <c r="H43" s="1253">
        <f>F43*G43</f>
        <v>0</v>
      </c>
      <c r="I43" s="744" t="s">
        <v>137</v>
      </c>
      <c r="K43" s="1452"/>
      <c r="L43" s="1452"/>
      <c r="M43" s="1452"/>
      <c r="N43" s="1452"/>
      <c r="O43" s="1294"/>
      <c r="P43" s="1295"/>
      <c r="Q43" s="1296"/>
      <c r="R43" s="1297"/>
      <c r="S43" s="1297"/>
      <c r="T43" s="1254"/>
      <c r="V43" s="1298"/>
    </row>
    <row r="44" spans="1:23" s="1248" customFormat="1" ht="13.5" customHeight="1">
      <c r="A44" s="1251"/>
      <c r="B44" s="1245"/>
      <c r="C44" s="1245"/>
      <c r="D44" s="1255" t="s">
        <v>6165</v>
      </c>
      <c r="E44" s="1485"/>
      <c r="F44" s="1249">
        <f>(680)*2</f>
        <v>1360</v>
      </c>
      <c r="G44" s="405"/>
      <c r="H44" s="1253"/>
      <c r="I44" s="1280"/>
      <c r="J44" s="1458"/>
      <c r="K44" s="1458"/>
      <c r="L44" s="1452"/>
      <c r="M44" s="1452"/>
      <c r="N44" s="1452"/>
      <c r="O44" s="1294"/>
      <c r="P44" s="1295"/>
      <c r="Q44" s="1296"/>
      <c r="R44" s="1297"/>
      <c r="S44" s="1297"/>
      <c r="T44" s="1254"/>
      <c r="V44" s="1298"/>
    </row>
    <row r="45" spans="1:23" s="1248" customFormat="1" ht="13.5" customHeight="1">
      <c r="A45" s="1251"/>
      <c r="B45" s="1245"/>
      <c r="C45" s="1245"/>
      <c r="D45" s="1255" t="s">
        <v>6166</v>
      </c>
      <c r="E45" s="1485"/>
      <c r="F45" s="1249">
        <f>(680)*1</f>
        <v>680</v>
      </c>
      <c r="G45" s="405"/>
      <c r="H45" s="1253"/>
      <c r="I45" s="1280"/>
      <c r="J45" s="1458"/>
      <c r="K45" s="1458"/>
      <c r="L45" s="1452"/>
      <c r="M45" s="1452"/>
      <c r="N45" s="1452"/>
      <c r="O45" s="1294"/>
      <c r="P45" s="1295"/>
      <c r="Q45" s="1296"/>
      <c r="R45" s="1297"/>
      <c r="S45" s="1297"/>
      <c r="T45" s="1254"/>
      <c r="V45" s="1298"/>
    </row>
    <row r="46" spans="1:23" s="1248" customFormat="1" ht="27" customHeight="1">
      <c r="A46" s="1291">
        <v>16</v>
      </c>
      <c r="B46" s="1252" t="s">
        <v>5110</v>
      </c>
      <c r="C46" s="1245">
        <v>183451511</v>
      </c>
      <c r="D46" s="1487" t="s">
        <v>5128</v>
      </c>
      <c r="E46" s="1245" t="s">
        <v>163</v>
      </c>
      <c r="F46" s="1246">
        <f>SUM(F47:F47)</f>
        <v>680</v>
      </c>
      <c r="G46" s="405"/>
      <c r="H46" s="1253">
        <f>F46*G46</f>
        <v>0</v>
      </c>
      <c r="I46" s="744" t="s">
        <v>137</v>
      </c>
      <c r="J46" s="1488"/>
      <c r="K46" s="1464"/>
      <c r="L46" s="1465"/>
      <c r="M46" s="1466"/>
      <c r="N46" s="1466"/>
      <c r="O46" s="1467"/>
      <c r="P46" s="1466"/>
      <c r="Q46" s="1468"/>
      <c r="R46" s="1469"/>
      <c r="S46" s="1470"/>
      <c r="W46" s="1471"/>
    </row>
    <row r="47" spans="1:23" s="1248" customFormat="1" ht="13.5" customHeight="1">
      <c r="A47" s="1291"/>
      <c r="B47" s="1252"/>
      <c r="C47" s="1245"/>
      <c r="D47" s="1255" t="s">
        <v>6167</v>
      </c>
      <c r="E47" s="1245"/>
      <c r="F47" s="1249">
        <v>680</v>
      </c>
      <c r="G47" s="405"/>
      <c r="H47" s="1253"/>
      <c r="I47" s="1280"/>
      <c r="J47" s="1458"/>
      <c r="K47" s="1458"/>
      <c r="L47" s="1465"/>
      <c r="M47" s="1489"/>
      <c r="N47" s="1466"/>
      <c r="O47" s="1467"/>
      <c r="P47" s="1466"/>
      <c r="Q47" s="1468"/>
      <c r="R47" s="1469"/>
      <c r="S47" s="1470"/>
      <c r="W47" s="1471"/>
    </row>
    <row r="48" spans="1:23" s="1248" customFormat="1" ht="13.5" customHeight="1">
      <c r="A48" s="1291">
        <v>17</v>
      </c>
      <c r="B48" s="1252" t="s">
        <v>5110</v>
      </c>
      <c r="C48" s="1245">
        <v>183451513</v>
      </c>
      <c r="D48" s="1487" t="s">
        <v>6168</v>
      </c>
      <c r="E48" s="1245" t="s">
        <v>163</v>
      </c>
      <c r="F48" s="1246">
        <f>SUM(F49:F49)</f>
        <v>127.6</v>
      </c>
      <c r="G48" s="405"/>
      <c r="H48" s="1253">
        <f>F48*G48</f>
        <v>0</v>
      </c>
      <c r="I48" s="744" t="s">
        <v>137</v>
      </c>
      <c r="J48" s="1488"/>
      <c r="K48" s="1464"/>
      <c r="L48" s="1465"/>
      <c r="M48" s="1466"/>
      <c r="N48" s="1466"/>
      <c r="O48" s="1467"/>
      <c r="P48" s="1466"/>
      <c r="Q48" s="1468"/>
      <c r="R48" s="1469"/>
      <c r="S48" s="1470"/>
      <c r="W48" s="1471"/>
    </row>
    <row r="49" spans="1:23" s="1248" customFormat="1" ht="13.5" customHeight="1">
      <c r="A49" s="1291"/>
      <c r="B49" s="1252"/>
      <c r="C49" s="1245"/>
      <c r="D49" s="1255" t="s">
        <v>6169</v>
      </c>
      <c r="E49" s="1245"/>
      <c r="F49" s="1249">
        <v>127.6</v>
      </c>
      <c r="G49" s="405"/>
      <c r="H49" s="1253"/>
      <c r="I49" s="1280"/>
      <c r="J49" s="1458"/>
      <c r="K49" s="1458"/>
      <c r="L49" s="1465"/>
      <c r="M49" s="1489"/>
      <c r="N49" s="1466"/>
      <c r="O49" s="1467"/>
      <c r="P49" s="1466"/>
      <c r="Q49" s="1468"/>
      <c r="R49" s="1469"/>
      <c r="S49" s="1470"/>
      <c r="W49" s="1471"/>
    </row>
    <row r="50" spans="1:23" s="1248" customFormat="1" ht="13.5" customHeight="1">
      <c r="A50" s="1473">
        <v>18</v>
      </c>
      <c r="B50" s="1474" t="s">
        <v>5130</v>
      </c>
      <c r="C50" s="1476" t="s">
        <v>5131</v>
      </c>
      <c r="D50" s="1490" t="s">
        <v>5132</v>
      </c>
      <c r="E50" s="1476" t="s">
        <v>175</v>
      </c>
      <c r="F50" s="1477">
        <f>SUM(F51)</f>
        <v>7.9144800000000002</v>
      </c>
      <c r="G50" s="432"/>
      <c r="H50" s="1478">
        <f>F50*G50</f>
        <v>0</v>
      </c>
      <c r="I50" s="1052" t="s">
        <v>112</v>
      </c>
      <c r="J50" s="1491"/>
      <c r="K50" s="1464"/>
      <c r="L50" s="1465"/>
      <c r="M50" s="1466"/>
      <c r="N50" s="1466"/>
      <c r="P50" s="1466"/>
      <c r="Q50" s="1468"/>
      <c r="R50" s="1469"/>
      <c r="S50" s="1470"/>
      <c r="W50" s="1471"/>
    </row>
    <row r="51" spans="1:23" s="1248" customFormat="1" ht="13.5" customHeight="1">
      <c r="A51" s="1454"/>
      <c r="B51" s="1278"/>
      <c r="C51" s="1278"/>
      <c r="D51" s="1481" t="s">
        <v>6170</v>
      </c>
      <c r="E51" s="1476"/>
      <c r="F51" s="1482">
        <f>(680+127.6)*0.0098</f>
        <v>7.9144800000000002</v>
      </c>
      <c r="G51" s="405"/>
      <c r="H51" s="1455"/>
      <c r="I51" s="1492"/>
      <c r="J51" s="1488"/>
      <c r="K51" s="1464"/>
      <c r="L51" s="1465"/>
      <c r="M51" s="1466"/>
      <c r="N51" s="1466"/>
      <c r="O51" s="1467"/>
      <c r="P51" s="1466"/>
      <c r="Q51" s="1468"/>
      <c r="R51" s="1469"/>
      <c r="S51" s="1470"/>
      <c r="W51" s="1471"/>
    </row>
    <row r="52" spans="1:23" s="1248" customFormat="1" ht="13.5" customHeight="1">
      <c r="A52" s="1251" t="s">
        <v>202</v>
      </c>
      <c r="B52" s="1245">
        <v>231</v>
      </c>
      <c r="C52" s="1245" t="s">
        <v>6171</v>
      </c>
      <c r="D52" s="1245" t="s">
        <v>6172</v>
      </c>
      <c r="E52" s="1245" t="s">
        <v>163</v>
      </c>
      <c r="F52" s="1246">
        <f>SUM(F54:F54)</f>
        <v>127.6</v>
      </c>
      <c r="G52" s="405"/>
      <c r="H52" s="1253">
        <f>F52*G52</f>
        <v>0</v>
      </c>
      <c r="I52" s="1280" t="s">
        <v>112</v>
      </c>
      <c r="K52" s="1452"/>
      <c r="L52" s="1452"/>
      <c r="M52" s="1452"/>
      <c r="N52" s="1452"/>
      <c r="O52" s="1294"/>
      <c r="P52" s="1295"/>
      <c r="Q52" s="1296"/>
      <c r="R52" s="1297"/>
      <c r="S52" s="1297"/>
      <c r="T52" s="1254"/>
      <c r="V52" s="1298"/>
    </row>
    <row r="53" spans="1:23" s="1248" customFormat="1" ht="13.5" customHeight="1">
      <c r="A53" s="1251"/>
      <c r="B53" s="1245"/>
      <c r="C53" s="1245"/>
      <c r="D53" s="1255" t="s">
        <v>6173</v>
      </c>
      <c r="E53" s="1485"/>
      <c r="F53" s="1249"/>
      <c r="G53" s="405"/>
      <c r="H53" s="1253"/>
      <c r="I53" s="1280"/>
      <c r="J53" s="1461"/>
      <c r="K53" s="1458"/>
      <c r="L53" s="1452"/>
      <c r="M53" s="1452"/>
      <c r="N53" s="1452"/>
      <c r="O53" s="1294"/>
      <c r="P53" s="1295"/>
      <c r="Q53" s="1296"/>
      <c r="R53" s="1297"/>
      <c r="S53" s="1297"/>
      <c r="T53" s="1254"/>
      <c r="V53" s="1298"/>
    </row>
    <row r="54" spans="1:23" s="1248" customFormat="1" ht="13.5" customHeight="1">
      <c r="A54" s="1251"/>
      <c r="B54" s="1245"/>
      <c r="C54" s="1245"/>
      <c r="D54" s="1255" t="s">
        <v>6174</v>
      </c>
      <c r="E54" s="1485"/>
      <c r="F54" s="1249">
        <v>127.6</v>
      </c>
      <c r="G54" s="405"/>
      <c r="H54" s="1253"/>
      <c r="I54" s="1280"/>
      <c r="J54" s="1461"/>
      <c r="K54" s="1458"/>
      <c r="L54" s="1452"/>
      <c r="M54" s="1452"/>
      <c r="N54" s="1452"/>
      <c r="O54" s="1294"/>
      <c r="P54" s="1295"/>
      <c r="Q54" s="1296"/>
      <c r="R54" s="1297"/>
      <c r="S54" s="1297"/>
      <c r="T54" s="1254"/>
      <c r="V54" s="1298"/>
    </row>
    <row r="55" spans="1:23" s="467" customFormat="1" ht="54" customHeight="1">
      <c r="A55" s="1493"/>
      <c r="B55" s="1494"/>
      <c r="C55" s="1495"/>
      <c r="D55" s="1496" t="s">
        <v>6175</v>
      </c>
      <c r="E55" s="1497"/>
      <c r="F55" s="1498"/>
      <c r="G55" s="405"/>
      <c r="H55" s="1499"/>
      <c r="I55" s="1500"/>
      <c r="J55" s="1501"/>
      <c r="K55" s="1502"/>
      <c r="L55" s="1054"/>
      <c r="M55" s="1305"/>
      <c r="N55" s="1503"/>
      <c r="O55" s="1503"/>
      <c r="P55" s="1055"/>
      <c r="Q55" s="1127"/>
      <c r="R55" s="1057"/>
      <c r="S55" s="1058"/>
      <c r="T55" s="1058"/>
      <c r="U55" s="1059"/>
      <c r="W55" s="1060"/>
    </row>
    <row r="56" spans="1:23" s="1248" customFormat="1" ht="27" customHeight="1">
      <c r="A56" s="1251"/>
      <c r="B56" s="1245"/>
      <c r="C56" s="1245"/>
      <c r="D56" s="1255" t="s">
        <v>6176</v>
      </c>
      <c r="E56" s="1485"/>
      <c r="F56" s="1249"/>
      <c r="G56" s="405"/>
      <c r="H56" s="1253"/>
      <c r="I56" s="1280"/>
      <c r="J56" s="1461"/>
      <c r="K56" s="1458"/>
      <c r="L56" s="1461"/>
      <c r="M56" s="1452"/>
      <c r="N56" s="1452"/>
      <c r="O56" s="1294"/>
      <c r="P56" s="1295"/>
      <c r="Q56" s="1296"/>
      <c r="R56" s="1297"/>
      <c r="S56" s="1297"/>
      <c r="T56" s="1254"/>
      <c r="V56" s="1298"/>
    </row>
    <row r="57" spans="1:23" s="1248" customFormat="1" ht="27" customHeight="1">
      <c r="A57" s="1251" t="s">
        <v>208</v>
      </c>
      <c r="B57" s="1245">
        <v>231</v>
      </c>
      <c r="C57" s="1245">
        <v>184813212</v>
      </c>
      <c r="D57" s="1245" t="s">
        <v>6177</v>
      </c>
      <c r="E57" s="1245" t="s">
        <v>141</v>
      </c>
      <c r="F57" s="1246">
        <f>SUM(F58:F59)</f>
        <v>115</v>
      </c>
      <c r="G57" s="405"/>
      <c r="H57" s="1253">
        <f>F57*G57</f>
        <v>0</v>
      </c>
      <c r="I57" s="744" t="s">
        <v>137</v>
      </c>
      <c r="M57" s="1452"/>
      <c r="N57" s="1452"/>
      <c r="O57" s="1294"/>
      <c r="P57" s="1295"/>
      <c r="Q57" s="1296"/>
      <c r="R57" s="1297"/>
      <c r="S57" s="1297"/>
      <c r="T57" s="1254"/>
      <c r="V57" s="1298"/>
    </row>
    <row r="58" spans="1:23" s="1248" customFormat="1" ht="13.5" customHeight="1">
      <c r="A58" s="1251"/>
      <c r="B58" s="1245"/>
      <c r="C58" s="1245"/>
      <c r="D58" s="1255" t="s">
        <v>6178</v>
      </c>
      <c r="E58" s="1245"/>
      <c r="F58" s="1249"/>
      <c r="G58" s="405"/>
      <c r="H58" s="1253"/>
      <c r="I58" s="1280"/>
      <c r="J58" s="1458"/>
      <c r="K58" s="1458"/>
      <c r="L58" s="1486"/>
      <c r="M58" s="1452"/>
      <c r="N58" s="1452"/>
      <c r="O58" s="1294"/>
      <c r="P58" s="1295"/>
      <c r="Q58" s="1296"/>
      <c r="R58" s="1297"/>
      <c r="S58" s="1297"/>
      <c r="T58" s="1254"/>
      <c r="V58" s="1298"/>
    </row>
    <row r="59" spans="1:23" s="1248" customFormat="1" ht="13.5" customHeight="1">
      <c r="A59" s="1251"/>
      <c r="B59" s="1245"/>
      <c r="C59" s="1245"/>
      <c r="D59" s="1132" t="s">
        <v>6179</v>
      </c>
      <c r="E59" s="1245"/>
      <c r="F59" s="1249">
        <v>115</v>
      </c>
      <c r="G59" s="405"/>
      <c r="H59" s="1253"/>
      <c r="I59" s="1280"/>
      <c r="J59" s="1458"/>
      <c r="K59" s="1458"/>
      <c r="L59" s="1486"/>
      <c r="M59" s="1452"/>
      <c r="N59" s="1452"/>
      <c r="O59" s="1294"/>
      <c r="P59" s="1295"/>
      <c r="Q59" s="1296"/>
      <c r="R59" s="1297"/>
      <c r="S59" s="1297"/>
      <c r="T59" s="1254"/>
      <c r="V59" s="1298"/>
    </row>
    <row r="60" spans="1:23" s="1248" customFormat="1" ht="22.5">
      <c r="A60" s="1251" t="s">
        <v>211</v>
      </c>
      <c r="B60" s="1245">
        <v>231</v>
      </c>
      <c r="C60" s="1245">
        <v>184813521</v>
      </c>
      <c r="D60" s="1245" t="s">
        <v>6180</v>
      </c>
      <c r="E60" s="1245" t="s">
        <v>163</v>
      </c>
      <c r="F60" s="1246">
        <f>SUM(F61:F61)</f>
        <v>1360</v>
      </c>
      <c r="G60" s="405"/>
      <c r="H60" s="1253">
        <f>F60*G60</f>
        <v>0</v>
      </c>
      <c r="I60" s="744" t="s">
        <v>137</v>
      </c>
      <c r="M60" s="1452"/>
      <c r="N60" s="1452"/>
      <c r="O60" s="1294"/>
      <c r="P60" s="1295"/>
      <c r="Q60" s="1296"/>
      <c r="R60" s="1297"/>
      <c r="S60" s="1297"/>
      <c r="T60" s="1254"/>
      <c r="V60" s="1298"/>
    </row>
    <row r="61" spans="1:23" s="1248" customFormat="1" ht="13.5" customHeight="1">
      <c r="A61" s="1251"/>
      <c r="B61" s="1245"/>
      <c r="C61" s="1245"/>
      <c r="D61" s="1255" t="s">
        <v>6181</v>
      </c>
      <c r="E61" s="1245"/>
      <c r="F61" s="1249">
        <f>(680)*2</f>
        <v>1360</v>
      </c>
      <c r="G61" s="405"/>
      <c r="H61" s="1253"/>
      <c r="I61" s="1280"/>
      <c r="J61" s="1458"/>
      <c r="K61" s="1458"/>
      <c r="L61" s="1486"/>
      <c r="M61" s="1452"/>
      <c r="N61" s="1452"/>
      <c r="O61" s="1294"/>
      <c r="P61" s="1295"/>
      <c r="Q61" s="1296"/>
      <c r="R61" s="1297"/>
      <c r="S61" s="1297"/>
      <c r="T61" s="1254"/>
      <c r="V61" s="1298"/>
    </row>
    <row r="62" spans="1:23" s="1248" customFormat="1" ht="22.5">
      <c r="A62" s="1251" t="s">
        <v>884</v>
      </c>
      <c r="B62" s="1245">
        <v>231</v>
      </c>
      <c r="C62" s="1245">
        <v>184813523</v>
      </c>
      <c r="D62" s="1245" t="s">
        <v>6182</v>
      </c>
      <c r="E62" s="1245" t="s">
        <v>163</v>
      </c>
      <c r="F62" s="1246">
        <f>SUM(F63:F63)</f>
        <v>255.2</v>
      </c>
      <c r="G62" s="405"/>
      <c r="H62" s="1253">
        <f>F62*G62</f>
        <v>0</v>
      </c>
      <c r="I62" s="744" t="s">
        <v>137</v>
      </c>
      <c r="M62" s="1452"/>
      <c r="N62" s="1452"/>
      <c r="O62" s="1294"/>
      <c r="P62" s="1295"/>
      <c r="Q62" s="1296"/>
      <c r="R62" s="1297"/>
      <c r="S62" s="1297"/>
      <c r="T62" s="1254"/>
      <c r="V62" s="1298"/>
    </row>
    <row r="63" spans="1:23" s="1248" customFormat="1" ht="13.5" customHeight="1">
      <c r="A63" s="1251"/>
      <c r="B63" s="1245"/>
      <c r="C63" s="1245"/>
      <c r="D63" s="1255" t="s">
        <v>6183</v>
      </c>
      <c r="E63" s="1245"/>
      <c r="F63" s="1249">
        <f>(127.6)*2</f>
        <v>255.2</v>
      </c>
      <c r="G63" s="405"/>
      <c r="H63" s="1253"/>
      <c r="I63" s="1280"/>
      <c r="J63" s="1458"/>
      <c r="K63" s="1458"/>
      <c r="L63" s="1486"/>
      <c r="M63" s="1452"/>
      <c r="N63" s="1452"/>
      <c r="O63" s="1294"/>
      <c r="P63" s="1295"/>
      <c r="Q63" s="1296"/>
      <c r="R63" s="1297"/>
      <c r="S63" s="1297"/>
      <c r="T63" s="1254"/>
      <c r="V63" s="1298"/>
    </row>
    <row r="64" spans="1:23" s="1248" customFormat="1" ht="13.5" customHeight="1">
      <c r="A64" s="1251" t="s">
        <v>1071</v>
      </c>
      <c r="B64" s="1245">
        <v>231</v>
      </c>
      <c r="C64" s="1245">
        <v>184818231</v>
      </c>
      <c r="D64" s="1245" t="s">
        <v>6184</v>
      </c>
      <c r="E64" s="1245" t="s">
        <v>205</v>
      </c>
      <c r="F64" s="1246">
        <f>SUM(F65:F65)</f>
        <v>6</v>
      </c>
      <c r="G64" s="405"/>
      <c r="H64" s="1253">
        <f>F64*G64</f>
        <v>0</v>
      </c>
      <c r="I64" s="744" t="s">
        <v>137</v>
      </c>
      <c r="K64" s="1452"/>
      <c r="L64" s="1452"/>
      <c r="M64" s="1452"/>
      <c r="N64" s="1452"/>
      <c r="O64" s="1294"/>
      <c r="P64" s="1295"/>
      <c r="Q64" s="1296"/>
      <c r="R64" s="1297"/>
      <c r="S64" s="1297"/>
      <c r="T64" s="1254"/>
      <c r="V64" s="1298"/>
    </row>
    <row r="65" spans="1:23" s="1248" customFormat="1" ht="13.5" customHeight="1">
      <c r="A65" s="1251"/>
      <c r="B65" s="1245"/>
      <c r="C65" s="1245"/>
      <c r="D65" s="1255" t="s">
        <v>6185</v>
      </c>
      <c r="E65" s="1485"/>
      <c r="F65" s="1249">
        <v>6</v>
      </c>
      <c r="G65" s="405"/>
      <c r="H65" s="1253"/>
      <c r="I65" s="1280"/>
      <c r="J65" s="1461"/>
      <c r="K65" s="1458"/>
      <c r="L65" s="1452"/>
      <c r="M65" s="1452"/>
      <c r="N65" s="1452"/>
      <c r="O65" s="1294"/>
      <c r="P65" s="1295"/>
      <c r="Q65" s="1296"/>
      <c r="R65" s="1297"/>
      <c r="S65" s="1297"/>
      <c r="T65" s="1254"/>
      <c r="V65" s="1298"/>
    </row>
    <row r="66" spans="1:23" s="1248" customFormat="1" ht="13.5" customHeight="1">
      <c r="A66" s="1251" t="s">
        <v>1218</v>
      </c>
      <c r="B66" s="1245">
        <v>231</v>
      </c>
      <c r="C66" s="1245">
        <v>184818241</v>
      </c>
      <c r="D66" s="1245" t="s">
        <v>5145</v>
      </c>
      <c r="E66" s="1245" t="s">
        <v>205</v>
      </c>
      <c r="F66" s="1246">
        <f>SUM(F67:F67)</f>
        <v>10</v>
      </c>
      <c r="G66" s="405"/>
      <c r="H66" s="1253">
        <f>F66*G66</f>
        <v>0</v>
      </c>
      <c r="I66" s="744" t="s">
        <v>137</v>
      </c>
      <c r="K66" s="1452"/>
      <c r="L66" s="1452"/>
      <c r="M66" s="1452"/>
      <c r="N66" s="1452"/>
      <c r="O66" s="1294"/>
      <c r="P66" s="1295"/>
      <c r="Q66" s="1296"/>
      <c r="R66" s="1297"/>
      <c r="S66" s="1297"/>
      <c r="T66" s="1254"/>
      <c r="V66" s="1298"/>
    </row>
    <row r="67" spans="1:23" s="1248" customFormat="1" ht="13.5" customHeight="1">
      <c r="A67" s="1251"/>
      <c r="B67" s="1245"/>
      <c r="C67" s="1245"/>
      <c r="D67" s="1255" t="s">
        <v>6186</v>
      </c>
      <c r="E67" s="1485"/>
      <c r="F67" s="1249">
        <f>(2+3+3+1+1)</f>
        <v>10</v>
      </c>
      <c r="G67" s="405"/>
      <c r="H67" s="1253"/>
      <c r="I67" s="1280"/>
      <c r="J67" s="1461"/>
      <c r="K67" s="1458"/>
      <c r="L67" s="1452"/>
      <c r="M67" s="1452"/>
      <c r="N67" s="1452"/>
      <c r="O67" s="1294"/>
      <c r="P67" s="1295"/>
      <c r="Q67" s="1296"/>
      <c r="R67" s="1297"/>
      <c r="S67" s="1297"/>
      <c r="T67" s="1254"/>
      <c r="V67" s="1298"/>
    </row>
    <row r="68" spans="1:23" s="1248" customFormat="1" ht="13.5" customHeight="1">
      <c r="A68" s="1251" t="s">
        <v>1223</v>
      </c>
      <c r="B68" s="1245">
        <v>231</v>
      </c>
      <c r="C68" s="1245">
        <v>184818242</v>
      </c>
      <c r="D68" s="1245" t="s">
        <v>5149</v>
      </c>
      <c r="E68" s="1245" t="s">
        <v>205</v>
      </c>
      <c r="F68" s="1246">
        <f>SUM(F69:F69)</f>
        <v>2</v>
      </c>
      <c r="G68" s="405"/>
      <c r="H68" s="1253">
        <f>F68*G68</f>
        <v>0</v>
      </c>
      <c r="I68" s="744" t="s">
        <v>137</v>
      </c>
      <c r="K68" s="1452"/>
      <c r="L68" s="1452"/>
      <c r="M68" s="1452"/>
      <c r="N68" s="1452"/>
      <c r="O68" s="1294"/>
      <c r="P68" s="1295"/>
      <c r="Q68" s="1296"/>
      <c r="R68" s="1297"/>
      <c r="S68" s="1297"/>
      <c r="T68" s="1254"/>
      <c r="V68" s="1298"/>
    </row>
    <row r="69" spans="1:23" s="1248" customFormat="1" ht="13.5" customHeight="1">
      <c r="A69" s="1251"/>
      <c r="B69" s="1245"/>
      <c r="C69" s="1245"/>
      <c r="D69" s="1255" t="s">
        <v>6187</v>
      </c>
      <c r="E69" s="1485"/>
      <c r="F69" s="1249">
        <v>2</v>
      </c>
      <c r="G69" s="405"/>
      <c r="H69" s="1253"/>
      <c r="I69" s="1280"/>
      <c r="J69" s="1461"/>
      <c r="K69" s="1458"/>
      <c r="L69" s="1452"/>
      <c r="M69" s="1452"/>
      <c r="N69" s="1452"/>
      <c r="O69" s="1294"/>
      <c r="P69" s="1295"/>
      <c r="Q69" s="1296"/>
      <c r="R69" s="1297"/>
      <c r="S69" s="1297"/>
      <c r="T69" s="1254"/>
      <c r="V69" s="1298"/>
    </row>
    <row r="70" spans="1:23" s="1248" customFormat="1" ht="13.5" customHeight="1">
      <c r="A70" s="1251" t="s">
        <v>2420</v>
      </c>
      <c r="B70" s="1245">
        <v>231</v>
      </c>
      <c r="C70" s="1245">
        <v>184818243</v>
      </c>
      <c r="D70" s="1245" t="s">
        <v>6188</v>
      </c>
      <c r="E70" s="1245" t="s">
        <v>205</v>
      </c>
      <c r="F70" s="1246">
        <f>SUM(F71:F71)</f>
        <v>3</v>
      </c>
      <c r="G70" s="405"/>
      <c r="H70" s="1253">
        <f>F70*G70</f>
        <v>0</v>
      </c>
      <c r="I70" s="744" t="s">
        <v>137</v>
      </c>
      <c r="K70" s="1452"/>
      <c r="L70" s="1452"/>
      <c r="M70" s="1452"/>
      <c r="N70" s="1452"/>
      <c r="O70" s="1294"/>
      <c r="P70" s="1295"/>
      <c r="Q70" s="1296"/>
      <c r="R70" s="1297"/>
      <c r="S70" s="1297"/>
      <c r="T70" s="1254"/>
      <c r="V70" s="1298"/>
    </row>
    <row r="71" spans="1:23" s="1248" customFormat="1" ht="13.5" customHeight="1">
      <c r="A71" s="1251"/>
      <c r="B71" s="1245"/>
      <c r="C71" s="1245"/>
      <c r="D71" s="1255" t="s">
        <v>6189</v>
      </c>
      <c r="E71" s="1485"/>
      <c r="F71" s="1249">
        <v>3</v>
      </c>
      <c r="G71" s="405"/>
      <c r="H71" s="1253"/>
      <c r="I71" s="1280"/>
      <c r="J71" s="1461"/>
      <c r="K71" s="1458"/>
      <c r="L71" s="1452"/>
      <c r="M71" s="1452"/>
      <c r="N71" s="1452"/>
      <c r="O71" s="1294"/>
      <c r="P71" s="1295"/>
      <c r="Q71" s="1296"/>
      <c r="R71" s="1297"/>
      <c r="S71" s="1297"/>
      <c r="T71" s="1254"/>
      <c r="V71" s="1298"/>
    </row>
    <row r="72" spans="1:23" s="1248" customFormat="1" ht="13.5" customHeight="1">
      <c r="A72" s="1291">
        <v>27</v>
      </c>
      <c r="B72" s="1252" t="s">
        <v>5110</v>
      </c>
      <c r="C72" s="1245">
        <v>185802113</v>
      </c>
      <c r="D72" s="1487" t="s">
        <v>5151</v>
      </c>
      <c r="E72" s="1245" t="s">
        <v>175</v>
      </c>
      <c r="F72" s="1246">
        <f>SUM(F73)</f>
        <v>6.1199999999999997E-2</v>
      </c>
      <c r="G72" s="405"/>
      <c r="H72" s="1253">
        <f>F72*G72</f>
        <v>0</v>
      </c>
      <c r="I72" s="744" t="s">
        <v>137</v>
      </c>
      <c r="J72" s="1504"/>
      <c r="K72" s="1464"/>
      <c r="L72" s="1465"/>
      <c r="M72" s="1466"/>
      <c r="N72" s="1466"/>
      <c r="O72" s="1467"/>
      <c r="P72" s="1466"/>
      <c r="Q72" s="1468"/>
      <c r="R72" s="1469"/>
      <c r="S72" s="1470"/>
      <c r="W72" s="1471"/>
    </row>
    <row r="73" spans="1:23" s="1248" customFormat="1" ht="13.5" customHeight="1">
      <c r="A73" s="1251"/>
      <c r="B73" s="1245"/>
      <c r="C73" s="1245"/>
      <c r="D73" s="1255" t="s">
        <v>6190</v>
      </c>
      <c r="E73" s="1245"/>
      <c r="F73" s="1249">
        <f>((680)*0.09)/1000</f>
        <v>6.1199999999999997E-2</v>
      </c>
      <c r="G73" s="405"/>
      <c r="H73" s="1253"/>
      <c r="I73" s="1280"/>
      <c r="J73" s="5252"/>
      <c r="K73" s="5253"/>
      <c r="L73" s="1486"/>
      <c r="M73" s="1452"/>
      <c r="N73" s="1452"/>
      <c r="O73" s="1294"/>
      <c r="P73" s="1295"/>
      <c r="Q73" s="1296"/>
      <c r="R73" s="1297"/>
      <c r="S73" s="1297"/>
      <c r="T73" s="1254"/>
      <c r="V73" s="1298"/>
    </row>
    <row r="74" spans="1:23" s="1248" customFormat="1" ht="13.5" customHeight="1">
      <c r="A74" s="1291">
        <v>28</v>
      </c>
      <c r="B74" s="1252" t="s">
        <v>5110</v>
      </c>
      <c r="C74" s="1245">
        <v>185802133</v>
      </c>
      <c r="D74" s="1487" t="s">
        <v>6191</v>
      </c>
      <c r="E74" s="1245" t="s">
        <v>175</v>
      </c>
      <c r="F74" s="1246">
        <f>SUM(F75)</f>
        <v>1.1483999999999998E-2</v>
      </c>
      <c r="G74" s="405"/>
      <c r="H74" s="1253">
        <f>F74*G74</f>
        <v>0</v>
      </c>
      <c r="I74" s="744" t="s">
        <v>137</v>
      </c>
      <c r="J74" s="1504"/>
      <c r="K74" s="1464"/>
      <c r="L74" s="1465"/>
      <c r="M74" s="1466"/>
      <c r="N74" s="1466"/>
      <c r="O74" s="1467"/>
      <c r="P74" s="1466"/>
      <c r="Q74" s="1468"/>
      <c r="R74" s="1469"/>
      <c r="S74" s="1470"/>
      <c r="W74" s="1471"/>
    </row>
    <row r="75" spans="1:23" s="1248" customFormat="1" ht="13.5" customHeight="1">
      <c r="A75" s="1251"/>
      <c r="B75" s="1245"/>
      <c r="C75" s="1245"/>
      <c r="D75" s="1255" t="s">
        <v>6192</v>
      </c>
      <c r="E75" s="1245"/>
      <c r="F75" s="1249">
        <f>((127.6)*0.09)/1000</f>
        <v>1.1483999999999998E-2</v>
      </c>
      <c r="G75" s="405"/>
      <c r="H75" s="1253"/>
      <c r="I75" s="1280"/>
      <c r="J75" s="5252"/>
      <c r="K75" s="5253"/>
      <c r="L75" s="1486"/>
      <c r="M75" s="1452"/>
      <c r="N75" s="1452"/>
      <c r="O75" s="1294"/>
      <c r="P75" s="1295"/>
      <c r="Q75" s="1296"/>
      <c r="R75" s="1297"/>
      <c r="S75" s="1297"/>
      <c r="T75" s="1254"/>
      <c r="V75" s="1298"/>
    </row>
    <row r="76" spans="1:23" s="1248" customFormat="1" ht="13.5" customHeight="1">
      <c r="A76" s="1291">
        <v>29</v>
      </c>
      <c r="B76" s="1474" t="s">
        <v>5153</v>
      </c>
      <c r="C76" s="1476">
        <v>25191155</v>
      </c>
      <c r="D76" s="1490" t="s">
        <v>6193</v>
      </c>
      <c r="E76" s="1476" t="s">
        <v>853</v>
      </c>
      <c r="F76" s="1477">
        <f>SUM(F77:F77)</f>
        <v>72.683999999999997</v>
      </c>
      <c r="G76" s="432"/>
      <c r="H76" s="1478">
        <f>F76*G76</f>
        <v>0</v>
      </c>
      <c r="I76" s="1052" t="s">
        <v>137</v>
      </c>
      <c r="J76" s="1505"/>
      <c r="K76" s="1464"/>
      <c r="L76" s="1465"/>
      <c r="M76" s="1466"/>
      <c r="N76" s="1466"/>
      <c r="O76" s="1467"/>
      <c r="P76" s="1466"/>
      <c r="Q76" s="1468"/>
      <c r="R76" s="1469"/>
      <c r="S76" s="1470"/>
      <c r="W76" s="1471"/>
    </row>
    <row r="77" spans="1:23" s="1248" customFormat="1" ht="13.5" customHeight="1">
      <c r="A77" s="1454"/>
      <c r="B77" s="1278"/>
      <c r="C77" s="1278"/>
      <c r="D77" s="1481" t="s">
        <v>6194</v>
      </c>
      <c r="E77" s="1476"/>
      <c r="F77" s="1482">
        <f>(680+127.6)*0.09</f>
        <v>72.683999999999997</v>
      </c>
      <c r="G77" s="405"/>
      <c r="H77" s="1455"/>
      <c r="I77" s="1492"/>
      <c r="J77" s="1463"/>
      <c r="K77" s="1464"/>
      <c r="L77" s="1465"/>
      <c r="M77" s="1466"/>
      <c r="N77" s="1466"/>
      <c r="O77" s="1467"/>
      <c r="P77" s="1466"/>
      <c r="Q77" s="1468"/>
      <c r="R77" s="1469"/>
      <c r="S77" s="1470"/>
      <c r="W77" s="1471"/>
    </row>
    <row r="78" spans="1:23" s="1248" customFormat="1" ht="13.5" customHeight="1">
      <c r="A78" s="1291">
        <v>30</v>
      </c>
      <c r="B78" s="1252" t="s">
        <v>5110</v>
      </c>
      <c r="C78" s="1245">
        <v>185804312</v>
      </c>
      <c r="D78" s="1506" t="s">
        <v>6195</v>
      </c>
      <c r="E78" s="1245" t="s">
        <v>146</v>
      </c>
      <c r="F78" s="1246">
        <f>SUM(F79:F79)</f>
        <v>12.114000000000001</v>
      </c>
      <c r="G78" s="405"/>
      <c r="H78" s="1253">
        <f>F78*G78</f>
        <v>0</v>
      </c>
      <c r="I78" s="744" t="s">
        <v>137</v>
      </c>
      <c r="J78" s="1505"/>
      <c r="K78" s="1464"/>
      <c r="L78" s="1465"/>
      <c r="M78" s="1489"/>
      <c r="N78" s="1466"/>
      <c r="O78" s="1467"/>
      <c r="P78" s="1466"/>
      <c r="Q78" s="1468"/>
      <c r="R78" s="1469"/>
      <c r="S78" s="1470"/>
      <c r="W78" s="1471"/>
    </row>
    <row r="79" spans="1:23" s="1248" customFormat="1" ht="13.5" customHeight="1">
      <c r="A79" s="1454"/>
      <c r="B79" s="1278"/>
      <c r="C79" s="1278"/>
      <c r="D79" s="1255" t="s">
        <v>6196</v>
      </c>
      <c r="E79" s="1245"/>
      <c r="F79" s="1249">
        <f>(807.6)*0.015</f>
        <v>12.114000000000001</v>
      </c>
      <c r="G79" s="405"/>
      <c r="H79" s="1455"/>
      <c r="I79" s="1492"/>
      <c r="J79" s="1507"/>
      <c r="K79" s="1464"/>
      <c r="L79" s="1465"/>
      <c r="M79" s="1466"/>
      <c r="N79" s="1466"/>
      <c r="O79" s="1467"/>
      <c r="P79" s="1466"/>
      <c r="Q79" s="1468"/>
      <c r="R79" s="1469"/>
      <c r="S79" s="1470"/>
      <c r="W79" s="1471"/>
    </row>
    <row r="80" spans="1:23" s="467" customFormat="1" ht="13.5" customHeight="1">
      <c r="A80" s="1493" t="s">
        <v>5452</v>
      </c>
      <c r="B80" s="1252" t="s">
        <v>135</v>
      </c>
      <c r="C80" s="1245" t="s">
        <v>6279</v>
      </c>
      <c r="D80" s="943" t="s">
        <v>6280</v>
      </c>
      <c r="E80" s="943" t="s">
        <v>49</v>
      </c>
      <c r="F80" s="1128">
        <f>F82</f>
        <v>1</v>
      </c>
      <c r="G80" s="405"/>
      <c r="H80" s="1499">
        <f>F80*G80</f>
        <v>0</v>
      </c>
      <c r="I80" s="744" t="s">
        <v>112</v>
      </c>
      <c r="J80" s="1248"/>
      <c r="L80" s="1508"/>
      <c r="M80" s="1054"/>
      <c r="N80" s="1054"/>
      <c r="O80" s="1054"/>
      <c r="P80" s="1055"/>
      <c r="Q80" s="1127"/>
      <c r="R80" s="1057"/>
      <c r="S80" s="1058"/>
      <c r="T80" s="1058"/>
      <c r="U80" s="1059"/>
      <c r="W80" s="1060"/>
    </row>
    <row r="81" spans="1:23" s="467" customFormat="1" ht="13.5" customHeight="1">
      <c r="A81" s="1493"/>
      <c r="B81" s="659"/>
      <c r="C81" s="557"/>
      <c r="D81" s="599" t="s">
        <v>6281</v>
      </c>
      <c r="E81" s="943"/>
      <c r="F81" s="943"/>
      <c r="G81" s="405"/>
      <c r="H81" s="1499"/>
      <c r="I81" s="1509"/>
      <c r="J81" s="1248"/>
      <c r="K81" s="1502"/>
      <c r="L81" s="1054"/>
      <c r="M81" s="1510"/>
      <c r="N81" s="1054"/>
      <c r="O81" s="1054"/>
      <c r="P81" s="1055"/>
      <c r="Q81" s="1511"/>
      <c r="R81" s="1057"/>
      <c r="S81" s="1058"/>
      <c r="T81" s="1058"/>
      <c r="U81" s="1059"/>
      <c r="W81" s="1060"/>
    </row>
    <row r="82" spans="1:23" s="467" customFormat="1" ht="13.5" customHeight="1">
      <c r="A82" s="1493"/>
      <c r="B82" s="659"/>
      <c r="C82" s="1512"/>
      <c r="D82" s="599" t="s">
        <v>6282</v>
      </c>
      <c r="E82" s="943"/>
      <c r="F82" s="951">
        <v>1</v>
      </c>
      <c r="G82" s="405"/>
      <c r="H82" s="1499"/>
      <c r="I82" s="1513"/>
      <c r="J82" s="1501"/>
      <c r="K82" s="1502"/>
      <c r="L82" s="1054"/>
      <c r="M82" s="1510"/>
      <c r="N82" s="1054"/>
      <c r="O82" s="1054"/>
      <c r="P82" s="1055"/>
      <c r="Q82" s="1511"/>
      <c r="R82" s="1057"/>
      <c r="S82" s="1058"/>
      <c r="T82" s="1058"/>
      <c r="U82" s="1059"/>
      <c r="W82" s="1060"/>
    </row>
    <row r="83" spans="1:23" s="467" customFormat="1" ht="54" customHeight="1">
      <c r="A83" s="1493"/>
      <c r="B83" s="1494"/>
      <c r="C83" s="1495"/>
      <c r="D83" s="1496" t="s">
        <v>6283</v>
      </c>
      <c r="E83" s="1497"/>
      <c r="F83" s="1498"/>
      <c r="G83" s="405"/>
      <c r="H83" s="1499"/>
      <c r="I83" s="1500"/>
      <c r="J83" s="1501"/>
      <c r="K83" s="1502"/>
      <c r="L83" s="1054"/>
      <c r="M83" s="1305"/>
      <c r="N83" s="1503"/>
      <c r="O83" s="1503"/>
      <c r="P83" s="1055"/>
      <c r="Q83" s="1127"/>
      <c r="R83" s="1057"/>
      <c r="S83" s="1058"/>
      <c r="T83" s="1058"/>
      <c r="U83" s="1059"/>
      <c r="W83" s="1060"/>
    </row>
    <row r="84" spans="1:23" s="467" customFormat="1" ht="13.5" customHeight="1">
      <c r="A84" s="1493"/>
      <c r="B84" s="659"/>
      <c r="C84" s="1512"/>
      <c r="D84" s="599" t="s">
        <v>6284</v>
      </c>
      <c r="E84" s="943"/>
      <c r="F84" s="951"/>
      <c r="G84" s="405"/>
      <c r="H84" s="1499"/>
      <c r="I84" s="1513"/>
      <c r="J84" s="1501"/>
      <c r="K84" s="1502"/>
      <c r="L84" s="1054"/>
      <c r="M84" s="1510"/>
      <c r="N84" s="1054"/>
      <c r="O84" s="1054"/>
      <c r="P84" s="1055"/>
      <c r="Q84" s="1511"/>
      <c r="R84" s="1057"/>
      <c r="S84" s="1058"/>
      <c r="T84" s="1058"/>
      <c r="U84" s="1059"/>
      <c r="W84" s="1060"/>
    </row>
    <row r="85" spans="1:23" s="467" customFormat="1" ht="81" customHeight="1">
      <c r="A85" s="1493"/>
      <c r="B85" s="1494"/>
      <c r="C85" s="1495"/>
      <c r="D85" s="1496" t="s">
        <v>6285</v>
      </c>
      <c r="E85" s="1497"/>
      <c r="F85" s="1498"/>
      <c r="G85" s="405"/>
      <c r="H85" s="1499"/>
      <c r="I85" s="1500"/>
      <c r="J85" s="1501"/>
      <c r="K85" s="1502"/>
      <c r="L85" s="1054"/>
      <c r="M85" s="1305"/>
      <c r="N85" s="1503"/>
      <c r="O85" s="1503"/>
      <c r="P85" s="1055"/>
      <c r="Q85" s="1127"/>
      <c r="R85" s="1057"/>
      <c r="S85" s="1058"/>
      <c r="T85" s="1058"/>
      <c r="U85" s="1059"/>
      <c r="W85" s="1060"/>
    </row>
    <row r="86" spans="1:23" s="467" customFormat="1" ht="13.5" customHeight="1">
      <c r="A86" s="1493" t="s">
        <v>1242</v>
      </c>
      <c r="B86" s="1252" t="s">
        <v>135</v>
      </c>
      <c r="C86" s="1245" t="s">
        <v>6197</v>
      </c>
      <c r="D86" s="943" t="s">
        <v>6198</v>
      </c>
      <c r="E86" s="943" t="s">
        <v>49</v>
      </c>
      <c r="F86" s="1128">
        <f>F87</f>
        <v>1</v>
      </c>
      <c r="G86" s="405"/>
      <c r="H86" s="1499">
        <f>F86*G86</f>
        <v>0</v>
      </c>
      <c r="I86" s="744" t="s">
        <v>112</v>
      </c>
      <c r="J86" s="1248"/>
      <c r="L86" s="1508"/>
      <c r="M86" s="1054"/>
      <c r="N86" s="1054"/>
      <c r="O86" s="1054"/>
      <c r="P86" s="1055"/>
      <c r="Q86" s="1127"/>
      <c r="R86" s="1057"/>
      <c r="S86" s="1058"/>
      <c r="T86" s="1058"/>
      <c r="U86" s="1059"/>
      <c r="W86" s="1060"/>
    </row>
    <row r="87" spans="1:23" s="467" customFormat="1" ht="13.5" customHeight="1">
      <c r="A87" s="1493"/>
      <c r="B87" s="659"/>
      <c r="C87" s="557"/>
      <c r="D87" s="599" t="s">
        <v>6199</v>
      </c>
      <c r="E87" s="943"/>
      <c r="F87" s="951">
        <v>1</v>
      </c>
      <c r="G87" s="405"/>
      <c r="H87" s="1499"/>
      <c r="I87" s="1509"/>
      <c r="J87" s="1248"/>
      <c r="K87" s="1502"/>
      <c r="L87" s="1054"/>
      <c r="M87" s="1510"/>
      <c r="N87" s="1054"/>
      <c r="O87" s="1054"/>
      <c r="P87" s="1055"/>
      <c r="Q87" s="1511"/>
      <c r="R87" s="1057"/>
      <c r="S87" s="1058"/>
      <c r="T87" s="1058"/>
      <c r="U87" s="1059"/>
      <c r="W87" s="1060"/>
    </row>
    <row r="88" spans="1:23" s="467" customFormat="1" ht="27" customHeight="1">
      <c r="A88" s="1493"/>
      <c r="B88" s="659"/>
      <c r="C88" s="1512"/>
      <c r="D88" s="599" t="s">
        <v>6200</v>
      </c>
      <c r="E88" s="943"/>
      <c r="F88" s="1514"/>
      <c r="G88" s="405"/>
      <c r="H88" s="1499"/>
      <c r="I88" s="1513"/>
      <c r="J88" s="1501"/>
      <c r="K88" s="1502"/>
      <c r="L88" s="1054"/>
      <c r="M88" s="1510"/>
      <c r="N88" s="1054"/>
      <c r="O88" s="1054"/>
      <c r="P88" s="1055"/>
      <c r="Q88" s="1511"/>
      <c r="R88" s="1057"/>
      <c r="S88" s="1058"/>
      <c r="T88" s="1058"/>
      <c r="U88" s="1059"/>
      <c r="W88" s="1060"/>
    </row>
    <row r="89" spans="1:23" s="467" customFormat="1" ht="81" customHeight="1">
      <c r="A89" s="1493"/>
      <c r="B89" s="1494"/>
      <c r="C89" s="1495"/>
      <c r="D89" s="1496" t="s">
        <v>6201</v>
      </c>
      <c r="E89" s="1497"/>
      <c r="F89" s="1498"/>
      <c r="G89" s="405"/>
      <c r="H89" s="1499"/>
      <c r="I89" s="1500"/>
      <c r="J89" s="1501"/>
      <c r="K89" s="1502"/>
      <c r="L89" s="1054"/>
      <c r="M89" s="1305"/>
      <c r="N89" s="1503"/>
      <c r="O89" s="1503"/>
      <c r="P89" s="1055"/>
      <c r="Q89" s="1127"/>
      <c r="R89" s="1057"/>
      <c r="S89" s="1058"/>
      <c r="T89" s="1058"/>
      <c r="U89" s="1059"/>
      <c r="W89" s="1060"/>
    </row>
    <row r="90" spans="1:23" s="1248" customFormat="1" ht="13.5" customHeight="1">
      <c r="A90" s="1244">
        <v>33</v>
      </c>
      <c r="B90" s="1252" t="s">
        <v>135</v>
      </c>
      <c r="C90" s="1245" t="s">
        <v>4782</v>
      </c>
      <c r="D90" s="1245" t="s">
        <v>4783</v>
      </c>
      <c r="E90" s="1245" t="s">
        <v>146</v>
      </c>
      <c r="F90" s="1246">
        <f>SUM(F91)</f>
        <v>174.23999999999998</v>
      </c>
      <c r="G90" s="1247">
        <f>SUM(H93:H95)/F90</f>
        <v>0</v>
      </c>
      <c r="H90" s="1247">
        <f>F90*G90</f>
        <v>0</v>
      </c>
      <c r="I90" s="744" t="s">
        <v>112</v>
      </c>
    </row>
    <row r="91" spans="1:23" s="1248" customFormat="1" ht="13.5" customHeight="1">
      <c r="A91" s="1244"/>
      <c r="B91" s="1252"/>
      <c r="C91" s="1245"/>
      <c r="D91" s="1255" t="s">
        <v>6202</v>
      </c>
      <c r="E91" s="1245"/>
      <c r="F91" s="1249">
        <f>(1161.6)*0.15</f>
        <v>174.23999999999998</v>
      </c>
      <c r="G91" s="404"/>
      <c r="H91" s="1247"/>
      <c r="I91" s="1280"/>
    </row>
    <row r="92" spans="1:23" s="1248" customFormat="1" ht="13.5" customHeight="1">
      <c r="A92" s="1244"/>
      <c r="B92" s="1245"/>
      <c r="C92" s="1245"/>
      <c r="D92" s="1255" t="s">
        <v>4796</v>
      </c>
      <c r="E92" s="1245"/>
      <c r="F92" s="1515"/>
      <c r="G92" s="404"/>
      <c r="H92" s="1247"/>
      <c r="I92" s="1280"/>
      <c r="J92" s="1516"/>
      <c r="K92" s="1517"/>
    </row>
    <row r="93" spans="1:23" s="1248" customFormat="1" ht="13.5" customHeight="1">
      <c r="A93" s="1518" t="s">
        <v>5587</v>
      </c>
      <c r="B93" s="1245"/>
      <c r="C93" s="1259">
        <v>167151111</v>
      </c>
      <c r="D93" s="1255" t="s">
        <v>188</v>
      </c>
      <c r="E93" s="1259" t="s">
        <v>146</v>
      </c>
      <c r="F93" s="1249">
        <f>F91</f>
        <v>174.23999999999998</v>
      </c>
      <c r="G93" s="415"/>
      <c r="H93" s="1519">
        <f t="shared" ref="H93:H95" si="0">F93*G93</f>
        <v>0</v>
      </c>
      <c r="I93" s="781" t="s">
        <v>137</v>
      </c>
      <c r="J93" s="1516"/>
      <c r="K93" s="1517"/>
    </row>
    <row r="94" spans="1:23" s="1248" customFormat="1" ht="27" customHeight="1">
      <c r="A94" s="1518" t="s">
        <v>5976</v>
      </c>
      <c r="B94" s="1245"/>
      <c r="C94" s="1259">
        <v>162351103</v>
      </c>
      <c r="D94" s="1255" t="s">
        <v>4791</v>
      </c>
      <c r="E94" s="1259" t="s">
        <v>146</v>
      </c>
      <c r="F94" s="1249">
        <f>F93</f>
        <v>174.23999999999998</v>
      </c>
      <c r="G94" s="415"/>
      <c r="H94" s="1519">
        <f t="shared" si="0"/>
        <v>0</v>
      </c>
      <c r="I94" s="781" t="s">
        <v>137</v>
      </c>
      <c r="J94" s="1516"/>
      <c r="K94" s="1517"/>
    </row>
    <row r="95" spans="1:23" s="1248" customFormat="1" ht="13.5" customHeight="1">
      <c r="A95" s="1518" t="s">
        <v>5977</v>
      </c>
      <c r="B95" s="1245"/>
      <c r="C95" s="785">
        <v>171251201</v>
      </c>
      <c r="D95" s="1255" t="s">
        <v>4795</v>
      </c>
      <c r="E95" s="1259" t="s">
        <v>146</v>
      </c>
      <c r="F95" s="1249">
        <f>F91</f>
        <v>174.23999999999998</v>
      </c>
      <c r="G95" s="415"/>
      <c r="H95" s="1519">
        <f t="shared" si="0"/>
        <v>0</v>
      </c>
      <c r="I95" s="781" t="s">
        <v>137</v>
      </c>
      <c r="J95" s="786"/>
      <c r="K95" s="787"/>
      <c r="L95" s="612"/>
      <c r="M95" s="612"/>
      <c r="N95" s="612"/>
      <c r="O95" s="612"/>
      <c r="P95" s="612"/>
      <c r="Q95" s="612"/>
      <c r="R95" s="612"/>
      <c r="S95" s="788"/>
      <c r="T95" s="612"/>
    </row>
    <row r="96" spans="1:23" s="1248" customFormat="1" ht="13.5" customHeight="1">
      <c r="A96" s="1244">
        <v>34</v>
      </c>
      <c r="B96" s="1252" t="s">
        <v>135</v>
      </c>
      <c r="C96" s="1245" t="s">
        <v>4797</v>
      </c>
      <c r="D96" s="1245" t="s">
        <v>4798</v>
      </c>
      <c r="E96" s="1245" t="s">
        <v>146</v>
      </c>
      <c r="F96" s="1246">
        <f>SUM(F97)</f>
        <v>161.52000000000001</v>
      </c>
      <c r="G96" s="1247">
        <f>SUM(H98:H99)/F96</f>
        <v>0</v>
      </c>
      <c r="H96" s="1247">
        <f>F96*G96</f>
        <v>0</v>
      </c>
      <c r="I96" s="744" t="s">
        <v>112</v>
      </c>
      <c r="J96" s="1516"/>
      <c r="K96" s="1517"/>
    </row>
    <row r="97" spans="1:256" s="1248" customFormat="1" ht="13.5" customHeight="1">
      <c r="A97" s="1244"/>
      <c r="B97" s="1252"/>
      <c r="C97" s="1245"/>
      <c r="D97" s="1255" t="s">
        <v>6203</v>
      </c>
      <c r="E97" s="1245"/>
      <c r="F97" s="1249">
        <f>(807.6)*0.2</f>
        <v>161.52000000000001</v>
      </c>
      <c r="G97" s="433"/>
      <c r="H97" s="1520"/>
      <c r="I97" s="1521"/>
      <c r="J97" s="1516"/>
      <c r="K97" s="1517"/>
    </row>
    <row r="98" spans="1:256" s="1248" customFormat="1" ht="13.5" customHeight="1">
      <c r="A98" s="1518" t="s">
        <v>5592</v>
      </c>
      <c r="B98" s="1245"/>
      <c r="C98" s="1259">
        <v>167151111</v>
      </c>
      <c r="D98" s="1255" t="s">
        <v>188</v>
      </c>
      <c r="E98" s="1259" t="s">
        <v>146</v>
      </c>
      <c r="F98" s="1249">
        <f>F97</f>
        <v>161.52000000000001</v>
      </c>
      <c r="G98" s="415"/>
      <c r="H98" s="1519">
        <f t="shared" ref="H98:H99" si="1">F98*G98</f>
        <v>0</v>
      </c>
      <c r="I98" s="781" t="s">
        <v>137</v>
      </c>
      <c r="J98" s="1522"/>
      <c r="K98" s="1522"/>
      <c r="L98" s="1523"/>
      <c r="M98" s="1523"/>
      <c r="N98" s="1523"/>
      <c r="O98" s="1523"/>
      <c r="P98" s="1523"/>
    </row>
    <row r="99" spans="1:256" s="1248" customFormat="1" ht="27" customHeight="1">
      <c r="A99" s="1518" t="s">
        <v>5980</v>
      </c>
      <c r="B99" s="1245"/>
      <c r="C99" s="1259">
        <v>162351103</v>
      </c>
      <c r="D99" s="1255" t="s">
        <v>4791</v>
      </c>
      <c r="E99" s="1259" t="s">
        <v>146</v>
      </c>
      <c r="F99" s="1249">
        <f>F98</f>
        <v>161.52000000000001</v>
      </c>
      <c r="G99" s="415"/>
      <c r="H99" s="1519">
        <f t="shared" si="1"/>
        <v>0</v>
      </c>
      <c r="I99" s="781" t="s">
        <v>137</v>
      </c>
      <c r="J99" s="1516"/>
      <c r="K99" s="1517"/>
    </row>
    <row r="100" spans="1:256" s="1248" customFormat="1" ht="27" customHeight="1">
      <c r="A100" s="1524"/>
      <c r="B100" s="1525"/>
      <c r="C100" s="1259"/>
      <c r="D100" s="1255" t="s">
        <v>5893</v>
      </c>
      <c r="E100" s="1255"/>
      <c r="F100" s="1249"/>
      <c r="G100" s="404"/>
      <c r="H100" s="1247"/>
      <c r="I100" s="1492"/>
      <c r="J100" s="1526"/>
      <c r="K100" s="1527"/>
      <c r="R100" s="1528"/>
    </row>
    <row r="101" spans="1:256" s="1248" customFormat="1" ht="27" customHeight="1">
      <c r="A101" s="1244">
        <v>35</v>
      </c>
      <c r="B101" s="1252" t="s">
        <v>135</v>
      </c>
      <c r="C101" s="1245" t="s">
        <v>180</v>
      </c>
      <c r="D101" s="1245" t="s">
        <v>6330</v>
      </c>
      <c r="E101" s="1245" t="s">
        <v>146</v>
      </c>
      <c r="F101" s="1246">
        <f>SUM(F102)</f>
        <v>53.09999999999998</v>
      </c>
      <c r="G101" s="1247">
        <f>SUM(H103:H106)/F101</f>
        <v>0</v>
      </c>
      <c r="H101" s="1247">
        <f>F101*G101</f>
        <v>0</v>
      </c>
      <c r="I101" s="744" t="s">
        <v>112</v>
      </c>
      <c r="J101" s="1516"/>
      <c r="K101" s="1517"/>
    </row>
    <row r="102" spans="1:256" s="1248" customFormat="1" ht="13.5" customHeight="1">
      <c r="A102" s="1244"/>
      <c r="B102" s="1252"/>
      <c r="C102" s="1245"/>
      <c r="D102" s="1255" t="s">
        <v>6204</v>
      </c>
      <c r="E102" s="1245"/>
      <c r="F102" s="1249">
        <f>(1161.6*0.15)-(807.6*0.15)</f>
        <v>53.09999999999998</v>
      </c>
      <c r="G102" s="433"/>
      <c r="H102" s="1520"/>
      <c r="I102" s="1521"/>
      <c r="J102" s="1516"/>
      <c r="K102" s="1517"/>
    </row>
    <row r="103" spans="1:256" s="1271" customFormat="1" ht="13.5" customHeight="1">
      <c r="A103" s="792" t="s">
        <v>5598</v>
      </c>
      <c r="B103" s="1529"/>
      <c r="C103" s="793">
        <v>167151101</v>
      </c>
      <c r="D103" s="1530" t="s">
        <v>2401</v>
      </c>
      <c r="E103" s="793" t="s">
        <v>146</v>
      </c>
      <c r="F103" s="1531">
        <f>F101</f>
        <v>53.09999999999998</v>
      </c>
      <c r="G103" s="474"/>
      <c r="H103" s="1532">
        <f>F103*G103</f>
        <v>0</v>
      </c>
      <c r="I103" s="781" t="s">
        <v>137</v>
      </c>
      <c r="J103" s="1270"/>
      <c r="K103" s="647"/>
    </row>
    <row r="104" spans="1:256" s="1248" customFormat="1" ht="27" customHeight="1">
      <c r="A104" s="1533" t="s">
        <v>5601</v>
      </c>
      <c r="B104" s="1534"/>
      <c r="C104" s="805" t="s">
        <v>6324</v>
      </c>
      <c r="D104" s="806" t="s">
        <v>6334</v>
      </c>
      <c r="E104" s="1535" t="s">
        <v>146</v>
      </c>
      <c r="F104" s="1536">
        <f>F103</f>
        <v>53.09999999999998</v>
      </c>
      <c r="G104" s="473"/>
      <c r="H104" s="1537">
        <f>F104*G104</f>
        <v>0</v>
      </c>
      <c r="I104" s="781" t="s">
        <v>112</v>
      </c>
      <c r="J104" s="786"/>
      <c r="K104" s="787"/>
      <c r="L104" s="612"/>
      <c r="M104" s="612"/>
      <c r="N104" s="612"/>
      <c r="O104" s="612"/>
      <c r="P104" s="612"/>
      <c r="Q104" s="612"/>
      <c r="R104" s="612"/>
      <c r="S104" s="788"/>
      <c r="T104" s="827"/>
      <c r="U104" s="827"/>
      <c r="V104" s="827"/>
      <c r="W104" s="827"/>
      <c r="X104" s="827"/>
      <c r="Y104" s="827"/>
      <c r="Z104" s="827"/>
      <c r="AA104" s="827"/>
      <c r="AB104" s="827"/>
      <c r="AC104" s="827"/>
      <c r="AD104" s="827"/>
      <c r="AE104" s="827"/>
      <c r="AF104" s="827"/>
      <c r="AG104" s="827"/>
      <c r="AH104" s="827"/>
      <c r="AI104" s="827"/>
      <c r="AJ104" s="827"/>
      <c r="AK104" s="827"/>
      <c r="AL104" s="827"/>
      <c r="AM104" s="827"/>
      <c r="AN104" s="827"/>
      <c r="AO104" s="827"/>
      <c r="AP104" s="827"/>
      <c r="AQ104" s="827"/>
      <c r="AR104" s="827"/>
      <c r="AS104" s="827"/>
      <c r="AT104" s="827"/>
      <c r="AU104" s="827"/>
      <c r="AV104" s="827"/>
      <c r="AW104" s="827"/>
      <c r="AX104" s="827"/>
      <c r="AY104" s="827"/>
      <c r="AZ104" s="827"/>
      <c r="BA104" s="827"/>
      <c r="BB104" s="827"/>
      <c r="BC104" s="827"/>
      <c r="BD104" s="827"/>
      <c r="BE104" s="827"/>
      <c r="BF104" s="827"/>
      <c r="BG104" s="827"/>
      <c r="BH104" s="827"/>
      <c r="BI104" s="827"/>
      <c r="BJ104" s="827"/>
      <c r="BK104" s="827"/>
      <c r="BL104" s="827"/>
      <c r="BM104" s="827"/>
      <c r="BN104" s="827"/>
      <c r="BO104" s="827"/>
      <c r="BP104" s="827"/>
      <c r="BQ104" s="827"/>
      <c r="BR104" s="827"/>
      <c r="BS104" s="827"/>
      <c r="BT104" s="827"/>
      <c r="BU104" s="827"/>
      <c r="BV104" s="827"/>
      <c r="BW104" s="827"/>
      <c r="BX104" s="827"/>
      <c r="BY104" s="827"/>
      <c r="BZ104" s="827"/>
      <c r="CA104" s="827"/>
      <c r="CB104" s="827"/>
      <c r="CC104" s="827"/>
      <c r="CD104" s="827"/>
      <c r="CE104" s="827"/>
      <c r="CF104" s="827"/>
      <c r="CG104" s="827"/>
      <c r="CH104" s="827"/>
      <c r="CI104" s="827"/>
      <c r="CJ104" s="827"/>
      <c r="CK104" s="827"/>
      <c r="CL104" s="827"/>
      <c r="CM104" s="827"/>
      <c r="CN104" s="827"/>
      <c r="CO104" s="827"/>
      <c r="CP104" s="827"/>
      <c r="CQ104" s="827"/>
      <c r="CR104" s="827"/>
      <c r="CS104" s="827"/>
      <c r="CT104" s="827"/>
      <c r="CU104" s="827"/>
      <c r="CV104" s="827"/>
      <c r="CW104" s="827"/>
      <c r="CX104" s="827"/>
      <c r="CY104" s="827"/>
      <c r="CZ104" s="827"/>
      <c r="DA104" s="827"/>
      <c r="DB104" s="827"/>
      <c r="DC104" s="827"/>
      <c r="DD104" s="827"/>
      <c r="DE104" s="827"/>
      <c r="DF104" s="827"/>
      <c r="DG104" s="827"/>
      <c r="DH104" s="827"/>
      <c r="DI104" s="827"/>
      <c r="DJ104" s="827"/>
      <c r="DK104" s="827"/>
      <c r="DL104" s="827"/>
      <c r="DM104" s="827"/>
      <c r="DN104" s="827"/>
      <c r="DO104" s="827"/>
      <c r="DP104" s="827"/>
      <c r="DQ104" s="827"/>
      <c r="DR104" s="827"/>
      <c r="DS104" s="827"/>
      <c r="DT104" s="827"/>
      <c r="DU104" s="827"/>
      <c r="DV104" s="827"/>
      <c r="DW104" s="827"/>
      <c r="DX104" s="827"/>
      <c r="DY104" s="827"/>
      <c r="DZ104" s="827"/>
      <c r="EA104" s="827"/>
      <c r="EB104" s="827"/>
      <c r="EC104" s="827"/>
      <c r="ED104" s="827"/>
      <c r="EE104" s="827"/>
      <c r="EF104" s="827"/>
      <c r="EG104" s="827"/>
      <c r="EH104" s="827"/>
      <c r="EI104" s="827"/>
      <c r="EJ104" s="827"/>
      <c r="EK104" s="827"/>
      <c r="EL104" s="827"/>
      <c r="EM104" s="827"/>
      <c r="EN104" s="827"/>
      <c r="EO104" s="827"/>
      <c r="EP104" s="827"/>
      <c r="EQ104" s="827"/>
      <c r="ER104" s="827"/>
      <c r="ES104" s="827"/>
      <c r="ET104" s="827"/>
      <c r="EU104" s="827"/>
      <c r="EV104" s="827"/>
      <c r="EW104" s="827"/>
      <c r="EX104" s="827"/>
      <c r="EY104" s="827"/>
      <c r="EZ104" s="827"/>
      <c r="FA104" s="827"/>
      <c r="FB104" s="827"/>
      <c r="FC104" s="827"/>
      <c r="FD104" s="827"/>
      <c r="FE104" s="827"/>
      <c r="FF104" s="827"/>
      <c r="FG104" s="827"/>
      <c r="FH104" s="827"/>
      <c r="FI104" s="827"/>
      <c r="FJ104" s="827"/>
      <c r="FK104" s="827"/>
      <c r="FL104" s="827"/>
      <c r="FM104" s="827"/>
      <c r="FN104" s="827"/>
      <c r="FO104" s="827"/>
      <c r="FP104" s="827"/>
      <c r="FQ104" s="827"/>
      <c r="FR104" s="827"/>
      <c r="FS104" s="827"/>
      <c r="FT104" s="827"/>
      <c r="FU104" s="827"/>
      <c r="FV104" s="827"/>
      <c r="FW104" s="827"/>
      <c r="FX104" s="827"/>
      <c r="FY104" s="827"/>
      <c r="FZ104" s="827"/>
      <c r="GA104" s="827"/>
      <c r="GB104" s="827"/>
      <c r="GC104" s="827"/>
      <c r="GD104" s="827"/>
      <c r="GE104" s="827"/>
      <c r="GF104" s="827"/>
      <c r="GG104" s="827"/>
      <c r="GH104" s="827"/>
      <c r="GI104" s="827"/>
      <c r="GJ104" s="827"/>
      <c r="GK104" s="827"/>
      <c r="GL104" s="827"/>
      <c r="GM104" s="827"/>
      <c r="GN104" s="827"/>
      <c r="GO104" s="827"/>
      <c r="GP104" s="827"/>
      <c r="GQ104" s="827"/>
      <c r="GR104" s="827"/>
      <c r="GS104" s="827"/>
      <c r="GT104" s="827"/>
      <c r="GU104" s="827"/>
      <c r="GV104" s="827"/>
      <c r="GW104" s="827"/>
      <c r="GX104" s="827"/>
      <c r="GY104" s="827"/>
      <c r="GZ104" s="827"/>
      <c r="HA104" s="827"/>
      <c r="HB104" s="827"/>
      <c r="HC104" s="827"/>
      <c r="HD104" s="827"/>
      <c r="HE104" s="827"/>
      <c r="HF104" s="827"/>
      <c r="HG104" s="827"/>
      <c r="HH104" s="827"/>
      <c r="HI104" s="827"/>
      <c r="HJ104" s="827"/>
      <c r="HK104" s="827"/>
      <c r="HL104" s="827"/>
      <c r="HM104" s="827"/>
      <c r="HN104" s="827"/>
      <c r="HO104" s="827"/>
      <c r="HP104" s="827"/>
      <c r="HQ104" s="827"/>
      <c r="HR104" s="827"/>
      <c r="HS104" s="827"/>
      <c r="HT104" s="827"/>
      <c r="HU104" s="827"/>
      <c r="HV104" s="827"/>
      <c r="HW104" s="827"/>
      <c r="HX104" s="827"/>
      <c r="HY104" s="827"/>
      <c r="HZ104" s="827"/>
      <c r="IA104" s="827"/>
      <c r="IB104" s="827"/>
      <c r="IC104" s="827"/>
      <c r="ID104" s="827"/>
      <c r="IE104" s="827"/>
      <c r="IF104" s="827"/>
      <c r="IG104" s="827"/>
      <c r="IH104" s="827"/>
      <c r="II104" s="827"/>
      <c r="IJ104" s="827"/>
      <c r="IK104" s="827"/>
      <c r="IL104" s="827"/>
      <c r="IM104" s="827"/>
      <c r="IN104" s="827"/>
      <c r="IO104" s="827"/>
      <c r="IP104" s="827"/>
      <c r="IQ104" s="827"/>
      <c r="IR104" s="827"/>
      <c r="IS104" s="827"/>
      <c r="IT104" s="827"/>
      <c r="IU104" s="827"/>
      <c r="IV104" s="827"/>
    </row>
    <row r="105" spans="1:256" s="1271" customFormat="1" ht="13.5" customHeight="1">
      <c r="A105" s="792" t="s">
        <v>5603</v>
      </c>
      <c r="B105" s="1529"/>
      <c r="C105" s="793">
        <v>171251201</v>
      </c>
      <c r="D105" s="1530" t="s">
        <v>6205</v>
      </c>
      <c r="E105" s="793" t="s">
        <v>146</v>
      </c>
      <c r="F105" s="1531">
        <f>F104</f>
        <v>53.09999999999998</v>
      </c>
      <c r="G105" s="474"/>
      <c r="H105" s="1532">
        <f>F105*G105</f>
        <v>0</v>
      </c>
      <c r="I105" s="781" t="s">
        <v>137</v>
      </c>
      <c r="J105" s="1270"/>
      <c r="K105" s="647"/>
    </row>
    <row r="106" spans="1:256" s="1248" customFormat="1" ht="27" customHeight="1">
      <c r="A106" s="1533" t="s">
        <v>5606</v>
      </c>
      <c r="B106" s="1534"/>
      <c r="C106" s="805" t="s">
        <v>6311</v>
      </c>
      <c r="D106" s="806" t="s">
        <v>6323</v>
      </c>
      <c r="E106" s="1535" t="s">
        <v>175</v>
      </c>
      <c r="F106" s="1536">
        <f>F101*1.7</f>
        <v>90.269999999999968</v>
      </c>
      <c r="G106" s="473"/>
      <c r="H106" s="1537">
        <f>F106*G106</f>
        <v>0</v>
      </c>
      <c r="I106" s="781" t="s">
        <v>112</v>
      </c>
      <c r="J106" s="786"/>
      <c r="K106" s="787"/>
      <c r="L106" s="612"/>
      <c r="M106" s="612"/>
      <c r="N106" s="612"/>
      <c r="O106" s="612"/>
      <c r="P106" s="612"/>
      <c r="Q106" s="612"/>
      <c r="R106" s="612"/>
      <c r="S106" s="788"/>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7"/>
      <c r="AY106" s="827"/>
      <c r="AZ106" s="827"/>
      <c r="BA106" s="827"/>
      <c r="BB106" s="827"/>
      <c r="BC106" s="827"/>
      <c r="BD106" s="827"/>
      <c r="BE106" s="827"/>
      <c r="BF106" s="827"/>
      <c r="BG106" s="827"/>
      <c r="BH106" s="827"/>
      <c r="BI106" s="827"/>
      <c r="BJ106" s="827"/>
      <c r="BK106" s="827"/>
      <c r="BL106" s="827"/>
      <c r="BM106" s="827"/>
      <c r="BN106" s="827"/>
      <c r="BO106" s="827"/>
      <c r="BP106" s="827"/>
      <c r="BQ106" s="827"/>
      <c r="BR106" s="827"/>
      <c r="BS106" s="827"/>
      <c r="BT106" s="827"/>
      <c r="BU106" s="827"/>
      <c r="BV106" s="827"/>
      <c r="BW106" s="827"/>
      <c r="BX106" s="827"/>
      <c r="BY106" s="827"/>
      <c r="BZ106" s="827"/>
      <c r="CA106" s="827"/>
      <c r="CB106" s="827"/>
      <c r="CC106" s="827"/>
      <c r="CD106" s="827"/>
      <c r="CE106" s="827"/>
      <c r="CF106" s="827"/>
      <c r="CG106" s="827"/>
      <c r="CH106" s="827"/>
      <c r="CI106" s="827"/>
      <c r="CJ106" s="827"/>
      <c r="CK106" s="827"/>
      <c r="CL106" s="827"/>
      <c r="CM106" s="827"/>
      <c r="CN106" s="827"/>
      <c r="CO106" s="827"/>
      <c r="CP106" s="827"/>
      <c r="CQ106" s="827"/>
      <c r="CR106" s="827"/>
      <c r="CS106" s="827"/>
      <c r="CT106" s="827"/>
      <c r="CU106" s="827"/>
      <c r="CV106" s="827"/>
      <c r="CW106" s="827"/>
      <c r="CX106" s="827"/>
      <c r="CY106" s="827"/>
      <c r="CZ106" s="827"/>
      <c r="DA106" s="827"/>
      <c r="DB106" s="827"/>
      <c r="DC106" s="827"/>
      <c r="DD106" s="827"/>
      <c r="DE106" s="827"/>
      <c r="DF106" s="827"/>
      <c r="DG106" s="827"/>
      <c r="DH106" s="827"/>
      <c r="DI106" s="827"/>
      <c r="DJ106" s="827"/>
      <c r="DK106" s="827"/>
      <c r="DL106" s="827"/>
      <c r="DM106" s="827"/>
      <c r="DN106" s="827"/>
      <c r="DO106" s="827"/>
      <c r="DP106" s="827"/>
      <c r="DQ106" s="827"/>
      <c r="DR106" s="827"/>
      <c r="DS106" s="827"/>
      <c r="DT106" s="827"/>
      <c r="DU106" s="827"/>
      <c r="DV106" s="827"/>
      <c r="DW106" s="827"/>
      <c r="DX106" s="827"/>
      <c r="DY106" s="827"/>
      <c r="DZ106" s="827"/>
      <c r="EA106" s="827"/>
      <c r="EB106" s="827"/>
      <c r="EC106" s="827"/>
      <c r="ED106" s="827"/>
      <c r="EE106" s="827"/>
      <c r="EF106" s="827"/>
      <c r="EG106" s="827"/>
      <c r="EH106" s="827"/>
      <c r="EI106" s="827"/>
      <c r="EJ106" s="827"/>
      <c r="EK106" s="827"/>
      <c r="EL106" s="827"/>
      <c r="EM106" s="827"/>
      <c r="EN106" s="827"/>
      <c r="EO106" s="827"/>
      <c r="EP106" s="827"/>
      <c r="EQ106" s="827"/>
      <c r="ER106" s="827"/>
      <c r="ES106" s="827"/>
      <c r="ET106" s="827"/>
      <c r="EU106" s="827"/>
      <c r="EV106" s="827"/>
      <c r="EW106" s="827"/>
      <c r="EX106" s="827"/>
      <c r="EY106" s="827"/>
      <c r="EZ106" s="827"/>
      <c r="FA106" s="827"/>
      <c r="FB106" s="827"/>
      <c r="FC106" s="827"/>
      <c r="FD106" s="827"/>
      <c r="FE106" s="827"/>
      <c r="FF106" s="827"/>
      <c r="FG106" s="827"/>
      <c r="FH106" s="827"/>
      <c r="FI106" s="827"/>
      <c r="FJ106" s="827"/>
      <c r="FK106" s="827"/>
      <c r="FL106" s="827"/>
      <c r="FM106" s="827"/>
      <c r="FN106" s="827"/>
      <c r="FO106" s="827"/>
      <c r="FP106" s="827"/>
      <c r="FQ106" s="827"/>
      <c r="FR106" s="827"/>
      <c r="FS106" s="827"/>
      <c r="FT106" s="827"/>
      <c r="FU106" s="827"/>
      <c r="FV106" s="827"/>
      <c r="FW106" s="827"/>
      <c r="FX106" s="827"/>
      <c r="FY106" s="827"/>
      <c r="FZ106" s="827"/>
      <c r="GA106" s="827"/>
      <c r="GB106" s="827"/>
      <c r="GC106" s="827"/>
      <c r="GD106" s="827"/>
      <c r="GE106" s="827"/>
      <c r="GF106" s="827"/>
      <c r="GG106" s="827"/>
      <c r="GH106" s="827"/>
      <c r="GI106" s="827"/>
      <c r="GJ106" s="827"/>
      <c r="GK106" s="827"/>
      <c r="GL106" s="827"/>
      <c r="GM106" s="827"/>
      <c r="GN106" s="827"/>
      <c r="GO106" s="827"/>
      <c r="GP106" s="827"/>
      <c r="GQ106" s="827"/>
      <c r="GR106" s="827"/>
      <c r="GS106" s="827"/>
      <c r="GT106" s="827"/>
      <c r="GU106" s="827"/>
      <c r="GV106" s="827"/>
      <c r="GW106" s="827"/>
      <c r="GX106" s="827"/>
      <c r="GY106" s="827"/>
      <c r="GZ106" s="827"/>
      <c r="HA106" s="827"/>
      <c r="HB106" s="827"/>
      <c r="HC106" s="827"/>
      <c r="HD106" s="827"/>
      <c r="HE106" s="827"/>
      <c r="HF106" s="827"/>
      <c r="HG106" s="827"/>
      <c r="HH106" s="827"/>
      <c r="HI106" s="827"/>
      <c r="HJ106" s="827"/>
      <c r="HK106" s="827"/>
      <c r="HL106" s="827"/>
      <c r="HM106" s="827"/>
      <c r="HN106" s="827"/>
      <c r="HO106" s="827"/>
      <c r="HP106" s="827"/>
      <c r="HQ106" s="827"/>
      <c r="HR106" s="827"/>
      <c r="HS106" s="827"/>
      <c r="HT106" s="827"/>
      <c r="HU106" s="827"/>
      <c r="HV106" s="827"/>
      <c r="HW106" s="827"/>
      <c r="HX106" s="827"/>
      <c r="HY106" s="827"/>
      <c r="HZ106" s="827"/>
      <c r="IA106" s="827"/>
      <c r="IB106" s="827"/>
      <c r="IC106" s="827"/>
      <c r="ID106" s="827"/>
      <c r="IE106" s="827"/>
      <c r="IF106" s="827"/>
      <c r="IG106" s="827"/>
      <c r="IH106" s="827"/>
      <c r="II106" s="827"/>
      <c r="IJ106" s="827"/>
      <c r="IK106" s="827"/>
      <c r="IL106" s="827"/>
      <c r="IM106" s="827"/>
      <c r="IN106" s="827"/>
      <c r="IO106" s="827"/>
      <c r="IP106" s="827"/>
      <c r="IQ106" s="827"/>
      <c r="IR106" s="827"/>
      <c r="IS106" s="827"/>
      <c r="IT106" s="827"/>
      <c r="IU106" s="827"/>
      <c r="IV106" s="827"/>
    </row>
    <row r="107" spans="1:256" s="647" customFormat="1" ht="13.5" customHeight="1">
      <c r="A107" s="807"/>
      <c r="B107" s="808"/>
      <c r="C107" s="809"/>
      <c r="D107" s="810" t="s">
        <v>6206</v>
      </c>
      <c r="E107" s="811"/>
      <c r="F107" s="812"/>
      <c r="G107" s="881"/>
      <c r="H107" s="813"/>
      <c r="I107" s="814"/>
      <c r="J107" s="815"/>
      <c r="L107" s="612"/>
      <c r="M107" s="612"/>
      <c r="N107" s="612"/>
      <c r="O107" s="612"/>
      <c r="P107" s="612"/>
      <c r="Q107" s="612"/>
      <c r="R107" s="612"/>
      <c r="S107" s="788"/>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6"/>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6"/>
      <c r="BZ107" s="816"/>
      <c r="CA107" s="816"/>
      <c r="CB107" s="816"/>
      <c r="CC107" s="816"/>
      <c r="CD107" s="816"/>
      <c r="CE107" s="816"/>
      <c r="CF107" s="816"/>
      <c r="CG107" s="816"/>
      <c r="CH107" s="816"/>
      <c r="CI107" s="816"/>
      <c r="CJ107" s="816"/>
      <c r="CK107" s="816"/>
      <c r="CL107" s="816"/>
      <c r="CM107" s="816"/>
      <c r="CN107" s="816"/>
      <c r="CO107" s="816"/>
      <c r="CP107" s="816"/>
      <c r="CQ107" s="816"/>
      <c r="CR107" s="816"/>
      <c r="CS107" s="816"/>
      <c r="CT107" s="816"/>
      <c r="CU107" s="816"/>
      <c r="CV107" s="816"/>
      <c r="CW107" s="816"/>
      <c r="CX107" s="816"/>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c r="EA107" s="816"/>
      <c r="EB107" s="816"/>
      <c r="EC107" s="816"/>
      <c r="ED107" s="816"/>
      <c r="EE107" s="816"/>
      <c r="EF107" s="816"/>
      <c r="EG107" s="816"/>
      <c r="EH107" s="816"/>
      <c r="EI107" s="816"/>
      <c r="EJ107" s="816"/>
      <c r="EK107" s="816"/>
      <c r="EL107" s="816"/>
      <c r="EM107" s="816"/>
      <c r="EN107" s="816"/>
      <c r="EO107" s="816"/>
      <c r="EP107" s="816"/>
      <c r="EQ107" s="816"/>
      <c r="ER107" s="816"/>
      <c r="ES107" s="816"/>
      <c r="ET107" s="816"/>
      <c r="EU107" s="816"/>
      <c r="EV107" s="816"/>
      <c r="EW107" s="816"/>
      <c r="EX107" s="816"/>
      <c r="EY107" s="816"/>
      <c r="EZ107" s="816"/>
      <c r="FA107" s="816"/>
      <c r="FB107" s="816"/>
      <c r="FC107" s="816"/>
      <c r="FD107" s="816"/>
      <c r="FE107" s="816"/>
      <c r="FF107" s="816"/>
      <c r="FG107" s="816"/>
      <c r="FH107" s="816"/>
      <c r="FI107" s="816"/>
      <c r="FJ107" s="816"/>
      <c r="FK107" s="816"/>
      <c r="FL107" s="816"/>
      <c r="FM107" s="816"/>
      <c r="FN107" s="816"/>
      <c r="FO107" s="816"/>
      <c r="FP107" s="816"/>
      <c r="FQ107" s="816"/>
      <c r="FR107" s="816"/>
      <c r="FS107" s="816"/>
      <c r="FT107" s="816"/>
      <c r="FU107" s="816"/>
      <c r="FV107" s="816"/>
      <c r="FW107" s="816"/>
      <c r="FX107" s="816"/>
      <c r="FY107" s="816"/>
      <c r="FZ107" s="816"/>
      <c r="GA107" s="816"/>
      <c r="GB107" s="816"/>
      <c r="GC107" s="816"/>
      <c r="GD107" s="816"/>
      <c r="GE107" s="816"/>
      <c r="GF107" s="816"/>
      <c r="GG107" s="816"/>
      <c r="GH107" s="816"/>
      <c r="GI107" s="816"/>
      <c r="GJ107" s="816"/>
      <c r="GK107" s="816"/>
      <c r="GL107" s="816"/>
      <c r="GM107" s="816"/>
      <c r="GN107" s="816"/>
      <c r="GO107" s="816"/>
      <c r="GP107" s="816"/>
      <c r="GQ107" s="816"/>
      <c r="GR107" s="816"/>
      <c r="GS107" s="816"/>
      <c r="GT107" s="816"/>
      <c r="GU107" s="816"/>
      <c r="GV107" s="816"/>
      <c r="GW107" s="816"/>
      <c r="GX107" s="816"/>
      <c r="GY107" s="816"/>
      <c r="GZ107" s="816"/>
      <c r="HA107" s="816"/>
      <c r="HB107" s="816"/>
      <c r="HC107" s="816"/>
      <c r="HD107" s="816"/>
      <c r="HE107" s="816"/>
      <c r="HF107" s="816"/>
      <c r="HG107" s="816"/>
      <c r="HH107" s="816"/>
      <c r="HI107" s="816"/>
      <c r="HJ107" s="816"/>
      <c r="HK107" s="816"/>
      <c r="HL107" s="816"/>
      <c r="HM107" s="816"/>
      <c r="HN107" s="816"/>
      <c r="HO107" s="816"/>
      <c r="HP107" s="816"/>
      <c r="HQ107" s="816"/>
      <c r="HR107" s="816"/>
      <c r="HS107" s="816"/>
      <c r="HT107" s="816"/>
      <c r="HU107" s="816"/>
      <c r="HV107" s="816"/>
      <c r="HW107" s="816"/>
      <c r="HX107" s="816"/>
      <c r="HY107" s="816"/>
      <c r="HZ107" s="816"/>
      <c r="IA107" s="816"/>
      <c r="IB107" s="816"/>
      <c r="IC107" s="816"/>
      <c r="ID107" s="816"/>
      <c r="IE107" s="816"/>
      <c r="IF107" s="816"/>
      <c r="IG107" s="816"/>
      <c r="IH107" s="816"/>
      <c r="II107" s="816"/>
      <c r="IJ107" s="816"/>
      <c r="IK107" s="816"/>
      <c r="IL107" s="816"/>
      <c r="IM107" s="816"/>
      <c r="IN107" s="816"/>
      <c r="IO107" s="816"/>
      <c r="IP107" s="816"/>
      <c r="IQ107" s="816"/>
      <c r="IR107" s="816"/>
      <c r="IS107" s="816"/>
      <c r="IT107" s="816"/>
      <c r="IU107" s="816"/>
      <c r="IV107" s="816"/>
    </row>
    <row r="108" spans="1:256" s="467" customFormat="1" ht="81" customHeight="1">
      <c r="A108" s="1493"/>
      <c r="B108" s="1494"/>
      <c r="C108" s="1495"/>
      <c r="D108" s="1496" t="s">
        <v>6285</v>
      </c>
      <c r="E108" s="1497"/>
      <c r="F108" s="1498"/>
      <c r="G108" s="405"/>
      <c r="H108" s="1499"/>
      <c r="I108" s="1500"/>
      <c r="J108" s="1501"/>
      <c r="K108" s="1502"/>
      <c r="L108" s="1054"/>
      <c r="M108" s="1305"/>
      <c r="N108" s="1503"/>
      <c r="O108" s="1503"/>
      <c r="P108" s="1055"/>
      <c r="Q108" s="1127"/>
      <c r="R108" s="1057"/>
      <c r="S108" s="1058"/>
      <c r="T108" s="1058"/>
      <c r="U108" s="1059"/>
      <c r="W108" s="1060"/>
    </row>
    <row r="109" spans="1:256" s="612" customFormat="1" ht="13.5" customHeight="1">
      <c r="A109" s="608"/>
      <c r="B109" s="608"/>
      <c r="C109" s="616" t="s">
        <v>356</v>
      </c>
      <c r="D109" s="616" t="s">
        <v>357</v>
      </c>
      <c r="E109" s="616"/>
      <c r="F109" s="617"/>
      <c r="G109" s="350"/>
      <c r="H109" s="618">
        <f>SUM(H110:H112)</f>
        <v>0</v>
      </c>
      <c r="I109" s="619"/>
    </row>
    <row r="110" spans="1:256" s="1423" customFormat="1" ht="13.5" customHeight="1">
      <c r="A110" s="1538">
        <v>36</v>
      </c>
      <c r="B110" s="1539">
        <v>231</v>
      </c>
      <c r="C110" s="1539">
        <v>998231411</v>
      </c>
      <c r="D110" s="1539" t="s">
        <v>6207</v>
      </c>
      <c r="E110" s="1539" t="s">
        <v>175</v>
      </c>
      <c r="F110" s="1540">
        <v>26.768000000000001</v>
      </c>
      <c r="G110" s="1546"/>
      <c r="H110" s="1541">
        <f>F110*G110</f>
        <v>0</v>
      </c>
      <c r="I110" s="744" t="s">
        <v>137</v>
      </c>
      <c r="J110" s="1542"/>
    </row>
    <row r="111" spans="1:256" s="612" customFormat="1" ht="13.5" customHeight="1">
      <c r="A111" s="608">
        <v>37</v>
      </c>
      <c r="B111" s="557" t="s">
        <v>362</v>
      </c>
      <c r="C111" s="557" t="s">
        <v>2424</v>
      </c>
      <c r="D111" s="557" t="s">
        <v>2425</v>
      </c>
      <c r="E111" s="557" t="s">
        <v>69</v>
      </c>
      <c r="F111" s="615">
        <f>F112</f>
        <v>15</v>
      </c>
      <c r="G111" s="301"/>
      <c r="H111" s="620">
        <f>F111*G111</f>
        <v>0</v>
      </c>
      <c r="I111" s="744" t="s">
        <v>137</v>
      </c>
      <c r="J111" s="1543"/>
    </row>
    <row r="112" spans="1:256" s="612" customFormat="1" ht="27" customHeight="1">
      <c r="A112" s="608"/>
      <c r="B112" s="557"/>
      <c r="C112" s="622"/>
      <c r="D112" s="599" t="s">
        <v>365</v>
      </c>
      <c r="E112" s="622"/>
      <c r="F112" s="623">
        <v>15</v>
      </c>
      <c r="G112" s="349"/>
      <c r="H112" s="624"/>
      <c r="I112" s="625"/>
    </row>
    <row r="113" spans="1:9" s="612" customFormat="1" ht="13.5" customHeight="1">
      <c r="A113" s="608"/>
      <c r="B113" s="557"/>
      <c r="C113" s="622"/>
      <c r="D113" s="608"/>
      <c r="E113" s="557"/>
      <c r="F113" s="1544"/>
      <c r="G113" s="608"/>
      <c r="H113" s="557"/>
      <c r="I113" s="622"/>
    </row>
    <row r="114" spans="1:9" ht="21" customHeight="1">
      <c r="A114" s="434"/>
      <c r="B114" s="435"/>
      <c r="C114" s="435"/>
      <c r="D114" s="435" t="s">
        <v>0</v>
      </c>
      <c r="E114" s="435"/>
      <c r="F114" s="436"/>
      <c r="G114" s="437"/>
      <c r="H114" s="437">
        <f>H8</f>
        <v>0</v>
      </c>
    </row>
    <row r="116" spans="1:9" ht="13.5" customHeight="1">
      <c r="A116" s="5254" t="s">
        <v>862</v>
      </c>
      <c r="B116" s="5255"/>
      <c r="C116" s="5256"/>
      <c r="D116" s="442" t="s">
        <v>6268</v>
      </c>
      <c r="E116" s="443"/>
      <c r="F116" s="444"/>
      <c r="G116" s="445"/>
      <c r="H116" s="446">
        <f>H114</f>
        <v>0</v>
      </c>
    </row>
    <row r="117" spans="1:9" ht="13.5" customHeight="1">
      <c r="A117" s="447"/>
      <c r="B117" s="448"/>
      <c r="C117" s="448"/>
      <c r="D117" s="449"/>
      <c r="E117" s="450"/>
      <c r="F117" s="451"/>
      <c r="G117" s="452"/>
      <c r="H117" s="453"/>
    </row>
    <row r="118" spans="1:9" s="689" customFormat="1" ht="11.25">
      <c r="A118" s="689" t="s">
        <v>1</v>
      </c>
      <c r="F118" s="876"/>
    </row>
    <row r="119" spans="1:9" s="689" customFormat="1" ht="23.45" customHeight="1">
      <c r="A119" s="5159" t="s">
        <v>864</v>
      </c>
      <c r="B119" s="5251"/>
      <c r="C119" s="5251"/>
      <c r="D119" s="5251"/>
      <c r="E119" s="5251"/>
      <c r="F119" s="5251"/>
      <c r="G119" s="5251"/>
    </row>
    <row r="120" spans="1:9" s="689" customFormat="1" ht="93.75" customHeight="1">
      <c r="A120" s="5159" t="s">
        <v>1113</v>
      </c>
      <c r="B120" s="5257"/>
      <c r="C120" s="5257"/>
      <c r="D120" s="5257"/>
      <c r="E120" s="5257"/>
      <c r="F120" s="5257"/>
      <c r="G120" s="5257"/>
    </row>
    <row r="121" spans="1:9" s="1424" customFormat="1" ht="13.5" customHeight="1">
      <c r="A121" s="5159" t="s">
        <v>105</v>
      </c>
      <c r="B121" s="5251"/>
      <c r="C121" s="5251"/>
      <c r="D121" s="5251"/>
      <c r="E121" s="5251"/>
      <c r="F121" s="5251"/>
      <c r="G121" s="5251"/>
      <c r="H121" s="691"/>
      <c r="I121" s="691"/>
    </row>
    <row r="122" spans="1:9" s="1424" customFormat="1" ht="13.5" customHeight="1">
      <c r="A122" s="5159" t="s">
        <v>106</v>
      </c>
      <c r="B122" s="5251"/>
      <c r="C122" s="5251"/>
      <c r="D122" s="5251"/>
      <c r="E122" s="5251"/>
      <c r="F122" s="5251"/>
      <c r="G122" s="5251"/>
      <c r="H122" s="691"/>
      <c r="I122" s="691"/>
    </row>
    <row r="123" spans="1:9" s="1411" customFormat="1" ht="40.5" customHeight="1">
      <c r="A123" s="5156" t="s">
        <v>865</v>
      </c>
      <c r="B123" s="5156"/>
      <c r="C123" s="5156"/>
      <c r="D123" s="5156"/>
      <c r="E123" s="5156"/>
      <c r="F123" s="5156"/>
      <c r="G123" s="5156"/>
      <c r="I123" s="1248"/>
    </row>
    <row r="124" spans="1:9" s="695" customFormat="1" ht="108" customHeight="1">
      <c r="A124" s="5156" t="s">
        <v>1013</v>
      </c>
      <c r="B124" s="5156"/>
      <c r="C124" s="5156"/>
      <c r="D124" s="5156"/>
      <c r="E124" s="5156"/>
      <c r="F124" s="5156"/>
      <c r="G124" s="5156"/>
      <c r="H124" s="693"/>
      <c r="I124" s="694"/>
    </row>
  </sheetData>
  <sheetProtection algorithmName="SHA-512" hashValue="W8diRtSQ70TJthZS8NMSQp2pUSAhgHtao0pdfxItJUReuL1PTRHZZwp7kx8BD3kcHaMm6taAS6Plcm2VOsKLIg==" saltValue="kYrGscMM6t7YRiDFKqze0g==" spinCount="100000" sheet="1" objects="1" scenarios="1"/>
  <mergeCells count="11">
    <mergeCell ref="A120:G120"/>
    <mergeCell ref="A121:G121"/>
    <mergeCell ref="A122:G122"/>
    <mergeCell ref="A123:G123"/>
    <mergeCell ref="A124:G124"/>
    <mergeCell ref="A119:G119"/>
    <mergeCell ref="A2:I2"/>
    <mergeCell ref="A3:D3"/>
    <mergeCell ref="J73:K73"/>
    <mergeCell ref="J75:K75"/>
    <mergeCell ref="A116:C116"/>
  </mergeCells>
  <printOptions horizontalCentered="1"/>
  <pageMargins left="0.39370078740157483" right="0.39370078740157483" top="0.59055118110236227" bottom="0.39370078740157483" header="0" footer="0"/>
  <pageSetup paperSize="9" scale="70" fitToHeight="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B1E7-7CD2-4E18-B793-57A6EBE5B27C}">
  <sheetPr>
    <tabColor rgb="FFFF00FF"/>
    <pageSetUpPr fitToPage="1"/>
  </sheetPr>
  <dimension ref="A1:IV98"/>
  <sheetViews>
    <sheetView zoomScaleNormal="100" workbookViewId="0"/>
  </sheetViews>
  <sheetFormatPr defaultRowHeight="15"/>
  <cols>
    <col min="1" max="1" width="4.83203125" style="1217" customWidth="1"/>
    <col min="2" max="2" width="5" style="1217" customWidth="1"/>
    <col min="3" max="3" width="16.83203125" style="1217" customWidth="1"/>
    <col min="4" max="4" width="75.83203125" style="1217" customWidth="1"/>
    <col min="5" max="5" width="7.83203125" style="1217" customWidth="1"/>
    <col min="6" max="6" width="11.83203125" style="1412" customWidth="1"/>
    <col min="7" max="7" width="13.6640625" style="1217" customWidth="1"/>
    <col min="8" max="8" width="18.33203125" style="1217" customWidth="1"/>
    <col min="9" max="9" width="20.1640625" style="1217" customWidth="1"/>
    <col min="10" max="10" width="15" style="1217" customWidth="1"/>
    <col min="11" max="11" width="13.6640625" style="1217" customWidth="1"/>
    <col min="12" max="16384" width="9.33203125" style="1217"/>
  </cols>
  <sheetData>
    <row r="1" spans="1:244" ht="18">
      <c r="A1" s="1" t="s">
        <v>2760</v>
      </c>
      <c r="B1" s="454"/>
      <c r="C1" s="454"/>
      <c r="D1" s="455"/>
      <c r="E1" s="455"/>
      <c r="F1" s="456"/>
      <c r="G1" s="455"/>
      <c r="H1" s="455"/>
      <c r="I1" s="455"/>
    </row>
    <row r="2" spans="1:244" ht="13.5" customHeight="1">
      <c r="A2" s="5199" t="s">
        <v>115</v>
      </c>
      <c r="B2" s="5200"/>
      <c r="C2" s="5200"/>
      <c r="D2" s="5200"/>
      <c r="E2" s="5200"/>
      <c r="F2" s="5200"/>
      <c r="G2" s="5200"/>
      <c r="H2" s="5200"/>
      <c r="I2" s="5200"/>
    </row>
    <row r="3" spans="1:244" s="1219" customFormat="1" ht="13.5" customHeight="1">
      <c r="A3" s="5228" t="s">
        <v>6132</v>
      </c>
      <c r="B3" s="5259"/>
      <c r="C3" s="5259"/>
      <c r="D3" s="5259"/>
      <c r="F3" s="1220"/>
      <c r="J3" s="5260"/>
      <c r="K3" s="5260"/>
      <c r="L3" s="5260"/>
      <c r="M3" s="5260"/>
      <c r="N3" s="5260"/>
    </row>
    <row r="4" spans="1:244" s="1219" customFormat="1" ht="13.5" customHeight="1">
      <c r="A4" s="58" t="s">
        <v>6208</v>
      </c>
      <c r="B4" s="1218"/>
      <c r="C4" s="1218"/>
      <c r="D4" s="1218"/>
      <c r="F4" s="1220"/>
      <c r="J4" s="5260"/>
      <c r="K4" s="5260"/>
      <c r="L4" s="5260"/>
      <c r="M4" s="5260"/>
      <c r="N4" s="5260"/>
    </row>
    <row r="5" spans="1:244">
      <c r="A5" s="1221"/>
      <c r="B5" s="1221"/>
      <c r="C5" s="1221"/>
      <c r="D5" s="1222"/>
      <c r="E5" s="1223"/>
      <c r="F5" s="1224"/>
      <c r="G5" s="1221"/>
      <c r="H5" s="1221"/>
      <c r="I5" s="1225"/>
    </row>
    <row r="6" spans="1:244" ht="33.200000000000003" customHeight="1">
      <c r="A6" s="1226" t="s">
        <v>118</v>
      </c>
      <c r="B6" s="1226" t="s">
        <v>119</v>
      </c>
      <c r="C6" s="1226" t="s">
        <v>120</v>
      </c>
      <c r="D6" s="1226" t="s">
        <v>121</v>
      </c>
      <c r="E6" s="1226" t="s">
        <v>122</v>
      </c>
      <c r="F6" s="1227" t="s">
        <v>123</v>
      </c>
      <c r="G6" s="1226" t="s">
        <v>124</v>
      </c>
      <c r="H6" s="1228" t="s">
        <v>2</v>
      </c>
      <c r="I6" s="1229" t="s">
        <v>46</v>
      </c>
      <c r="J6" s="693"/>
      <c r="K6" s="1230"/>
      <c r="L6" s="1231"/>
      <c r="M6" s="1231"/>
      <c r="N6" s="1231"/>
      <c r="O6" s="1231"/>
      <c r="P6" s="1231"/>
      <c r="R6" s="1232"/>
    </row>
    <row r="7" spans="1:244">
      <c r="A7" s="1226" t="s">
        <v>125</v>
      </c>
      <c r="B7" s="1226" t="s">
        <v>126</v>
      </c>
      <c r="C7" s="1226">
        <v>3</v>
      </c>
      <c r="D7" s="1226">
        <v>4</v>
      </c>
      <c r="E7" s="1226">
        <v>5</v>
      </c>
      <c r="F7" s="1233">
        <v>6</v>
      </c>
      <c r="G7" s="1226">
        <v>7</v>
      </c>
      <c r="H7" s="1234">
        <v>8</v>
      </c>
      <c r="I7" s="1229">
        <v>9</v>
      </c>
    </row>
    <row r="8" spans="1:244" ht="21" customHeight="1">
      <c r="A8" s="1235"/>
      <c r="B8" s="1235"/>
      <c r="C8" s="1236" t="s">
        <v>132</v>
      </c>
      <c r="D8" s="1236" t="s">
        <v>133</v>
      </c>
      <c r="E8" s="1237"/>
      <c r="F8" s="1238"/>
      <c r="G8" s="1239"/>
      <c r="H8" s="1239">
        <f>SUM(H9,H33,H37,H60,H83)</f>
        <v>0</v>
      </c>
      <c r="I8" s="1240"/>
    </row>
    <row r="9" spans="1:244" s="918" customFormat="1" ht="13.5" customHeight="1">
      <c r="A9" s="925"/>
      <c r="B9" s="926"/>
      <c r="C9" s="926">
        <v>1</v>
      </c>
      <c r="D9" s="926" t="s">
        <v>134</v>
      </c>
      <c r="E9" s="926"/>
      <c r="F9" s="1165"/>
      <c r="G9" s="1241"/>
      <c r="H9" s="1241">
        <f>SUM(H10:H24)</f>
        <v>0</v>
      </c>
      <c r="I9" s="928"/>
      <c r="J9" s="916"/>
      <c r="K9" s="917"/>
    </row>
    <row r="10" spans="1:244" s="64" customFormat="1" ht="13.5" customHeight="1">
      <c r="A10" s="913">
        <v>1</v>
      </c>
      <c r="B10" s="799" t="s">
        <v>135</v>
      </c>
      <c r="C10" s="393">
        <v>115101201</v>
      </c>
      <c r="D10" s="393" t="s">
        <v>136</v>
      </c>
      <c r="E10" s="393" t="s">
        <v>69</v>
      </c>
      <c r="F10" s="914">
        <v>10</v>
      </c>
      <c r="G10" s="1206"/>
      <c r="H10" s="1242">
        <f t="shared" ref="H10:H16" si="0">ROUND(F10*G10,2)</f>
        <v>0</v>
      </c>
      <c r="I10" s="954" t="s">
        <v>137</v>
      </c>
      <c r="J10" s="457"/>
      <c r="L10" s="382"/>
    </row>
    <row r="11" spans="1:244" s="64" customFormat="1" ht="13.5" customHeight="1">
      <c r="A11" s="913">
        <v>2</v>
      </c>
      <c r="B11" s="799" t="s">
        <v>135</v>
      </c>
      <c r="C11" s="393">
        <v>115101301</v>
      </c>
      <c r="D11" s="393" t="s">
        <v>138</v>
      </c>
      <c r="E11" s="393" t="s">
        <v>139</v>
      </c>
      <c r="F11" s="914">
        <v>2</v>
      </c>
      <c r="G11" s="1206"/>
      <c r="H11" s="1242">
        <f t="shared" si="0"/>
        <v>0</v>
      </c>
      <c r="I11" s="954" t="s">
        <v>137</v>
      </c>
      <c r="J11" s="457"/>
      <c r="L11" s="382"/>
    </row>
    <row r="12" spans="1:244" s="918" customFormat="1" ht="13.5" customHeight="1">
      <c r="A12" s="1243">
        <v>3</v>
      </c>
      <c r="B12" s="799" t="s">
        <v>135</v>
      </c>
      <c r="C12" s="799">
        <v>119001402</v>
      </c>
      <c r="D12" s="799" t="s">
        <v>140</v>
      </c>
      <c r="E12" s="799" t="s">
        <v>141</v>
      </c>
      <c r="F12" s="914">
        <v>5</v>
      </c>
      <c r="G12" s="383"/>
      <c r="H12" s="1242">
        <f t="shared" si="0"/>
        <v>0</v>
      </c>
      <c r="I12" s="954" t="s">
        <v>137</v>
      </c>
      <c r="J12" s="966"/>
      <c r="L12" s="382"/>
      <c r="BG12" s="967"/>
      <c r="BH12" s="967"/>
      <c r="BI12" s="967"/>
      <c r="BJ12" s="967"/>
      <c r="BK12" s="967"/>
      <c r="BL12" s="967"/>
      <c r="BM12" s="967"/>
      <c r="BN12" s="967"/>
      <c r="BO12" s="967"/>
      <c r="BP12" s="967"/>
      <c r="BQ12" s="967"/>
      <c r="BR12" s="967"/>
      <c r="BS12" s="967"/>
      <c r="BT12" s="967"/>
      <c r="BU12" s="967"/>
      <c r="BV12" s="967"/>
      <c r="BW12" s="967"/>
      <c r="BX12" s="967"/>
      <c r="BY12" s="967"/>
      <c r="BZ12" s="967"/>
      <c r="CA12" s="967"/>
      <c r="CB12" s="967"/>
      <c r="CC12" s="967"/>
      <c r="CD12" s="967"/>
      <c r="CE12" s="967"/>
      <c r="CF12" s="967"/>
      <c r="CG12" s="967"/>
      <c r="CH12" s="967"/>
      <c r="CI12" s="967"/>
      <c r="CJ12" s="967"/>
      <c r="CK12" s="967"/>
      <c r="CL12" s="967"/>
      <c r="CM12" s="967"/>
      <c r="CN12" s="967"/>
      <c r="CO12" s="967"/>
      <c r="CP12" s="967"/>
      <c r="CQ12" s="967"/>
      <c r="CR12" s="967"/>
      <c r="CS12" s="967"/>
      <c r="CT12" s="967"/>
      <c r="CU12" s="967"/>
      <c r="CV12" s="967"/>
      <c r="CW12" s="967"/>
      <c r="CX12" s="967"/>
      <c r="CY12" s="967"/>
      <c r="CZ12" s="967"/>
      <c r="DA12" s="967"/>
      <c r="DB12" s="967"/>
      <c r="DC12" s="967"/>
      <c r="DD12" s="967"/>
      <c r="DE12" s="967"/>
      <c r="DF12" s="967"/>
      <c r="DG12" s="967"/>
      <c r="DH12" s="967"/>
      <c r="DI12" s="967"/>
      <c r="DJ12" s="967"/>
      <c r="DK12" s="967"/>
      <c r="DL12" s="967"/>
      <c r="DM12" s="967"/>
      <c r="DN12" s="967"/>
      <c r="DO12" s="967"/>
      <c r="DP12" s="967"/>
      <c r="DQ12" s="967"/>
      <c r="DR12" s="967"/>
      <c r="DS12" s="967"/>
      <c r="DT12" s="967"/>
      <c r="DU12" s="967"/>
      <c r="DV12" s="967"/>
      <c r="DW12" s="967"/>
      <c r="DX12" s="967"/>
      <c r="DY12" s="967"/>
      <c r="DZ12" s="967"/>
      <c r="EA12" s="967"/>
      <c r="EB12" s="967"/>
      <c r="EC12" s="967"/>
      <c r="ED12" s="967"/>
      <c r="EE12" s="967"/>
      <c r="EF12" s="967"/>
      <c r="EG12" s="967"/>
      <c r="EH12" s="967"/>
      <c r="EI12" s="967"/>
      <c r="EJ12" s="967"/>
      <c r="EK12" s="967"/>
      <c r="EL12" s="967"/>
      <c r="EM12" s="967"/>
      <c r="EN12" s="967"/>
      <c r="EO12" s="967"/>
      <c r="EP12" s="967"/>
      <c r="EQ12" s="967"/>
      <c r="ER12" s="967"/>
      <c r="ES12" s="967"/>
      <c r="ET12" s="967"/>
      <c r="EU12" s="967"/>
      <c r="EV12" s="967"/>
      <c r="EW12" s="967"/>
      <c r="EX12" s="967"/>
      <c r="EY12" s="967"/>
      <c r="EZ12" s="967"/>
      <c r="FA12" s="967"/>
      <c r="FB12" s="967"/>
      <c r="FC12" s="967"/>
      <c r="FD12" s="967"/>
      <c r="FE12" s="967"/>
      <c r="FF12" s="967"/>
      <c r="FG12" s="967"/>
      <c r="FH12" s="967"/>
      <c r="FI12" s="967"/>
      <c r="FJ12" s="967"/>
      <c r="FK12" s="967"/>
      <c r="FL12" s="967"/>
      <c r="FM12" s="967"/>
      <c r="FN12" s="967"/>
      <c r="FO12" s="967"/>
      <c r="FP12" s="967"/>
      <c r="FQ12" s="967"/>
      <c r="FR12" s="967"/>
      <c r="FS12" s="967"/>
      <c r="FT12" s="967"/>
      <c r="FU12" s="967"/>
      <c r="FV12" s="967"/>
      <c r="FW12" s="967"/>
      <c r="FX12" s="967"/>
      <c r="FY12" s="967"/>
      <c r="FZ12" s="967"/>
      <c r="GA12" s="967"/>
      <c r="GB12" s="967"/>
      <c r="GC12" s="967"/>
      <c r="GD12" s="967"/>
      <c r="GE12" s="967"/>
      <c r="GF12" s="967"/>
      <c r="GG12" s="967"/>
      <c r="GH12" s="967"/>
      <c r="GI12" s="967"/>
      <c r="GJ12" s="967"/>
      <c r="GK12" s="967"/>
      <c r="GL12" s="967"/>
      <c r="GM12" s="967"/>
      <c r="GN12" s="967"/>
      <c r="GO12" s="967"/>
      <c r="GP12" s="967"/>
      <c r="GQ12" s="967"/>
      <c r="GR12" s="967"/>
      <c r="GS12" s="967"/>
      <c r="GT12" s="967"/>
      <c r="GU12" s="967"/>
      <c r="GV12" s="967"/>
      <c r="GW12" s="967"/>
      <c r="GX12" s="967"/>
      <c r="GY12" s="967"/>
      <c r="GZ12" s="967"/>
      <c r="HA12" s="967"/>
      <c r="HB12" s="967"/>
      <c r="HC12" s="967"/>
      <c r="HD12" s="967"/>
      <c r="HE12" s="967"/>
      <c r="HF12" s="967"/>
      <c r="HG12" s="967"/>
      <c r="HH12" s="967"/>
      <c r="HI12" s="967"/>
      <c r="HJ12" s="967"/>
      <c r="HK12" s="967"/>
      <c r="HL12" s="967"/>
      <c r="HM12" s="967"/>
      <c r="HN12" s="967"/>
      <c r="HO12" s="967"/>
      <c r="HP12" s="967"/>
      <c r="HQ12" s="967"/>
      <c r="HR12" s="967"/>
      <c r="HS12" s="967"/>
      <c r="HT12" s="967"/>
      <c r="HU12" s="967"/>
      <c r="HV12" s="967"/>
      <c r="HW12" s="967"/>
      <c r="HX12" s="967"/>
      <c r="HY12" s="967"/>
      <c r="HZ12" s="967"/>
      <c r="IA12" s="967"/>
      <c r="IB12" s="967"/>
      <c r="IC12" s="967"/>
      <c r="ID12" s="967"/>
      <c r="IE12" s="967"/>
      <c r="IF12" s="967"/>
      <c r="IG12" s="967"/>
      <c r="IH12" s="967"/>
      <c r="II12" s="967"/>
      <c r="IJ12" s="967"/>
    </row>
    <row r="13" spans="1:244" s="918" customFormat="1" ht="13.5" customHeight="1">
      <c r="A13" s="1243">
        <v>4</v>
      </c>
      <c r="B13" s="799" t="s">
        <v>135</v>
      </c>
      <c r="C13" s="799">
        <v>119001406</v>
      </c>
      <c r="D13" s="799" t="s">
        <v>142</v>
      </c>
      <c r="E13" s="799" t="s">
        <v>141</v>
      </c>
      <c r="F13" s="914">
        <v>2</v>
      </c>
      <c r="G13" s="383"/>
      <c r="H13" s="1242">
        <f t="shared" si="0"/>
        <v>0</v>
      </c>
      <c r="I13" s="954" t="s">
        <v>137</v>
      </c>
      <c r="J13" s="966"/>
      <c r="L13" s="382"/>
      <c r="BG13" s="967"/>
      <c r="BH13" s="967"/>
      <c r="BI13" s="967"/>
      <c r="BJ13" s="967"/>
      <c r="BK13" s="967"/>
      <c r="BL13" s="967"/>
      <c r="BM13" s="967"/>
      <c r="BN13" s="967"/>
      <c r="BO13" s="967"/>
      <c r="BP13" s="967"/>
      <c r="BQ13" s="967"/>
      <c r="BR13" s="967"/>
      <c r="BS13" s="967"/>
      <c r="BT13" s="967"/>
      <c r="BU13" s="967"/>
      <c r="BV13" s="967"/>
      <c r="BW13" s="967"/>
      <c r="BX13" s="967"/>
      <c r="BY13" s="967"/>
      <c r="BZ13" s="967"/>
      <c r="CA13" s="967"/>
      <c r="CB13" s="967"/>
      <c r="CC13" s="967"/>
      <c r="CD13" s="967"/>
      <c r="CE13" s="967"/>
      <c r="CF13" s="967"/>
      <c r="CG13" s="967"/>
      <c r="CH13" s="967"/>
      <c r="CI13" s="967"/>
      <c r="CJ13" s="967"/>
      <c r="CK13" s="967"/>
      <c r="CL13" s="967"/>
      <c r="CM13" s="967"/>
      <c r="CN13" s="967"/>
      <c r="CO13" s="967"/>
      <c r="CP13" s="967"/>
      <c r="CQ13" s="967"/>
      <c r="CR13" s="967"/>
      <c r="CS13" s="967"/>
      <c r="CT13" s="967"/>
      <c r="CU13" s="967"/>
      <c r="CV13" s="967"/>
      <c r="CW13" s="967"/>
      <c r="CX13" s="967"/>
      <c r="CY13" s="967"/>
      <c r="CZ13" s="967"/>
      <c r="DA13" s="967"/>
      <c r="DB13" s="967"/>
      <c r="DC13" s="967"/>
      <c r="DD13" s="967"/>
      <c r="DE13" s="967"/>
      <c r="DF13" s="967"/>
      <c r="DG13" s="967"/>
      <c r="DH13" s="967"/>
      <c r="DI13" s="967"/>
      <c r="DJ13" s="967"/>
      <c r="DK13" s="967"/>
      <c r="DL13" s="967"/>
      <c r="DM13" s="967"/>
      <c r="DN13" s="967"/>
      <c r="DO13" s="967"/>
      <c r="DP13" s="967"/>
      <c r="DQ13" s="967"/>
      <c r="DR13" s="967"/>
      <c r="DS13" s="967"/>
      <c r="DT13" s="967"/>
      <c r="DU13" s="967"/>
      <c r="DV13" s="967"/>
      <c r="DW13" s="967"/>
      <c r="DX13" s="967"/>
      <c r="DY13" s="967"/>
      <c r="DZ13" s="967"/>
      <c r="EA13" s="967"/>
      <c r="EB13" s="967"/>
      <c r="EC13" s="967"/>
      <c r="ED13" s="967"/>
      <c r="EE13" s="967"/>
      <c r="EF13" s="967"/>
      <c r="EG13" s="967"/>
      <c r="EH13" s="967"/>
      <c r="EI13" s="967"/>
      <c r="EJ13" s="967"/>
      <c r="EK13" s="967"/>
      <c r="EL13" s="967"/>
      <c r="EM13" s="967"/>
      <c r="EN13" s="967"/>
      <c r="EO13" s="967"/>
      <c r="EP13" s="967"/>
      <c r="EQ13" s="967"/>
      <c r="ER13" s="967"/>
      <c r="ES13" s="967"/>
      <c r="ET13" s="967"/>
      <c r="EU13" s="967"/>
      <c r="EV13" s="967"/>
      <c r="EW13" s="967"/>
      <c r="EX13" s="967"/>
      <c r="EY13" s="967"/>
      <c r="EZ13" s="967"/>
      <c r="FA13" s="967"/>
      <c r="FB13" s="967"/>
      <c r="FC13" s="967"/>
      <c r="FD13" s="967"/>
      <c r="FE13" s="967"/>
      <c r="FF13" s="967"/>
      <c r="FG13" s="967"/>
      <c r="FH13" s="967"/>
      <c r="FI13" s="967"/>
      <c r="FJ13" s="967"/>
      <c r="FK13" s="967"/>
      <c r="FL13" s="967"/>
      <c r="FM13" s="967"/>
      <c r="FN13" s="967"/>
      <c r="FO13" s="967"/>
      <c r="FP13" s="967"/>
      <c r="FQ13" s="967"/>
      <c r="FR13" s="967"/>
      <c r="FS13" s="967"/>
      <c r="FT13" s="967"/>
      <c r="FU13" s="967"/>
      <c r="FV13" s="967"/>
      <c r="FW13" s="967"/>
      <c r="FX13" s="967"/>
      <c r="FY13" s="967"/>
      <c r="FZ13" s="967"/>
      <c r="GA13" s="967"/>
      <c r="GB13" s="967"/>
      <c r="GC13" s="967"/>
      <c r="GD13" s="967"/>
      <c r="GE13" s="967"/>
      <c r="GF13" s="967"/>
      <c r="GG13" s="967"/>
      <c r="GH13" s="967"/>
      <c r="GI13" s="967"/>
      <c r="GJ13" s="967"/>
      <c r="GK13" s="967"/>
      <c r="GL13" s="967"/>
      <c r="GM13" s="967"/>
      <c r="GN13" s="967"/>
      <c r="GO13" s="967"/>
      <c r="GP13" s="967"/>
      <c r="GQ13" s="967"/>
      <c r="GR13" s="967"/>
      <c r="GS13" s="967"/>
      <c r="GT13" s="967"/>
      <c r="GU13" s="967"/>
      <c r="GV13" s="967"/>
      <c r="GW13" s="967"/>
      <c r="GX13" s="967"/>
      <c r="GY13" s="967"/>
      <c r="GZ13" s="967"/>
      <c r="HA13" s="967"/>
      <c r="HB13" s="967"/>
      <c r="HC13" s="967"/>
      <c r="HD13" s="967"/>
      <c r="HE13" s="967"/>
      <c r="HF13" s="967"/>
      <c r="HG13" s="967"/>
      <c r="HH13" s="967"/>
      <c r="HI13" s="967"/>
      <c r="HJ13" s="967"/>
      <c r="HK13" s="967"/>
      <c r="HL13" s="967"/>
      <c r="HM13" s="967"/>
      <c r="HN13" s="967"/>
      <c r="HO13" s="967"/>
      <c r="HP13" s="967"/>
      <c r="HQ13" s="967"/>
      <c r="HR13" s="967"/>
      <c r="HS13" s="967"/>
      <c r="HT13" s="967"/>
      <c r="HU13" s="967"/>
      <c r="HV13" s="967"/>
      <c r="HW13" s="967"/>
      <c r="HX13" s="967"/>
      <c r="HY13" s="967"/>
      <c r="HZ13" s="967"/>
      <c r="IA13" s="967"/>
      <c r="IB13" s="967"/>
      <c r="IC13" s="967"/>
      <c r="ID13" s="967"/>
      <c r="IE13" s="967"/>
      <c r="IF13" s="967"/>
      <c r="IG13" s="967"/>
      <c r="IH13" s="967"/>
      <c r="II13" s="967"/>
      <c r="IJ13" s="967"/>
    </row>
    <row r="14" spans="1:244" s="918" customFormat="1" ht="13.5" customHeight="1">
      <c r="A14" s="1243">
        <v>5</v>
      </c>
      <c r="B14" s="799" t="s">
        <v>135</v>
      </c>
      <c r="C14" s="799">
        <v>119001412</v>
      </c>
      <c r="D14" s="799" t="s">
        <v>143</v>
      </c>
      <c r="E14" s="799" t="s">
        <v>141</v>
      </c>
      <c r="F14" s="914">
        <v>2</v>
      </c>
      <c r="G14" s="383"/>
      <c r="H14" s="1242">
        <f t="shared" si="0"/>
        <v>0</v>
      </c>
      <c r="I14" s="954" t="s">
        <v>137</v>
      </c>
      <c r="J14" s="966"/>
      <c r="L14" s="382"/>
      <c r="BG14" s="967"/>
      <c r="BH14" s="967"/>
      <c r="BI14" s="967"/>
      <c r="BJ14" s="967"/>
      <c r="BK14" s="967"/>
      <c r="BL14" s="967"/>
      <c r="BM14" s="967"/>
      <c r="BN14" s="967"/>
      <c r="BO14" s="967"/>
      <c r="BP14" s="967"/>
      <c r="BQ14" s="967"/>
      <c r="BR14" s="967"/>
      <c r="BS14" s="967"/>
      <c r="BT14" s="967"/>
      <c r="BU14" s="967"/>
      <c r="BV14" s="967"/>
      <c r="BW14" s="967"/>
      <c r="BX14" s="967"/>
      <c r="BY14" s="967"/>
      <c r="BZ14" s="967"/>
      <c r="CA14" s="967"/>
      <c r="CB14" s="967"/>
      <c r="CC14" s="967"/>
      <c r="CD14" s="967"/>
      <c r="CE14" s="967"/>
      <c r="CF14" s="967"/>
      <c r="CG14" s="967"/>
      <c r="CH14" s="967"/>
      <c r="CI14" s="967"/>
      <c r="CJ14" s="967"/>
      <c r="CK14" s="967"/>
      <c r="CL14" s="967"/>
      <c r="CM14" s="967"/>
      <c r="CN14" s="967"/>
      <c r="CO14" s="967"/>
      <c r="CP14" s="967"/>
      <c r="CQ14" s="967"/>
      <c r="CR14" s="967"/>
      <c r="CS14" s="967"/>
      <c r="CT14" s="967"/>
      <c r="CU14" s="967"/>
      <c r="CV14" s="967"/>
      <c r="CW14" s="967"/>
      <c r="CX14" s="967"/>
      <c r="CY14" s="967"/>
      <c r="CZ14" s="967"/>
      <c r="DA14" s="967"/>
      <c r="DB14" s="967"/>
      <c r="DC14" s="967"/>
      <c r="DD14" s="967"/>
      <c r="DE14" s="967"/>
      <c r="DF14" s="967"/>
      <c r="DG14" s="967"/>
      <c r="DH14" s="967"/>
      <c r="DI14" s="967"/>
      <c r="DJ14" s="967"/>
      <c r="DK14" s="967"/>
      <c r="DL14" s="967"/>
      <c r="DM14" s="967"/>
      <c r="DN14" s="967"/>
      <c r="DO14" s="967"/>
      <c r="DP14" s="967"/>
      <c r="DQ14" s="967"/>
      <c r="DR14" s="967"/>
      <c r="DS14" s="967"/>
      <c r="DT14" s="967"/>
      <c r="DU14" s="967"/>
      <c r="DV14" s="967"/>
      <c r="DW14" s="967"/>
      <c r="DX14" s="967"/>
      <c r="DY14" s="967"/>
      <c r="DZ14" s="967"/>
      <c r="EA14" s="967"/>
      <c r="EB14" s="967"/>
      <c r="EC14" s="967"/>
      <c r="ED14" s="967"/>
      <c r="EE14" s="967"/>
      <c r="EF14" s="967"/>
      <c r="EG14" s="967"/>
      <c r="EH14" s="967"/>
      <c r="EI14" s="967"/>
      <c r="EJ14" s="967"/>
      <c r="EK14" s="967"/>
      <c r="EL14" s="967"/>
      <c r="EM14" s="967"/>
      <c r="EN14" s="967"/>
      <c r="EO14" s="967"/>
      <c r="EP14" s="967"/>
      <c r="EQ14" s="967"/>
      <c r="ER14" s="967"/>
      <c r="ES14" s="967"/>
      <c r="ET14" s="967"/>
      <c r="EU14" s="967"/>
      <c r="EV14" s="967"/>
      <c r="EW14" s="967"/>
      <c r="EX14" s="967"/>
      <c r="EY14" s="967"/>
      <c r="EZ14" s="967"/>
      <c r="FA14" s="967"/>
      <c r="FB14" s="967"/>
      <c r="FC14" s="967"/>
      <c r="FD14" s="967"/>
      <c r="FE14" s="967"/>
      <c r="FF14" s="967"/>
      <c r="FG14" s="967"/>
      <c r="FH14" s="967"/>
      <c r="FI14" s="967"/>
      <c r="FJ14" s="967"/>
      <c r="FK14" s="967"/>
      <c r="FL14" s="967"/>
      <c r="FM14" s="967"/>
      <c r="FN14" s="967"/>
      <c r="FO14" s="967"/>
      <c r="FP14" s="967"/>
      <c r="FQ14" s="967"/>
      <c r="FR14" s="967"/>
      <c r="FS14" s="967"/>
      <c r="FT14" s="967"/>
      <c r="FU14" s="967"/>
      <c r="FV14" s="967"/>
      <c r="FW14" s="967"/>
      <c r="FX14" s="967"/>
      <c r="FY14" s="967"/>
      <c r="FZ14" s="967"/>
      <c r="GA14" s="967"/>
      <c r="GB14" s="967"/>
      <c r="GC14" s="967"/>
      <c r="GD14" s="967"/>
      <c r="GE14" s="967"/>
      <c r="GF14" s="967"/>
      <c r="GG14" s="967"/>
      <c r="GH14" s="967"/>
      <c r="GI14" s="967"/>
      <c r="GJ14" s="967"/>
      <c r="GK14" s="967"/>
      <c r="GL14" s="967"/>
      <c r="GM14" s="967"/>
      <c r="GN14" s="967"/>
      <c r="GO14" s="967"/>
      <c r="GP14" s="967"/>
      <c r="GQ14" s="967"/>
      <c r="GR14" s="967"/>
      <c r="GS14" s="967"/>
      <c r="GT14" s="967"/>
      <c r="GU14" s="967"/>
      <c r="GV14" s="967"/>
      <c r="GW14" s="967"/>
      <c r="GX14" s="967"/>
      <c r="GY14" s="967"/>
      <c r="GZ14" s="967"/>
      <c r="HA14" s="967"/>
      <c r="HB14" s="967"/>
      <c r="HC14" s="967"/>
      <c r="HD14" s="967"/>
      <c r="HE14" s="967"/>
      <c r="HF14" s="967"/>
      <c r="HG14" s="967"/>
      <c r="HH14" s="967"/>
      <c r="HI14" s="967"/>
      <c r="HJ14" s="967"/>
      <c r="HK14" s="967"/>
      <c r="HL14" s="967"/>
      <c r="HM14" s="967"/>
      <c r="HN14" s="967"/>
      <c r="HO14" s="967"/>
      <c r="HP14" s="967"/>
      <c r="HQ14" s="967"/>
      <c r="HR14" s="967"/>
      <c r="HS14" s="967"/>
      <c r="HT14" s="967"/>
      <c r="HU14" s="967"/>
      <c r="HV14" s="967"/>
      <c r="HW14" s="967"/>
      <c r="HX14" s="967"/>
      <c r="HY14" s="967"/>
      <c r="HZ14" s="967"/>
      <c r="IA14" s="967"/>
      <c r="IB14" s="967"/>
      <c r="IC14" s="967"/>
      <c r="ID14" s="967"/>
      <c r="IE14" s="967"/>
      <c r="IF14" s="967"/>
      <c r="IG14" s="967"/>
      <c r="IH14" s="967"/>
      <c r="II14" s="967"/>
      <c r="IJ14" s="967"/>
    </row>
    <row r="15" spans="1:244" s="918" customFormat="1" ht="13.5" customHeight="1">
      <c r="A15" s="1243">
        <v>6</v>
      </c>
      <c r="B15" s="799" t="s">
        <v>135</v>
      </c>
      <c r="C15" s="799">
        <v>119001422</v>
      </c>
      <c r="D15" s="799" t="s">
        <v>144</v>
      </c>
      <c r="E15" s="799" t="s">
        <v>141</v>
      </c>
      <c r="F15" s="914">
        <v>5</v>
      </c>
      <c r="G15" s="383"/>
      <c r="H15" s="1242">
        <f t="shared" si="0"/>
        <v>0</v>
      </c>
      <c r="I15" s="954" t="s">
        <v>137</v>
      </c>
      <c r="J15" s="966"/>
      <c r="L15" s="382"/>
      <c r="BG15" s="967"/>
      <c r="BH15" s="967"/>
      <c r="BI15" s="967"/>
      <c r="BJ15" s="967"/>
      <c r="BK15" s="967"/>
      <c r="BL15" s="967"/>
      <c r="BM15" s="967"/>
      <c r="BN15" s="967"/>
      <c r="BO15" s="967"/>
      <c r="BP15" s="967"/>
      <c r="BQ15" s="967"/>
      <c r="BR15" s="967"/>
      <c r="BS15" s="967"/>
      <c r="BT15" s="967"/>
      <c r="BU15" s="967"/>
      <c r="BV15" s="967"/>
      <c r="BW15" s="967"/>
      <c r="BX15" s="967"/>
      <c r="BY15" s="967"/>
      <c r="BZ15" s="967"/>
      <c r="CA15" s="967"/>
      <c r="CB15" s="967"/>
      <c r="CC15" s="967"/>
      <c r="CD15" s="967"/>
      <c r="CE15" s="967"/>
      <c r="CF15" s="967"/>
      <c r="CG15" s="967"/>
      <c r="CH15" s="967"/>
      <c r="CI15" s="967"/>
      <c r="CJ15" s="967"/>
      <c r="CK15" s="967"/>
      <c r="CL15" s="967"/>
      <c r="CM15" s="967"/>
      <c r="CN15" s="967"/>
      <c r="CO15" s="967"/>
      <c r="CP15" s="967"/>
      <c r="CQ15" s="967"/>
      <c r="CR15" s="967"/>
      <c r="CS15" s="967"/>
      <c r="CT15" s="967"/>
      <c r="CU15" s="967"/>
      <c r="CV15" s="967"/>
      <c r="CW15" s="967"/>
      <c r="CX15" s="967"/>
      <c r="CY15" s="967"/>
      <c r="CZ15" s="967"/>
      <c r="DA15" s="967"/>
      <c r="DB15" s="967"/>
      <c r="DC15" s="967"/>
      <c r="DD15" s="967"/>
      <c r="DE15" s="967"/>
      <c r="DF15" s="967"/>
      <c r="DG15" s="967"/>
      <c r="DH15" s="967"/>
      <c r="DI15" s="967"/>
      <c r="DJ15" s="967"/>
      <c r="DK15" s="967"/>
      <c r="DL15" s="967"/>
      <c r="DM15" s="967"/>
      <c r="DN15" s="967"/>
      <c r="DO15" s="967"/>
      <c r="DP15" s="967"/>
      <c r="DQ15" s="967"/>
      <c r="DR15" s="967"/>
      <c r="DS15" s="967"/>
      <c r="DT15" s="967"/>
      <c r="DU15" s="967"/>
      <c r="DV15" s="967"/>
      <c r="DW15" s="967"/>
      <c r="DX15" s="967"/>
      <c r="DY15" s="967"/>
      <c r="DZ15" s="967"/>
      <c r="EA15" s="967"/>
      <c r="EB15" s="967"/>
      <c r="EC15" s="967"/>
      <c r="ED15" s="967"/>
      <c r="EE15" s="967"/>
      <c r="EF15" s="967"/>
      <c r="EG15" s="967"/>
      <c r="EH15" s="967"/>
      <c r="EI15" s="967"/>
      <c r="EJ15" s="967"/>
      <c r="EK15" s="967"/>
      <c r="EL15" s="967"/>
      <c r="EM15" s="967"/>
      <c r="EN15" s="967"/>
      <c r="EO15" s="967"/>
      <c r="EP15" s="967"/>
      <c r="EQ15" s="967"/>
      <c r="ER15" s="967"/>
      <c r="ES15" s="967"/>
      <c r="ET15" s="967"/>
      <c r="EU15" s="967"/>
      <c r="EV15" s="967"/>
      <c r="EW15" s="967"/>
      <c r="EX15" s="967"/>
      <c r="EY15" s="967"/>
      <c r="EZ15" s="967"/>
      <c r="FA15" s="967"/>
      <c r="FB15" s="967"/>
      <c r="FC15" s="967"/>
      <c r="FD15" s="967"/>
      <c r="FE15" s="967"/>
      <c r="FF15" s="967"/>
      <c r="FG15" s="967"/>
      <c r="FH15" s="967"/>
      <c r="FI15" s="967"/>
      <c r="FJ15" s="967"/>
      <c r="FK15" s="967"/>
      <c r="FL15" s="967"/>
      <c r="FM15" s="967"/>
      <c r="FN15" s="967"/>
      <c r="FO15" s="967"/>
      <c r="FP15" s="967"/>
      <c r="FQ15" s="967"/>
      <c r="FR15" s="967"/>
      <c r="FS15" s="967"/>
      <c r="FT15" s="967"/>
      <c r="FU15" s="967"/>
      <c r="FV15" s="967"/>
      <c r="FW15" s="967"/>
      <c r="FX15" s="967"/>
      <c r="FY15" s="967"/>
      <c r="FZ15" s="967"/>
      <c r="GA15" s="967"/>
      <c r="GB15" s="967"/>
      <c r="GC15" s="967"/>
      <c r="GD15" s="967"/>
      <c r="GE15" s="967"/>
      <c r="GF15" s="967"/>
      <c r="GG15" s="967"/>
      <c r="GH15" s="967"/>
      <c r="GI15" s="967"/>
      <c r="GJ15" s="967"/>
      <c r="GK15" s="967"/>
      <c r="GL15" s="967"/>
      <c r="GM15" s="967"/>
      <c r="GN15" s="967"/>
      <c r="GO15" s="967"/>
      <c r="GP15" s="967"/>
      <c r="GQ15" s="967"/>
      <c r="GR15" s="967"/>
      <c r="GS15" s="967"/>
      <c r="GT15" s="967"/>
      <c r="GU15" s="967"/>
      <c r="GV15" s="967"/>
      <c r="GW15" s="967"/>
      <c r="GX15" s="967"/>
      <c r="GY15" s="967"/>
      <c r="GZ15" s="967"/>
      <c r="HA15" s="967"/>
      <c r="HB15" s="967"/>
      <c r="HC15" s="967"/>
      <c r="HD15" s="967"/>
      <c r="HE15" s="967"/>
      <c r="HF15" s="967"/>
      <c r="HG15" s="967"/>
      <c r="HH15" s="967"/>
      <c r="HI15" s="967"/>
      <c r="HJ15" s="967"/>
      <c r="HK15" s="967"/>
      <c r="HL15" s="967"/>
      <c r="HM15" s="967"/>
      <c r="HN15" s="967"/>
      <c r="HO15" s="967"/>
      <c r="HP15" s="967"/>
      <c r="HQ15" s="967"/>
      <c r="HR15" s="967"/>
      <c r="HS15" s="967"/>
      <c r="HT15" s="967"/>
      <c r="HU15" s="967"/>
      <c r="HV15" s="967"/>
      <c r="HW15" s="967"/>
      <c r="HX15" s="967"/>
      <c r="HY15" s="967"/>
      <c r="HZ15" s="967"/>
      <c r="IA15" s="967"/>
      <c r="IB15" s="967"/>
      <c r="IC15" s="967"/>
      <c r="ID15" s="967"/>
      <c r="IE15" s="967"/>
      <c r="IF15" s="967"/>
      <c r="IG15" s="967"/>
      <c r="IH15" s="967"/>
      <c r="II15" s="967"/>
      <c r="IJ15" s="967"/>
    </row>
    <row r="16" spans="1:244" s="1248" customFormat="1" ht="27" customHeight="1">
      <c r="A16" s="1244">
        <v>7</v>
      </c>
      <c r="B16" s="1245" t="s">
        <v>135</v>
      </c>
      <c r="C16" s="1245">
        <v>132351101</v>
      </c>
      <c r="D16" s="1245" t="s">
        <v>6209</v>
      </c>
      <c r="E16" s="1245" t="s">
        <v>146</v>
      </c>
      <c r="F16" s="1246">
        <f>ROUND(SUM(F17:F18),3)</f>
        <v>4.71</v>
      </c>
      <c r="G16" s="404"/>
      <c r="H16" s="1242">
        <f t="shared" si="0"/>
        <v>0</v>
      </c>
      <c r="I16" s="954" t="s">
        <v>137</v>
      </c>
      <c r="J16" s="606"/>
    </row>
    <row r="17" spans="1:256" s="918" customFormat="1" ht="13.5" customHeight="1">
      <c r="A17" s="920"/>
      <c r="B17" s="921"/>
      <c r="C17" s="919"/>
      <c r="D17" s="919" t="s">
        <v>6210</v>
      </c>
      <c r="E17" s="919"/>
      <c r="F17" s="1249">
        <f>(0.5*0.5*0.5*6)</f>
        <v>0.75</v>
      </c>
      <c r="G17" s="1207"/>
      <c r="H17" s="923"/>
      <c r="I17" s="924"/>
      <c r="J17" s="946"/>
      <c r="K17" s="94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c r="DJ17" s="467"/>
      <c r="DK17" s="467"/>
      <c r="DL17" s="467"/>
      <c r="DM17" s="467"/>
      <c r="DN17" s="467"/>
      <c r="DO17" s="467"/>
      <c r="DP17" s="467"/>
      <c r="DQ17" s="467"/>
      <c r="DR17" s="467"/>
      <c r="DS17" s="467"/>
      <c r="DT17" s="467"/>
      <c r="DU17" s="467"/>
      <c r="DV17" s="467"/>
      <c r="DW17" s="467"/>
      <c r="DX17" s="467"/>
      <c r="DY17" s="467"/>
      <c r="DZ17" s="467"/>
      <c r="EA17" s="467"/>
      <c r="EB17" s="467"/>
      <c r="EC17" s="467"/>
      <c r="ED17" s="467"/>
      <c r="EE17" s="467"/>
      <c r="EF17" s="467"/>
      <c r="EG17" s="467"/>
      <c r="EH17" s="467"/>
      <c r="EI17" s="467"/>
      <c r="EJ17" s="467"/>
      <c r="EK17" s="467"/>
      <c r="EL17" s="467"/>
      <c r="EM17" s="467"/>
      <c r="EN17" s="467"/>
      <c r="EO17" s="467"/>
      <c r="EP17" s="467"/>
      <c r="EQ17" s="467"/>
      <c r="ER17" s="467"/>
      <c r="ES17" s="467"/>
      <c r="ET17" s="467"/>
      <c r="EU17" s="467"/>
      <c r="EV17" s="467"/>
      <c r="EW17" s="467"/>
      <c r="EX17" s="467"/>
      <c r="EY17" s="467"/>
      <c r="EZ17" s="467"/>
      <c r="FA17" s="467"/>
      <c r="FB17" s="467"/>
      <c r="FC17" s="467"/>
      <c r="FD17" s="467"/>
      <c r="FE17" s="467"/>
      <c r="FF17" s="467"/>
      <c r="FG17" s="467"/>
      <c r="FH17" s="467"/>
      <c r="FI17" s="467"/>
      <c r="FJ17" s="467"/>
      <c r="FK17" s="467"/>
      <c r="FL17" s="467"/>
      <c r="FM17" s="467"/>
      <c r="FN17" s="467"/>
      <c r="FO17" s="467"/>
      <c r="FP17" s="467"/>
      <c r="FQ17" s="467"/>
      <c r="FR17" s="467"/>
      <c r="FS17" s="467"/>
      <c r="FT17" s="467"/>
      <c r="FU17" s="467"/>
      <c r="FV17" s="467"/>
      <c r="FW17" s="467"/>
      <c r="FX17" s="467"/>
      <c r="FY17" s="467"/>
      <c r="FZ17" s="467"/>
      <c r="GA17" s="467"/>
      <c r="GB17" s="467"/>
      <c r="GC17" s="467"/>
      <c r="GD17" s="467"/>
      <c r="GE17" s="467"/>
      <c r="GF17" s="467"/>
      <c r="GG17" s="467"/>
      <c r="GH17" s="467"/>
      <c r="GI17" s="467"/>
      <c r="GJ17" s="467"/>
      <c r="GK17" s="467"/>
      <c r="GL17" s="467"/>
      <c r="GM17" s="467"/>
      <c r="GN17" s="467"/>
      <c r="GO17" s="467"/>
      <c r="GP17" s="467"/>
      <c r="GQ17" s="467"/>
      <c r="GR17" s="467"/>
      <c r="GS17" s="467"/>
      <c r="GT17" s="467"/>
      <c r="GU17" s="467"/>
      <c r="GV17" s="467"/>
      <c r="GW17" s="467"/>
      <c r="GX17" s="467"/>
      <c r="GY17" s="467"/>
      <c r="GZ17" s="467"/>
      <c r="HA17" s="467"/>
      <c r="HB17" s="467"/>
      <c r="HC17" s="467"/>
      <c r="HD17" s="467"/>
      <c r="HE17" s="467"/>
      <c r="HF17" s="467"/>
      <c r="HG17" s="467"/>
      <c r="HH17" s="467"/>
      <c r="HI17" s="467"/>
      <c r="HJ17" s="467"/>
      <c r="HK17" s="467"/>
      <c r="HL17" s="467"/>
      <c r="HM17" s="467"/>
      <c r="HN17" s="467"/>
      <c r="HO17" s="467"/>
      <c r="HP17" s="467"/>
      <c r="HQ17" s="467"/>
      <c r="HR17" s="467"/>
      <c r="HS17" s="467"/>
      <c r="HT17" s="467"/>
      <c r="HU17" s="467"/>
      <c r="HV17" s="467"/>
      <c r="HW17" s="467"/>
      <c r="HX17" s="467"/>
      <c r="HY17" s="467"/>
      <c r="HZ17" s="467"/>
      <c r="IA17" s="467"/>
      <c r="IB17" s="467"/>
      <c r="IC17" s="467"/>
      <c r="ID17" s="467"/>
      <c r="IE17" s="467"/>
      <c r="IF17" s="467"/>
      <c r="IG17" s="467"/>
      <c r="IH17" s="467"/>
      <c r="II17" s="467"/>
      <c r="IJ17" s="467"/>
      <c r="IK17" s="467"/>
      <c r="IL17" s="467"/>
      <c r="IM17" s="467"/>
      <c r="IN17" s="467"/>
      <c r="IO17" s="467"/>
      <c r="IP17" s="467"/>
      <c r="IQ17" s="467"/>
      <c r="IR17" s="467"/>
      <c r="IS17" s="467"/>
      <c r="IT17" s="467"/>
      <c r="IU17" s="467"/>
      <c r="IV17" s="467"/>
    </row>
    <row r="18" spans="1:256" s="918" customFormat="1" ht="13.5" customHeight="1">
      <c r="A18" s="920"/>
      <c r="B18" s="921"/>
      <c r="C18" s="919"/>
      <c r="D18" s="919" t="s">
        <v>6211</v>
      </c>
      <c r="E18" s="919"/>
      <c r="F18" s="1249">
        <f>(11*0.6*0.6)</f>
        <v>3.9599999999999995</v>
      </c>
      <c r="G18" s="1207"/>
      <c r="H18" s="923"/>
      <c r="I18" s="924"/>
      <c r="J18" s="946"/>
      <c r="K18" s="94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7"/>
      <c r="GN18" s="467"/>
      <c r="GO18" s="467"/>
      <c r="GP18" s="467"/>
      <c r="GQ18" s="467"/>
      <c r="GR18" s="467"/>
      <c r="GS18" s="467"/>
      <c r="GT18" s="467"/>
      <c r="GU18" s="467"/>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7"/>
      <c r="IB18" s="467"/>
      <c r="IC18" s="467"/>
      <c r="ID18" s="467"/>
      <c r="IE18" s="467"/>
      <c r="IF18" s="467"/>
      <c r="IG18" s="467"/>
      <c r="IH18" s="467"/>
      <c r="II18" s="467"/>
      <c r="IJ18" s="467"/>
      <c r="IK18" s="467"/>
      <c r="IL18" s="467"/>
      <c r="IM18" s="467"/>
      <c r="IN18" s="467"/>
      <c r="IO18" s="467"/>
      <c r="IP18" s="467"/>
      <c r="IQ18" s="467"/>
      <c r="IR18" s="467"/>
      <c r="IS18" s="467"/>
      <c r="IT18" s="467"/>
      <c r="IU18" s="467"/>
      <c r="IV18" s="467"/>
    </row>
    <row r="19" spans="1:256" s="604" customFormat="1" ht="27" customHeight="1">
      <c r="A19" s="595"/>
      <c r="B19" s="596"/>
      <c r="C19" s="597"/>
      <c r="D19" s="597" t="s">
        <v>4323</v>
      </c>
      <c r="E19" s="597"/>
      <c r="F19" s="607"/>
      <c r="G19" s="289"/>
      <c r="H19" s="601"/>
      <c r="I19" s="602"/>
      <c r="J19" s="606"/>
      <c r="U19" s="605"/>
      <c r="W19" s="605"/>
    </row>
    <row r="20" spans="1:256" s="1248" customFormat="1" ht="13.5" customHeight="1">
      <c r="A20" s="1244">
        <v>8</v>
      </c>
      <c r="B20" s="1245" t="s">
        <v>135</v>
      </c>
      <c r="C20" s="1245">
        <v>139001101</v>
      </c>
      <c r="D20" s="1245" t="s">
        <v>160</v>
      </c>
      <c r="E20" s="1245" t="s">
        <v>146</v>
      </c>
      <c r="F20" s="1246">
        <f>ROUND(SUM(F21),3)</f>
        <v>0.23599999999999999</v>
      </c>
      <c r="G20" s="404"/>
      <c r="H20" s="1242">
        <f>ROUND(F20*G20,2)</f>
        <v>0</v>
      </c>
      <c r="I20" s="954" t="s">
        <v>137</v>
      </c>
      <c r="J20" s="1250"/>
    </row>
    <row r="21" spans="1:256" s="604" customFormat="1" ht="13.5" customHeight="1">
      <c r="A21" s="595"/>
      <c r="B21" s="596"/>
      <c r="C21" s="597"/>
      <c r="D21" s="597" t="s">
        <v>6212</v>
      </c>
      <c r="E21" s="597"/>
      <c r="F21" s="607">
        <f xml:space="preserve"> (4.71)*0.05</f>
        <v>0.23550000000000001</v>
      </c>
      <c r="G21" s="458"/>
      <c r="H21" s="601"/>
      <c r="I21" s="602"/>
      <c r="J21" s="606"/>
      <c r="U21" s="605"/>
      <c r="W21" s="605"/>
    </row>
    <row r="22" spans="1:256" s="1248" customFormat="1" ht="13.5" customHeight="1">
      <c r="A22" s="1251" t="s">
        <v>311</v>
      </c>
      <c r="B22" s="1252" t="s">
        <v>135</v>
      </c>
      <c r="C22" s="1245">
        <v>171152501</v>
      </c>
      <c r="D22" s="1245" t="s">
        <v>162</v>
      </c>
      <c r="E22" s="1245" t="s">
        <v>163</v>
      </c>
      <c r="F22" s="1246">
        <f>ROUND(SUM(F23:F23),3)</f>
        <v>6.05</v>
      </c>
      <c r="G22" s="405"/>
      <c r="H22" s="1242">
        <f>ROUND(F22*G22,2)</f>
        <v>0</v>
      </c>
      <c r="I22" s="954" t="s">
        <v>137</v>
      </c>
      <c r="J22" s="1254"/>
    </row>
    <row r="23" spans="1:256" s="1248" customFormat="1" ht="13.5" customHeight="1">
      <c r="A23" s="1251"/>
      <c r="B23" s="1252"/>
      <c r="C23" s="1245"/>
      <c r="D23" s="1255" t="s">
        <v>6213</v>
      </c>
      <c r="E23" s="1245"/>
      <c r="F23" s="922">
        <f>(11*0.55)</f>
        <v>6.0500000000000007</v>
      </c>
      <c r="G23" s="458"/>
      <c r="H23" s="1253"/>
      <c r="I23" s="1256"/>
      <c r="J23" s="1257"/>
    </row>
    <row r="24" spans="1:256" s="918" customFormat="1" ht="27" customHeight="1">
      <c r="A24" s="913">
        <v>10</v>
      </c>
      <c r="B24" s="1007" t="s">
        <v>135</v>
      </c>
      <c r="C24" s="393" t="s">
        <v>4782</v>
      </c>
      <c r="D24" s="393" t="s">
        <v>6320</v>
      </c>
      <c r="E24" s="393" t="s">
        <v>146</v>
      </c>
      <c r="F24" s="1258">
        <f>ROUND(SUM(F25),3)</f>
        <v>4.71</v>
      </c>
      <c r="G24" s="1247">
        <f>ROUND(SUM(H27:H30)/F24,2)</f>
        <v>0</v>
      </c>
      <c r="H24" s="1242">
        <f>ROUND(F24*G24,2)</f>
        <v>0</v>
      </c>
      <c r="I24" s="954" t="s">
        <v>112</v>
      </c>
      <c r="J24" s="1000"/>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s="593" customFormat="1" ht="13.5" customHeight="1">
      <c r="A25" s="789"/>
      <c r="B25" s="790"/>
      <c r="C25" s="1259"/>
      <c r="D25" s="756" t="s">
        <v>185</v>
      </c>
      <c r="E25" s="1260"/>
      <c r="F25" s="758">
        <f>SUM(F26)</f>
        <v>4.71</v>
      </c>
      <c r="G25" s="1413"/>
      <c r="H25" s="1261"/>
      <c r="I25" s="1014"/>
      <c r="J25" s="1262"/>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row r="26" spans="1:256" s="918" customFormat="1" ht="13.5" customHeight="1">
      <c r="A26" s="1152"/>
      <c r="B26" s="989"/>
      <c r="C26" s="1263"/>
      <c r="D26" s="959" t="s">
        <v>6214</v>
      </c>
      <c r="E26" s="959"/>
      <c r="F26" s="1153">
        <v>4.71</v>
      </c>
      <c r="G26" s="1210"/>
      <c r="H26" s="953"/>
      <c r="I26" s="1160"/>
      <c r="J26" s="1264"/>
      <c r="K26" s="1265"/>
      <c r="L26" s="459"/>
      <c r="M26" s="460"/>
      <c r="N26" s="460"/>
      <c r="O26" s="460"/>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s="918" customFormat="1" ht="13.5" customHeight="1">
      <c r="A27" s="1266" t="s">
        <v>6215</v>
      </c>
      <c r="B27" s="393"/>
      <c r="C27" s="1263">
        <v>167151102</v>
      </c>
      <c r="D27" s="959" t="s">
        <v>4789</v>
      </c>
      <c r="E27" s="1263" t="s">
        <v>146</v>
      </c>
      <c r="F27" s="922">
        <f>F25</f>
        <v>4.71</v>
      </c>
      <c r="G27" s="1215"/>
      <c r="H27" s="1267">
        <f>ROUND(F27*G27,2)</f>
        <v>0</v>
      </c>
      <c r="I27" s="781" t="s">
        <v>137</v>
      </c>
      <c r="J27" s="1268"/>
      <c r="K27" s="1269"/>
      <c r="L27" s="61"/>
      <c r="M27" s="64"/>
      <c r="N27" s="64"/>
      <c r="O27" s="64"/>
      <c r="P27" s="64"/>
      <c r="Q27" s="64"/>
      <c r="R27" s="381"/>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s="1271" customFormat="1" ht="26.25" customHeight="1">
      <c r="A28" s="792" t="s">
        <v>6216</v>
      </c>
      <c r="B28" s="793"/>
      <c r="C28" s="793" t="s">
        <v>6325</v>
      </c>
      <c r="D28" s="793" t="s">
        <v>6318</v>
      </c>
      <c r="E28" s="793" t="s">
        <v>146</v>
      </c>
      <c r="F28" s="794">
        <f>F25</f>
        <v>4.71</v>
      </c>
      <c r="G28" s="470"/>
      <c r="H28" s="795">
        <f t="shared" ref="H28" si="1">F28*G28</f>
        <v>0</v>
      </c>
      <c r="I28" s="781" t="s">
        <v>112</v>
      </c>
      <c r="J28" s="1270"/>
      <c r="K28" s="647"/>
    </row>
    <row r="29" spans="1:256" s="1272" customFormat="1" ht="27" customHeight="1">
      <c r="A29" s="1025" t="s">
        <v>6217</v>
      </c>
      <c r="B29" s="1026"/>
      <c r="C29" s="777">
        <v>171251101</v>
      </c>
      <c r="D29" s="1027" t="s">
        <v>192</v>
      </c>
      <c r="E29" s="1026" t="s">
        <v>146</v>
      </c>
      <c r="F29" s="1028">
        <f>F24</f>
        <v>4.71</v>
      </c>
      <c r="G29" s="471"/>
      <c r="H29" s="1029">
        <f>ROUND(F29*G29,2)</f>
        <v>0</v>
      </c>
      <c r="I29" s="781" t="s">
        <v>137</v>
      </c>
      <c r="J29" s="1268"/>
      <c r="K29" s="783"/>
      <c r="L29" s="612"/>
      <c r="M29" s="612"/>
      <c r="N29" s="612"/>
      <c r="O29" s="612"/>
      <c r="P29" s="612"/>
      <c r="Q29" s="612"/>
      <c r="R29" s="612"/>
      <c r="S29" s="788"/>
      <c r="U29" s="621"/>
      <c r="V29" s="612"/>
      <c r="W29" s="1273"/>
    </row>
    <row r="30" spans="1:256" s="1271" customFormat="1" ht="27" customHeight="1">
      <c r="A30" s="1030" t="s">
        <v>6218</v>
      </c>
      <c r="B30" s="1031"/>
      <c r="C30" s="805" t="s">
        <v>6311</v>
      </c>
      <c r="D30" s="806" t="s">
        <v>6323</v>
      </c>
      <c r="E30" s="805" t="s">
        <v>175</v>
      </c>
      <c r="F30" s="794">
        <f>F24*2</f>
        <v>9.42</v>
      </c>
      <c r="G30" s="472"/>
      <c r="H30" s="1032">
        <f t="shared" ref="H30" si="2">F30*G30</f>
        <v>0</v>
      </c>
      <c r="I30" s="781" t="s">
        <v>112</v>
      </c>
      <c r="J30" s="1274"/>
      <c r="K30" s="647"/>
    </row>
    <row r="31" spans="1:256" s="647" customFormat="1" ht="13.5" customHeight="1">
      <c r="A31" s="807"/>
      <c r="B31" s="808"/>
      <c r="C31" s="811"/>
      <c r="D31" s="810" t="s">
        <v>193</v>
      </c>
      <c r="E31" s="811"/>
      <c r="F31" s="812"/>
      <c r="G31" s="881"/>
      <c r="H31" s="813"/>
      <c r="I31" s="814"/>
      <c r="J31" s="815"/>
      <c r="L31" s="612"/>
      <c r="M31" s="612"/>
      <c r="N31" s="612"/>
      <c r="O31" s="612"/>
      <c r="P31" s="612"/>
      <c r="Q31" s="612"/>
      <c r="R31" s="612"/>
      <c r="S31" s="788"/>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816"/>
      <c r="BI31" s="816"/>
      <c r="BJ31" s="816"/>
      <c r="BK31" s="816"/>
      <c r="BL31" s="816"/>
      <c r="BM31" s="816"/>
      <c r="BN31" s="816"/>
      <c r="BO31" s="816"/>
      <c r="BP31" s="816"/>
      <c r="BQ31" s="816"/>
      <c r="BR31" s="816"/>
      <c r="BS31" s="816"/>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6"/>
      <c r="DF31" s="816"/>
      <c r="DG31" s="816"/>
      <c r="DH31" s="816"/>
      <c r="DI31" s="816"/>
      <c r="DJ31" s="816"/>
      <c r="DK31" s="816"/>
      <c r="DL31" s="816"/>
      <c r="DM31" s="816"/>
      <c r="DN31" s="816"/>
      <c r="DO31" s="816"/>
      <c r="DP31" s="816"/>
      <c r="DQ31" s="816"/>
      <c r="DR31" s="816"/>
      <c r="DS31" s="816"/>
      <c r="DT31" s="816"/>
      <c r="DU31" s="816"/>
      <c r="DV31" s="816"/>
      <c r="DW31" s="816"/>
      <c r="DX31" s="816"/>
      <c r="DY31" s="816"/>
      <c r="DZ31" s="816"/>
      <c r="EA31" s="816"/>
      <c r="EB31" s="816"/>
      <c r="EC31" s="816"/>
      <c r="ED31" s="816"/>
      <c r="EE31" s="816"/>
      <c r="EF31" s="816"/>
      <c r="EG31" s="816"/>
      <c r="EH31" s="816"/>
      <c r="EI31" s="816"/>
      <c r="EJ31" s="816"/>
      <c r="EK31" s="816"/>
      <c r="EL31" s="816"/>
      <c r="EM31" s="816"/>
      <c r="EN31" s="816"/>
      <c r="EO31" s="816"/>
      <c r="EP31" s="816"/>
      <c r="EQ31" s="816"/>
      <c r="ER31" s="816"/>
      <c r="ES31" s="816"/>
      <c r="ET31" s="816"/>
      <c r="EU31" s="816"/>
      <c r="EV31" s="816"/>
      <c r="EW31" s="816"/>
      <c r="EX31" s="816"/>
      <c r="EY31" s="816"/>
      <c r="EZ31" s="816"/>
      <c r="FA31" s="816"/>
      <c r="FB31" s="816"/>
      <c r="FC31" s="816"/>
      <c r="FD31" s="816"/>
      <c r="FE31" s="816"/>
      <c r="FF31" s="816"/>
      <c r="FG31" s="816"/>
      <c r="FH31" s="816"/>
      <c r="FI31" s="816"/>
      <c r="FJ31" s="816"/>
      <c r="FK31" s="816"/>
      <c r="FL31" s="816"/>
      <c r="FM31" s="816"/>
      <c r="FN31" s="816"/>
      <c r="FO31" s="816"/>
      <c r="FP31" s="816"/>
      <c r="FQ31" s="816"/>
      <c r="FR31" s="816"/>
      <c r="FS31" s="816"/>
      <c r="FT31" s="816"/>
      <c r="FU31" s="816"/>
      <c r="FV31" s="816"/>
      <c r="FW31" s="816"/>
      <c r="FX31" s="816"/>
      <c r="FY31" s="816"/>
      <c r="FZ31" s="816"/>
      <c r="GA31" s="816"/>
      <c r="GB31" s="816"/>
      <c r="GC31" s="816"/>
      <c r="GD31" s="816"/>
      <c r="GE31" s="816"/>
      <c r="GF31" s="816"/>
      <c r="GG31" s="816"/>
      <c r="GH31" s="816"/>
      <c r="GI31" s="816"/>
      <c r="GJ31" s="816"/>
      <c r="GK31" s="816"/>
      <c r="GL31" s="816"/>
      <c r="GM31" s="816"/>
      <c r="GN31" s="816"/>
      <c r="GO31" s="816"/>
      <c r="GP31" s="816"/>
      <c r="GQ31" s="816"/>
      <c r="GR31" s="816"/>
      <c r="GS31" s="816"/>
      <c r="GT31" s="816"/>
      <c r="GU31" s="816"/>
      <c r="GV31" s="816"/>
      <c r="GW31" s="816"/>
      <c r="GX31" s="816"/>
      <c r="GY31" s="816"/>
      <c r="GZ31" s="816"/>
      <c r="HA31" s="816"/>
      <c r="HB31" s="816"/>
      <c r="HC31" s="816"/>
      <c r="HD31" s="816"/>
      <c r="HE31" s="816"/>
      <c r="HF31" s="816"/>
      <c r="HG31" s="816"/>
      <c r="HH31" s="816"/>
      <c r="HI31" s="816"/>
      <c r="HJ31" s="816"/>
      <c r="HK31" s="816"/>
      <c r="HL31" s="816"/>
      <c r="HM31" s="816"/>
      <c r="HN31" s="816"/>
      <c r="HO31" s="816"/>
      <c r="HP31" s="816"/>
      <c r="HQ31" s="816"/>
      <c r="HR31" s="816"/>
      <c r="HS31" s="816"/>
      <c r="HT31" s="816"/>
      <c r="HU31" s="816"/>
      <c r="HV31" s="816"/>
      <c r="HW31" s="816"/>
      <c r="HX31" s="816"/>
      <c r="HY31" s="816"/>
      <c r="HZ31" s="816"/>
      <c r="IA31" s="816"/>
      <c r="IB31" s="816"/>
      <c r="IC31" s="816"/>
      <c r="ID31" s="816"/>
      <c r="IE31" s="816"/>
      <c r="IF31" s="816"/>
      <c r="IG31" s="816"/>
      <c r="IH31" s="816"/>
      <c r="II31" s="816"/>
      <c r="IJ31" s="816"/>
      <c r="IK31" s="816"/>
      <c r="IL31" s="816"/>
      <c r="IM31" s="816"/>
      <c r="IN31" s="816"/>
      <c r="IO31" s="816"/>
      <c r="IP31" s="816"/>
      <c r="IQ31" s="816"/>
      <c r="IR31" s="816"/>
      <c r="IS31" s="816"/>
      <c r="IT31" s="816"/>
      <c r="IU31" s="816"/>
      <c r="IV31" s="816"/>
    </row>
    <row r="32" spans="1:256" s="918" customFormat="1" ht="81" customHeight="1">
      <c r="A32" s="1152"/>
      <c r="B32" s="989"/>
      <c r="C32" s="1263"/>
      <c r="D32" s="1275" t="s">
        <v>6219</v>
      </c>
      <c r="E32" s="959"/>
      <c r="F32" s="922"/>
      <c r="G32" s="1210"/>
      <c r="H32" s="953"/>
      <c r="I32" s="1276"/>
      <c r="J32" s="1277"/>
      <c r="K32" s="1269"/>
      <c r="L32" s="6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2" s="918" customFormat="1" ht="13.5" customHeight="1">
      <c r="A33" s="925"/>
      <c r="B33" s="926"/>
      <c r="C33" s="1278">
        <v>2</v>
      </c>
      <c r="D33" s="1278" t="s">
        <v>195</v>
      </c>
      <c r="E33" s="1278"/>
      <c r="F33" s="1279"/>
      <c r="G33" s="1414"/>
      <c r="H33" s="1241">
        <f>SUM(H34:H36,H95:H96)</f>
        <v>0</v>
      </c>
      <c r="I33" s="928"/>
      <c r="J33" s="916"/>
      <c r="K33" s="917"/>
    </row>
    <row r="34" spans="1:22" s="1248" customFormat="1" ht="13.5" customHeight="1">
      <c r="A34" s="1244">
        <v>11</v>
      </c>
      <c r="B34" s="1252" t="s">
        <v>219</v>
      </c>
      <c r="C34" s="1245">
        <v>274313511</v>
      </c>
      <c r="D34" s="1245" t="s">
        <v>6220</v>
      </c>
      <c r="E34" s="1245" t="s">
        <v>146</v>
      </c>
      <c r="F34" s="1258">
        <f>ROUND(SUM(F36:F36),3)</f>
        <v>0.78800000000000003</v>
      </c>
      <c r="G34" s="404"/>
      <c r="H34" s="1242">
        <f>ROUND(F34*G34,2)</f>
        <v>0</v>
      </c>
      <c r="I34" s="1280" t="s">
        <v>137</v>
      </c>
      <c r="J34" s="1281"/>
      <c r="K34" s="1282"/>
      <c r="L34" s="1282"/>
    </row>
    <row r="35" spans="1:22" s="1248" customFormat="1" ht="13.5" customHeight="1">
      <c r="A35" s="1244"/>
      <c r="B35" s="1252"/>
      <c r="C35" s="1245"/>
      <c r="D35" s="1259" t="s">
        <v>6221</v>
      </c>
      <c r="E35" s="1245"/>
      <c r="F35" s="1283"/>
      <c r="G35" s="404"/>
      <c r="H35" s="1247"/>
      <c r="I35" s="1280"/>
      <c r="J35" s="1284"/>
      <c r="K35" s="1282"/>
      <c r="L35" s="1282"/>
    </row>
    <row r="36" spans="1:22" s="1248" customFormat="1" ht="13.5" customHeight="1">
      <c r="A36" s="1244"/>
      <c r="B36" s="1245"/>
      <c r="C36" s="1245"/>
      <c r="D36" s="1255" t="s">
        <v>6222</v>
      </c>
      <c r="E36" s="1245"/>
      <c r="F36" s="1249">
        <f>(0.5*0.5*0.5*6)*1.05</f>
        <v>0.78750000000000009</v>
      </c>
      <c r="G36" s="404"/>
      <c r="H36" s="1247"/>
      <c r="I36" s="1280"/>
      <c r="J36" s="1281"/>
      <c r="K36" s="1282"/>
      <c r="L36" s="1282"/>
    </row>
    <row r="37" spans="1:22" s="1290" customFormat="1" ht="13.5" customHeight="1">
      <c r="A37" s="1285"/>
      <c r="B37" s="1286"/>
      <c r="C37" s="1286">
        <v>3</v>
      </c>
      <c r="D37" s="1286" t="s">
        <v>249</v>
      </c>
      <c r="E37" s="1286"/>
      <c r="F37" s="1287"/>
      <c r="G37" s="461"/>
      <c r="H37" s="1288">
        <f>SUM(H38:H59)</f>
        <v>0</v>
      </c>
      <c r="I37" s="1289"/>
    </row>
    <row r="38" spans="1:22" s="1248" customFormat="1" ht="13.5" customHeight="1">
      <c r="A38" s="1291">
        <v>12</v>
      </c>
      <c r="B38" s="1252" t="s">
        <v>5110</v>
      </c>
      <c r="C38" s="1245" t="s">
        <v>1847</v>
      </c>
      <c r="D38" s="1245" t="s">
        <v>6223</v>
      </c>
      <c r="E38" s="1245" t="s">
        <v>141</v>
      </c>
      <c r="F38" s="1258">
        <f>ROUND(SUM(F39:F39),3)</f>
        <v>8.4</v>
      </c>
      <c r="G38" s="405"/>
      <c r="H38" s="1242">
        <f>ROUND(F38*G38,2)</f>
        <v>0</v>
      </c>
      <c r="I38" s="1280" t="s">
        <v>112</v>
      </c>
      <c r="J38" s="1292"/>
      <c r="K38" s="1293"/>
      <c r="L38" s="1292"/>
      <c r="M38" s="1293"/>
      <c r="N38" s="1293"/>
      <c r="O38" s="1294"/>
      <c r="P38" s="1295"/>
      <c r="Q38" s="1296"/>
      <c r="R38" s="1297"/>
      <c r="S38" s="1297"/>
      <c r="T38" s="1254"/>
      <c r="V38" s="1298"/>
    </row>
    <row r="39" spans="1:22" s="1248" customFormat="1" ht="13.5" customHeight="1">
      <c r="A39" s="1291"/>
      <c r="B39" s="1252"/>
      <c r="C39" s="1245"/>
      <c r="D39" s="1255" t="s">
        <v>6224</v>
      </c>
      <c r="E39" s="1245"/>
      <c r="F39" s="1249">
        <v>8.4</v>
      </c>
      <c r="G39" s="405"/>
      <c r="H39" s="1253"/>
      <c r="I39" s="1280"/>
      <c r="J39" s="1292"/>
      <c r="K39" s="1293"/>
      <c r="L39" s="1293"/>
      <c r="M39" s="1293"/>
      <c r="N39" s="1293"/>
      <c r="O39" s="1294"/>
      <c r="P39" s="1295"/>
      <c r="Q39" s="1296"/>
      <c r="R39" s="1297"/>
      <c r="S39" s="1297"/>
      <c r="T39" s="1254"/>
      <c r="V39" s="1298"/>
    </row>
    <row r="40" spans="1:22" s="1248" customFormat="1" ht="81" customHeight="1">
      <c r="A40" s="1291"/>
      <c r="B40" s="1252"/>
      <c r="C40" s="1245"/>
      <c r="D40" s="1299" t="s">
        <v>6225</v>
      </c>
      <c r="E40" s="1245"/>
      <c r="F40" s="1249"/>
      <c r="G40" s="405"/>
      <c r="H40" s="1253"/>
      <c r="I40" s="1280"/>
      <c r="J40" s="1292"/>
      <c r="K40" s="1293"/>
      <c r="L40" s="1293"/>
      <c r="M40" s="1293"/>
      <c r="N40" s="1293"/>
      <c r="O40" s="1294"/>
      <c r="P40" s="1295"/>
      <c r="Q40" s="1296"/>
      <c r="R40" s="1297"/>
      <c r="S40" s="1297"/>
      <c r="T40" s="1254"/>
      <c r="V40" s="1298"/>
    </row>
    <row r="41" spans="1:22" s="1248" customFormat="1" ht="27" customHeight="1">
      <c r="A41" s="1291"/>
      <c r="B41" s="1252"/>
      <c r="C41" s="1245"/>
      <c r="D41" s="1255" t="s">
        <v>6226</v>
      </c>
      <c r="E41" s="1245"/>
      <c r="F41" s="1249"/>
      <c r="G41" s="405"/>
      <c r="H41" s="1253"/>
      <c r="I41" s="1280"/>
      <c r="J41" s="1292"/>
      <c r="K41" s="1293"/>
      <c r="L41" s="1293"/>
      <c r="M41" s="1293"/>
      <c r="N41" s="1293"/>
      <c r="O41" s="1294"/>
      <c r="P41" s="1295"/>
      <c r="Q41" s="1296"/>
      <c r="R41" s="1297"/>
      <c r="S41" s="1297"/>
      <c r="T41" s="1254"/>
      <c r="V41" s="1298"/>
    </row>
    <row r="42" spans="1:22" s="1248" customFormat="1" ht="13.5" customHeight="1">
      <c r="A42" s="1291">
        <v>13</v>
      </c>
      <c r="B42" s="1252" t="s">
        <v>5110</v>
      </c>
      <c r="C42" s="1245" t="s">
        <v>6227</v>
      </c>
      <c r="D42" s="1245" t="s">
        <v>6228</v>
      </c>
      <c r="E42" s="1245" t="s">
        <v>205</v>
      </c>
      <c r="F42" s="1258">
        <f>ROUND(SUM(F43),3)</f>
        <v>2</v>
      </c>
      <c r="G42" s="405"/>
      <c r="H42" s="1242">
        <f>ROUND(F42*G42,2)</f>
        <v>0</v>
      </c>
      <c r="I42" s="1280" t="s">
        <v>112</v>
      </c>
      <c r="J42" s="1292"/>
    </row>
    <row r="43" spans="1:22" s="1248" customFormat="1" ht="13.5" customHeight="1">
      <c r="A43" s="1291"/>
      <c r="B43" s="1245"/>
      <c r="C43" s="1245"/>
      <c r="D43" s="1255" t="s">
        <v>6229</v>
      </c>
      <c r="E43" s="1245"/>
      <c r="F43" s="1249">
        <v>2</v>
      </c>
      <c r="G43" s="405"/>
      <c r="H43" s="1253"/>
      <c r="I43" s="1280"/>
    </row>
    <row r="44" spans="1:22" s="1248" customFormat="1" ht="27" customHeight="1">
      <c r="A44" s="1291"/>
      <c r="B44" s="1245"/>
      <c r="C44" s="1245"/>
      <c r="D44" s="1255" t="s">
        <v>6230</v>
      </c>
      <c r="E44" s="1245"/>
      <c r="F44" s="1249"/>
      <c r="G44" s="405"/>
      <c r="H44" s="1253"/>
      <c r="I44" s="1280"/>
    </row>
    <row r="45" spans="1:22" s="1248" customFormat="1" ht="27" customHeight="1">
      <c r="A45" s="1291"/>
      <c r="B45" s="1245"/>
      <c r="C45" s="1245"/>
      <c r="D45" s="1255" t="s">
        <v>6231</v>
      </c>
      <c r="E45" s="1245"/>
      <c r="F45" s="1249"/>
      <c r="G45" s="405"/>
      <c r="H45" s="1253"/>
      <c r="I45" s="1280"/>
    </row>
    <row r="46" spans="1:22" s="1248" customFormat="1" ht="27" customHeight="1">
      <c r="A46" s="1291"/>
      <c r="B46" s="1252"/>
      <c r="C46" s="1245"/>
      <c r="D46" s="1255" t="s">
        <v>6232</v>
      </c>
      <c r="E46" s="1245"/>
      <c r="F46" s="1249"/>
      <c r="G46" s="405"/>
      <c r="H46" s="1253"/>
      <c r="I46" s="1280"/>
      <c r="J46" s="1292"/>
      <c r="K46" s="1293"/>
      <c r="L46" s="1293"/>
      <c r="M46" s="1293"/>
      <c r="N46" s="1293"/>
      <c r="O46" s="1294"/>
      <c r="P46" s="1295"/>
      <c r="Q46" s="1296"/>
      <c r="R46" s="1297"/>
      <c r="S46" s="1297"/>
      <c r="T46" s="1254"/>
      <c r="V46" s="1298"/>
    </row>
    <row r="47" spans="1:22" s="1248" customFormat="1" ht="13.5" customHeight="1">
      <c r="A47" s="1291">
        <v>14</v>
      </c>
      <c r="B47" s="1252" t="s">
        <v>5110</v>
      </c>
      <c r="C47" s="1245" t="s">
        <v>6233</v>
      </c>
      <c r="D47" s="1245" t="s">
        <v>6234</v>
      </c>
      <c r="E47" s="1245" t="s">
        <v>49</v>
      </c>
      <c r="F47" s="1258">
        <f>ROUND(SUM(F48),3)</f>
        <v>1</v>
      </c>
      <c r="G47" s="405"/>
      <c r="H47" s="1242">
        <f>ROUND(F47*G47,2)</f>
        <v>0</v>
      </c>
      <c r="I47" s="1280" t="s">
        <v>112</v>
      </c>
      <c r="J47" s="1292"/>
    </row>
    <row r="48" spans="1:22" s="1248" customFormat="1" ht="13.5" customHeight="1">
      <c r="A48" s="1291"/>
      <c r="B48" s="1245"/>
      <c r="C48" s="1245"/>
      <c r="D48" s="1255" t="s">
        <v>6235</v>
      </c>
      <c r="E48" s="1245"/>
      <c r="F48" s="1249">
        <v>1</v>
      </c>
      <c r="G48" s="405"/>
      <c r="H48" s="1253"/>
      <c r="I48" s="1280"/>
      <c r="J48" s="1300"/>
    </row>
    <row r="49" spans="1:21" s="1248" customFormat="1" ht="27" customHeight="1">
      <c r="A49" s="1291"/>
      <c r="B49" s="1245"/>
      <c r="C49" s="1245"/>
      <c r="D49" s="1255" t="s">
        <v>6236</v>
      </c>
      <c r="E49" s="1245"/>
      <c r="F49" s="1249"/>
      <c r="G49" s="405"/>
      <c r="H49" s="1253"/>
      <c r="I49" s="1280"/>
    </row>
    <row r="50" spans="1:21" s="1248" customFormat="1" ht="13.5" customHeight="1">
      <c r="A50" s="1291">
        <v>15</v>
      </c>
      <c r="B50" s="1252" t="s">
        <v>5110</v>
      </c>
      <c r="C50" s="1245" t="s">
        <v>6237</v>
      </c>
      <c r="D50" s="1245" t="s">
        <v>6238</v>
      </c>
      <c r="E50" s="1245" t="s">
        <v>205</v>
      </c>
      <c r="F50" s="1258">
        <f>ROUND(SUM(F51),3)</f>
        <v>1</v>
      </c>
      <c r="G50" s="405"/>
      <c r="H50" s="1242">
        <f>ROUND(F50*G50,2)</f>
        <v>0</v>
      </c>
      <c r="I50" s="1280" t="s">
        <v>112</v>
      </c>
      <c r="J50" s="1290"/>
      <c r="P50" s="1301"/>
    </row>
    <row r="51" spans="1:21" s="1248" customFormat="1" ht="13.5" customHeight="1">
      <c r="A51" s="1291"/>
      <c r="B51" s="1245"/>
      <c r="C51" s="1245"/>
      <c r="D51" s="1255" t="s">
        <v>6239</v>
      </c>
      <c r="E51" s="1245"/>
      <c r="F51" s="1249">
        <v>1</v>
      </c>
      <c r="G51" s="405"/>
      <c r="H51" s="1253"/>
      <c r="I51" s="1253"/>
      <c r="J51" s="1302"/>
      <c r="K51" s="1268"/>
      <c r="L51" s="1303"/>
    </row>
    <row r="52" spans="1:21" s="1248" customFormat="1" ht="27" customHeight="1">
      <c r="A52" s="1291"/>
      <c r="B52" s="1245"/>
      <c r="C52" s="1245"/>
      <c r="D52" s="1255" t="s">
        <v>6240</v>
      </c>
      <c r="E52" s="1245"/>
      <c r="F52" s="1249"/>
      <c r="G52" s="405"/>
      <c r="H52" s="1253"/>
      <c r="I52" s="1304"/>
      <c r="J52" s="1302"/>
      <c r="K52" s="1305"/>
      <c r="L52" s="1306"/>
      <c r="S52" s="1301"/>
    </row>
    <row r="53" spans="1:21" s="1248" customFormat="1" ht="27" customHeight="1">
      <c r="A53" s="1291"/>
      <c r="B53" s="1245"/>
      <c r="C53" s="1245"/>
      <c r="D53" s="1255" t="s">
        <v>6241</v>
      </c>
      <c r="E53" s="1245"/>
      <c r="F53" s="1249"/>
      <c r="G53" s="405"/>
      <c r="H53" s="1253"/>
      <c r="I53" s="1280"/>
      <c r="J53" s="1302"/>
      <c r="K53" s="1305"/>
      <c r="L53" s="1306"/>
      <c r="R53" s="1307"/>
    </row>
    <row r="54" spans="1:21" s="1290" customFormat="1" ht="27" customHeight="1">
      <c r="A54" s="1308"/>
      <c r="B54" s="1309"/>
      <c r="C54" s="1309"/>
      <c r="D54" s="1255" t="s">
        <v>6242</v>
      </c>
      <c r="E54" s="1309"/>
      <c r="F54" s="1310"/>
      <c r="G54" s="462"/>
      <c r="H54" s="1311"/>
      <c r="I54" s="1280"/>
      <c r="J54" s="1302"/>
      <c r="K54" s="1305"/>
      <c r="L54" s="1306"/>
      <c r="M54" s="1312"/>
      <c r="S54" s="1313"/>
      <c r="T54" s="1314"/>
      <c r="U54" s="1314"/>
    </row>
    <row r="55" spans="1:21" s="1248" customFormat="1" ht="13.5" customHeight="1">
      <c r="A55" s="1291">
        <v>16</v>
      </c>
      <c r="B55" s="1252" t="s">
        <v>5110</v>
      </c>
      <c r="C55" s="1245" t="s">
        <v>6243</v>
      </c>
      <c r="D55" s="1245" t="s">
        <v>6244</v>
      </c>
      <c r="E55" s="1245" t="s">
        <v>146</v>
      </c>
      <c r="F55" s="1258">
        <f>ROUND(SUM(F56),3)</f>
        <v>13.976000000000001</v>
      </c>
      <c r="G55" s="405"/>
      <c r="H55" s="1242">
        <f>ROUND(F55*G55,2)</f>
        <v>0</v>
      </c>
      <c r="I55" s="1280" t="s">
        <v>112</v>
      </c>
      <c r="J55" s="1302"/>
      <c r="K55" s="1303"/>
      <c r="L55" s="1306"/>
    </row>
    <row r="56" spans="1:21" s="1248" customFormat="1" ht="13.5" customHeight="1">
      <c r="A56" s="1291"/>
      <c r="B56" s="1245"/>
      <c r="C56" s="1245"/>
      <c r="D56" s="1255" t="s">
        <v>6245</v>
      </c>
      <c r="E56" s="1245"/>
      <c r="F56" s="1249">
        <f>(11*2.2*0.55)*1.05</f>
        <v>13.975500000000004</v>
      </c>
      <c r="G56" s="405"/>
      <c r="H56" s="1253"/>
      <c r="I56" s="1280"/>
      <c r="J56" s="1302"/>
      <c r="K56" s="1268"/>
    </row>
    <row r="57" spans="1:21" s="918" customFormat="1" ht="40.5" customHeight="1">
      <c r="A57" s="988"/>
      <c r="B57" s="989"/>
      <c r="C57" s="990"/>
      <c r="D57" s="1255" t="s">
        <v>6246</v>
      </c>
      <c r="E57" s="959"/>
      <c r="F57" s="991"/>
      <c r="G57" s="1212"/>
      <c r="H57" s="953"/>
      <c r="I57" s="992"/>
      <c r="J57" s="1302"/>
      <c r="K57" s="1315"/>
      <c r="L57" s="995"/>
      <c r="Q57" s="998"/>
    </row>
    <row r="58" spans="1:21" s="1248" customFormat="1" ht="13.5" customHeight="1">
      <c r="A58" s="1291"/>
      <c r="B58" s="1245"/>
      <c r="C58" s="1245"/>
      <c r="D58" s="1255" t="s">
        <v>278</v>
      </c>
      <c r="E58" s="1245"/>
      <c r="F58" s="1249"/>
      <c r="G58" s="405"/>
      <c r="H58" s="1316"/>
      <c r="I58" s="1254"/>
      <c r="J58" s="1302"/>
      <c r="K58" s="1301"/>
      <c r="Q58" s="1317"/>
    </row>
    <row r="59" spans="1:21" s="1312" customFormat="1" ht="27" customHeight="1">
      <c r="A59" s="1318"/>
      <c r="B59" s="1319"/>
      <c r="C59" s="1320"/>
      <c r="D59" s="1255" t="s">
        <v>6247</v>
      </c>
      <c r="E59" s="1320"/>
      <c r="F59" s="1321"/>
      <c r="G59" s="1415"/>
      <c r="H59" s="1322"/>
      <c r="I59" s="1323"/>
      <c r="J59" s="1302"/>
      <c r="K59" s="1303"/>
      <c r="L59" s="1306"/>
      <c r="S59" s="1313"/>
      <c r="T59" s="1324"/>
      <c r="U59" s="1324"/>
    </row>
    <row r="60" spans="1:21" s="1248" customFormat="1" ht="13.5" customHeight="1">
      <c r="A60" s="1325"/>
      <c r="B60" s="1326"/>
      <c r="C60" s="1326">
        <v>9</v>
      </c>
      <c r="D60" s="1326" t="s">
        <v>1643</v>
      </c>
      <c r="E60" s="1326"/>
      <c r="F60" s="1327"/>
      <c r="G60" s="463"/>
      <c r="H60" s="1328">
        <f>SUM(H61:H82)</f>
        <v>0</v>
      </c>
      <c r="I60" s="1329"/>
      <c r="J60" s="1281"/>
      <c r="K60" s="1282"/>
      <c r="L60" s="1282"/>
    </row>
    <row r="61" spans="1:21" s="918" customFormat="1" ht="13.5" customHeight="1">
      <c r="A61" s="1330">
        <v>17</v>
      </c>
      <c r="B61" s="1331" t="s">
        <v>135</v>
      </c>
      <c r="C61" s="1331" t="s">
        <v>6248</v>
      </c>
      <c r="D61" s="1331" t="s">
        <v>6249</v>
      </c>
      <c r="E61" s="1331" t="s">
        <v>141</v>
      </c>
      <c r="F61" s="1332">
        <f>SUM(F62:F63)</f>
        <v>11</v>
      </c>
      <c r="G61" s="1416"/>
      <c r="H61" s="1333">
        <f>F61*G61</f>
        <v>0</v>
      </c>
      <c r="I61" s="1334" t="s">
        <v>112</v>
      </c>
      <c r="J61" s="955"/>
      <c r="K61" s="956"/>
    </row>
    <row r="62" spans="1:21" s="918" customFormat="1" ht="13.5" customHeight="1">
      <c r="A62" s="1335"/>
      <c r="B62" s="1336"/>
      <c r="C62" s="1336"/>
      <c r="D62" s="1337" t="s">
        <v>6250</v>
      </c>
      <c r="E62" s="1331"/>
      <c r="F62" s="1338"/>
      <c r="G62" s="1417"/>
      <c r="H62" s="1333"/>
      <c r="I62" s="1339"/>
      <c r="J62" s="961"/>
      <c r="K62" s="962"/>
    </row>
    <row r="63" spans="1:21" s="918" customFormat="1" ht="13.5" customHeight="1">
      <c r="A63" s="1335"/>
      <c r="B63" s="1336"/>
      <c r="C63" s="1336"/>
      <c r="D63" s="1337" t="s">
        <v>6251</v>
      </c>
      <c r="E63" s="1331"/>
      <c r="F63" s="1338">
        <v>11</v>
      </c>
      <c r="G63" s="1417"/>
      <c r="H63" s="1333"/>
      <c r="I63" s="1339"/>
      <c r="J63" s="961"/>
      <c r="K63" s="962"/>
    </row>
    <row r="64" spans="1:21" s="918" customFormat="1" ht="67.5" customHeight="1">
      <c r="A64" s="1340"/>
      <c r="B64" s="1341"/>
      <c r="C64" s="1342"/>
      <c r="D64" s="1343" t="s">
        <v>310</v>
      </c>
      <c r="E64" s="1337"/>
      <c r="F64" s="1344"/>
      <c r="G64" s="1418"/>
      <c r="H64" s="1333"/>
      <c r="I64" s="1345"/>
      <c r="J64" s="1163"/>
      <c r="K64" s="1164"/>
      <c r="L64" s="995"/>
    </row>
    <row r="65" spans="1:12" s="1248" customFormat="1" ht="13.5" customHeight="1">
      <c r="A65" s="1346">
        <v>18</v>
      </c>
      <c r="B65" s="1347" t="s">
        <v>5110</v>
      </c>
      <c r="C65" s="1348" t="s">
        <v>6252</v>
      </c>
      <c r="D65" s="1348" t="s">
        <v>1848</v>
      </c>
      <c r="E65" s="1348" t="s">
        <v>141</v>
      </c>
      <c r="F65" s="1349">
        <f>ROUND(SUM(F66),3)</f>
        <v>8.4</v>
      </c>
      <c r="G65" s="464"/>
      <c r="H65" s="1351">
        <f>ROUND(F65*G65,2)</f>
        <v>0</v>
      </c>
      <c r="I65" s="1334" t="s">
        <v>112</v>
      </c>
      <c r="J65" s="1352"/>
      <c r="K65" s="1353"/>
    </row>
    <row r="66" spans="1:12" s="1248" customFormat="1" ht="13.5" customHeight="1">
      <c r="A66" s="1346"/>
      <c r="B66" s="1348"/>
      <c r="C66" s="1348"/>
      <c r="D66" s="1354" t="s">
        <v>6253</v>
      </c>
      <c r="E66" s="1348"/>
      <c r="F66" s="1355">
        <v>8.4</v>
      </c>
      <c r="G66" s="464"/>
      <c r="H66" s="1350"/>
      <c r="I66" s="1334"/>
      <c r="J66" s="1352"/>
      <c r="K66" s="1353"/>
    </row>
    <row r="67" spans="1:12" s="1248" customFormat="1" ht="13.5" customHeight="1">
      <c r="A67" s="1346"/>
      <c r="B67" s="1348"/>
      <c r="C67" s="1348"/>
      <c r="D67" s="1354" t="s">
        <v>6254</v>
      </c>
      <c r="E67" s="1348"/>
      <c r="F67" s="1355"/>
      <c r="G67" s="464"/>
      <c r="H67" s="1350"/>
      <c r="I67" s="1334"/>
      <c r="J67" s="1356"/>
      <c r="K67" s="1357"/>
    </row>
    <row r="68" spans="1:12" s="1248" customFormat="1" ht="13.5" customHeight="1">
      <c r="A68" s="1346"/>
      <c r="B68" s="1348"/>
      <c r="C68" s="1348"/>
      <c r="D68" s="1354" t="s">
        <v>6255</v>
      </c>
      <c r="E68" s="1348"/>
      <c r="F68" s="1355"/>
      <c r="G68" s="464"/>
      <c r="H68" s="1350"/>
      <c r="I68" s="1334"/>
      <c r="J68" s="1358"/>
      <c r="K68" s="1301"/>
    </row>
    <row r="69" spans="1:12" s="1248" customFormat="1" ht="13.5" customHeight="1">
      <c r="A69" s="1346"/>
      <c r="B69" s="1348"/>
      <c r="C69" s="1348"/>
      <c r="D69" s="1354" t="s">
        <v>6256</v>
      </c>
      <c r="E69" s="1348"/>
      <c r="F69" s="1355"/>
      <c r="G69" s="464"/>
      <c r="H69" s="1350"/>
      <c r="I69" s="1334"/>
      <c r="J69" s="1358"/>
      <c r="K69" s="1301"/>
    </row>
    <row r="70" spans="1:12" s="918" customFormat="1" ht="67.5" customHeight="1">
      <c r="A70" s="1340"/>
      <c r="B70" s="1341"/>
      <c r="C70" s="1342"/>
      <c r="D70" s="1343" t="s">
        <v>6257</v>
      </c>
      <c r="E70" s="1337"/>
      <c r="F70" s="1344"/>
      <c r="G70" s="1418"/>
      <c r="H70" s="1333"/>
      <c r="I70" s="1345"/>
      <c r="J70" s="1163"/>
      <c r="K70" s="1164"/>
      <c r="L70" s="995"/>
    </row>
    <row r="71" spans="1:12" s="1248" customFormat="1" ht="13.5" customHeight="1">
      <c r="A71" s="1346">
        <v>19</v>
      </c>
      <c r="B71" s="1347" t="s">
        <v>5110</v>
      </c>
      <c r="C71" s="1348" t="s">
        <v>6252</v>
      </c>
      <c r="D71" s="1348" t="s">
        <v>6258</v>
      </c>
      <c r="E71" s="1348" t="s">
        <v>1425</v>
      </c>
      <c r="F71" s="1349">
        <f>ROUND(SUM(F72),3)</f>
        <v>2</v>
      </c>
      <c r="G71" s="464"/>
      <c r="H71" s="1351">
        <f>ROUND(F71*G71,2)</f>
        <v>0</v>
      </c>
      <c r="I71" s="1334" t="s">
        <v>112</v>
      </c>
      <c r="J71" s="1352"/>
      <c r="K71" s="1353"/>
    </row>
    <row r="72" spans="1:12" s="1248" customFormat="1" ht="13.5" customHeight="1">
      <c r="A72" s="1346"/>
      <c r="B72" s="1348"/>
      <c r="C72" s="1348"/>
      <c r="D72" s="1354" t="s">
        <v>6259</v>
      </c>
      <c r="E72" s="1348"/>
      <c r="F72" s="1355">
        <v>2</v>
      </c>
      <c r="G72" s="464"/>
      <c r="H72" s="1350"/>
      <c r="I72" s="1334"/>
      <c r="J72" s="1352"/>
      <c r="K72" s="1353"/>
    </row>
    <row r="73" spans="1:12" s="1248" customFormat="1" ht="13.5" customHeight="1">
      <c r="A73" s="1346"/>
      <c r="B73" s="1348"/>
      <c r="C73" s="1348"/>
      <c r="D73" s="1354" t="s">
        <v>6260</v>
      </c>
      <c r="E73" s="1348"/>
      <c r="F73" s="1355"/>
      <c r="G73" s="464"/>
      <c r="H73" s="1350"/>
      <c r="I73" s="1334"/>
      <c r="J73" s="1356"/>
      <c r="K73" s="1357"/>
    </row>
    <row r="74" spans="1:12" s="1248" customFormat="1" ht="13.5" customHeight="1">
      <c r="A74" s="1346"/>
      <c r="B74" s="1348"/>
      <c r="C74" s="1348"/>
      <c r="D74" s="1354" t="s">
        <v>6261</v>
      </c>
      <c r="E74" s="1348"/>
      <c r="F74" s="1355"/>
      <c r="G74" s="464"/>
      <c r="H74" s="1350"/>
      <c r="I74" s="1334"/>
      <c r="J74" s="1358"/>
      <c r="K74" s="1301"/>
    </row>
    <row r="75" spans="1:12" s="1248" customFormat="1" ht="13.5" customHeight="1">
      <c r="A75" s="1346"/>
      <c r="B75" s="1348"/>
      <c r="C75" s="1348"/>
      <c r="D75" s="1354" t="s">
        <v>6256</v>
      </c>
      <c r="E75" s="1348"/>
      <c r="F75" s="1355"/>
      <c r="G75" s="464"/>
      <c r="H75" s="1350"/>
      <c r="I75" s="1334"/>
      <c r="J75" s="1358"/>
      <c r="K75" s="1301"/>
    </row>
    <row r="76" spans="1:12" s="918" customFormat="1" ht="67.5" customHeight="1">
      <c r="A76" s="1340"/>
      <c r="B76" s="1341"/>
      <c r="C76" s="1342"/>
      <c r="D76" s="1343" t="s">
        <v>6257</v>
      </c>
      <c r="E76" s="1337"/>
      <c r="F76" s="1344"/>
      <c r="G76" s="1418"/>
      <c r="H76" s="1333"/>
      <c r="I76" s="1345"/>
      <c r="J76" s="1163"/>
      <c r="K76" s="1164"/>
      <c r="L76" s="995"/>
    </row>
    <row r="77" spans="1:12" s="1248" customFormat="1" ht="13.5" customHeight="1">
      <c r="A77" s="1346">
        <v>20</v>
      </c>
      <c r="B77" s="1347" t="s">
        <v>5110</v>
      </c>
      <c r="C77" s="1348" t="s">
        <v>6252</v>
      </c>
      <c r="D77" s="1348" t="s">
        <v>6262</v>
      </c>
      <c r="E77" s="1348" t="s">
        <v>1425</v>
      </c>
      <c r="F77" s="1349">
        <f>ROUND(SUM(F78),3)</f>
        <v>1</v>
      </c>
      <c r="G77" s="464"/>
      <c r="H77" s="1351">
        <f>ROUND(F77*G77,2)</f>
        <v>0</v>
      </c>
      <c r="I77" s="1334" t="s">
        <v>112</v>
      </c>
      <c r="J77" s="1352"/>
      <c r="K77" s="1353"/>
    </row>
    <row r="78" spans="1:12" s="1248" customFormat="1" ht="13.5" customHeight="1">
      <c r="A78" s="1346"/>
      <c r="B78" s="1348"/>
      <c r="C78" s="1348"/>
      <c r="D78" s="1354" t="s">
        <v>6263</v>
      </c>
      <c r="E78" s="1348"/>
      <c r="F78" s="1355">
        <v>1</v>
      </c>
      <c r="G78" s="464"/>
      <c r="H78" s="1350"/>
      <c r="I78" s="1334"/>
      <c r="J78" s="1352"/>
      <c r="K78" s="1353"/>
    </row>
    <row r="79" spans="1:12" s="1248" customFormat="1" ht="13.5" customHeight="1">
      <c r="A79" s="1346"/>
      <c r="B79" s="1348"/>
      <c r="C79" s="1348"/>
      <c r="D79" s="1354" t="s">
        <v>6264</v>
      </c>
      <c r="E79" s="1348"/>
      <c r="F79" s="1355"/>
      <c r="G79" s="464"/>
      <c r="H79" s="1350"/>
      <c r="I79" s="1334"/>
      <c r="J79" s="1356"/>
      <c r="K79" s="1357"/>
    </row>
    <row r="80" spans="1:12" s="1248" customFormat="1" ht="13.5" customHeight="1">
      <c r="A80" s="1346"/>
      <c r="B80" s="1348"/>
      <c r="C80" s="1348"/>
      <c r="D80" s="1354" t="s">
        <v>6265</v>
      </c>
      <c r="E80" s="1348"/>
      <c r="F80" s="1355"/>
      <c r="G80" s="464"/>
      <c r="H80" s="1350"/>
      <c r="I80" s="1334"/>
      <c r="J80" s="1358"/>
      <c r="K80" s="1301"/>
    </row>
    <row r="81" spans="1:23" s="1248" customFormat="1" ht="13.5" customHeight="1">
      <c r="A81" s="1346"/>
      <c r="B81" s="1348"/>
      <c r="C81" s="1348"/>
      <c r="D81" s="1354" t="s">
        <v>6256</v>
      </c>
      <c r="E81" s="1348"/>
      <c r="F81" s="1355"/>
      <c r="G81" s="464"/>
      <c r="H81" s="1350"/>
      <c r="I81" s="1334"/>
      <c r="J81" s="1358"/>
      <c r="K81" s="1301"/>
    </row>
    <row r="82" spans="1:23" s="918" customFormat="1" ht="67.5" customHeight="1">
      <c r="A82" s="1340"/>
      <c r="B82" s="1341"/>
      <c r="C82" s="1342"/>
      <c r="D82" s="1343" t="s">
        <v>6257</v>
      </c>
      <c r="E82" s="1337"/>
      <c r="F82" s="1344"/>
      <c r="G82" s="1418"/>
      <c r="H82" s="1333"/>
      <c r="I82" s="1345"/>
      <c r="J82" s="1163"/>
      <c r="K82" s="1164"/>
      <c r="L82" s="995"/>
    </row>
    <row r="83" spans="1:23" s="1365" customFormat="1" ht="13.5" customHeight="1">
      <c r="A83" s="1359"/>
      <c r="B83" s="1359"/>
      <c r="C83" s="1360" t="s">
        <v>356</v>
      </c>
      <c r="D83" s="1360" t="s">
        <v>357</v>
      </c>
      <c r="E83" s="1360"/>
      <c r="F83" s="1361"/>
      <c r="G83" s="465"/>
      <c r="H83" s="1362">
        <f>SUM(H84:H86)</f>
        <v>0</v>
      </c>
      <c r="I83" s="1363"/>
      <c r="J83" s="1364"/>
      <c r="M83" s="1248"/>
      <c r="O83" s="1366"/>
    </row>
    <row r="84" spans="1:23" s="1371" customFormat="1" ht="13.5" customHeight="1">
      <c r="A84" s="172">
        <v>21</v>
      </c>
      <c r="B84" s="1367" t="s">
        <v>5110</v>
      </c>
      <c r="C84" s="173">
        <v>998232110</v>
      </c>
      <c r="D84" s="173" t="s">
        <v>6266</v>
      </c>
      <c r="E84" s="173" t="s">
        <v>175</v>
      </c>
      <c r="F84" s="174">
        <v>1.8129999999999999</v>
      </c>
      <c r="G84" s="1419"/>
      <c r="H84" s="1351">
        <f>ROUND(F84*G84,2)</f>
        <v>0</v>
      </c>
      <c r="I84" s="1368" t="s">
        <v>137</v>
      </c>
      <c r="J84" s="1369"/>
      <c r="K84" s="1370"/>
      <c r="M84" s="1372"/>
      <c r="N84" s="1373"/>
      <c r="O84" s="1374"/>
      <c r="P84" s="1375"/>
      <c r="Q84" s="1376"/>
      <c r="R84" s="1372"/>
      <c r="S84" s="1377"/>
      <c r="U84" s="1378"/>
      <c r="W84" s="1378"/>
    </row>
    <row r="85" spans="1:23" s="1371" customFormat="1" ht="13.5" customHeight="1">
      <c r="A85" s="172">
        <v>22</v>
      </c>
      <c r="B85" s="173" t="s">
        <v>362</v>
      </c>
      <c r="C85" s="173" t="s">
        <v>2424</v>
      </c>
      <c r="D85" s="173" t="s">
        <v>2425</v>
      </c>
      <c r="E85" s="173" t="s">
        <v>69</v>
      </c>
      <c r="F85" s="1349">
        <f>ROUND(SUM(F86),3)</f>
        <v>10</v>
      </c>
      <c r="G85" s="1419"/>
      <c r="H85" s="1351">
        <f>ROUND(F85*G85,2)</f>
        <v>0</v>
      </c>
      <c r="I85" s="1368" t="s">
        <v>137</v>
      </c>
      <c r="J85" s="1379"/>
      <c r="K85" s="1380"/>
      <c r="L85" s="1379"/>
      <c r="M85" s="1379"/>
      <c r="N85" s="1374"/>
      <c r="R85" s="1375"/>
      <c r="S85" s="1377"/>
      <c r="U85" s="1378"/>
      <c r="W85" s="1378"/>
    </row>
    <row r="86" spans="1:23" s="1371" customFormat="1" ht="27" customHeight="1">
      <c r="A86" s="172"/>
      <c r="B86" s="173"/>
      <c r="C86" s="1381"/>
      <c r="D86" s="1382" t="s">
        <v>365</v>
      </c>
      <c r="E86" s="1381"/>
      <c r="F86" s="1383">
        <v>10</v>
      </c>
      <c r="G86" s="1420"/>
      <c r="H86" s="1384"/>
      <c r="I86" s="1385"/>
      <c r="U86" s="1378"/>
      <c r="W86" s="1378"/>
    </row>
    <row r="87" spans="1:23" ht="21" customHeight="1">
      <c r="A87" s="1386"/>
      <c r="B87" s="1387"/>
      <c r="C87" s="1387"/>
      <c r="D87" s="1387" t="s">
        <v>0</v>
      </c>
      <c r="E87" s="1387"/>
      <c r="F87" s="1388"/>
      <c r="G87" s="1389"/>
      <c r="H87" s="1389">
        <f>SUM(H8)</f>
        <v>0</v>
      </c>
      <c r="I87" s="1390"/>
    </row>
    <row r="88" spans="1:23">
      <c r="A88" s="1391"/>
      <c r="B88" s="1391"/>
      <c r="C88" s="1392"/>
      <c r="D88" s="1392"/>
      <c r="E88" s="1393"/>
      <c r="F88" s="1394"/>
      <c r="G88" s="1395"/>
      <c r="H88" s="1395"/>
      <c r="I88" s="1396"/>
    </row>
    <row r="89" spans="1:23" ht="13.5" customHeight="1">
      <c r="A89" s="5261" t="s">
        <v>862</v>
      </c>
      <c r="B89" s="5262"/>
      <c r="C89" s="5263"/>
      <c r="D89" s="1397" t="s">
        <v>6269</v>
      </c>
      <c r="E89" s="1398"/>
      <c r="F89" s="1399"/>
      <c r="G89" s="1400"/>
      <c r="H89" s="1401">
        <f>H87</f>
        <v>0</v>
      </c>
      <c r="I89" s="1402"/>
    </row>
    <row r="90" spans="1:23" ht="13.5" customHeight="1">
      <c r="A90" s="1403"/>
      <c r="B90" s="1404"/>
      <c r="C90" s="1404"/>
      <c r="D90" s="1405"/>
      <c r="E90" s="1406"/>
      <c r="F90" s="1407"/>
      <c r="G90" s="1408"/>
      <c r="H90" s="1409"/>
      <c r="I90" s="1390"/>
    </row>
    <row r="91" spans="1:23" ht="13.5" customHeight="1">
      <c r="A91" s="1201" t="s">
        <v>1</v>
      </c>
      <c r="B91" s="1201"/>
      <c r="C91" s="1201"/>
      <c r="D91" s="1201"/>
      <c r="E91" s="1201"/>
      <c r="F91" s="1410"/>
      <c r="G91" s="1201"/>
      <c r="H91" s="1201"/>
      <c r="I91" s="1201"/>
    </row>
    <row r="92" spans="1:23" ht="27" customHeight="1">
      <c r="A92" s="5258" t="s">
        <v>864</v>
      </c>
      <c r="B92" s="5258"/>
      <c r="C92" s="5258"/>
      <c r="D92" s="5258"/>
      <c r="E92" s="5258"/>
      <c r="F92" s="5258"/>
      <c r="G92" s="5258"/>
      <c r="H92" s="1201"/>
      <c r="I92" s="1390"/>
    </row>
    <row r="93" spans="1:23" ht="93.75" customHeight="1">
      <c r="A93" s="5258" t="s">
        <v>104</v>
      </c>
      <c r="B93" s="5258"/>
      <c r="C93" s="5258"/>
      <c r="D93" s="5258"/>
      <c r="E93" s="5258"/>
      <c r="F93" s="5258"/>
      <c r="G93" s="5258"/>
      <c r="H93" s="1201"/>
      <c r="I93" s="1201"/>
    </row>
    <row r="94" spans="1:23" ht="13.5" customHeight="1">
      <c r="A94" s="5258" t="s">
        <v>105</v>
      </c>
      <c r="B94" s="5258"/>
      <c r="C94" s="5258"/>
      <c r="D94" s="5258"/>
      <c r="E94" s="5258"/>
      <c r="F94" s="5258"/>
      <c r="G94" s="5258"/>
      <c r="H94" s="1202"/>
      <c r="I94" s="1202"/>
    </row>
    <row r="95" spans="1:23" ht="13.5" customHeight="1">
      <c r="A95" s="5258" t="s">
        <v>106</v>
      </c>
      <c r="B95" s="5258"/>
      <c r="C95" s="5258"/>
      <c r="D95" s="5258"/>
      <c r="E95" s="5258"/>
      <c r="F95" s="5258"/>
      <c r="G95" s="5258"/>
      <c r="H95" s="1202"/>
      <c r="I95" s="1202"/>
    </row>
    <row r="96" spans="1:23" s="466" customFormat="1" ht="40.5" customHeight="1">
      <c r="A96" s="5156" t="s">
        <v>865</v>
      </c>
      <c r="B96" s="5156"/>
      <c r="C96" s="5156"/>
      <c r="D96" s="5156"/>
      <c r="E96" s="5156"/>
      <c r="F96" s="5156"/>
      <c r="G96" s="5156"/>
      <c r="I96" s="467"/>
    </row>
    <row r="97" spans="1:9" s="1411" customFormat="1" ht="40.5" customHeight="1">
      <c r="A97" s="5156" t="s">
        <v>865</v>
      </c>
      <c r="B97" s="5156"/>
      <c r="C97" s="5156"/>
      <c r="D97" s="5156"/>
      <c r="E97" s="5156"/>
      <c r="F97" s="5156"/>
      <c r="G97" s="5156"/>
      <c r="I97" s="1248"/>
    </row>
    <row r="98" spans="1:9" s="695" customFormat="1" ht="94.5" customHeight="1">
      <c r="A98" s="5156" t="s">
        <v>1013</v>
      </c>
      <c r="B98" s="5156"/>
      <c r="C98" s="5156"/>
      <c r="D98" s="5156"/>
      <c r="E98" s="5156"/>
      <c r="F98" s="5156"/>
      <c r="G98" s="5156"/>
      <c r="H98" s="693"/>
      <c r="I98" s="694"/>
    </row>
  </sheetData>
  <sheetProtection algorithmName="SHA-512" hashValue="u/NkL9JWZMrWu5q50ej36cHdE/fmEQoJT0/R9lOdUa2DEQlWRfTJbxqNWX7KrKV7KN5BgpN6B1K/wnccrLcO+w==" saltValue="QGo8AX/58Jf4EZEeqrKoog==" spinCount="100000" sheet="1" objects="1" scenarios="1"/>
  <mergeCells count="11">
    <mergeCell ref="A94:G94"/>
    <mergeCell ref="A95:G95"/>
    <mergeCell ref="A96:G96"/>
    <mergeCell ref="A97:G97"/>
    <mergeCell ref="A98:G98"/>
    <mergeCell ref="A93:G93"/>
    <mergeCell ref="A2:I2"/>
    <mergeCell ref="A3:D3"/>
    <mergeCell ref="J3:N4"/>
    <mergeCell ref="A89:C89"/>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266F-2DDD-4324-8218-4C6B161447B5}">
  <sheetPr>
    <tabColor rgb="FFFF00FF"/>
    <pageSetUpPr fitToPage="1"/>
  </sheetPr>
  <dimension ref="A1:IV213"/>
  <sheetViews>
    <sheetView zoomScaleNormal="100" workbookViewId="0"/>
  </sheetViews>
  <sheetFormatPr defaultRowHeight="15"/>
  <cols>
    <col min="1" max="1" width="4.83203125" style="890" customWidth="1"/>
    <col min="2" max="2" width="5" style="890" customWidth="1"/>
    <col min="3" max="3" width="16.83203125" style="890" customWidth="1"/>
    <col min="4" max="4" width="75.83203125" style="890" customWidth="1"/>
    <col min="5" max="5" width="7.83203125" style="890" customWidth="1"/>
    <col min="6" max="6" width="11.83203125" style="890" customWidth="1"/>
    <col min="7" max="7" width="13.6640625" style="890" customWidth="1"/>
    <col min="8" max="8" width="18.33203125" style="890" customWidth="1"/>
    <col min="9" max="9" width="20.1640625" style="890" customWidth="1"/>
    <col min="10" max="10" width="13.33203125" style="890" customWidth="1"/>
    <col min="11" max="16384" width="9.33203125" style="890"/>
  </cols>
  <sheetData>
    <row r="1" spans="1:21" ht="18">
      <c r="A1" s="1" t="s">
        <v>2760</v>
      </c>
      <c r="B1" s="103"/>
      <c r="C1" s="103"/>
      <c r="D1" s="104"/>
      <c r="E1" s="104"/>
      <c r="F1" s="104"/>
      <c r="G1" s="104"/>
      <c r="H1" s="104"/>
      <c r="I1" s="104"/>
    </row>
    <row r="2" spans="1:21" ht="13.5" customHeight="1">
      <c r="A2" s="5264" t="s">
        <v>1639</v>
      </c>
      <c r="B2" s="5265"/>
      <c r="C2" s="5265"/>
      <c r="D2" s="5265"/>
      <c r="E2" s="5265"/>
      <c r="F2" s="5265"/>
      <c r="G2" s="5265"/>
      <c r="H2" s="5265"/>
      <c r="I2" s="5265"/>
      <c r="J2" s="891"/>
      <c r="S2" s="892"/>
      <c r="T2" s="893"/>
      <c r="U2" s="892"/>
    </row>
    <row r="3" spans="1:21" s="543" customFormat="1" ht="13.5" customHeight="1">
      <c r="A3" s="5264" t="s">
        <v>1640</v>
      </c>
      <c r="B3" s="5266"/>
      <c r="C3" s="5266"/>
      <c r="D3" s="5266"/>
      <c r="J3" s="894"/>
      <c r="S3" s="895"/>
      <c r="T3" s="895"/>
      <c r="U3" s="895"/>
    </row>
    <row r="4" spans="1:21">
      <c r="A4" s="896"/>
      <c r="B4" s="896"/>
      <c r="C4" s="896"/>
      <c r="D4" s="897"/>
      <c r="E4" s="898"/>
      <c r="F4" s="896"/>
      <c r="G4" s="896"/>
      <c r="H4" s="896"/>
      <c r="I4" s="899"/>
      <c r="S4" s="893"/>
      <c r="T4" s="893"/>
      <c r="U4" s="893"/>
    </row>
    <row r="5" spans="1:21" ht="22.5">
      <c r="A5" s="900" t="s">
        <v>118</v>
      </c>
      <c r="B5" s="900" t="s">
        <v>119</v>
      </c>
      <c r="C5" s="900" t="s">
        <v>120</v>
      </c>
      <c r="D5" s="900" t="s">
        <v>121</v>
      </c>
      <c r="E5" s="900" t="s">
        <v>122</v>
      </c>
      <c r="F5" s="900" t="s">
        <v>123</v>
      </c>
      <c r="G5" s="900" t="s">
        <v>124</v>
      </c>
      <c r="H5" s="901" t="s">
        <v>2</v>
      </c>
      <c r="I5" s="902" t="s">
        <v>46</v>
      </c>
      <c r="S5" s="893"/>
      <c r="T5" s="893"/>
      <c r="U5" s="893"/>
    </row>
    <row r="6" spans="1:21">
      <c r="A6" s="900" t="s">
        <v>125</v>
      </c>
      <c r="B6" s="900" t="s">
        <v>126</v>
      </c>
      <c r="C6" s="900">
        <v>3</v>
      </c>
      <c r="D6" s="900">
        <v>4</v>
      </c>
      <c r="E6" s="900">
        <v>5</v>
      </c>
      <c r="F6" s="900">
        <v>6</v>
      </c>
      <c r="G6" s="900">
        <v>7</v>
      </c>
      <c r="H6" s="901">
        <v>8</v>
      </c>
      <c r="I6" s="902">
        <v>9</v>
      </c>
      <c r="S6" s="893"/>
      <c r="T6" s="893"/>
      <c r="U6" s="893"/>
    </row>
    <row r="7" spans="1:21" ht="21" customHeight="1">
      <c r="A7" s="903"/>
      <c r="B7" s="903"/>
      <c r="C7" s="904" t="s">
        <v>132</v>
      </c>
      <c r="D7" s="904" t="s">
        <v>133</v>
      </c>
      <c r="E7" s="905"/>
      <c r="F7" s="906"/>
      <c r="G7" s="907"/>
      <c r="H7" s="907">
        <f>H8+H80+H91+H154+H198</f>
        <v>0</v>
      </c>
      <c r="I7" s="908"/>
      <c r="S7" s="893"/>
      <c r="T7" s="893"/>
      <c r="U7" s="893"/>
    </row>
    <row r="8" spans="1:21" s="911" customFormat="1" ht="13.5" customHeight="1">
      <c r="A8" s="608"/>
      <c r="B8" s="608"/>
      <c r="C8" s="616" t="s">
        <v>125</v>
      </c>
      <c r="D8" s="616" t="s">
        <v>134</v>
      </c>
      <c r="E8" s="616"/>
      <c r="F8" s="909"/>
      <c r="G8" s="828"/>
      <c r="H8" s="828">
        <f>SUM(H9:H70)</f>
        <v>0</v>
      </c>
      <c r="I8" s="619"/>
      <c r="J8" s="910"/>
      <c r="S8" s="912"/>
      <c r="T8" s="912"/>
      <c r="U8" s="912"/>
    </row>
    <row r="9" spans="1:21" s="918" customFormat="1" ht="13.5" customHeight="1">
      <c r="A9" s="913">
        <v>1</v>
      </c>
      <c r="B9" s="393">
        <v>221</v>
      </c>
      <c r="C9" s="393">
        <v>113106121</v>
      </c>
      <c r="D9" s="393" t="s">
        <v>5459</v>
      </c>
      <c r="E9" s="393" t="s">
        <v>163</v>
      </c>
      <c r="F9" s="914">
        <f>SUM(F11:F11)</f>
        <v>58.14</v>
      </c>
      <c r="G9" s="1206"/>
      <c r="H9" s="915">
        <f>F9*G9</f>
        <v>0</v>
      </c>
      <c r="I9" s="744" t="s">
        <v>137</v>
      </c>
      <c r="J9" s="916"/>
      <c r="K9" s="917"/>
    </row>
    <row r="10" spans="1:21" s="918" customFormat="1" ht="13.5" customHeight="1">
      <c r="A10" s="913"/>
      <c r="B10" s="393"/>
      <c r="C10" s="393"/>
      <c r="D10" s="919" t="s">
        <v>5460</v>
      </c>
      <c r="E10" s="393"/>
      <c r="F10" s="914"/>
      <c r="G10" s="1206"/>
      <c r="H10" s="915"/>
      <c r="I10" s="744"/>
      <c r="J10" s="916"/>
      <c r="K10" s="917"/>
    </row>
    <row r="11" spans="1:21" s="918" customFormat="1" ht="13.5" customHeight="1">
      <c r="A11" s="920"/>
      <c r="B11" s="921"/>
      <c r="C11" s="919"/>
      <c r="D11" s="919" t="s">
        <v>5461</v>
      </c>
      <c r="E11" s="919"/>
      <c r="F11" s="922">
        <v>58.14</v>
      </c>
      <c r="G11" s="1207"/>
      <c r="H11" s="923"/>
      <c r="I11" s="924"/>
      <c r="J11" s="916"/>
    </row>
    <row r="12" spans="1:21" s="918" customFormat="1" ht="13.5" customHeight="1">
      <c r="A12" s="913">
        <v>2</v>
      </c>
      <c r="B12" s="393">
        <v>221</v>
      </c>
      <c r="C12" s="393">
        <v>113106123</v>
      </c>
      <c r="D12" s="393" t="s">
        <v>5462</v>
      </c>
      <c r="E12" s="393" t="s">
        <v>163</v>
      </c>
      <c r="F12" s="914">
        <f>SUM(F13:F14)</f>
        <v>136.91999999999999</v>
      </c>
      <c r="G12" s="1206"/>
      <c r="H12" s="915">
        <f>F12*G12</f>
        <v>0</v>
      </c>
      <c r="I12" s="744" t="s">
        <v>137</v>
      </c>
      <c r="J12" s="916"/>
      <c r="K12" s="917"/>
    </row>
    <row r="13" spans="1:21" s="918" customFormat="1" ht="13.5" customHeight="1">
      <c r="A13" s="913"/>
      <c r="B13" s="393"/>
      <c r="C13" s="393"/>
      <c r="D13" s="919" t="s">
        <v>5463</v>
      </c>
      <c r="E13" s="393"/>
      <c r="F13" s="914"/>
      <c r="G13" s="1206"/>
      <c r="H13" s="915"/>
      <c r="I13" s="744"/>
      <c r="J13" s="916"/>
      <c r="K13" s="917"/>
    </row>
    <row r="14" spans="1:21" s="918" customFormat="1" ht="13.5" customHeight="1">
      <c r="A14" s="925"/>
      <c r="B14" s="926"/>
      <c r="C14" s="926"/>
      <c r="D14" s="919" t="s">
        <v>5464</v>
      </c>
      <c r="E14" s="926"/>
      <c r="F14" s="922">
        <f>34.54+102.38</f>
        <v>136.91999999999999</v>
      </c>
      <c r="G14" s="1208"/>
      <c r="H14" s="927"/>
      <c r="I14" s="928"/>
      <c r="J14" s="916"/>
      <c r="K14" s="917"/>
    </row>
    <row r="15" spans="1:21" s="934" customFormat="1" ht="13.5" customHeight="1">
      <c r="A15" s="929">
        <v>3</v>
      </c>
      <c r="B15" s="930">
        <v>221</v>
      </c>
      <c r="C15" s="930">
        <v>113107121</v>
      </c>
      <c r="D15" s="930" t="s">
        <v>5465</v>
      </c>
      <c r="E15" s="930" t="s">
        <v>163</v>
      </c>
      <c r="F15" s="931">
        <f>SUM(F16:F20)</f>
        <v>195.05999999999997</v>
      </c>
      <c r="G15" s="379"/>
      <c r="H15" s="932">
        <f>F15*G15</f>
        <v>0</v>
      </c>
      <c r="I15" s="744" t="s">
        <v>137</v>
      </c>
      <c r="J15" s="933"/>
      <c r="M15" s="935"/>
      <c r="N15" s="936"/>
      <c r="O15" s="937"/>
      <c r="P15" s="935"/>
      <c r="Q15" s="935"/>
      <c r="R15" s="938"/>
      <c r="S15" s="939"/>
    </row>
    <row r="16" spans="1:21" s="918" customFormat="1" ht="13.5" customHeight="1">
      <c r="A16" s="929"/>
      <c r="B16" s="930"/>
      <c r="C16" s="930"/>
      <c r="D16" s="940" t="s">
        <v>5466</v>
      </c>
      <c r="E16" s="919"/>
      <c r="F16" s="922"/>
      <c r="G16" s="1207"/>
      <c r="H16" s="923"/>
      <c r="I16" s="924"/>
      <c r="J16" s="916"/>
    </row>
    <row r="17" spans="1:256" s="918" customFormat="1" ht="13.5" customHeight="1">
      <c r="A17" s="929"/>
      <c r="B17" s="930"/>
      <c r="C17" s="930"/>
      <c r="D17" s="919" t="s">
        <v>5467</v>
      </c>
      <c r="E17" s="919"/>
      <c r="F17" s="922">
        <v>102.38</v>
      </c>
      <c r="G17" s="1207"/>
      <c r="H17" s="923"/>
      <c r="I17" s="924"/>
      <c r="J17" s="916"/>
    </row>
    <row r="18" spans="1:256" s="918" customFormat="1" ht="13.5" customHeight="1">
      <c r="A18" s="929"/>
      <c r="B18" s="930"/>
      <c r="C18" s="930"/>
      <c r="D18" s="919" t="s">
        <v>5468</v>
      </c>
      <c r="E18" s="919"/>
      <c r="F18" s="922">
        <v>58.14</v>
      </c>
      <c r="G18" s="1207"/>
      <c r="H18" s="923"/>
      <c r="I18" s="924"/>
      <c r="J18" s="916"/>
    </row>
    <row r="19" spans="1:256" s="934" customFormat="1" ht="13.5" customHeight="1">
      <c r="A19" s="929"/>
      <c r="B19" s="930"/>
      <c r="C19" s="930"/>
      <c r="D19" s="940" t="s">
        <v>5469</v>
      </c>
      <c r="E19" s="930"/>
      <c r="F19" s="931"/>
      <c r="G19" s="379"/>
      <c r="H19" s="932"/>
      <c r="I19" s="941"/>
      <c r="J19" s="933"/>
    </row>
    <row r="20" spans="1:256" s="918" customFormat="1" ht="13.5" customHeight="1">
      <c r="A20" s="929"/>
      <c r="B20" s="930"/>
      <c r="C20" s="930"/>
      <c r="D20" s="919" t="s">
        <v>5470</v>
      </c>
      <c r="E20" s="919"/>
      <c r="F20" s="922">
        <v>34.54</v>
      </c>
      <c r="G20" s="1207"/>
      <c r="H20" s="923"/>
      <c r="I20" s="924"/>
      <c r="J20" s="916"/>
    </row>
    <row r="21" spans="1:256" s="934" customFormat="1" ht="13.5" customHeight="1">
      <c r="A21" s="929">
        <v>4</v>
      </c>
      <c r="B21" s="930">
        <v>221</v>
      </c>
      <c r="C21" s="930">
        <v>113107122</v>
      </c>
      <c r="D21" s="930" t="s">
        <v>5471</v>
      </c>
      <c r="E21" s="930" t="s">
        <v>163</v>
      </c>
      <c r="F21" s="931">
        <f>SUM(F22:F24)</f>
        <v>160.51999999999998</v>
      </c>
      <c r="G21" s="379"/>
      <c r="H21" s="932">
        <f>F21*G21</f>
        <v>0</v>
      </c>
      <c r="I21" s="744" t="s">
        <v>137</v>
      </c>
      <c r="J21" s="933"/>
      <c r="M21" s="935"/>
      <c r="N21" s="936"/>
      <c r="O21" s="937"/>
      <c r="P21" s="935"/>
      <c r="Q21" s="935"/>
      <c r="R21" s="938"/>
      <c r="S21" s="939"/>
    </row>
    <row r="22" spans="1:256" s="918" customFormat="1" ht="13.5" customHeight="1">
      <c r="A22" s="929"/>
      <c r="B22" s="930"/>
      <c r="C22" s="930"/>
      <c r="D22" s="940" t="s">
        <v>5472</v>
      </c>
      <c r="E22" s="919"/>
      <c r="F22" s="922"/>
      <c r="G22" s="1207"/>
      <c r="H22" s="923"/>
      <c r="I22" s="924"/>
      <c r="J22" s="916"/>
    </row>
    <row r="23" spans="1:256" s="918" customFormat="1" ht="13.5" customHeight="1">
      <c r="A23" s="929"/>
      <c r="B23" s="930"/>
      <c r="C23" s="930"/>
      <c r="D23" s="919" t="s">
        <v>5467</v>
      </c>
      <c r="E23" s="919"/>
      <c r="F23" s="922">
        <v>102.38</v>
      </c>
      <c r="G23" s="1207"/>
      <c r="H23" s="923"/>
      <c r="I23" s="924"/>
      <c r="J23" s="916"/>
    </row>
    <row r="24" spans="1:256" s="918" customFormat="1" ht="13.5" customHeight="1">
      <c r="A24" s="929"/>
      <c r="B24" s="930"/>
      <c r="C24" s="930"/>
      <c r="D24" s="919" t="s">
        <v>5468</v>
      </c>
      <c r="E24" s="919"/>
      <c r="F24" s="922">
        <v>58.14</v>
      </c>
      <c r="G24" s="1207"/>
      <c r="H24" s="923"/>
      <c r="I24" s="924"/>
      <c r="J24" s="916"/>
    </row>
    <row r="25" spans="1:256" s="934" customFormat="1" ht="13.5" customHeight="1">
      <c r="A25" s="942">
        <v>5</v>
      </c>
      <c r="B25" s="943">
        <v>221</v>
      </c>
      <c r="C25" s="943">
        <v>113107123</v>
      </c>
      <c r="D25" s="943" t="s">
        <v>5473</v>
      </c>
      <c r="E25" s="943" t="s">
        <v>163</v>
      </c>
      <c r="F25" s="944">
        <f>SUM(F26:F27)</f>
        <v>34.54</v>
      </c>
      <c r="G25" s="1209"/>
      <c r="H25" s="945">
        <f>F25*G25</f>
        <v>0</v>
      </c>
      <c r="I25" s="744" t="s">
        <v>137</v>
      </c>
      <c r="J25" s="946"/>
      <c r="K25" s="947"/>
      <c r="L25" s="948"/>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7"/>
      <c r="ES25" s="467"/>
      <c r="ET25" s="467"/>
      <c r="EU25" s="467"/>
      <c r="EV25" s="467"/>
      <c r="EW25" s="467"/>
      <c r="EX25" s="467"/>
      <c r="EY25" s="467"/>
      <c r="EZ25" s="467"/>
      <c r="FA25" s="467"/>
      <c r="FB25" s="467"/>
      <c r="FC25" s="467"/>
      <c r="FD25" s="467"/>
      <c r="FE25" s="467"/>
      <c r="FF25" s="467"/>
      <c r="FG25" s="467"/>
      <c r="FH25" s="467"/>
      <c r="FI25" s="467"/>
      <c r="FJ25" s="467"/>
      <c r="FK25" s="467"/>
      <c r="FL25" s="467"/>
      <c r="FM25" s="467"/>
      <c r="FN25" s="467"/>
      <c r="FO25" s="467"/>
      <c r="FP25" s="467"/>
      <c r="FQ25" s="467"/>
      <c r="FR25" s="467"/>
      <c r="FS25" s="467"/>
      <c r="FT25" s="467"/>
      <c r="FU25" s="467"/>
      <c r="FV25" s="467"/>
      <c r="FW25" s="467"/>
      <c r="FX25" s="467"/>
      <c r="FY25" s="467"/>
      <c r="FZ25" s="467"/>
      <c r="GA25" s="467"/>
      <c r="GB25" s="467"/>
      <c r="GC25" s="467"/>
      <c r="GD25" s="467"/>
      <c r="GE25" s="467"/>
      <c r="GF25" s="467"/>
      <c r="GG25" s="467"/>
      <c r="GH25" s="467"/>
      <c r="GI25" s="467"/>
      <c r="GJ25" s="467"/>
      <c r="GK25" s="467"/>
      <c r="GL25" s="467"/>
      <c r="GM25" s="467"/>
      <c r="GN25" s="467"/>
      <c r="GO25" s="467"/>
      <c r="GP25" s="467"/>
      <c r="GQ25" s="467"/>
      <c r="GR25" s="467"/>
      <c r="GS25" s="467"/>
      <c r="GT25" s="467"/>
      <c r="GU25" s="467"/>
      <c r="GV25" s="467"/>
      <c r="GW25" s="467"/>
      <c r="GX25" s="467"/>
      <c r="GY25" s="467"/>
      <c r="GZ25" s="467"/>
      <c r="HA25" s="467"/>
      <c r="HB25" s="467"/>
      <c r="HC25" s="467"/>
      <c r="HD25" s="467"/>
      <c r="HE25" s="467"/>
      <c r="HF25" s="467"/>
      <c r="HG25" s="467"/>
      <c r="HH25" s="467"/>
      <c r="HI25" s="467"/>
      <c r="HJ25" s="467"/>
      <c r="HK25" s="467"/>
      <c r="HL25" s="467"/>
      <c r="HM25" s="467"/>
      <c r="HN25" s="467"/>
      <c r="HO25" s="467"/>
      <c r="HP25" s="467"/>
      <c r="HQ25" s="467"/>
      <c r="HR25" s="467"/>
      <c r="HS25" s="467"/>
      <c r="HT25" s="467"/>
      <c r="HU25" s="467"/>
      <c r="HV25" s="467"/>
      <c r="HW25" s="467"/>
      <c r="HX25" s="467"/>
      <c r="HY25" s="467"/>
      <c r="HZ25" s="467"/>
      <c r="IA25" s="467"/>
      <c r="IB25" s="467"/>
      <c r="IC25" s="467"/>
      <c r="ID25" s="467"/>
      <c r="IE25" s="467"/>
      <c r="IF25" s="467"/>
      <c r="IG25" s="467"/>
      <c r="IH25" s="467"/>
      <c r="II25" s="467"/>
      <c r="IJ25" s="467"/>
      <c r="IK25" s="467"/>
      <c r="IL25" s="467"/>
      <c r="IM25" s="467"/>
      <c r="IN25" s="467"/>
      <c r="IO25" s="467"/>
      <c r="IP25" s="467"/>
      <c r="IQ25" s="467"/>
      <c r="IR25" s="467"/>
      <c r="IS25" s="467"/>
      <c r="IT25" s="467"/>
      <c r="IU25" s="467"/>
      <c r="IV25" s="467"/>
    </row>
    <row r="26" spans="1:256" s="934" customFormat="1" ht="13.5" customHeight="1">
      <c r="A26" s="929"/>
      <c r="B26" s="930"/>
      <c r="C26" s="930"/>
      <c r="D26" s="940" t="s">
        <v>5474</v>
      </c>
      <c r="E26" s="930"/>
      <c r="F26" s="931"/>
      <c r="G26" s="380"/>
      <c r="H26" s="949"/>
      <c r="I26" s="941"/>
      <c r="J26" s="946"/>
      <c r="L26" s="948"/>
    </row>
    <row r="27" spans="1:256" s="934" customFormat="1" ht="13.5" customHeight="1">
      <c r="A27" s="929"/>
      <c r="B27" s="930"/>
      <c r="C27" s="930"/>
      <c r="D27" s="919" t="s">
        <v>5470</v>
      </c>
      <c r="E27" s="919"/>
      <c r="F27" s="922">
        <v>34.54</v>
      </c>
      <c r="G27" s="380"/>
      <c r="H27" s="949"/>
      <c r="I27" s="941"/>
      <c r="J27" s="950"/>
    </row>
    <row r="28" spans="1:256" s="934" customFormat="1" ht="13.5" customHeight="1">
      <c r="A28" s="942">
        <v>6</v>
      </c>
      <c r="B28" s="943">
        <v>221</v>
      </c>
      <c r="C28" s="943">
        <v>113204111</v>
      </c>
      <c r="D28" s="943" t="s">
        <v>5475</v>
      </c>
      <c r="E28" s="943" t="s">
        <v>141</v>
      </c>
      <c r="F28" s="944">
        <f>SUM(F29:F29)</f>
        <v>3.7</v>
      </c>
      <c r="G28" s="1209"/>
      <c r="H28" s="945">
        <f>F28*G28</f>
        <v>0</v>
      </c>
      <c r="I28" s="744" t="s">
        <v>137</v>
      </c>
      <c r="J28" s="946"/>
      <c r="K28" s="94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c r="BY28" s="467"/>
      <c r="BZ28" s="467"/>
      <c r="CA28" s="467"/>
      <c r="CB28" s="467"/>
      <c r="CC28" s="467"/>
      <c r="CD28" s="467"/>
      <c r="CE28" s="467"/>
      <c r="CF28" s="467"/>
      <c r="CG28" s="467"/>
      <c r="CH28" s="467"/>
      <c r="CI28" s="467"/>
      <c r="CJ28" s="467"/>
      <c r="CK28" s="467"/>
      <c r="CL28" s="467"/>
      <c r="CM28" s="467"/>
      <c r="CN28" s="467"/>
      <c r="CO28" s="467"/>
      <c r="CP28" s="467"/>
      <c r="CQ28" s="467"/>
      <c r="CR28" s="467"/>
      <c r="CS28" s="467"/>
      <c r="CT28" s="467"/>
      <c r="CU28" s="467"/>
      <c r="CV28" s="467"/>
      <c r="CW28" s="467"/>
      <c r="CX28" s="467"/>
      <c r="CY28" s="467"/>
      <c r="CZ28" s="467"/>
      <c r="DA28" s="467"/>
      <c r="DB28" s="467"/>
      <c r="DC28" s="467"/>
      <c r="DD28" s="467"/>
      <c r="DE28" s="467"/>
      <c r="DF28" s="467"/>
      <c r="DG28" s="467"/>
      <c r="DH28" s="467"/>
      <c r="DI28" s="467"/>
      <c r="DJ28" s="467"/>
      <c r="DK28" s="467"/>
      <c r="DL28" s="467"/>
      <c r="DM28" s="467"/>
      <c r="DN28" s="467"/>
      <c r="DO28" s="467"/>
      <c r="DP28" s="467"/>
      <c r="DQ28" s="467"/>
      <c r="DR28" s="467"/>
      <c r="DS28" s="467"/>
      <c r="DT28" s="467"/>
      <c r="DU28" s="467"/>
      <c r="DV28" s="467"/>
      <c r="DW28" s="467"/>
      <c r="DX28" s="467"/>
      <c r="DY28" s="467"/>
      <c r="DZ28" s="467"/>
      <c r="EA28" s="467"/>
      <c r="EB28" s="467"/>
      <c r="EC28" s="467"/>
      <c r="ED28" s="467"/>
      <c r="EE28" s="467"/>
      <c r="EF28" s="467"/>
      <c r="EG28" s="467"/>
      <c r="EH28" s="467"/>
      <c r="EI28" s="467"/>
      <c r="EJ28" s="467"/>
      <c r="EK28" s="467"/>
      <c r="EL28" s="467"/>
      <c r="EM28" s="467"/>
      <c r="EN28" s="467"/>
      <c r="EO28" s="467"/>
      <c r="EP28" s="467"/>
      <c r="EQ28" s="467"/>
      <c r="ER28" s="467"/>
      <c r="ES28" s="467"/>
      <c r="ET28" s="467"/>
      <c r="EU28" s="467"/>
      <c r="EV28" s="467"/>
      <c r="EW28" s="467"/>
      <c r="EX28" s="467"/>
      <c r="EY28" s="467"/>
      <c r="EZ28" s="467"/>
      <c r="FA28" s="467"/>
      <c r="FB28" s="467"/>
      <c r="FC28" s="467"/>
      <c r="FD28" s="467"/>
      <c r="FE28" s="467"/>
      <c r="FF28" s="467"/>
      <c r="FG28" s="467"/>
      <c r="FH28" s="467"/>
      <c r="FI28" s="467"/>
      <c r="FJ28" s="467"/>
      <c r="FK28" s="467"/>
      <c r="FL28" s="467"/>
      <c r="FM28" s="467"/>
      <c r="FN28" s="467"/>
      <c r="FO28" s="467"/>
      <c r="FP28" s="467"/>
      <c r="FQ28" s="467"/>
      <c r="FR28" s="467"/>
      <c r="FS28" s="467"/>
      <c r="FT28" s="467"/>
      <c r="FU28" s="467"/>
      <c r="FV28" s="467"/>
      <c r="FW28" s="467"/>
      <c r="FX28" s="467"/>
      <c r="FY28" s="467"/>
      <c r="FZ28" s="467"/>
      <c r="GA28" s="467"/>
      <c r="GB28" s="467"/>
      <c r="GC28" s="467"/>
      <c r="GD28" s="467"/>
      <c r="GE28" s="467"/>
      <c r="GF28" s="467"/>
      <c r="GG28" s="467"/>
      <c r="GH28" s="467"/>
      <c r="GI28" s="467"/>
      <c r="GJ28" s="467"/>
      <c r="GK28" s="467"/>
      <c r="GL28" s="467"/>
      <c r="GM28" s="467"/>
      <c r="GN28" s="467"/>
      <c r="GO28" s="467"/>
      <c r="GP28" s="467"/>
      <c r="GQ28" s="467"/>
      <c r="GR28" s="467"/>
      <c r="GS28" s="467"/>
      <c r="GT28" s="467"/>
      <c r="GU28" s="467"/>
      <c r="GV28" s="467"/>
      <c r="GW28" s="467"/>
      <c r="GX28" s="467"/>
      <c r="GY28" s="467"/>
      <c r="GZ28" s="467"/>
      <c r="HA28" s="467"/>
      <c r="HB28" s="467"/>
      <c r="HC28" s="467"/>
      <c r="HD28" s="467"/>
      <c r="HE28" s="467"/>
      <c r="HF28" s="467"/>
      <c r="HG28" s="467"/>
      <c r="HH28" s="467"/>
      <c r="HI28" s="467"/>
      <c r="HJ28" s="467"/>
      <c r="HK28" s="467"/>
      <c r="HL28" s="467"/>
      <c r="HM28" s="467"/>
      <c r="HN28" s="467"/>
      <c r="HO28" s="467"/>
      <c r="HP28" s="467"/>
      <c r="HQ28" s="467"/>
      <c r="HR28" s="467"/>
      <c r="HS28" s="467"/>
      <c r="HT28" s="467"/>
      <c r="HU28" s="467"/>
      <c r="HV28" s="467"/>
      <c r="HW28" s="467"/>
      <c r="HX28" s="467"/>
      <c r="HY28" s="467"/>
      <c r="HZ28" s="467"/>
      <c r="IA28" s="467"/>
      <c r="IB28" s="467"/>
      <c r="IC28" s="467"/>
      <c r="ID28" s="467"/>
      <c r="IE28" s="467"/>
      <c r="IF28" s="467"/>
      <c r="IG28" s="467"/>
      <c r="IH28" s="467"/>
      <c r="II28" s="467"/>
      <c r="IJ28" s="467"/>
      <c r="IK28" s="467"/>
      <c r="IL28" s="467"/>
      <c r="IM28" s="467"/>
      <c r="IN28" s="467"/>
      <c r="IO28" s="467"/>
      <c r="IP28" s="467"/>
      <c r="IQ28" s="467"/>
      <c r="IR28" s="467"/>
      <c r="IS28" s="467"/>
      <c r="IT28" s="467"/>
      <c r="IU28" s="467"/>
      <c r="IV28" s="467"/>
    </row>
    <row r="29" spans="1:256" s="934" customFormat="1" ht="13.5" customHeight="1">
      <c r="A29" s="920"/>
      <c r="B29" s="921"/>
      <c r="C29" s="919"/>
      <c r="D29" s="919" t="s">
        <v>5476</v>
      </c>
      <c r="E29" s="919"/>
      <c r="F29" s="951">
        <f>3.7</f>
        <v>3.7</v>
      </c>
      <c r="G29" s="1207"/>
      <c r="H29" s="923"/>
      <c r="I29" s="924"/>
      <c r="J29" s="946"/>
      <c r="K29" s="94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467"/>
      <c r="DL29" s="467"/>
      <c r="DM29" s="467"/>
      <c r="DN29" s="467"/>
      <c r="DO29" s="467"/>
      <c r="DP29" s="467"/>
      <c r="DQ29" s="467"/>
      <c r="DR29" s="467"/>
      <c r="DS29" s="467"/>
      <c r="DT29" s="467"/>
      <c r="DU29" s="467"/>
      <c r="DV29" s="467"/>
      <c r="DW29" s="467"/>
      <c r="DX29" s="467"/>
      <c r="DY29" s="467"/>
      <c r="DZ29" s="467"/>
      <c r="EA29" s="467"/>
      <c r="EB29" s="467"/>
      <c r="EC29" s="467"/>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7"/>
      <c r="EZ29" s="467"/>
      <c r="FA29" s="467"/>
      <c r="FB29" s="467"/>
      <c r="FC29" s="467"/>
      <c r="FD29" s="467"/>
      <c r="FE29" s="467"/>
      <c r="FF29" s="467"/>
      <c r="FG29" s="467"/>
      <c r="FH29" s="467"/>
      <c r="FI29" s="467"/>
      <c r="FJ29" s="467"/>
      <c r="FK29" s="467"/>
      <c r="FL29" s="467"/>
      <c r="FM29" s="467"/>
      <c r="FN29" s="467"/>
      <c r="FO29" s="467"/>
      <c r="FP29" s="467"/>
      <c r="FQ29" s="467"/>
      <c r="FR29" s="467"/>
      <c r="FS29" s="467"/>
      <c r="FT29" s="467"/>
      <c r="FU29" s="467"/>
      <c r="FV29" s="467"/>
      <c r="FW29" s="467"/>
      <c r="FX29" s="467"/>
      <c r="FY29" s="467"/>
      <c r="FZ29" s="467"/>
      <c r="GA29" s="467"/>
      <c r="GB29" s="467"/>
      <c r="GC29" s="467"/>
      <c r="GD29" s="467"/>
      <c r="GE29" s="467"/>
      <c r="GF29" s="467"/>
      <c r="GG29" s="467"/>
      <c r="GH29" s="467"/>
      <c r="GI29" s="467"/>
      <c r="GJ29" s="467"/>
      <c r="GK29" s="467"/>
      <c r="GL29" s="467"/>
      <c r="GM29" s="467"/>
      <c r="GN29" s="467"/>
      <c r="GO29" s="467"/>
      <c r="GP29" s="467"/>
      <c r="GQ29" s="467"/>
      <c r="GR29" s="467"/>
      <c r="GS29" s="467"/>
      <c r="GT29" s="467"/>
      <c r="GU29" s="467"/>
      <c r="GV29" s="467"/>
      <c r="GW29" s="467"/>
      <c r="GX29" s="467"/>
      <c r="GY29" s="467"/>
      <c r="GZ29" s="467"/>
      <c r="HA29" s="467"/>
      <c r="HB29" s="467"/>
      <c r="HC29" s="467"/>
      <c r="HD29" s="467"/>
      <c r="HE29" s="467"/>
      <c r="HF29" s="467"/>
      <c r="HG29" s="467"/>
      <c r="HH29" s="467"/>
      <c r="HI29" s="467"/>
      <c r="HJ29" s="467"/>
      <c r="HK29" s="467"/>
      <c r="HL29" s="467"/>
      <c r="HM29" s="467"/>
      <c r="HN29" s="467"/>
      <c r="HO29" s="467"/>
      <c r="HP29" s="467"/>
      <c r="HQ29" s="467"/>
      <c r="HR29" s="467"/>
      <c r="HS29" s="467"/>
      <c r="HT29" s="467"/>
      <c r="HU29" s="467"/>
      <c r="HV29" s="467"/>
      <c r="HW29" s="467"/>
      <c r="HX29" s="467"/>
      <c r="HY29" s="467"/>
      <c r="HZ29" s="467"/>
      <c r="IA29" s="467"/>
      <c r="IB29" s="467"/>
      <c r="IC29" s="467"/>
      <c r="ID29" s="467"/>
      <c r="IE29" s="467"/>
      <c r="IF29" s="467"/>
      <c r="IG29" s="467"/>
      <c r="IH29" s="467"/>
      <c r="II29" s="467"/>
      <c r="IJ29" s="467"/>
      <c r="IK29" s="467"/>
      <c r="IL29" s="467"/>
      <c r="IM29" s="467"/>
      <c r="IN29" s="467"/>
      <c r="IO29" s="467"/>
      <c r="IP29" s="467"/>
      <c r="IQ29" s="467"/>
      <c r="IR29" s="467"/>
      <c r="IS29" s="467"/>
      <c r="IT29" s="467"/>
      <c r="IU29" s="467"/>
      <c r="IV29" s="467"/>
    </row>
    <row r="30" spans="1:256" s="934" customFormat="1" ht="13.5" customHeight="1">
      <c r="A30" s="920"/>
      <c r="B30" s="921"/>
      <c r="C30" s="919"/>
      <c r="D30" s="919" t="s">
        <v>5477</v>
      </c>
      <c r="E30" s="919"/>
      <c r="F30" s="951"/>
      <c r="G30" s="1207"/>
      <c r="H30" s="923"/>
      <c r="I30" s="924"/>
      <c r="J30" s="946"/>
      <c r="K30" s="94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467"/>
      <c r="DV30" s="467"/>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67"/>
      <c r="GD30" s="467"/>
      <c r="GE30" s="467"/>
      <c r="GF30" s="467"/>
      <c r="GG30" s="467"/>
      <c r="GH30" s="467"/>
      <c r="GI30" s="467"/>
      <c r="GJ30" s="467"/>
      <c r="GK30" s="467"/>
      <c r="GL30" s="467"/>
      <c r="GM30" s="467"/>
      <c r="GN30" s="467"/>
      <c r="GO30" s="467"/>
      <c r="GP30" s="467"/>
      <c r="GQ30" s="467"/>
      <c r="GR30" s="467"/>
      <c r="GS30" s="467"/>
      <c r="GT30" s="467"/>
      <c r="GU30" s="467"/>
      <c r="GV30" s="467"/>
      <c r="GW30" s="467"/>
      <c r="GX30" s="467"/>
      <c r="GY30" s="467"/>
      <c r="GZ30" s="467"/>
      <c r="HA30" s="467"/>
      <c r="HB30" s="467"/>
      <c r="HC30" s="467"/>
      <c r="HD30" s="467"/>
      <c r="HE30" s="467"/>
      <c r="HF30" s="467"/>
      <c r="HG30" s="467"/>
      <c r="HH30" s="467"/>
      <c r="HI30" s="467"/>
      <c r="HJ30" s="467"/>
      <c r="HK30" s="467"/>
      <c r="HL30" s="467"/>
      <c r="HM30" s="467"/>
      <c r="HN30" s="467"/>
      <c r="HO30" s="467"/>
      <c r="HP30" s="467"/>
      <c r="HQ30" s="467"/>
      <c r="HR30" s="467"/>
      <c r="HS30" s="467"/>
      <c r="HT30" s="467"/>
      <c r="HU30" s="467"/>
      <c r="HV30" s="467"/>
      <c r="HW30" s="467"/>
      <c r="HX30" s="467"/>
      <c r="HY30" s="467"/>
      <c r="HZ30" s="467"/>
      <c r="IA30" s="467"/>
      <c r="IB30" s="467"/>
      <c r="IC30" s="467"/>
      <c r="ID30" s="467"/>
      <c r="IE30" s="467"/>
      <c r="IF30" s="467"/>
      <c r="IG30" s="467"/>
      <c r="IH30" s="467"/>
      <c r="II30" s="467"/>
      <c r="IJ30" s="467"/>
      <c r="IK30" s="467"/>
      <c r="IL30" s="467"/>
      <c r="IM30" s="467"/>
      <c r="IN30" s="467"/>
      <c r="IO30" s="467"/>
      <c r="IP30" s="467"/>
      <c r="IQ30" s="467"/>
      <c r="IR30" s="467"/>
      <c r="IS30" s="467"/>
      <c r="IT30" s="467"/>
      <c r="IU30" s="467"/>
      <c r="IV30" s="467"/>
    </row>
    <row r="31" spans="1:256" s="934" customFormat="1" ht="13.5" customHeight="1">
      <c r="A31" s="942">
        <v>7</v>
      </c>
      <c r="B31" s="943">
        <v>221</v>
      </c>
      <c r="C31" s="943">
        <v>113202111</v>
      </c>
      <c r="D31" s="943" t="s">
        <v>5478</v>
      </c>
      <c r="E31" s="943" t="s">
        <v>141</v>
      </c>
      <c r="F31" s="944">
        <f>SUM(F32:F32)</f>
        <v>65.150000000000006</v>
      </c>
      <c r="G31" s="1209"/>
      <c r="H31" s="945">
        <f>F31*G31</f>
        <v>0</v>
      </c>
      <c r="I31" s="744" t="s">
        <v>137</v>
      </c>
      <c r="J31" s="946"/>
      <c r="K31" s="94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c r="BY31" s="467"/>
      <c r="BZ31" s="467"/>
      <c r="CA31" s="467"/>
      <c r="CB31" s="467"/>
      <c r="CC31" s="467"/>
      <c r="CD31" s="467"/>
      <c r="CE31" s="467"/>
      <c r="CF31" s="467"/>
      <c r="CG31" s="467"/>
      <c r="CH31" s="467"/>
      <c r="CI31" s="467"/>
      <c r="CJ31" s="467"/>
      <c r="CK31" s="467"/>
      <c r="CL31" s="467"/>
      <c r="CM31" s="467"/>
      <c r="CN31" s="467"/>
      <c r="CO31" s="467"/>
      <c r="CP31" s="467"/>
      <c r="CQ31" s="467"/>
      <c r="CR31" s="467"/>
      <c r="CS31" s="467"/>
      <c r="CT31" s="467"/>
      <c r="CU31" s="467"/>
      <c r="CV31" s="467"/>
      <c r="CW31" s="467"/>
      <c r="CX31" s="467"/>
      <c r="CY31" s="467"/>
      <c r="CZ31" s="467"/>
      <c r="DA31" s="467"/>
      <c r="DB31" s="467"/>
      <c r="DC31" s="467"/>
      <c r="DD31" s="467"/>
      <c r="DE31" s="467"/>
      <c r="DF31" s="467"/>
      <c r="DG31" s="467"/>
      <c r="DH31" s="467"/>
      <c r="DI31" s="467"/>
      <c r="DJ31" s="467"/>
      <c r="DK31" s="467"/>
      <c r="DL31" s="467"/>
      <c r="DM31" s="467"/>
      <c r="DN31" s="467"/>
      <c r="DO31" s="467"/>
      <c r="DP31" s="467"/>
      <c r="DQ31" s="467"/>
      <c r="DR31" s="467"/>
      <c r="DS31" s="467"/>
      <c r="DT31" s="467"/>
      <c r="DU31" s="467"/>
      <c r="DV31" s="467"/>
      <c r="DW31" s="467"/>
      <c r="DX31" s="467"/>
      <c r="DY31" s="467"/>
      <c r="DZ31" s="467"/>
      <c r="EA31" s="467"/>
      <c r="EB31" s="467"/>
      <c r="EC31" s="467"/>
      <c r="ED31" s="467"/>
      <c r="EE31" s="467"/>
      <c r="EF31" s="467"/>
      <c r="EG31" s="467"/>
      <c r="EH31" s="467"/>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7"/>
      <c r="FK31" s="467"/>
      <c r="FL31" s="467"/>
      <c r="FM31" s="467"/>
      <c r="FN31" s="467"/>
      <c r="FO31" s="467"/>
      <c r="FP31" s="467"/>
      <c r="FQ31" s="467"/>
      <c r="FR31" s="467"/>
      <c r="FS31" s="467"/>
      <c r="FT31" s="467"/>
      <c r="FU31" s="467"/>
      <c r="FV31" s="467"/>
      <c r="FW31" s="467"/>
      <c r="FX31" s="467"/>
      <c r="FY31" s="467"/>
      <c r="FZ31" s="467"/>
      <c r="GA31" s="467"/>
      <c r="GB31" s="467"/>
      <c r="GC31" s="467"/>
      <c r="GD31" s="467"/>
      <c r="GE31" s="467"/>
      <c r="GF31" s="467"/>
      <c r="GG31" s="467"/>
      <c r="GH31" s="467"/>
      <c r="GI31" s="467"/>
      <c r="GJ31" s="467"/>
      <c r="GK31" s="467"/>
      <c r="GL31" s="467"/>
      <c r="GM31" s="467"/>
      <c r="GN31" s="467"/>
      <c r="GO31" s="467"/>
      <c r="GP31" s="467"/>
      <c r="GQ31" s="467"/>
      <c r="GR31" s="467"/>
      <c r="GS31" s="467"/>
      <c r="GT31" s="467"/>
      <c r="GU31" s="467"/>
      <c r="GV31" s="467"/>
      <c r="GW31" s="467"/>
      <c r="GX31" s="467"/>
      <c r="GY31" s="467"/>
      <c r="GZ31" s="467"/>
      <c r="HA31" s="467"/>
      <c r="HB31" s="467"/>
      <c r="HC31" s="467"/>
      <c r="HD31" s="467"/>
      <c r="HE31" s="467"/>
      <c r="HF31" s="467"/>
      <c r="HG31" s="467"/>
      <c r="HH31" s="467"/>
      <c r="HI31" s="467"/>
      <c r="HJ31" s="467"/>
      <c r="HK31" s="467"/>
      <c r="HL31" s="467"/>
      <c r="HM31" s="467"/>
      <c r="HN31" s="467"/>
      <c r="HO31" s="467"/>
      <c r="HP31" s="467"/>
      <c r="HQ31" s="467"/>
      <c r="HR31" s="467"/>
      <c r="HS31" s="467"/>
      <c r="HT31" s="467"/>
      <c r="HU31" s="467"/>
      <c r="HV31" s="467"/>
      <c r="HW31" s="467"/>
      <c r="HX31" s="467"/>
      <c r="HY31" s="467"/>
      <c r="HZ31" s="467"/>
      <c r="IA31" s="467"/>
      <c r="IB31" s="467"/>
      <c r="IC31" s="467"/>
      <c r="ID31" s="467"/>
      <c r="IE31" s="467"/>
      <c r="IF31" s="467"/>
      <c r="IG31" s="467"/>
      <c r="IH31" s="467"/>
      <c r="II31" s="467"/>
      <c r="IJ31" s="467"/>
      <c r="IK31" s="467"/>
      <c r="IL31" s="467"/>
      <c r="IM31" s="467"/>
      <c r="IN31" s="467"/>
      <c r="IO31" s="467"/>
      <c r="IP31" s="467"/>
      <c r="IQ31" s="467"/>
      <c r="IR31" s="467"/>
      <c r="IS31" s="467"/>
      <c r="IT31" s="467"/>
      <c r="IU31" s="467"/>
      <c r="IV31" s="467"/>
    </row>
    <row r="32" spans="1:256" s="934" customFormat="1" ht="13.5" customHeight="1">
      <c r="A32" s="920"/>
      <c r="B32" s="921"/>
      <c r="C32" s="919"/>
      <c r="D32" s="919" t="s">
        <v>5479</v>
      </c>
      <c r="E32" s="919"/>
      <c r="F32" s="951">
        <v>65.150000000000006</v>
      </c>
      <c r="G32" s="1207"/>
      <c r="H32" s="923"/>
      <c r="I32" s="924"/>
      <c r="J32" s="946"/>
      <c r="K32" s="94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7"/>
      <c r="GD32" s="467"/>
      <c r="GE32" s="467"/>
      <c r="GF32" s="467"/>
      <c r="GG32" s="467"/>
      <c r="GH32" s="467"/>
      <c r="GI32" s="467"/>
      <c r="GJ32" s="467"/>
      <c r="GK32" s="467"/>
      <c r="GL32" s="467"/>
      <c r="GM32" s="467"/>
      <c r="GN32" s="467"/>
      <c r="GO32" s="467"/>
      <c r="GP32" s="467"/>
      <c r="GQ32" s="467"/>
      <c r="GR32" s="467"/>
      <c r="GS32" s="467"/>
      <c r="GT32" s="467"/>
      <c r="GU32" s="467"/>
      <c r="GV32" s="467"/>
      <c r="GW32" s="467"/>
      <c r="GX32" s="467"/>
      <c r="GY32" s="467"/>
      <c r="GZ32" s="467"/>
      <c r="HA32" s="467"/>
      <c r="HB32" s="467"/>
      <c r="HC32" s="467"/>
      <c r="HD32" s="467"/>
      <c r="HE32" s="467"/>
      <c r="HF32" s="467"/>
      <c r="HG32" s="467"/>
      <c r="HH32" s="467"/>
      <c r="HI32" s="467"/>
      <c r="HJ32" s="467"/>
      <c r="HK32" s="467"/>
      <c r="HL32" s="467"/>
      <c r="HM32" s="467"/>
      <c r="HN32" s="467"/>
      <c r="HO32" s="467"/>
      <c r="HP32" s="467"/>
      <c r="HQ32" s="467"/>
      <c r="HR32" s="467"/>
      <c r="HS32" s="467"/>
      <c r="HT32" s="467"/>
      <c r="HU32" s="467"/>
      <c r="HV32" s="467"/>
      <c r="HW32" s="467"/>
      <c r="HX32" s="467"/>
      <c r="HY32" s="467"/>
      <c r="HZ32" s="467"/>
      <c r="IA32" s="467"/>
      <c r="IB32" s="467"/>
      <c r="IC32" s="467"/>
      <c r="ID32" s="467"/>
      <c r="IE32" s="467"/>
      <c r="IF32" s="467"/>
      <c r="IG32" s="467"/>
      <c r="IH32" s="467"/>
      <c r="II32" s="467"/>
      <c r="IJ32" s="467"/>
      <c r="IK32" s="467"/>
      <c r="IL32" s="467"/>
      <c r="IM32" s="467"/>
      <c r="IN32" s="467"/>
      <c r="IO32" s="467"/>
      <c r="IP32" s="467"/>
      <c r="IQ32" s="467"/>
      <c r="IR32" s="467"/>
      <c r="IS32" s="467"/>
      <c r="IT32" s="467"/>
      <c r="IU32" s="467"/>
      <c r="IV32" s="467"/>
    </row>
    <row r="33" spans="1:256" s="934" customFormat="1" ht="13.5" customHeight="1">
      <c r="A33" s="920"/>
      <c r="B33" s="921"/>
      <c r="C33" s="919"/>
      <c r="D33" s="919" t="s">
        <v>5477</v>
      </c>
      <c r="E33" s="919"/>
      <c r="F33" s="951"/>
      <c r="G33" s="1207"/>
      <c r="H33" s="923"/>
      <c r="I33" s="924"/>
      <c r="J33" s="946"/>
      <c r="K33" s="94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7"/>
      <c r="BV33" s="467"/>
      <c r="BW33" s="467"/>
      <c r="BX33" s="467"/>
      <c r="BY33" s="467"/>
      <c r="BZ33" s="467"/>
      <c r="CA33" s="467"/>
      <c r="CB33" s="467"/>
      <c r="CC33" s="467"/>
      <c r="CD33" s="467"/>
      <c r="CE33" s="467"/>
      <c r="CF33" s="467"/>
      <c r="CG33" s="467"/>
      <c r="CH33" s="467"/>
      <c r="CI33" s="467"/>
      <c r="CJ33" s="467"/>
      <c r="CK33" s="467"/>
      <c r="CL33" s="467"/>
      <c r="CM33" s="467"/>
      <c r="CN33" s="467"/>
      <c r="CO33" s="467"/>
      <c r="CP33" s="467"/>
      <c r="CQ33" s="467"/>
      <c r="CR33" s="467"/>
      <c r="CS33" s="467"/>
      <c r="CT33" s="467"/>
      <c r="CU33" s="467"/>
      <c r="CV33" s="467"/>
      <c r="CW33" s="467"/>
      <c r="CX33" s="467"/>
      <c r="CY33" s="467"/>
      <c r="CZ33" s="467"/>
      <c r="DA33" s="467"/>
      <c r="DB33" s="467"/>
      <c r="DC33" s="467"/>
      <c r="DD33" s="467"/>
      <c r="DE33" s="467"/>
      <c r="DF33" s="467"/>
      <c r="DG33" s="467"/>
      <c r="DH33" s="467"/>
      <c r="DI33" s="467"/>
      <c r="DJ33" s="467"/>
      <c r="DK33" s="467"/>
      <c r="DL33" s="467"/>
      <c r="DM33" s="467"/>
      <c r="DN33" s="467"/>
      <c r="DO33" s="467"/>
      <c r="DP33" s="467"/>
      <c r="DQ33" s="467"/>
      <c r="DR33" s="467"/>
      <c r="DS33" s="467"/>
      <c r="DT33" s="467"/>
      <c r="DU33" s="467"/>
      <c r="DV33" s="467"/>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7"/>
      <c r="ES33" s="467"/>
      <c r="ET33" s="467"/>
      <c r="EU33" s="467"/>
      <c r="EV33" s="467"/>
      <c r="EW33" s="467"/>
      <c r="EX33" s="467"/>
      <c r="EY33" s="467"/>
      <c r="EZ33" s="467"/>
      <c r="FA33" s="467"/>
      <c r="FB33" s="467"/>
      <c r="FC33" s="467"/>
      <c r="FD33" s="467"/>
      <c r="FE33" s="467"/>
      <c r="FF33" s="467"/>
      <c r="FG33" s="467"/>
      <c r="FH33" s="467"/>
      <c r="FI33" s="467"/>
      <c r="FJ33" s="467"/>
      <c r="FK33" s="467"/>
      <c r="FL33" s="467"/>
      <c r="FM33" s="467"/>
      <c r="FN33" s="467"/>
      <c r="FO33" s="467"/>
      <c r="FP33" s="467"/>
      <c r="FQ33" s="467"/>
      <c r="FR33" s="467"/>
      <c r="FS33" s="467"/>
      <c r="FT33" s="467"/>
      <c r="FU33" s="467"/>
      <c r="FV33" s="467"/>
      <c r="FW33" s="467"/>
      <c r="FX33" s="467"/>
      <c r="FY33" s="467"/>
      <c r="FZ33" s="467"/>
      <c r="GA33" s="467"/>
      <c r="GB33" s="467"/>
      <c r="GC33" s="467"/>
      <c r="GD33" s="467"/>
      <c r="GE33" s="467"/>
      <c r="GF33" s="467"/>
      <c r="GG33" s="467"/>
      <c r="GH33" s="467"/>
      <c r="GI33" s="467"/>
      <c r="GJ33" s="467"/>
      <c r="GK33" s="467"/>
      <c r="GL33" s="467"/>
      <c r="GM33" s="467"/>
      <c r="GN33" s="467"/>
      <c r="GO33" s="467"/>
      <c r="GP33" s="467"/>
      <c r="GQ33" s="467"/>
      <c r="GR33" s="467"/>
      <c r="GS33" s="467"/>
      <c r="GT33" s="467"/>
      <c r="GU33" s="467"/>
      <c r="GV33" s="467"/>
      <c r="GW33" s="467"/>
      <c r="GX33" s="467"/>
      <c r="GY33" s="467"/>
      <c r="GZ33" s="467"/>
      <c r="HA33" s="467"/>
      <c r="HB33" s="467"/>
      <c r="HC33" s="467"/>
      <c r="HD33" s="467"/>
      <c r="HE33" s="467"/>
      <c r="HF33" s="467"/>
      <c r="HG33" s="467"/>
      <c r="HH33" s="467"/>
      <c r="HI33" s="467"/>
      <c r="HJ33" s="467"/>
      <c r="HK33" s="467"/>
      <c r="HL33" s="467"/>
      <c r="HM33" s="467"/>
      <c r="HN33" s="467"/>
      <c r="HO33" s="467"/>
      <c r="HP33" s="467"/>
      <c r="HQ33" s="467"/>
      <c r="HR33" s="467"/>
      <c r="HS33" s="467"/>
      <c r="HT33" s="467"/>
      <c r="HU33" s="467"/>
      <c r="HV33" s="467"/>
      <c r="HW33" s="467"/>
      <c r="HX33" s="467"/>
      <c r="HY33" s="467"/>
      <c r="HZ33" s="467"/>
      <c r="IA33" s="467"/>
      <c r="IB33" s="467"/>
      <c r="IC33" s="467"/>
      <c r="ID33" s="467"/>
      <c r="IE33" s="467"/>
      <c r="IF33" s="467"/>
      <c r="IG33" s="467"/>
      <c r="IH33" s="467"/>
      <c r="II33" s="467"/>
      <c r="IJ33" s="467"/>
      <c r="IK33" s="467"/>
      <c r="IL33" s="467"/>
      <c r="IM33" s="467"/>
      <c r="IN33" s="467"/>
      <c r="IO33" s="467"/>
      <c r="IP33" s="467"/>
      <c r="IQ33" s="467"/>
      <c r="IR33" s="467"/>
      <c r="IS33" s="467"/>
      <c r="IT33" s="467"/>
      <c r="IU33" s="467"/>
      <c r="IV33" s="467"/>
    </row>
    <row r="34" spans="1:256" s="918" customFormat="1" ht="13.5" customHeight="1">
      <c r="A34" s="913">
        <v>8</v>
      </c>
      <c r="B34" s="393" t="s">
        <v>135</v>
      </c>
      <c r="C34" s="393">
        <v>966008222</v>
      </c>
      <c r="D34" s="393" t="s">
        <v>5480</v>
      </c>
      <c r="E34" s="393" t="s">
        <v>141</v>
      </c>
      <c r="F34" s="952">
        <f>SUM(F35:F36)</f>
        <v>66.06</v>
      </c>
      <c r="G34" s="1210"/>
      <c r="H34" s="953">
        <f>F34*G34</f>
        <v>0</v>
      </c>
      <c r="I34" s="954" t="s">
        <v>137</v>
      </c>
      <c r="J34" s="955"/>
      <c r="K34" s="956"/>
    </row>
    <row r="35" spans="1:256" s="918" customFormat="1" ht="13.5" customHeight="1">
      <c r="A35" s="957"/>
      <c r="B35" s="958"/>
      <c r="C35" s="958"/>
      <c r="D35" s="959" t="s">
        <v>5481</v>
      </c>
      <c r="E35" s="393"/>
      <c r="F35" s="922">
        <v>47.06</v>
      </c>
      <c r="G35" s="1211"/>
      <c r="H35" s="953"/>
      <c r="I35" s="960"/>
      <c r="J35" s="961"/>
      <c r="K35" s="962"/>
    </row>
    <row r="36" spans="1:256" s="918" customFormat="1" ht="13.5" customHeight="1">
      <c r="A36" s="957"/>
      <c r="B36" s="958"/>
      <c r="C36" s="958"/>
      <c r="D36" s="959" t="s">
        <v>5482</v>
      </c>
      <c r="E36" s="393"/>
      <c r="F36" s="922">
        <v>19</v>
      </c>
      <c r="G36" s="1211"/>
      <c r="H36" s="953"/>
      <c r="I36" s="960"/>
      <c r="J36" s="961"/>
      <c r="K36" s="962"/>
    </row>
    <row r="37" spans="1:256" s="64" customFormat="1" ht="13.5" customHeight="1">
      <c r="A37" s="913">
        <v>9</v>
      </c>
      <c r="B37" s="963" t="s">
        <v>135</v>
      </c>
      <c r="C37" s="393">
        <v>115101201</v>
      </c>
      <c r="D37" s="393" t="s">
        <v>136</v>
      </c>
      <c r="E37" s="393" t="s">
        <v>69</v>
      </c>
      <c r="F37" s="914">
        <v>80</v>
      </c>
      <c r="G37" s="1206"/>
      <c r="H37" s="915">
        <f t="shared" ref="H37:H43" si="0">F37*G37</f>
        <v>0</v>
      </c>
      <c r="I37" s="954" t="s">
        <v>137</v>
      </c>
      <c r="J37" s="381"/>
      <c r="L37" s="382"/>
    </row>
    <row r="38" spans="1:256" s="64" customFormat="1" ht="13.5" customHeight="1">
      <c r="A38" s="913">
        <v>10</v>
      </c>
      <c r="B38" s="963" t="s">
        <v>135</v>
      </c>
      <c r="C38" s="393">
        <v>115101301</v>
      </c>
      <c r="D38" s="393" t="s">
        <v>138</v>
      </c>
      <c r="E38" s="393" t="s">
        <v>139</v>
      </c>
      <c r="F38" s="914">
        <v>10</v>
      </c>
      <c r="G38" s="1206"/>
      <c r="H38" s="915">
        <f t="shared" si="0"/>
        <v>0</v>
      </c>
      <c r="I38" s="954" t="s">
        <v>137</v>
      </c>
      <c r="L38" s="382"/>
    </row>
    <row r="39" spans="1:256" s="918" customFormat="1" ht="13.5" customHeight="1">
      <c r="A39" s="964">
        <v>11</v>
      </c>
      <c r="B39" s="963" t="s">
        <v>135</v>
      </c>
      <c r="C39" s="963">
        <v>119001402</v>
      </c>
      <c r="D39" s="963" t="s">
        <v>140</v>
      </c>
      <c r="E39" s="963" t="s">
        <v>141</v>
      </c>
      <c r="F39" s="914">
        <v>5</v>
      </c>
      <c r="G39" s="383"/>
      <c r="H39" s="965">
        <f t="shared" si="0"/>
        <v>0</v>
      </c>
      <c r="I39" s="954" t="s">
        <v>137</v>
      </c>
      <c r="J39" s="966"/>
      <c r="L39" s="382"/>
      <c r="BM39" s="967"/>
      <c r="BN39" s="967"/>
      <c r="BO39" s="967"/>
      <c r="BP39" s="967"/>
      <c r="BQ39" s="967"/>
      <c r="BR39" s="967"/>
      <c r="BS39" s="967"/>
      <c r="BT39" s="967"/>
      <c r="BU39" s="967"/>
      <c r="BV39" s="967"/>
      <c r="BW39" s="967"/>
      <c r="BX39" s="967"/>
      <c r="BY39" s="967"/>
      <c r="BZ39" s="967"/>
      <c r="CA39" s="967"/>
      <c r="CB39" s="967"/>
      <c r="CC39" s="967"/>
      <c r="CD39" s="967"/>
      <c r="CE39" s="967"/>
      <c r="CF39" s="967"/>
      <c r="CG39" s="967"/>
      <c r="CH39" s="967"/>
      <c r="CI39" s="967"/>
      <c r="CJ39" s="967"/>
      <c r="CK39" s="967"/>
      <c r="CL39" s="967"/>
      <c r="CM39" s="967"/>
      <c r="CN39" s="967"/>
      <c r="CO39" s="967"/>
      <c r="CP39" s="967"/>
      <c r="CQ39" s="967"/>
      <c r="CR39" s="967"/>
      <c r="CS39" s="967"/>
      <c r="CT39" s="967"/>
      <c r="CU39" s="967"/>
      <c r="CV39" s="967"/>
      <c r="CW39" s="967"/>
      <c r="CX39" s="967"/>
      <c r="CY39" s="967"/>
      <c r="CZ39" s="967"/>
      <c r="DA39" s="967"/>
      <c r="DB39" s="967"/>
      <c r="DC39" s="967"/>
      <c r="DD39" s="967"/>
      <c r="DE39" s="967"/>
      <c r="DF39" s="967"/>
      <c r="DG39" s="967"/>
      <c r="DH39" s="967"/>
      <c r="DI39" s="967"/>
      <c r="DJ39" s="967"/>
      <c r="DK39" s="967"/>
      <c r="DL39" s="967"/>
      <c r="DM39" s="967"/>
      <c r="DN39" s="967"/>
      <c r="DO39" s="967"/>
      <c r="DP39" s="967"/>
      <c r="DQ39" s="967"/>
      <c r="DR39" s="967"/>
      <c r="DS39" s="967"/>
      <c r="DT39" s="967"/>
      <c r="DU39" s="967"/>
      <c r="DV39" s="967"/>
      <c r="DW39" s="967"/>
      <c r="DX39" s="967"/>
      <c r="DY39" s="967"/>
      <c r="DZ39" s="967"/>
      <c r="EA39" s="967"/>
      <c r="EB39" s="967"/>
      <c r="EC39" s="967"/>
      <c r="ED39" s="967"/>
      <c r="EE39" s="967"/>
      <c r="EF39" s="967"/>
      <c r="EG39" s="967"/>
      <c r="EH39" s="967"/>
      <c r="EI39" s="967"/>
      <c r="EJ39" s="967"/>
      <c r="EK39" s="967"/>
      <c r="EL39" s="967"/>
      <c r="EM39" s="967"/>
      <c r="EN39" s="967"/>
      <c r="EO39" s="967"/>
      <c r="EP39" s="967"/>
      <c r="EQ39" s="967"/>
      <c r="ER39" s="967"/>
      <c r="ES39" s="967"/>
      <c r="ET39" s="967"/>
      <c r="EU39" s="967"/>
      <c r="EV39" s="967"/>
      <c r="EW39" s="967"/>
      <c r="EX39" s="967"/>
      <c r="EY39" s="967"/>
      <c r="EZ39" s="967"/>
      <c r="FA39" s="967"/>
      <c r="FB39" s="967"/>
      <c r="FC39" s="967"/>
      <c r="FD39" s="967"/>
      <c r="FE39" s="967"/>
      <c r="FF39" s="967"/>
      <c r="FG39" s="967"/>
      <c r="FH39" s="967"/>
      <c r="FI39" s="967"/>
      <c r="FJ39" s="967"/>
      <c r="FK39" s="967"/>
      <c r="FL39" s="967"/>
      <c r="FM39" s="967"/>
      <c r="FN39" s="967"/>
      <c r="FO39" s="967"/>
      <c r="FP39" s="967"/>
      <c r="FQ39" s="967"/>
      <c r="FR39" s="967"/>
      <c r="FS39" s="967"/>
      <c r="FT39" s="967"/>
      <c r="FU39" s="967"/>
      <c r="FV39" s="967"/>
      <c r="FW39" s="967"/>
      <c r="FX39" s="967"/>
      <c r="FY39" s="967"/>
      <c r="FZ39" s="967"/>
      <c r="GA39" s="967"/>
      <c r="GB39" s="967"/>
      <c r="GC39" s="967"/>
      <c r="GD39" s="967"/>
      <c r="GE39" s="967"/>
      <c r="GF39" s="967"/>
      <c r="GG39" s="967"/>
      <c r="GH39" s="967"/>
      <c r="GI39" s="967"/>
      <c r="GJ39" s="967"/>
      <c r="GK39" s="967"/>
      <c r="GL39" s="967"/>
      <c r="GM39" s="967"/>
      <c r="GN39" s="967"/>
      <c r="GO39" s="967"/>
      <c r="GP39" s="967"/>
      <c r="GQ39" s="967"/>
      <c r="GR39" s="967"/>
      <c r="GS39" s="967"/>
      <c r="GT39" s="967"/>
      <c r="GU39" s="967"/>
      <c r="GV39" s="967"/>
      <c r="GW39" s="967"/>
      <c r="GX39" s="967"/>
      <c r="GY39" s="967"/>
      <c r="GZ39" s="967"/>
      <c r="HA39" s="967"/>
      <c r="HB39" s="967"/>
      <c r="HC39" s="967"/>
      <c r="HD39" s="967"/>
      <c r="HE39" s="967"/>
      <c r="HF39" s="967"/>
      <c r="HG39" s="967"/>
      <c r="HH39" s="967"/>
      <c r="HI39" s="967"/>
      <c r="HJ39" s="967"/>
      <c r="HK39" s="967"/>
      <c r="HL39" s="967"/>
      <c r="HM39" s="967"/>
      <c r="HN39" s="967"/>
      <c r="HO39" s="967"/>
      <c r="HP39" s="967"/>
      <c r="HQ39" s="967"/>
      <c r="HR39" s="967"/>
      <c r="HS39" s="967"/>
      <c r="HT39" s="967"/>
      <c r="HU39" s="967"/>
      <c r="HV39" s="967"/>
      <c r="HW39" s="967"/>
      <c r="HX39" s="967"/>
      <c r="HY39" s="967"/>
      <c r="HZ39" s="967"/>
      <c r="IA39" s="967"/>
      <c r="IB39" s="967"/>
      <c r="IC39" s="967"/>
      <c r="ID39" s="967"/>
      <c r="IE39" s="967"/>
      <c r="IF39" s="967"/>
      <c r="IG39" s="967"/>
      <c r="IH39" s="967"/>
      <c r="II39" s="967"/>
      <c r="IJ39" s="967"/>
    </row>
    <row r="40" spans="1:256" s="918" customFormat="1" ht="13.5" customHeight="1">
      <c r="A40" s="964">
        <v>12</v>
      </c>
      <c r="B40" s="963" t="s">
        <v>135</v>
      </c>
      <c r="C40" s="963">
        <v>119001406</v>
      </c>
      <c r="D40" s="963" t="s">
        <v>142</v>
      </c>
      <c r="E40" s="963" t="s">
        <v>141</v>
      </c>
      <c r="F40" s="914">
        <v>5</v>
      </c>
      <c r="G40" s="383"/>
      <c r="H40" s="965">
        <f t="shared" si="0"/>
        <v>0</v>
      </c>
      <c r="I40" s="954" t="s">
        <v>137</v>
      </c>
      <c r="J40" s="966"/>
      <c r="L40" s="382"/>
      <c r="BM40" s="967"/>
      <c r="BN40" s="967"/>
      <c r="BO40" s="967"/>
      <c r="BP40" s="967"/>
      <c r="BQ40" s="967"/>
      <c r="BR40" s="967"/>
      <c r="BS40" s="967"/>
      <c r="BT40" s="967"/>
      <c r="BU40" s="967"/>
      <c r="BV40" s="967"/>
      <c r="BW40" s="967"/>
      <c r="BX40" s="967"/>
      <c r="BY40" s="967"/>
      <c r="BZ40" s="967"/>
      <c r="CA40" s="967"/>
      <c r="CB40" s="967"/>
      <c r="CC40" s="967"/>
      <c r="CD40" s="967"/>
      <c r="CE40" s="967"/>
      <c r="CF40" s="967"/>
      <c r="CG40" s="967"/>
      <c r="CH40" s="967"/>
      <c r="CI40" s="967"/>
      <c r="CJ40" s="967"/>
      <c r="CK40" s="967"/>
      <c r="CL40" s="967"/>
      <c r="CM40" s="967"/>
      <c r="CN40" s="967"/>
      <c r="CO40" s="967"/>
      <c r="CP40" s="967"/>
      <c r="CQ40" s="967"/>
      <c r="CR40" s="967"/>
      <c r="CS40" s="967"/>
      <c r="CT40" s="967"/>
      <c r="CU40" s="967"/>
      <c r="CV40" s="967"/>
      <c r="CW40" s="967"/>
      <c r="CX40" s="967"/>
      <c r="CY40" s="967"/>
      <c r="CZ40" s="967"/>
      <c r="DA40" s="967"/>
      <c r="DB40" s="967"/>
      <c r="DC40" s="967"/>
      <c r="DD40" s="967"/>
      <c r="DE40" s="967"/>
      <c r="DF40" s="967"/>
      <c r="DG40" s="967"/>
      <c r="DH40" s="967"/>
      <c r="DI40" s="967"/>
      <c r="DJ40" s="967"/>
      <c r="DK40" s="967"/>
      <c r="DL40" s="967"/>
      <c r="DM40" s="967"/>
      <c r="DN40" s="967"/>
      <c r="DO40" s="967"/>
      <c r="DP40" s="967"/>
      <c r="DQ40" s="967"/>
      <c r="DR40" s="967"/>
      <c r="DS40" s="967"/>
      <c r="DT40" s="967"/>
      <c r="DU40" s="967"/>
      <c r="DV40" s="967"/>
      <c r="DW40" s="967"/>
      <c r="DX40" s="967"/>
      <c r="DY40" s="967"/>
      <c r="DZ40" s="967"/>
      <c r="EA40" s="967"/>
      <c r="EB40" s="967"/>
      <c r="EC40" s="967"/>
      <c r="ED40" s="967"/>
      <c r="EE40" s="967"/>
      <c r="EF40" s="967"/>
      <c r="EG40" s="967"/>
      <c r="EH40" s="967"/>
      <c r="EI40" s="967"/>
      <c r="EJ40" s="967"/>
      <c r="EK40" s="967"/>
      <c r="EL40" s="967"/>
      <c r="EM40" s="967"/>
      <c r="EN40" s="967"/>
      <c r="EO40" s="967"/>
      <c r="EP40" s="967"/>
      <c r="EQ40" s="967"/>
      <c r="ER40" s="967"/>
      <c r="ES40" s="967"/>
      <c r="ET40" s="967"/>
      <c r="EU40" s="967"/>
      <c r="EV40" s="967"/>
      <c r="EW40" s="967"/>
      <c r="EX40" s="967"/>
      <c r="EY40" s="967"/>
      <c r="EZ40" s="967"/>
      <c r="FA40" s="967"/>
      <c r="FB40" s="967"/>
      <c r="FC40" s="967"/>
      <c r="FD40" s="967"/>
      <c r="FE40" s="967"/>
      <c r="FF40" s="967"/>
      <c r="FG40" s="967"/>
      <c r="FH40" s="967"/>
      <c r="FI40" s="967"/>
      <c r="FJ40" s="967"/>
      <c r="FK40" s="967"/>
      <c r="FL40" s="967"/>
      <c r="FM40" s="967"/>
      <c r="FN40" s="967"/>
      <c r="FO40" s="967"/>
      <c r="FP40" s="967"/>
      <c r="FQ40" s="967"/>
      <c r="FR40" s="967"/>
      <c r="FS40" s="967"/>
      <c r="FT40" s="967"/>
      <c r="FU40" s="967"/>
      <c r="FV40" s="967"/>
      <c r="FW40" s="967"/>
      <c r="FX40" s="967"/>
      <c r="FY40" s="967"/>
      <c r="FZ40" s="967"/>
      <c r="GA40" s="967"/>
      <c r="GB40" s="967"/>
      <c r="GC40" s="967"/>
      <c r="GD40" s="967"/>
      <c r="GE40" s="967"/>
      <c r="GF40" s="967"/>
      <c r="GG40" s="967"/>
      <c r="GH40" s="967"/>
      <c r="GI40" s="967"/>
      <c r="GJ40" s="967"/>
      <c r="GK40" s="967"/>
      <c r="GL40" s="967"/>
      <c r="GM40" s="967"/>
      <c r="GN40" s="967"/>
      <c r="GO40" s="967"/>
      <c r="GP40" s="967"/>
      <c r="GQ40" s="967"/>
      <c r="GR40" s="967"/>
      <c r="GS40" s="967"/>
      <c r="GT40" s="967"/>
      <c r="GU40" s="967"/>
      <c r="GV40" s="967"/>
      <c r="GW40" s="967"/>
      <c r="GX40" s="967"/>
      <c r="GY40" s="967"/>
      <c r="GZ40" s="967"/>
      <c r="HA40" s="967"/>
      <c r="HB40" s="967"/>
      <c r="HC40" s="967"/>
      <c r="HD40" s="967"/>
      <c r="HE40" s="967"/>
      <c r="HF40" s="967"/>
      <c r="HG40" s="967"/>
      <c r="HH40" s="967"/>
      <c r="HI40" s="967"/>
      <c r="HJ40" s="967"/>
      <c r="HK40" s="967"/>
      <c r="HL40" s="967"/>
      <c r="HM40" s="967"/>
      <c r="HN40" s="967"/>
      <c r="HO40" s="967"/>
      <c r="HP40" s="967"/>
      <c r="HQ40" s="967"/>
      <c r="HR40" s="967"/>
      <c r="HS40" s="967"/>
      <c r="HT40" s="967"/>
      <c r="HU40" s="967"/>
      <c r="HV40" s="967"/>
      <c r="HW40" s="967"/>
      <c r="HX40" s="967"/>
      <c r="HY40" s="967"/>
      <c r="HZ40" s="967"/>
      <c r="IA40" s="967"/>
      <c r="IB40" s="967"/>
      <c r="IC40" s="967"/>
      <c r="ID40" s="967"/>
      <c r="IE40" s="967"/>
      <c r="IF40" s="967"/>
      <c r="IG40" s="967"/>
      <c r="IH40" s="967"/>
      <c r="II40" s="967"/>
      <c r="IJ40" s="967"/>
    </row>
    <row r="41" spans="1:256" s="918" customFormat="1" ht="13.5" customHeight="1">
      <c r="A41" s="964">
        <v>13</v>
      </c>
      <c r="B41" s="963" t="s">
        <v>135</v>
      </c>
      <c r="C41" s="963">
        <v>119001412</v>
      </c>
      <c r="D41" s="963" t="s">
        <v>143</v>
      </c>
      <c r="E41" s="963" t="s">
        <v>141</v>
      </c>
      <c r="F41" s="914">
        <v>3</v>
      </c>
      <c r="G41" s="383"/>
      <c r="H41" s="965">
        <f t="shared" si="0"/>
        <v>0</v>
      </c>
      <c r="I41" s="954" t="s">
        <v>137</v>
      </c>
      <c r="J41" s="966"/>
      <c r="L41" s="382"/>
      <c r="BM41" s="967"/>
      <c r="BN41" s="967"/>
      <c r="BO41" s="967"/>
      <c r="BP41" s="967"/>
      <c r="BQ41" s="967"/>
      <c r="BR41" s="967"/>
      <c r="BS41" s="967"/>
      <c r="BT41" s="967"/>
      <c r="BU41" s="967"/>
      <c r="BV41" s="967"/>
      <c r="BW41" s="967"/>
      <c r="BX41" s="967"/>
      <c r="BY41" s="967"/>
      <c r="BZ41" s="967"/>
      <c r="CA41" s="967"/>
      <c r="CB41" s="967"/>
      <c r="CC41" s="967"/>
      <c r="CD41" s="967"/>
      <c r="CE41" s="967"/>
      <c r="CF41" s="967"/>
      <c r="CG41" s="967"/>
      <c r="CH41" s="967"/>
      <c r="CI41" s="967"/>
      <c r="CJ41" s="967"/>
      <c r="CK41" s="967"/>
      <c r="CL41" s="967"/>
      <c r="CM41" s="967"/>
      <c r="CN41" s="967"/>
      <c r="CO41" s="967"/>
      <c r="CP41" s="967"/>
      <c r="CQ41" s="967"/>
      <c r="CR41" s="967"/>
      <c r="CS41" s="967"/>
      <c r="CT41" s="967"/>
      <c r="CU41" s="967"/>
      <c r="CV41" s="967"/>
      <c r="CW41" s="967"/>
      <c r="CX41" s="967"/>
      <c r="CY41" s="967"/>
      <c r="CZ41" s="967"/>
      <c r="DA41" s="967"/>
      <c r="DB41" s="967"/>
      <c r="DC41" s="967"/>
      <c r="DD41" s="967"/>
      <c r="DE41" s="967"/>
      <c r="DF41" s="967"/>
      <c r="DG41" s="967"/>
      <c r="DH41" s="967"/>
      <c r="DI41" s="967"/>
      <c r="DJ41" s="967"/>
      <c r="DK41" s="967"/>
      <c r="DL41" s="967"/>
      <c r="DM41" s="967"/>
      <c r="DN41" s="967"/>
      <c r="DO41" s="967"/>
      <c r="DP41" s="967"/>
      <c r="DQ41" s="967"/>
      <c r="DR41" s="967"/>
      <c r="DS41" s="967"/>
      <c r="DT41" s="967"/>
      <c r="DU41" s="967"/>
      <c r="DV41" s="967"/>
      <c r="DW41" s="967"/>
      <c r="DX41" s="967"/>
      <c r="DY41" s="967"/>
      <c r="DZ41" s="967"/>
      <c r="EA41" s="967"/>
      <c r="EB41" s="967"/>
      <c r="EC41" s="967"/>
      <c r="ED41" s="967"/>
      <c r="EE41" s="967"/>
      <c r="EF41" s="967"/>
      <c r="EG41" s="967"/>
      <c r="EH41" s="967"/>
      <c r="EI41" s="967"/>
      <c r="EJ41" s="967"/>
      <c r="EK41" s="967"/>
      <c r="EL41" s="967"/>
      <c r="EM41" s="967"/>
      <c r="EN41" s="967"/>
      <c r="EO41" s="967"/>
      <c r="EP41" s="967"/>
      <c r="EQ41" s="967"/>
      <c r="ER41" s="967"/>
      <c r="ES41" s="967"/>
      <c r="ET41" s="967"/>
      <c r="EU41" s="967"/>
      <c r="EV41" s="967"/>
      <c r="EW41" s="967"/>
      <c r="EX41" s="967"/>
      <c r="EY41" s="967"/>
      <c r="EZ41" s="967"/>
      <c r="FA41" s="967"/>
      <c r="FB41" s="967"/>
      <c r="FC41" s="967"/>
      <c r="FD41" s="967"/>
      <c r="FE41" s="967"/>
      <c r="FF41" s="967"/>
      <c r="FG41" s="967"/>
      <c r="FH41" s="967"/>
      <c r="FI41" s="967"/>
      <c r="FJ41" s="967"/>
      <c r="FK41" s="967"/>
      <c r="FL41" s="967"/>
      <c r="FM41" s="967"/>
      <c r="FN41" s="967"/>
      <c r="FO41" s="967"/>
      <c r="FP41" s="967"/>
      <c r="FQ41" s="967"/>
      <c r="FR41" s="967"/>
      <c r="FS41" s="967"/>
      <c r="FT41" s="967"/>
      <c r="FU41" s="967"/>
      <c r="FV41" s="967"/>
      <c r="FW41" s="967"/>
      <c r="FX41" s="967"/>
      <c r="FY41" s="967"/>
      <c r="FZ41" s="967"/>
      <c r="GA41" s="967"/>
      <c r="GB41" s="967"/>
      <c r="GC41" s="967"/>
      <c r="GD41" s="967"/>
      <c r="GE41" s="967"/>
      <c r="GF41" s="967"/>
      <c r="GG41" s="967"/>
      <c r="GH41" s="967"/>
      <c r="GI41" s="967"/>
      <c r="GJ41" s="967"/>
      <c r="GK41" s="967"/>
      <c r="GL41" s="967"/>
      <c r="GM41" s="967"/>
      <c r="GN41" s="967"/>
      <c r="GO41" s="967"/>
      <c r="GP41" s="967"/>
      <c r="GQ41" s="967"/>
      <c r="GR41" s="967"/>
      <c r="GS41" s="967"/>
      <c r="GT41" s="967"/>
      <c r="GU41" s="967"/>
      <c r="GV41" s="967"/>
      <c r="GW41" s="967"/>
      <c r="GX41" s="967"/>
      <c r="GY41" s="967"/>
      <c r="GZ41" s="967"/>
      <c r="HA41" s="967"/>
      <c r="HB41" s="967"/>
      <c r="HC41" s="967"/>
      <c r="HD41" s="967"/>
      <c r="HE41" s="967"/>
      <c r="HF41" s="967"/>
      <c r="HG41" s="967"/>
      <c r="HH41" s="967"/>
      <c r="HI41" s="967"/>
      <c r="HJ41" s="967"/>
      <c r="HK41" s="967"/>
      <c r="HL41" s="967"/>
      <c r="HM41" s="967"/>
      <c r="HN41" s="967"/>
      <c r="HO41" s="967"/>
      <c r="HP41" s="967"/>
      <c r="HQ41" s="967"/>
      <c r="HR41" s="967"/>
      <c r="HS41" s="967"/>
      <c r="HT41" s="967"/>
      <c r="HU41" s="967"/>
      <c r="HV41" s="967"/>
      <c r="HW41" s="967"/>
      <c r="HX41" s="967"/>
      <c r="HY41" s="967"/>
      <c r="HZ41" s="967"/>
      <c r="IA41" s="967"/>
      <c r="IB41" s="967"/>
      <c r="IC41" s="967"/>
      <c r="ID41" s="967"/>
      <c r="IE41" s="967"/>
      <c r="IF41" s="967"/>
      <c r="IG41" s="967"/>
      <c r="IH41" s="967"/>
      <c r="II41" s="967"/>
      <c r="IJ41" s="967"/>
    </row>
    <row r="42" spans="1:256" s="918" customFormat="1" ht="13.5" customHeight="1">
      <c r="A42" s="964">
        <v>14</v>
      </c>
      <c r="B42" s="963" t="s">
        <v>135</v>
      </c>
      <c r="C42" s="963">
        <v>119001422</v>
      </c>
      <c r="D42" s="963" t="s">
        <v>144</v>
      </c>
      <c r="E42" s="963" t="s">
        <v>141</v>
      </c>
      <c r="F42" s="914">
        <v>30</v>
      </c>
      <c r="G42" s="383"/>
      <c r="H42" s="965">
        <f t="shared" si="0"/>
        <v>0</v>
      </c>
      <c r="I42" s="954" t="s">
        <v>137</v>
      </c>
      <c r="J42" s="966"/>
      <c r="L42" s="382"/>
      <c r="BM42" s="967"/>
      <c r="BN42" s="967"/>
      <c r="BO42" s="967"/>
      <c r="BP42" s="967"/>
      <c r="BQ42" s="967"/>
      <c r="BR42" s="967"/>
      <c r="BS42" s="967"/>
      <c r="BT42" s="967"/>
      <c r="BU42" s="967"/>
      <c r="BV42" s="967"/>
      <c r="BW42" s="967"/>
      <c r="BX42" s="967"/>
      <c r="BY42" s="967"/>
      <c r="BZ42" s="967"/>
      <c r="CA42" s="967"/>
      <c r="CB42" s="967"/>
      <c r="CC42" s="967"/>
      <c r="CD42" s="967"/>
      <c r="CE42" s="967"/>
      <c r="CF42" s="967"/>
      <c r="CG42" s="967"/>
      <c r="CH42" s="967"/>
      <c r="CI42" s="967"/>
      <c r="CJ42" s="967"/>
      <c r="CK42" s="967"/>
      <c r="CL42" s="967"/>
      <c r="CM42" s="967"/>
      <c r="CN42" s="967"/>
      <c r="CO42" s="967"/>
      <c r="CP42" s="967"/>
      <c r="CQ42" s="967"/>
      <c r="CR42" s="967"/>
      <c r="CS42" s="967"/>
      <c r="CT42" s="967"/>
      <c r="CU42" s="967"/>
      <c r="CV42" s="967"/>
      <c r="CW42" s="967"/>
      <c r="CX42" s="967"/>
      <c r="CY42" s="967"/>
      <c r="CZ42" s="967"/>
      <c r="DA42" s="967"/>
      <c r="DB42" s="967"/>
      <c r="DC42" s="967"/>
      <c r="DD42" s="967"/>
      <c r="DE42" s="967"/>
      <c r="DF42" s="967"/>
      <c r="DG42" s="967"/>
      <c r="DH42" s="967"/>
      <c r="DI42" s="967"/>
      <c r="DJ42" s="967"/>
      <c r="DK42" s="967"/>
      <c r="DL42" s="967"/>
      <c r="DM42" s="967"/>
      <c r="DN42" s="967"/>
      <c r="DO42" s="967"/>
      <c r="DP42" s="967"/>
      <c r="DQ42" s="967"/>
      <c r="DR42" s="967"/>
      <c r="DS42" s="967"/>
      <c r="DT42" s="967"/>
      <c r="DU42" s="967"/>
      <c r="DV42" s="967"/>
      <c r="DW42" s="967"/>
      <c r="DX42" s="967"/>
      <c r="DY42" s="967"/>
      <c r="DZ42" s="967"/>
      <c r="EA42" s="967"/>
      <c r="EB42" s="967"/>
      <c r="EC42" s="967"/>
      <c r="ED42" s="967"/>
      <c r="EE42" s="967"/>
      <c r="EF42" s="967"/>
      <c r="EG42" s="967"/>
      <c r="EH42" s="967"/>
      <c r="EI42" s="967"/>
      <c r="EJ42" s="967"/>
      <c r="EK42" s="967"/>
      <c r="EL42" s="967"/>
      <c r="EM42" s="967"/>
      <c r="EN42" s="967"/>
      <c r="EO42" s="967"/>
      <c r="EP42" s="967"/>
      <c r="EQ42" s="967"/>
      <c r="ER42" s="967"/>
      <c r="ES42" s="967"/>
      <c r="ET42" s="967"/>
      <c r="EU42" s="967"/>
      <c r="EV42" s="967"/>
      <c r="EW42" s="967"/>
      <c r="EX42" s="967"/>
      <c r="EY42" s="967"/>
      <c r="EZ42" s="967"/>
      <c r="FA42" s="967"/>
      <c r="FB42" s="967"/>
      <c r="FC42" s="967"/>
      <c r="FD42" s="967"/>
      <c r="FE42" s="967"/>
      <c r="FF42" s="967"/>
      <c r="FG42" s="967"/>
      <c r="FH42" s="967"/>
      <c r="FI42" s="967"/>
      <c r="FJ42" s="967"/>
      <c r="FK42" s="967"/>
      <c r="FL42" s="967"/>
      <c r="FM42" s="967"/>
      <c r="FN42" s="967"/>
      <c r="FO42" s="967"/>
      <c r="FP42" s="967"/>
      <c r="FQ42" s="967"/>
      <c r="FR42" s="967"/>
      <c r="FS42" s="967"/>
      <c r="FT42" s="967"/>
      <c r="FU42" s="967"/>
      <c r="FV42" s="967"/>
      <c r="FW42" s="967"/>
      <c r="FX42" s="967"/>
      <c r="FY42" s="967"/>
      <c r="FZ42" s="967"/>
      <c r="GA42" s="967"/>
      <c r="GB42" s="967"/>
      <c r="GC42" s="967"/>
      <c r="GD42" s="967"/>
      <c r="GE42" s="967"/>
      <c r="GF42" s="967"/>
      <c r="GG42" s="967"/>
      <c r="GH42" s="967"/>
      <c r="GI42" s="967"/>
      <c r="GJ42" s="967"/>
      <c r="GK42" s="967"/>
      <c r="GL42" s="967"/>
      <c r="GM42" s="967"/>
      <c r="GN42" s="967"/>
      <c r="GO42" s="967"/>
      <c r="GP42" s="967"/>
      <c r="GQ42" s="967"/>
      <c r="GR42" s="967"/>
      <c r="GS42" s="967"/>
      <c r="GT42" s="967"/>
      <c r="GU42" s="967"/>
      <c r="GV42" s="967"/>
      <c r="GW42" s="967"/>
      <c r="GX42" s="967"/>
      <c r="GY42" s="967"/>
      <c r="GZ42" s="967"/>
      <c r="HA42" s="967"/>
      <c r="HB42" s="967"/>
      <c r="HC42" s="967"/>
      <c r="HD42" s="967"/>
      <c r="HE42" s="967"/>
      <c r="HF42" s="967"/>
      <c r="HG42" s="967"/>
      <c r="HH42" s="967"/>
      <c r="HI42" s="967"/>
      <c r="HJ42" s="967"/>
      <c r="HK42" s="967"/>
      <c r="HL42" s="967"/>
      <c r="HM42" s="967"/>
      <c r="HN42" s="967"/>
      <c r="HO42" s="967"/>
      <c r="HP42" s="967"/>
      <c r="HQ42" s="967"/>
      <c r="HR42" s="967"/>
      <c r="HS42" s="967"/>
      <c r="HT42" s="967"/>
      <c r="HU42" s="967"/>
      <c r="HV42" s="967"/>
      <c r="HW42" s="967"/>
      <c r="HX42" s="967"/>
      <c r="HY42" s="967"/>
      <c r="HZ42" s="967"/>
      <c r="IA42" s="967"/>
      <c r="IB42" s="967"/>
      <c r="IC42" s="967"/>
      <c r="ID42" s="967"/>
      <c r="IE42" s="967"/>
      <c r="IF42" s="967"/>
      <c r="IG42" s="967"/>
      <c r="IH42" s="967"/>
      <c r="II42" s="967"/>
      <c r="IJ42" s="967"/>
    </row>
    <row r="43" spans="1:256" s="934" customFormat="1" ht="27" customHeight="1">
      <c r="A43" s="929">
        <v>15</v>
      </c>
      <c r="B43" s="968" t="s">
        <v>135</v>
      </c>
      <c r="C43" s="930" t="s">
        <v>4252</v>
      </c>
      <c r="D43" s="930" t="s">
        <v>5483</v>
      </c>
      <c r="E43" s="930" t="s">
        <v>49</v>
      </c>
      <c r="F43" s="931">
        <f>F44</f>
        <v>1</v>
      </c>
      <c r="G43" s="380"/>
      <c r="H43" s="949">
        <f t="shared" si="0"/>
        <v>0</v>
      </c>
      <c r="I43" s="941" t="s">
        <v>112</v>
      </c>
      <c r="J43" s="969"/>
    </row>
    <row r="44" spans="1:256" s="934" customFormat="1" ht="40.5" customHeight="1">
      <c r="A44" s="970"/>
      <c r="B44" s="971"/>
      <c r="C44" s="972"/>
      <c r="D44" s="584" t="s">
        <v>5484</v>
      </c>
      <c r="E44" s="940"/>
      <c r="F44" s="973">
        <v>1</v>
      </c>
      <c r="G44" s="384"/>
      <c r="H44" s="949"/>
      <c r="I44" s="974"/>
      <c r="J44" s="975"/>
      <c r="K44" s="976"/>
      <c r="L44" s="976"/>
      <c r="M44" s="976"/>
      <c r="N44" s="976"/>
      <c r="O44" s="976"/>
      <c r="P44" s="976"/>
      <c r="R44" s="977"/>
      <c r="S44" s="978"/>
    </row>
    <row r="45" spans="1:256" s="934" customFormat="1" ht="40.5" customHeight="1">
      <c r="A45" s="970"/>
      <c r="B45" s="971"/>
      <c r="C45" s="972"/>
      <c r="D45" s="584" t="s">
        <v>5485</v>
      </c>
      <c r="E45" s="940"/>
      <c r="F45" s="973"/>
      <c r="G45" s="384"/>
      <c r="H45" s="949"/>
      <c r="I45" s="974"/>
      <c r="J45" s="979"/>
      <c r="K45" s="976"/>
      <c r="L45" s="976"/>
      <c r="M45" s="976"/>
      <c r="N45" s="976"/>
      <c r="O45" s="976"/>
      <c r="P45" s="976"/>
      <c r="R45" s="977"/>
      <c r="S45" s="978"/>
    </row>
    <row r="46" spans="1:256" s="934" customFormat="1" ht="27" customHeight="1">
      <c r="A46" s="980" t="s">
        <v>1199</v>
      </c>
      <c r="B46" s="968" t="s">
        <v>135</v>
      </c>
      <c r="C46" s="930" t="s">
        <v>4256</v>
      </c>
      <c r="D46" s="930" t="s">
        <v>5486</v>
      </c>
      <c r="E46" s="930" t="s">
        <v>49</v>
      </c>
      <c r="F46" s="981">
        <f>F47</f>
        <v>1</v>
      </c>
      <c r="G46" s="380"/>
      <c r="H46" s="949">
        <f>F46*G46</f>
        <v>0</v>
      </c>
      <c r="I46" s="941" t="s">
        <v>112</v>
      </c>
      <c r="J46" s="969"/>
    </row>
    <row r="47" spans="1:256" s="934" customFormat="1" ht="27" customHeight="1">
      <c r="A47" s="980"/>
      <c r="B47" s="968"/>
      <c r="C47" s="930"/>
      <c r="D47" s="940" t="s">
        <v>5487</v>
      </c>
      <c r="E47" s="930"/>
      <c r="F47" s="973">
        <v>1</v>
      </c>
      <c r="G47" s="380"/>
      <c r="H47" s="949"/>
      <c r="I47" s="941"/>
      <c r="J47" s="982"/>
    </row>
    <row r="48" spans="1:256" s="934" customFormat="1" ht="40.5" customHeight="1">
      <c r="A48" s="980"/>
      <c r="B48" s="968"/>
      <c r="C48" s="930"/>
      <c r="D48" s="940" t="s">
        <v>5488</v>
      </c>
      <c r="E48" s="930"/>
      <c r="F48" s="983"/>
      <c r="G48" s="380"/>
      <c r="H48" s="949"/>
      <c r="I48" s="984"/>
    </row>
    <row r="49" spans="1:21" s="934" customFormat="1" ht="13.5" customHeight="1">
      <c r="A49" s="980"/>
      <c r="B49" s="968"/>
      <c r="C49" s="930"/>
      <c r="D49" s="940" t="s">
        <v>5489</v>
      </c>
      <c r="E49" s="930"/>
      <c r="F49" s="983"/>
      <c r="G49" s="380"/>
      <c r="H49" s="949"/>
      <c r="I49" s="984"/>
    </row>
    <row r="50" spans="1:21" s="934" customFormat="1" ht="13.5" customHeight="1">
      <c r="A50" s="929">
        <v>17</v>
      </c>
      <c r="B50" s="968" t="s">
        <v>135</v>
      </c>
      <c r="C50" s="930" t="s">
        <v>5490</v>
      </c>
      <c r="D50" s="930" t="s">
        <v>5491</v>
      </c>
      <c r="E50" s="930" t="s">
        <v>49</v>
      </c>
      <c r="F50" s="931">
        <f>F51</f>
        <v>1</v>
      </c>
      <c r="G50" s="380"/>
      <c r="H50" s="949">
        <f>F50*G50</f>
        <v>0</v>
      </c>
      <c r="I50" s="941" t="s">
        <v>112</v>
      </c>
      <c r="J50" s="969"/>
    </row>
    <row r="51" spans="1:21" s="934" customFormat="1" ht="27" customHeight="1">
      <c r="A51" s="929"/>
      <c r="B51" s="968"/>
      <c r="C51" s="930"/>
      <c r="D51" s="940" t="s">
        <v>5492</v>
      </c>
      <c r="E51" s="930"/>
      <c r="F51" s="973">
        <v>1</v>
      </c>
      <c r="G51" s="380"/>
      <c r="H51" s="949"/>
      <c r="I51" s="941"/>
      <c r="J51" s="982"/>
    </row>
    <row r="52" spans="1:21" s="934" customFormat="1" ht="108" customHeight="1">
      <c r="A52" s="980"/>
      <c r="B52" s="930"/>
      <c r="C52" s="930"/>
      <c r="D52" s="985" t="s">
        <v>5493</v>
      </c>
      <c r="E52" s="930"/>
      <c r="F52" s="986"/>
      <c r="G52" s="380"/>
      <c r="H52" s="949"/>
      <c r="I52" s="987"/>
      <c r="J52" s="969"/>
    </row>
    <row r="53" spans="1:21" s="918" customFormat="1" ht="67.5" customHeight="1">
      <c r="A53" s="988"/>
      <c r="B53" s="989"/>
      <c r="C53" s="990"/>
      <c r="D53" s="584" t="s">
        <v>310</v>
      </c>
      <c r="E53" s="959"/>
      <c r="F53" s="991"/>
      <c r="G53" s="1212"/>
      <c r="H53" s="953"/>
      <c r="I53" s="992"/>
      <c r="J53" s="993"/>
      <c r="K53" s="994"/>
      <c r="L53" s="995"/>
    </row>
    <row r="54" spans="1:21" s="918" customFormat="1" ht="27" customHeight="1">
      <c r="A54" s="913">
        <v>18</v>
      </c>
      <c r="B54" s="393" t="s">
        <v>135</v>
      </c>
      <c r="C54" s="393">
        <v>122351104</v>
      </c>
      <c r="D54" s="393" t="s">
        <v>5494</v>
      </c>
      <c r="E54" s="393" t="s">
        <v>146</v>
      </c>
      <c r="F54" s="952">
        <f>SUM(F56:F60)</f>
        <v>114.7003</v>
      </c>
      <c r="G54" s="1210"/>
      <c r="H54" s="953">
        <f>F54*G54</f>
        <v>0</v>
      </c>
      <c r="I54" s="954" t="s">
        <v>137</v>
      </c>
      <c r="J54" s="996"/>
      <c r="K54" s="997"/>
      <c r="L54" s="998"/>
      <c r="M54" s="998"/>
      <c r="N54" s="998"/>
      <c r="O54" s="998"/>
      <c r="P54" s="998"/>
      <c r="Q54" s="998"/>
      <c r="R54" s="998"/>
      <c r="U54" s="999"/>
    </row>
    <row r="55" spans="1:21" s="918" customFormat="1" ht="13.5" customHeight="1">
      <c r="A55" s="913"/>
      <c r="B55" s="393"/>
      <c r="C55" s="393"/>
      <c r="D55" s="959" t="s">
        <v>5495</v>
      </c>
      <c r="E55" s="393"/>
      <c r="F55" s="952"/>
      <c r="G55" s="1210"/>
      <c r="H55" s="953"/>
      <c r="I55" s="954"/>
      <c r="J55" s="1000"/>
      <c r="K55" s="956"/>
    </row>
    <row r="56" spans="1:21" s="918" customFormat="1" ht="13.5" customHeight="1">
      <c r="A56" s="913"/>
      <c r="B56" s="393"/>
      <c r="C56" s="393"/>
      <c r="D56" s="959" t="s">
        <v>5496</v>
      </c>
      <c r="E56" s="393"/>
      <c r="F56" s="951">
        <f>(114.27*0.24)</f>
        <v>27.424799999999998</v>
      </c>
      <c r="G56" s="1210"/>
      <c r="H56" s="953"/>
      <c r="I56" s="954"/>
      <c r="J56" s="1001"/>
      <c r="K56" s="956"/>
    </row>
    <row r="57" spans="1:21" s="918" customFormat="1" ht="13.5" customHeight="1">
      <c r="A57" s="913"/>
      <c r="B57" s="393"/>
      <c r="C57" s="393"/>
      <c r="D57" s="959" t="s">
        <v>5497</v>
      </c>
      <c r="E57" s="393"/>
      <c r="F57" s="951">
        <f>(57.91*1)</f>
        <v>57.91</v>
      </c>
      <c r="G57" s="1210"/>
      <c r="H57" s="953"/>
      <c r="I57" s="954"/>
      <c r="J57" s="1001"/>
      <c r="K57" s="956"/>
    </row>
    <row r="58" spans="1:21" s="918" customFormat="1" ht="13.5" customHeight="1">
      <c r="A58" s="913"/>
      <c r="B58" s="393"/>
      <c r="C58" s="393"/>
      <c r="D58" s="959" t="s">
        <v>5498</v>
      </c>
      <c r="E58" s="393"/>
      <c r="F58" s="951">
        <f>(35.64*0.3)</f>
        <v>10.692</v>
      </c>
      <c r="G58" s="1210"/>
      <c r="H58" s="953"/>
      <c r="I58" s="954"/>
      <c r="J58" s="1001"/>
      <c r="K58" s="1002"/>
      <c r="L58" s="1003"/>
    </row>
    <row r="59" spans="1:21" s="918" customFormat="1" ht="27" customHeight="1">
      <c r="A59" s="913"/>
      <c r="B59" s="393"/>
      <c r="C59" s="393"/>
      <c r="D59" s="959" t="s">
        <v>5499</v>
      </c>
      <c r="E59" s="393"/>
      <c r="F59" s="951">
        <f>(27.69*0.15)</f>
        <v>4.1535000000000002</v>
      </c>
      <c r="G59" s="1210"/>
      <c r="H59" s="953"/>
      <c r="I59" s="954"/>
      <c r="J59" s="1001"/>
      <c r="K59" s="956"/>
    </row>
    <row r="60" spans="1:21" s="918" customFormat="1" ht="13.5" customHeight="1">
      <c r="A60" s="913"/>
      <c r="B60" s="393"/>
      <c r="C60" s="393"/>
      <c r="D60" s="959" t="s">
        <v>5500</v>
      </c>
      <c r="E60" s="393"/>
      <c r="F60" s="922">
        <f xml:space="preserve"> (11*2.2*0.6)</f>
        <v>14.520000000000001</v>
      </c>
      <c r="G60" s="1210"/>
      <c r="H60" s="953"/>
      <c r="I60" s="954"/>
      <c r="J60" s="1004"/>
      <c r="K60" s="1005"/>
      <c r="L60" s="1006"/>
      <c r="M60" s="1006"/>
      <c r="N60" s="1006"/>
      <c r="O60" s="1006"/>
      <c r="P60" s="1006"/>
      <c r="Q60" s="1006"/>
      <c r="R60" s="998"/>
      <c r="U60" s="999"/>
    </row>
    <row r="61" spans="1:21" s="918" customFormat="1" ht="13.5" customHeight="1">
      <c r="A61" s="913"/>
      <c r="B61" s="1007"/>
      <c r="C61" s="393"/>
      <c r="D61" s="959" t="s">
        <v>5501</v>
      </c>
      <c r="E61" s="393"/>
      <c r="F61" s="922"/>
      <c r="G61" s="1210"/>
      <c r="H61" s="953"/>
      <c r="I61" s="1008"/>
      <c r="K61" s="956"/>
    </row>
    <row r="62" spans="1:21" s="918" customFormat="1" ht="13.5" customHeight="1">
      <c r="A62" s="913">
        <v>19</v>
      </c>
      <c r="B62" s="393" t="s">
        <v>135</v>
      </c>
      <c r="C62" s="393">
        <v>129001101</v>
      </c>
      <c r="D62" s="393" t="s">
        <v>5502</v>
      </c>
      <c r="E62" s="393" t="s">
        <v>146</v>
      </c>
      <c r="F62" s="952">
        <f>SUM(F63)</f>
        <v>2.294</v>
      </c>
      <c r="G62" s="1210"/>
      <c r="H62" s="953">
        <f>F62*G62</f>
        <v>0</v>
      </c>
      <c r="I62" s="954" t="s">
        <v>137</v>
      </c>
      <c r="J62" s="955"/>
      <c r="K62" s="956"/>
    </row>
    <row r="63" spans="1:21" s="918" customFormat="1" ht="13.5" customHeight="1">
      <c r="A63" s="957"/>
      <c r="B63" s="958"/>
      <c r="C63" s="958"/>
      <c r="D63" s="959" t="s">
        <v>6336</v>
      </c>
      <c r="E63" s="393"/>
      <c r="F63" s="922">
        <f>(114.7)*0.02</f>
        <v>2.294</v>
      </c>
      <c r="G63" s="1211"/>
      <c r="H63" s="953"/>
      <c r="I63" s="960"/>
      <c r="J63" s="961"/>
      <c r="K63" s="962"/>
    </row>
    <row r="64" spans="1:21" s="918" customFormat="1" ht="13.5" customHeight="1">
      <c r="A64" s="913">
        <v>20</v>
      </c>
      <c r="B64" s="393" t="s">
        <v>135</v>
      </c>
      <c r="C64" s="393">
        <v>171111103</v>
      </c>
      <c r="D64" s="393" t="s">
        <v>5503</v>
      </c>
      <c r="E64" s="393" t="s">
        <v>146</v>
      </c>
      <c r="F64" s="952">
        <f>SUM(F65)</f>
        <v>4.05</v>
      </c>
      <c r="G64" s="1210"/>
      <c r="H64" s="953">
        <f>F64*G64</f>
        <v>0</v>
      </c>
      <c r="I64" s="954" t="s">
        <v>137</v>
      </c>
      <c r="J64" s="955"/>
      <c r="K64" s="956"/>
    </row>
    <row r="65" spans="1:256" s="918" customFormat="1" ht="13.5" customHeight="1">
      <c r="A65" s="957"/>
      <c r="B65" s="958"/>
      <c r="C65" s="958"/>
      <c r="D65" s="959" t="s">
        <v>5504</v>
      </c>
      <c r="E65" s="393"/>
      <c r="F65" s="922">
        <f>(13.5*0.3)</f>
        <v>4.05</v>
      </c>
      <c r="G65" s="1211"/>
      <c r="H65" s="953"/>
      <c r="I65" s="960"/>
      <c r="J65" s="961"/>
      <c r="K65" s="962"/>
    </row>
    <row r="66" spans="1:256" s="934" customFormat="1" ht="13.5" customHeight="1">
      <c r="A66" s="980" t="s">
        <v>211</v>
      </c>
      <c r="B66" s="968" t="s">
        <v>135</v>
      </c>
      <c r="C66" s="930">
        <v>171152501</v>
      </c>
      <c r="D66" s="930" t="s">
        <v>162</v>
      </c>
      <c r="E66" s="930" t="s">
        <v>163</v>
      </c>
      <c r="F66" s="952">
        <f>SUM(F67)</f>
        <v>424.51999999999992</v>
      </c>
      <c r="G66" s="380"/>
      <c r="H66" s="949">
        <f>F66*G66</f>
        <v>0</v>
      </c>
      <c r="I66" s="954" t="s">
        <v>137</v>
      </c>
      <c r="J66" s="1009"/>
    </row>
    <row r="67" spans="1:256" s="934" customFormat="1" ht="27" customHeight="1">
      <c r="A67" s="980"/>
      <c r="B67" s="968"/>
      <c r="C67" s="930"/>
      <c r="D67" s="940" t="s">
        <v>5505</v>
      </c>
      <c r="E67" s="930"/>
      <c r="F67" s="922">
        <f>(192.39+17.33+42.73+40.63+33.72+35.64+34.39+27.69)</f>
        <v>424.51999999999992</v>
      </c>
      <c r="G67" s="380"/>
      <c r="H67" s="949"/>
      <c r="I67" s="954"/>
      <c r="J67" s="1010"/>
    </row>
    <row r="68" spans="1:256" s="918" customFormat="1" ht="27" customHeight="1">
      <c r="A68" s="1011" t="s">
        <v>884</v>
      </c>
      <c r="B68" s="393">
        <v>231</v>
      </c>
      <c r="C68" s="393">
        <v>181151311</v>
      </c>
      <c r="D68" s="393" t="s">
        <v>5506</v>
      </c>
      <c r="E68" s="393" t="s">
        <v>163</v>
      </c>
      <c r="F68" s="1012">
        <f>SUM(F69)</f>
        <v>424.51999999999992</v>
      </c>
      <c r="G68" s="1210"/>
      <c r="H68" s="953">
        <f>F68*G68</f>
        <v>0</v>
      </c>
      <c r="I68" s="954" t="s">
        <v>137</v>
      </c>
      <c r="J68" s="995"/>
      <c r="K68" s="956"/>
    </row>
    <row r="69" spans="1:256" s="918" customFormat="1" ht="27" customHeight="1">
      <c r="A69" s="1011"/>
      <c r="B69" s="1007"/>
      <c r="C69" s="393"/>
      <c r="D69" s="959" t="s">
        <v>5507</v>
      </c>
      <c r="E69" s="393"/>
      <c r="F69" s="922">
        <f>(192.39+17.33+42.73+40.63+33.72+35.64+34.39+27.69)</f>
        <v>424.51999999999992</v>
      </c>
      <c r="G69" s="1210"/>
      <c r="H69" s="953"/>
      <c r="I69" s="954"/>
      <c r="J69" s="1010"/>
      <c r="K69" s="956"/>
    </row>
    <row r="70" spans="1:256" s="593" customFormat="1" ht="27" customHeight="1">
      <c r="A70" s="789">
        <v>23</v>
      </c>
      <c r="B70" s="790" t="s">
        <v>135</v>
      </c>
      <c r="C70" s="776" t="s">
        <v>180</v>
      </c>
      <c r="D70" s="776" t="s">
        <v>6330</v>
      </c>
      <c r="E70" s="776" t="s">
        <v>146</v>
      </c>
      <c r="F70" s="1013">
        <f>F72</f>
        <v>114.7</v>
      </c>
      <c r="G70" s="587">
        <f>SUM(H74:H77)/F70</f>
        <v>0</v>
      </c>
      <c r="H70" s="587">
        <f>F70*G70</f>
        <v>0</v>
      </c>
      <c r="I70" s="1014" t="s">
        <v>111</v>
      </c>
      <c r="J70" s="760"/>
      <c r="L70" s="213"/>
      <c r="M70" s="213"/>
      <c r="N70" s="213"/>
      <c r="O70" s="213"/>
      <c r="P70" s="213"/>
      <c r="Q70" s="213"/>
      <c r="R70" s="213"/>
      <c r="S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c r="EO70" s="213"/>
      <c r="EP70" s="213"/>
      <c r="EQ70" s="213"/>
      <c r="ER70" s="213"/>
      <c r="ES70" s="213"/>
      <c r="ET70" s="213"/>
      <c r="EU70" s="213"/>
      <c r="EV70" s="213"/>
      <c r="EW70" s="213"/>
      <c r="EX70" s="213"/>
      <c r="EY70" s="213"/>
      <c r="EZ70" s="213"/>
      <c r="FA70" s="213"/>
      <c r="FB70" s="213"/>
      <c r="FC70" s="213"/>
      <c r="FD70" s="213"/>
      <c r="FE70" s="213"/>
      <c r="FF70" s="213"/>
      <c r="FG70" s="213"/>
      <c r="FH70" s="213"/>
      <c r="FI70" s="213"/>
      <c r="FJ70" s="213"/>
      <c r="FK70" s="213"/>
      <c r="FL70" s="213"/>
      <c r="FM70" s="213"/>
      <c r="FN70" s="213"/>
      <c r="FO70" s="213"/>
      <c r="FP70" s="213"/>
      <c r="FQ70" s="213"/>
      <c r="FR70" s="213"/>
      <c r="FS70" s="213"/>
      <c r="FT70" s="213"/>
      <c r="FU70" s="213"/>
      <c r="FV70" s="213"/>
      <c r="FW70" s="213"/>
      <c r="FX70" s="213"/>
      <c r="FY70" s="213"/>
      <c r="FZ70" s="213"/>
      <c r="GA70" s="213"/>
      <c r="GB70" s="213"/>
      <c r="GC70" s="213"/>
      <c r="GD70" s="213"/>
      <c r="GE70" s="213"/>
      <c r="GF70" s="213"/>
      <c r="GG70" s="213"/>
      <c r="GH70" s="213"/>
      <c r="GI70" s="213"/>
      <c r="GJ70" s="213"/>
      <c r="GK70" s="213"/>
      <c r="GL70" s="213"/>
      <c r="GM70" s="213"/>
      <c r="GN70" s="213"/>
      <c r="GO70" s="213"/>
      <c r="GP70" s="213"/>
      <c r="GQ70" s="213"/>
      <c r="GR70" s="213"/>
      <c r="GS70" s="213"/>
      <c r="GT70" s="213"/>
      <c r="GU70" s="213"/>
      <c r="GV70" s="213"/>
      <c r="GW70" s="213"/>
      <c r="GX70" s="213"/>
      <c r="GY70" s="213"/>
      <c r="GZ70" s="213"/>
      <c r="HA70" s="213"/>
      <c r="HB70" s="213"/>
      <c r="HC70" s="213"/>
      <c r="HD70" s="213"/>
      <c r="HE70" s="213"/>
      <c r="HF70" s="213"/>
      <c r="HG70" s="213"/>
      <c r="HH70" s="213"/>
      <c r="HI70" s="213"/>
      <c r="HJ70" s="213"/>
      <c r="HK70" s="213"/>
      <c r="HL70" s="213"/>
      <c r="HM70" s="213"/>
      <c r="HN70" s="213"/>
      <c r="HO70" s="213"/>
      <c r="HP70" s="213"/>
      <c r="HQ70" s="213"/>
      <c r="HR70" s="213"/>
      <c r="HS70" s="213"/>
      <c r="HT70" s="213"/>
      <c r="HU70" s="213"/>
      <c r="HV70" s="213"/>
      <c r="HW70" s="213"/>
      <c r="HX70" s="213"/>
      <c r="HY70" s="213"/>
      <c r="HZ70" s="213"/>
      <c r="IA70" s="213"/>
      <c r="IB70" s="213"/>
      <c r="IC70" s="213"/>
      <c r="ID70" s="213"/>
      <c r="IE70" s="213"/>
      <c r="IF70" s="213"/>
      <c r="IG70" s="213"/>
      <c r="IH70" s="213"/>
      <c r="II70" s="213"/>
      <c r="IJ70" s="213"/>
      <c r="IK70" s="213"/>
      <c r="IL70" s="213"/>
      <c r="IM70" s="213"/>
      <c r="IN70" s="213"/>
      <c r="IO70" s="213"/>
      <c r="IP70" s="213"/>
      <c r="IQ70" s="213"/>
      <c r="IR70" s="213"/>
      <c r="IS70" s="213"/>
      <c r="IT70" s="213"/>
      <c r="IU70" s="213"/>
      <c r="IV70" s="213"/>
    </row>
    <row r="71" spans="1:256" s="593" customFormat="1" ht="13.5" customHeight="1">
      <c r="A71" s="789"/>
      <c r="B71" s="790"/>
      <c r="C71" s="776"/>
      <c r="D71" s="585" t="s">
        <v>5508</v>
      </c>
      <c r="E71" s="776"/>
      <c r="F71" s="1013"/>
      <c r="G71" s="879"/>
      <c r="H71" s="587"/>
      <c r="I71" s="1014"/>
      <c r="J71" s="760"/>
      <c r="L71" s="213"/>
      <c r="M71" s="213"/>
      <c r="N71" s="213"/>
      <c r="O71" s="213"/>
      <c r="P71" s="213"/>
      <c r="Q71" s="213"/>
      <c r="R71" s="213"/>
      <c r="S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213"/>
      <c r="EV71" s="213"/>
      <c r="EW71" s="213"/>
      <c r="EX71" s="213"/>
      <c r="EY71" s="213"/>
      <c r="EZ71" s="213"/>
      <c r="FA71" s="213"/>
      <c r="FB71" s="213"/>
      <c r="FC71" s="213"/>
      <c r="FD71" s="213"/>
      <c r="FE71" s="213"/>
      <c r="FF71" s="213"/>
      <c r="FG71" s="213"/>
      <c r="FH71" s="213"/>
      <c r="FI71" s="213"/>
      <c r="FJ71" s="213"/>
      <c r="FK71" s="213"/>
      <c r="FL71" s="213"/>
      <c r="FM71" s="213"/>
      <c r="FN71" s="213"/>
      <c r="FO71" s="213"/>
      <c r="FP71" s="213"/>
      <c r="FQ71" s="213"/>
      <c r="FR71" s="213"/>
      <c r="FS71" s="213"/>
      <c r="FT71" s="213"/>
      <c r="FU71" s="213"/>
      <c r="FV71" s="213"/>
      <c r="FW71" s="213"/>
      <c r="FX71" s="213"/>
      <c r="FY71" s="213"/>
      <c r="FZ71" s="213"/>
      <c r="GA71" s="213"/>
      <c r="GB71" s="213"/>
      <c r="GC71" s="213"/>
      <c r="GD71" s="213"/>
      <c r="GE71" s="213"/>
      <c r="GF71" s="213"/>
      <c r="GG71" s="213"/>
      <c r="GH71" s="213"/>
      <c r="GI71" s="213"/>
      <c r="GJ71" s="213"/>
      <c r="GK71" s="213"/>
      <c r="GL71" s="213"/>
      <c r="GM71" s="213"/>
      <c r="GN71" s="213"/>
      <c r="GO71" s="213"/>
      <c r="GP71" s="213"/>
      <c r="GQ71" s="213"/>
      <c r="GR71" s="213"/>
      <c r="GS71" s="213"/>
      <c r="GT71" s="213"/>
      <c r="GU71" s="213"/>
      <c r="GV71" s="213"/>
      <c r="GW71" s="213"/>
      <c r="GX71" s="213"/>
      <c r="GY71" s="213"/>
      <c r="GZ71" s="213"/>
      <c r="HA71" s="213"/>
      <c r="HB71" s="213"/>
      <c r="HC71" s="213"/>
      <c r="HD71" s="213"/>
      <c r="HE71" s="213"/>
      <c r="HF71" s="213"/>
      <c r="HG71" s="213"/>
      <c r="HH71" s="213"/>
      <c r="HI71" s="213"/>
      <c r="HJ71" s="213"/>
      <c r="HK71" s="213"/>
      <c r="HL71" s="213"/>
      <c r="HM71" s="213"/>
      <c r="HN71" s="213"/>
      <c r="HO71" s="213"/>
      <c r="HP71" s="213"/>
      <c r="HQ71" s="213"/>
      <c r="HR71" s="213"/>
      <c r="HS71" s="213"/>
      <c r="HT71" s="213"/>
      <c r="HU71" s="213"/>
      <c r="HV71" s="213"/>
      <c r="HW71" s="213"/>
      <c r="HX71" s="213"/>
      <c r="HY71" s="213"/>
      <c r="HZ71" s="213"/>
      <c r="IA71" s="213"/>
      <c r="IB71" s="213"/>
      <c r="IC71" s="213"/>
      <c r="ID71" s="213"/>
      <c r="IE71" s="213"/>
      <c r="IF71" s="213"/>
      <c r="IG71" s="213"/>
      <c r="IH71" s="213"/>
      <c r="II71" s="213"/>
      <c r="IJ71" s="213"/>
      <c r="IK71" s="213"/>
      <c r="IL71" s="213"/>
      <c r="IM71" s="213"/>
      <c r="IN71" s="213"/>
      <c r="IO71" s="213"/>
      <c r="IP71" s="213"/>
      <c r="IQ71" s="213"/>
      <c r="IR71" s="213"/>
      <c r="IS71" s="213"/>
      <c r="IT71" s="213"/>
      <c r="IU71" s="213"/>
      <c r="IV71" s="213"/>
    </row>
    <row r="72" spans="1:256" s="796" customFormat="1" ht="13.5" customHeight="1">
      <c r="A72" s="1015"/>
      <c r="B72" s="1016"/>
      <c r="C72" s="930"/>
      <c r="D72" s="756" t="s">
        <v>185</v>
      </c>
      <c r="E72" s="1017"/>
      <c r="F72" s="758">
        <f>SUM(F73:F73)</f>
        <v>114.7</v>
      </c>
      <c r="G72" s="385"/>
      <c r="H72" s="1018"/>
      <c r="I72" s="1019"/>
      <c r="J72" s="1020"/>
      <c r="K72" s="1021"/>
      <c r="L72" s="797"/>
      <c r="M72" s="797"/>
      <c r="N72" s="797"/>
      <c r="O72" s="797"/>
      <c r="P72" s="797"/>
      <c r="Q72" s="797"/>
      <c r="R72" s="797"/>
      <c r="S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593" customFormat="1" ht="13.5" customHeight="1">
      <c r="A73" s="761"/>
      <c r="B73" s="582"/>
      <c r="C73" s="583"/>
      <c r="D73" s="585" t="s">
        <v>6335</v>
      </c>
      <c r="E73" s="585"/>
      <c r="F73" s="762">
        <v>114.7</v>
      </c>
      <c r="G73" s="879"/>
      <c r="H73" s="587"/>
      <c r="I73" s="588"/>
      <c r="J73" s="767"/>
      <c r="K73" s="766"/>
      <c r="L73" s="375"/>
      <c r="M73" s="375"/>
      <c r="N73" s="375"/>
      <c r="O73" s="375"/>
      <c r="P73" s="213"/>
      <c r="Q73" s="213"/>
      <c r="R73" s="213"/>
      <c r="S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213"/>
      <c r="EV73" s="213"/>
      <c r="EW73" s="213"/>
      <c r="EX73" s="213"/>
      <c r="EY73" s="213"/>
      <c r="EZ73" s="213"/>
      <c r="FA73" s="213"/>
      <c r="FB73" s="213"/>
      <c r="FC73" s="213"/>
      <c r="FD73" s="213"/>
      <c r="FE73" s="213"/>
      <c r="FF73" s="213"/>
      <c r="FG73" s="213"/>
      <c r="FH73" s="213"/>
      <c r="FI73" s="213"/>
      <c r="FJ73" s="213"/>
      <c r="FK73" s="213"/>
      <c r="FL73" s="213"/>
      <c r="FM73" s="213"/>
      <c r="FN73" s="213"/>
      <c r="FO73" s="213"/>
      <c r="FP73" s="213"/>
      <c r="FQ73" s="213"/>
      <c r="FR73" s="213"/>
      <c r="FS73" s="213"/>
      <c r="FT73" s="213"/>
      <c r="FU73" s="213"/>
      <c r="FV73" s="213"/>
      <c r="FW73" s="213"/>
      <c r="FX73" s="213"/>
      <c r="FY73" s="213"/>
      <c r="FZ73" s="213"/>
      <c r="GA73" s="213"/>
      <c r="GB73" s="213"/>
      <c r="GC73" s="213"/>
      <c r="GD73" s="213"/>
      <c r="GE73" s="213"/>
      <c r="GF73" s="213"/>
      <c r="GG73" s="213"/>
      <c r="GH73" s="213"/>
      <c r="GI73" s="213"/>
      <c r="GJ73" s="213"/>
      <c r="GK73" s="213"/>
      <c r="GL73" s="213"/>
      <c r="GM73" s="213"/>
      <c r="GN73" s="213"/>
      <c r="GO73" s="213"/>
      <c r="GP73" s="213"/>
      <c r="GQ73" s="213"/>
      <c r="GR73" s="213"/>
      <c r="GS73" s="213"/>
      <c r="GT73" s="213"/>
      <c r="GU73" s="213"/>
      <c r="GV73" s="213"/>
      <c r="GW73" s="213"/>
      <c r="GX73" s="213"/>
      <c r="GY73" s="213"/>
      <c r="GZ73" s="213"/>
      <c r="HA73" s="213"/>
      <c r="HB73" s="213"/>
      <c r="HC73" s="213"/>
      <c r="HD73" s="213"/>
      <c r="HE73" s="213"/>
      <c r="HF73" s="213"/>
      <c r="HG73" s="213"/>
      <c r="HH73" s="213"/>
      <c r="HI73" s="213"/>
      <c r="HJ73" s="213"/>
      <c r="HK73" s="213"/>
      <c r="HL73" s="213"/>
      <c r="HM73" s="213"/>
      <c r="HN73" s="213"/>
      <c r="HO73" s="213"/>
      <c r="HP73" s="213"/>
      <c r="HQ73" s="213"/>
      <c r="HR73" s="213"/>
      <c r="HS73" s="213"/>
      <c r="HT73" s="213"/>
      <c r="HU73" s="213"/>
      <c r="HV73" s="213"/>
      <c r="HW73" s="213"/>
      <c r="HX73" s="213"/>
      <c r="HY73" s="213"/>
      <c r="HZ73" s="213"/>
      <c r="IA73" s="213"/>
      <c r="IB73" s="213"/>
      <c r="IC73" s="213"/>
      <c r="ID73" s="213"/>
      <c r="IE73" s="213"/>
      <c r="IF73" s="213"/>
      <c r="IG73" s="213"/>
      <c r="IH73" s="213"/>
      <c r="II73" s="213"/>
      <c r="IJ73" s="213"/>
      <c r="IK73" s="213"/>
      <c r="IL73" s="213"/>
      <c r="IM73" s="213"/>
      <c r="IN73" s="213"/>
      <c r="IO73" s="213"/>
      <c r="IP73" s="213"/>
      <c r="IQ73" s="213"/>
      <c r="IR73" s="213"/>
      <c r="IS73" s="213"/>
      <c r="IT73" s="213"/>
      <c r="IU73" s="213"/>
      <c r="IV73" s="213"/>
    </row>
    <row r="74" spans="1:256" s="934" customFormat="1" ht="13.5" customHeight="1">
      <c r="A74" s="1022" t="s">
        <v>4787</v>
      </c>
      <c r="B74" s="930"/>
      <c r="C74" s="777">
        <v>167151112</v>
      </c>
      <c r="D74" s="940" t="s">
        <v>5509</v>
      </c>
      <c r="E74" s="1023" t="s">
        <v>146</v>
      </c>
      <c r="F74" s="973">
        <f>F72</f>
        <v>114.7</v>
      </c>
      <c r="G74" s="386"/>
      <c r="H74" s="1024">
        <f t="shared" ref="H74:H75" si="1">F74*G74</f>
        <v>0</v>
      </c>
      <c r="I74" s="781" t="s">
        <v>137</v>
      </c>
      <c r="J74" s="647"/>
      <c r="K74" s="647"/>
      <c r="L74" s="612"/>
      <c r="M74" s="612"/>
      <c r="N74" s="612"/>
      <c r="O74" s="612"/>
      <c r="P74" s="612"/>
      <c r="Q74" s="612"/>
      <c r="R74" s="612"/>
      <c r="S74" s="788"/>
      <c r="V74" s="612"/>
    </row>
    <row r="75" spans="1:256" s="593" customFormat="1" ht="27" customHeight="1">
      <c r="A75" s="792" t="s">
        <v>4788</v>
      </c>
      <c r="B75" s="793"/>
      <c r="C75" s="793" t="s">
        <v>6325</v>
      </c>
      <c r="D75" s="793" t="s">
        <v>6318</v>
      </c>
      <c r="E75" s="793" t="s">
        <v>146</v>
      </c>
      <c r="F75" s="794">
        <f>F72</f>
        <v>114.7</v>
      </c>
      <c r="G75" s="470"/>
      <c r="H75" s="795">
        <f t="shared" si="1"/>
        <v>0</v>
      </c>
      <c r="I75" s="781" t="s">
        <v>112</v>
      </c>
      <c r="J75" s="783"/>
      <c r="K75" s="783"/>
      <c r="L75" s="621"/>
      <c r="M75" s="621"/>
      <c r="N75" s="621"/>
      <c r="O75" s="621"/>
      <c r="P75" s="621"/>
      <c r="Q75" s="621"/>
      <c r="R75" s="621"/>
      <c r="S75" s="784"/>
      <c r="V75" s="78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c r="FG75" s="213"/>
      <c r="FH75" s="213"/>
      <c r="FI75" s="213"/>
      <c r="FJ75" s="213"/>
      <c r="FK75" s="213"/>
      <c r="FL75" s="213"/>
      <c r="FM75" s="213"/>
      <c r="FN75" s="213"/>
      <c r="FO75" s="213"/>
      <c r="FP75" s="213"/>
      <c r="FQ75" s="213"/>
      <c r="FR75" s="213"/>
      <c r="FS75" s="213"/>
      <c r="FT75" s="213"/>
      <c r="FU75" s="213"/>
      <c r="FV75" s="213"/>
      <c r="FW75" s="213"/>
      <c r="FX75" s="213"/>
      <c r="FY75" s="213"/>
      <c r="FZ75" s="213"/>
      <c r="GA75" s="213"/>
      <c r="GB75" s="213"/>
      <c r="GC75" s="213"/>
      <c r="GD75" s="213"/>
      <c r="GE75" s="213"/>
      <c r="GF75" s="213"/>
      <c r="GG75" s="213"/>
      <c r="GH75" s="213"/>
      <c r="GI75" s="213"/>
      <c r="GJ75" s="213"/>
      <c r="GK75" s="213"/>
      <c r="GL75" s="213"/>
      <c r="GM75" s="213"/>
      <c r="GN75" s="213"/>
      <c r="GO75" s="213"/>
      <c r="GP75" s="213"/>
      <c r="GQ75" s="213"/>
      <c r="GR75" s="213"/>
      <c r="GS75" s="213"/>
      <c r="GT75" s="213"/>
      <c r="GU75" s="213"/>
      <c r="GV75" s="213"/>
      <c r="GW75" s="213"/>
      <c r="GX75" s="213"/>
      <c r="GY75" s="213"/>
      <c r="GZ75" s="213"/>
      <c r="HA75" s="213"/>
      <c r="HB75" s="213"/>
      <c r="HC75" s="213"/>
      <c r="HD75" s="213"/>
      <c r="HE75" s="213"/>
      <c r="HF75" s="213"/>
      <c r="HG75" s="213"/>
      <c r="HH75" s="213"/>
      <c r="HI75" s="213"/>
      <c r="HJ75" s="213"/>
      <c r="HK75" s="213"/>
      <c r="HL75" s="213"/>
      <c r="HM75" s="213"/>
      <c r="HN75" s="213"/>
      <c r="HO75" s="213"/>
      <c r="HP75" s="213"/>
      <c r="HQ75" s="213"/>
      <c r="HR75" s="213"/>
      <c r="HS75" s="213"/>
      <c r="HT75" s="213"/>
      <c r="HU75" s="213"/>
      <c r="HV75" s="213"/>
      <c r="HW75" s="213"/>
      <c r="HX75" s="213"/>
      <c r="HY75" s="213"/>
      <c r="HZ75" s="213"/>
      <c r="IA75" s="213"/>
      <c r="IB75" s="213"/>
      <c r="IC75" s="213"/>
      <c r="ID75" s="213"/>
      <c r="IE75" s="213"/>
      <c r="IF75" s="213"/>
      <c r="IG75" s="213"/>
      <c r="IH75" s="213"/>
      <c r="II75" s="213"/>
      <c r="IJ75" s="213"/>
      <c r="IK75" s="213"/>
      <c r="IL75" s="213"/>
      <c r="IM75" s="213"/>
      <c r="IN75" s="213"/>
      <c r="IO75" s="213"/>
      <c r="IP75" s="213"/>
      <c r="IQ75" s="213"/>
      <c r="IR75" s="213"/>
      <c r="IS75" s="213"/>
      <c r="IT75" s="213"/>
      <c r="IU75" s="213"/>
      <c r="IV75" s="213"/>
    </row>
    <row r="76" spans="1:256" s="934" customFormat="1" ht="27" customHeight="1">
      <c r="A76" s="1025" t="s">
        <v>4790</v>
      </c>
      <c r="B76" s="1026"/>
      <c r="C76" s="777">
        <v>171251101</v>
      </c>
      <c r="D76" s="1027" t="s">
        <v>192</v>
      </c>
      <c r="E76" s="1026" t="s">
        <v>146</v>
      </c>
      <c r="F76" s="1028">
        <f>F70</f>
        <v>114.7</v>
      </c>
      <c r="G76" s="471"/>
      <c r="H76" s="1029">
        <f>ROUND(F76*G76,2)</f>
        <v>0</v>
      </c>
      <c r="I76" s="781" t="s">
        <v>137</v>
      </c>
      <c r="J76" s="647"/>
      <c r="K76" s="647"/>
      <c r="L76" s="612"/>
      <c r="M76" s="612"/>
      <c r="N76" s="612"/>
      <c r="O76" s="612"/>
      <c r="P76" s="612"/>
      <c r="Q76" s="612"/>
      <c r="R76" s="612"/>
      <c r="S76" s="788"/>
      <c r="V76" s="612"/>
    </row>
    <row r="77" spans="1:256" s="934" customFormat="1" ht="27" customHeight="1">
      <c r="A77" s="1030" t="s">
        <v>4792</v>
      </c>
      <c r="B77" s="1031"/>
      <c r="C77" s="805" t="s">
        <v>6311</v>
      </c>
      <c r="D77" s="806" t="s">
        <v>6323</v>
      </c>
      <c r="E77" s="805" t="s">
        <v>175</v>
      </c>
      <c r="F77" s="794">
        <f>F70*2</f>
        <v>229.4</v>
      </c>
      <c r="G77" s="472"/>
      <c r="H77" s="1032">
        <f t="shared" ref="H77" si="2">F77*G77</f>
        <v>0</v>
      </c>
      <c r="I77" s="781" t="s">
        <v>112</v>
      </c>
      <c r="J77" s="647"/>
      <c r="K77" s="647"/>
      <c r="L77" s="612"/>
      <c r="M77" s="612"/>
      <c r="N77" s="612"/>
      <c r="O77" s="612"/>
      <c r="P77" s="612"/>
      <c r="Q77" s="612"/>
      <c r="R77" s="612"/>
      <c r="S77" s="788"/>
      <c r="V77" s="612"/>
    </row>
    <row r="78" spans="1:256" s="647" customFormat="1" ht="13.5" customHeight="1">
      <c r="A78" s="807"/>
      <c r="B78" s="808"/>
      <c r="C78" s="809"/>
      <c r="D78" s="810" t="s">
        <v>193</v>
      </c>
      <c r="E78" s="811"/>
      <c r="F78" s="812"/>
      <c r="G78" s="881"/>
      <c r="H78" s="813"/>
      <c r="I78" s="814"/>
      <c r="J78" s="815"/>
      <c r="L78" s="612"/>
      <c r="M78" s="612"/>
      <c r="N78" s="612"/>
      <c r="O78" s="612"/>
      <c r="P78" s="612"/>
      <c r="Q78" s="612"/>
      <c r="R78" s="612"/>
      <c r="S78" s="788"/>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c r="BB78" s="816"/>
      <c r="BC78" s="816"/>
      <c r="BD78" s="816"/>
      <c r="BE78" s="816"/>
      <c r="BF78" s="816"/>
      <c r="BG78" s="816"/>
      <c r="BH78" s="816"/>
      <c r="BI78" s="816"/>
      <c r="BJ78" s="816"/>
      <c r="BK78" s="816"/>
      <c r="BL78" s="816"/>
      <c r="BM78" s="816"/>
      <c r="BN78" s="816"/>
      <c r="BO78" s="816"/>
      <c r="BP78" s="816"/>
      <c r="BQ78" s="816"/>
      <c r="BR78" s="816"/>
      <c r="BS78" s="816"/>
      <c r="BT78" s="816"/>
      <c r="BU78" s="816"/>
      <c r="BV78" s="816"/>
      <c r="BW78" s="816"/>
      <c r="BX78" s="816"/>
      <c r="BY78" s="816"/>
      <c r="BZ78" s="816"/>
      <c r="CA78" s="816"/>
      <c r="CB78" s="816"/>
      <c r="CC78" s="816"/>
      <c r="CD78" s="816"/>
      <c r="CE78" s="816"/>
      <c r="CF78" s="816"/>
      <c r="CG78" s="816"/>
      <c r="CH78" s="816"/>
      <c r="CI78" s="816"/>
      <c r="CJ78" s="816"/>
      <c r="CK78" s="816"/>
      <c r="CL78" s="816"/>
      <c r="CM78" s="816"/>
      <c r="CN78" s="816"/>
      <c r="CO78" s="816"/>
      <c r="CP78" s="816"/>
      <c r="CQ78" s="816"/>
      <c r="CR78" s="816"/>
      <c r="CS78" s="816"/>
      <c r="CT78" s="816"/>
      <c r="CU78" s="816"/>
      <c r="CV78" s="816"/>
      <c r="CW78" s="816"/>
      <c r="CX78" s="816"/>
      <c r="CY78" s="816"/>
      <c r="CZ78" s="816"/>
      <c r="DA78" s="816"/>
      <c r="DB78" s="816"/>
      <c r="DC78" s="816"/>
      <c r="DD78" s="816"/>
      <c r="DE78" s="816"/>
      <c r="DF78" s="816"/>
      <c r="DG78" s="816"/>
      <c r="DH78" s="816"/>
      <c r="DI78" s="816"/>
      <c r="DJ78" s="816"/>
      <c r="DK78" s="816"/>
      <c r="DL78" s="816"/>
      <c r="DM78" s="816"/>
      <c r="DN78" s="816"/>
      <c r="DO78" s="816"/>
      <c r="DP78" s="816"/>
      <c r="DQ78" s="816"/>
      <c r="DR78" s="816"/>
      <c r="DS78" s="816"/>
      <c r="DT78" s="816"/>
      <c r="DU78" s="816"/>
      <c r="DV78" s="816"/>
      <c r="DW78" s="816"/>
      <c r="DX78" s="816"/>
      <c r="DY78" s="816"/>
      <c r="DZ78" s="816"/>
      <c r="EA78" s="816"/>
      <c r="EB78" s="816"/>
      <c r="EC78" s="816"/>
      <c r="ED78" s="816"/>
      <c r="EE78" s="816"/>
      <c r="EF78" s="816"/>
      <c r="EG78" s="816"/>
      <c r="EH78" s="816"/>
      <c r="EI78" s="816"/>
      <c r="EJ78" s="816"/>
      <c r="EK78" s="816"/>
      <c r="EL78" s="816"/>
      <c r="EM78" s="816"/>
      <c r="EN78" s="816"/>
      <c r="EO78" s="816"/>
      <c r="EP78" s="816"/>
      <c r="EQ78" s="816"/>
      <c r="ER78" s="816"/>
      <c r="ES78" s="816"/>
      <c r="ET78" s="816"/>
      <c r="EU78" s="816"/>
      <c r="EV78" s="816"/>
      <c r="EW78" s="816"/>
      <c r="EX78" s="816"/>
      <c r="EY78" s="816"/>
      <c r="EZ78" s="816"/>
      <c r="FA78" s="816"/>
      <c r="FB78" s="816"/>
      <c r="FC78" s="816"/>
      <c r="FD78" s="816"/>
      <c r="FE78" s="816"/>
      <c r="FF78" s="816"/>
      <c r="FG78" s="816"/>
      <c r="FH78" s="816"/>
      <c r="FI78" s="816"/>
      <c r="FJ78" s="816"/>
      <c r="FK78" s="816"/>
      <c r="FL78" s="816"/>
      <c r="FM78" s="816"/>
      <c r="FN78" s="816"/>
      <c r="FO78" s="816"/>
      <c r="FP78" s="816"/>
      <c r="FQ78" s="816"/>
      <c r="FR78" s="816"/>
      <c r="FS78" s="816"/>
      <c r="FT78" s="816"/>
      <c r="FU78" s="816"/>
      <c r="FV78" s="816"/>
      <c r="FW78" s="816"/>
      <c r="FX78" s="816"/>
      <c r="FY78" s="816"/>
      <c r="FZ78" s="816"/>
      <c r="GA78" s="816"/>
      <c r="GB78" s="816"/>
      <c r="GC78" s="816"/>
      <c r="GD78" s="816"/>
      <c r="GE78" s="816"/>
      <c r="GF78" s="816"/>
      <c r="GG78" s="816"/>
      <c r="GH78" s="816"/>
      <c r="GI78" s="816"/>
      <c r="GJ78" s="816"/>
      <c r="GK78" s="816"/>
      <c r="GL78" s="816"/>
      <c r="GM78" s="816"/>
      <c r="GN78" s="816"/>
      <c r="GO78" s="816"/>
      <c r="GP78" s="816"/>
      <c r="GQ78" s="816"/>
      <c r="GR78" s="816"/>
      <c r="GS78" s="816"/>
      <c r="GT78" s="816"/>
      <c r="GU78" s="816"/>
      <c r="GV78" s="816"/>
      <c r="GW78" s="816"/>
      <c r="GX78" s="816"/>
      <c r="GY78" s="816"/>
      <c r="GZ78" s="816"/>
      <c r="HA78" s="816"/>
      <c r="HB78" s="816"/>
      <c r="HC78" s="816"/>
      <c r="HD78" s="816"/>
      <c r="HE78" s="816"/>
      <c r="HF78" s="816"/>
      <c r="HG78" s="816"/>
      <c r="HH78" s="816"/>
      <c r="HI78" s="816"/>
      <c r="HJ78" s="816"/>
      <c r="HK78" s="816"/>
      <c r="HL78" s="816"/>
      <c r="HM78" s="816"/>
      <c r="HN78" s="816"/>
      <c r="HO78" s="816"/>
      <c r="HP78" s="816"/>
      <c r="HQ78" s="816"/>
      <c r="HR78" s="816"/>
      <c r="HS78" s="816"/>
      <c r="HT78" s="816"/>
      <c r="HU78" s="816"/>
      <c r="HV78" s="816"/>
      <c r="HW78" s="816"/>
      <c r="HX78" s="816"/>
      <c r="HY78" s="816"/>
      <c r="HZ78" s="816"/>
      <c r="IA78" s="816"/>
      <c r="IB78" s="816"/>
      <c r="IC78" s="816"/>
      <c r="ID78" s="816"/>
      <c r="IE78" s="816"/>
      <c r="IF78" s="816"/>
      <c r="IG78" s="816"/>
      <c r="IH78" s="816"/>
      <c r="II78" s="816"/>
      <c r="IJ78" s="816"/>
      <c r="IK78" s="816"/>
      <c r="IL78" s="816"/>
      <c r="IM78" s="816"/>
      <c r="IN78" s="816"/>
      <c r="IO78" s="816"/>
      <c r="IP78" s="816"/>
      <c r="IQ78" s="816"/>
      <c r="IR78" s="816"/>
      <c r="IS78" s="816"/>
      <c r="IT78" s="816"/>
      <c r="IU78" s="816"/>
      <c r="IV78" s="816"/>
    </row>
    <row r="79" spans="1:256" s="796" customFormat="1" ht="81" customHeight="1">
      <c r="A79" s="1033"/>
      <c r="B79" s="1034"/>
      <c r="C79" s="1035"/>
      <c r="D79" s="584" t="s">
        <v>194</v>
      </c>
      <c r="E79" s="1036"/>
      <c r="F79" s="1037"/>
      <c r="G79" s="298"/>
      <c r="H79" s="1038"/>
      <c r="I79" s="1039"/>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797"/>
      <c r="AP79" s="797"/>
      <c r="AQ79" s="797"/>
      <c r="AR79" s="797"/>
      <c r="AS79" s="797"/>
      <c r="AT79" s="797"/>
      <c r="AU79" s="797"/>
      <c r="AV79" s="797"/>
      <c r="AW79" s="797"/>
      <c r="AX79" s="797"/>
      <c r="AY79" s="797"/>
      <c r="AZ79" s="797"/>
      <c r="BA79" s="797"/>
      <c r="BB79" s="797"/>
      <c r="BC79" s="797"/>
      <c r="BD79" s="797"/>
      <c r="BE79" s="797"/>
      <c r="BF79" s="797"/>
      <c r="BG79" s="797"/>
      <c r="BH79" s="797"/>
      <c r="BI79" s="797"/>
      <c r="BJ79" s="797"/>
      <c r="BK79" s="797"/>
      <c r="BL79" s="797"/>
      <c r="BM79" s="797"/>
      <c r="BN79" s="797"/>
      <c r="BO79" s="797"/>
      <c r="BP79" s="797"/>
      <c r="BQ79" s="797"/>
      <c r="BR79" s="797"/>
      <c r="BS79" s="797"/>
      <c r="BT79" s="797"/>
      <c r="BU79" s="797"/>
      <c r="BV79" s="797"/>
      <c r="BW79" s="797"/>
      <c r="BX79" s="797"/>
      <c r="BY79" s="797"/>
      <c r="BZ79" s="797"/>
      <c r="CA79" s="797"/>
      <c r="CB79" s="797"/>
      <c r="CC79" s="797"/>
      <c r="CD79" s="797"/>
      <c r="CE79" s="797"/>
      <c r="CF79" s="797"/>
      <c r="CG79" s="797"/>
      <c r="CH79" s="797"/>
      <c r="CI79" s="797"/>
      <c r="CJ79" s="797"/>
      <c r="CK79" s="797"/>
      <c r="CL79" s="797"/>
      <c r="CM79" s="797"/>
      <c r="CN79" s="797"/>
      <c r="CO79" s="797"/>
      <c r="CP79" s="797"/>
      <c r="CQ79" s="797"/>
      <c r="CR79" s="797"/>
      <c r="CS79" s="797"/>
      <c r="CT79" s="797"/>
      <c r="CU79" s="797"/>
      <c r="CV79" s="797"/>
      <c r="CW79" s="797"/>
      <c r="CX79" s="797"/>
      <c r="CY79" s="797"/>
      <c r="CZ79" s="797"/>
      <c r="DA79" s="797"/>
      <c r="DB79" s="797"/>
      <c r="DC79" s="797"/>
      <c r="DD79" s="797"/>
      <c r="DE79" s="797"/>
      <c r="DF79" s="797"/>
      <c r="DG79" s="797"/>
      <c r="DH79" s="797"/>
      <c r="DI79" s="797"/>
      <c r="DJ79" s="797"/>
      <c r="DK79" s="797"/>
      <c r="DL79" s="797"/>
      <c r="DM79" s="797"/>
      <c r="DN79" s="797"/>
      <c r="DO79" s="797"/>
      <c r="DP79" s="797"/>
      <c r="DQ79" s="797"/>
      <c r="DR79" s="797"/>
      <c r="DS79" s="797"/>
      <c r="DT79" s="797"/>
      <c r="DU79" s="797"/>
      <c r="DV79" s="797"/>
      <c r="DW79" s="797"/>
      <c r="DX79" s="797"/>
      <c r="DY79" s="797"/>
      <c r="DZ79" s="797"/>
      <c r="EA79" s="797"/>
      <c r="EB79" s="797"/>
      <c r="EC79" s="797"/>
      <c r="ED79" s="797"/>
      <c r="EE79" s="797"/>
      <c r="EF79" s="797"/>
      <c r="EG79" s="797"/>
      <c r="EH79" s="797"/>
      <c r="EI79" s="797"/>
      <c r="EJ79" s="797"/>
      <c r="EK79" s="797"/>
      <c r="EL79" s="797"/>
      <c r="EM79" s="797"/>
      <c r="EN79" s="797"/>
      <c r="EO79" s="797"/>
      <c r="EP79" s="797"/>
      <c r="EQ79" s="797"/>
      <c r="ER79" s="797"/>
      <c r="ES79" s="797"/>
      <c r="ET79" s="797"/>
      <c r="EU79" s="797"/>
      <c r="EV79" s="797"/>
      <c r="EW79" s="797"/>
      <c r="EX79" s="797"/>
      <c r="EY79" s="797"/>
      <c r="EZ79" s="797"/>
      <c r="FA79" s="797"/>
      <c r="FB79" s="797"/>
      <c r="FC79" s="797"/>
      <c r="FD79" s="797"/>
      <c r="FE79" s="797"/>
      <c r="FF79" s="797"/>
      <c r="FG79" s="797"/>
      <c r="FH79" s="797"/>
      <c r="FI79" s="797"/>
      <c r="FJ79" s="797"/>
      <c r="FK79" s="797"/>
      <c r="FL79" s="797"/>
      <c r="FM79" s="797"/>
      <c r="FN79" s="797"/>
      <c r="FO79" s="797"/>
      <c r="FP79" s="797"/>
      <c r="FQ79" s="797"/>
      <c r="FR79" s="797"/>
      <c r="FS79" s="797"/>
      <c r="FT79" s="797"/>
      <c r="FU79" s="797"/>
      <c r="FV79" s="797"/>
      <c r="FW79" s="797"/>
      <c r="FX79" s="797"/>
      <c r="FY79" s="797"/>
      <c r="FZ79" s="797"/>
      <c r="GA79" s="797"/>
      <c r="GB79" s="797"/>
      <c r="GC79" s="797"/>
      <c r="GD79" s="797"/>
      <c r="GE79" s="797"/>
      <c r="GF79" s="797"/>
      <c r="GG79" s="797"/>
      <c r="GH79" s="797"/>
      <c r="GI79" s="797"/>
      <c r="GJ79" s="797"/>
      <c r="GK79" s="797"/>
      <c r="GL79" s="797"/>
      <c r="GM79" s="797"/>
      <c r="GN79" s="797"/>
      <c r="GO79" s="797"/>
      <c r="GP79" s="797"/>
      <c r="GQ79" s="797"/>
      <c r="GR79" s="797"/>
      <c r="GS79" s="797"/>
      <c r="GT79" s="797"/>
      <c r="GU79" s="797"/>
      <c r="GV79" s="797"/>
      <c r="GW79" s="797"/>
      <c r="GX79" s="797"/>
      <c r="GY79" s="797"/>
      <c r="GZ79" s="797"/>
      <c r="HA79" s="797"/>
      <c r="HB79" s="797"/>
      <c r="HC79" s="797"/>
      <c r="HD79" s="797"/>
      <c r="HE79" s="797"/>
      <c r="HF79" s="797"/>
      <c r="HG79" s="797"/>
      <c r="HH79" s="797"/>
      <c r="HI79" s="797"/>
      <c r="HJ79" s="797"/>
      <c r="HK79" s="797"/>
      <c r="HL79" s="797"/>
      <c r="HM79" s="797"/>
      <c r="HN79" s="797"/>
      <c r="HO79" s="797"/>
      <c r="HP79" s="797"/>
      <c r="HQ79" s="797"/>
      <c r="HR79" s="797"/>
      <c r="HS79" s="797"/>
      <c r="HT79" s="797"/>
      <c r="HU79" s="797"/>
      <c r="HV79" s="797"/>
      <c r="HW79" s="797"/>
      <c r="HX79" s="797"/>
      <c r="HY79" s="797"/>
      <c r="HZ79" s="797"/>
      <c r="IA79" s="797"/>
      <c r="IB79" s="797"/>
      <c r="IC79" s="797"/>
      <c r="ID79" s="797"/>
      <c r="IE79" s="797"/>
      <c r="IF79" s="797"/>
      <c r="IG79" s="797"/>
      <c r="IH79" s="797"/>
      <c r="II79" s="797"/>
      <c r="IJ79" s="797"/>
      <c r="IK79" s="797"/>
      <c r="IL79" s="797"/>
      <c r="IM79" s="797"/>
      <c r="IN79" s="797"/>
      <c r="IO79" s="797"/>
      <c r="IP79" s="797"/>
      <c r="IQ79" s="797"/>
      <c r="IR79" s="797"/>
      <c r="IS79" s="797"/>
      <c r="IT79" s="797"/>
      <c r="IU79" s="797"/>
      <c r="IV79" s="797"/>
    </row>
    <row r="80" spans="1:256" s="934" customFormat="1" ht="13.5" customHeight="1">
      <c r="A80" s="1040"/>
      <c r="B80" s="1041"/>
      <c r="C80" s="1041">
        <v>2</v>
      </c>
      <c r="D80" s="1041" t="s">
        <v>195</v>
      </c>
      <c r="E80" s="1041"/>
      <c r="F80" s="1042"/>
      <c r="G80" s="387"/>
      <c r="H80" s="1043">
        <f>SUM(H81:H90)</f>
        <v>0</v>
      </c>
      <c r="I80" s="1044"/>
      <c r="J80" s="1045"/>
      <c r="K80" s="1046"/>
    </row>
    <row r="81" spans="1:256" s="934" customFormat="1" ht="13.5" customHeight="1">
      <c r="A81" s="929">
        <v>24</v>
      </c>
      <c r="B81" s="968" t="s">
        <v>197</v>
      </c>
      <c r="C81" s="930" t="s">
        <v>5510</v>
      </c>
      <c r="D81" s="930" t="s">
        <v>209</v>
      </c>
      <c r="E81" s="930" t="s">
        <v>163</v>
      </c>
      <c r="F81" s="981">
        <f>SUM(F82:F84)</f>
        <v>347.34</v>
      </c>
      <c r="G81" s="380"/>
      <c r="H81" s="949">
        <f>F81*G81</f>
        <v>0</v>
      </c>
      <c r="I81" s="941" t="s">
        <v>112</v>
      </c>
      <c r="J81" s="1047"/>
    </row>
    <row r="82" spans="1:256" s="934" customFormat="1" ht="13.5" customHeight="1">
      <c r="A82" s="929"/>
      <c r="B82" s="930"/>
      <c r="C82" s="930"/>
      <c r="D82" s="940" t="s">
        <v>5511</v>
      </c>
      <c r="E82" s="930"/>
      <c r="F82" s="973">
        <f>(40.63+33.72+20.54)</f>
        <v>94.889999999999986</v>
      </c>
      <c r="G82" s="380"/>
      <c r="H82" s="949"/>
      <c r="I82" s="941"/>
    </row>
    <row r="83" spans="1:256" s="934" customFormat="1" ht="13.5" customHeight="1">
      <c r="A83" s="929"/>
      <c r="B83" s="930"/>
      <c r="C83" s="930"/>
      <c r="D83" s="940" t="s">
        <v>5512</v>
      </c>
      <c r="E83" s="930"/>
      <c r="F83" s="973">
        <f>(42.73+17.33)</f>
        <v>60.059999999999995</v>
      </c>
      <c r="G83" s="380"/>
      <c r="H83" s="949"/>
      <c r="I83" s="941"/>
    </row>
    <row r="84" spans="1:256" s="934" customFormat="1" ht="13.5" customHeight="1">
      <c r="A84" s="929"/>
      <c r="B84" s="930"/>
      <c r="C84" s="930"/>
      <c r="D84" s="940" t="s">
        <v>5513</v>
      </c>
      <c r="E84" s="930"/>
      <c r="F84" s="973">
        <v>192.39</v>
      </c>
      <c r="G84" s="380"/>
      <c r="H84" s="949"/>
      <c r="I84" s="941"/>
    </row>
    <row r="85" spans="1:256" s="593" customFormat="1" ht="13.5" customHeight="1">
      <c r="A85" s="1048">
        <v>25</v>
      </c>
      <c r="B85" s="1049">
        <v>592</v>
      </c>
      <c r="C85" s="1049" t="s">
        <v>5514</v>
      </c>
      <c r="D85" s="1049" t="s">
        <v>5515</v>
      </c>
      <c r="E85" s="1049" t="s">
        <v>141</v>
      </c>
      <c r="F85" s="1050">
        <f>SUM(F86:F86)</f>
        <v>99.634499999999989</v>
      </c>
      <c r="G85" s="1213"/>
      <c r="H85" s="1051">
        <f>F85*G85</f>
        <v>0</v>
      </c>
      <c r="I85" s="1052" t="s">
        <v>111</v>
      </c>
      <c r="J85" s="1053"/>
      <c r="K85" s="1054"/>
      <c r="L85" s="1054"/>
      <c r="M85" s="1054"/>
      <c r="N85" s="1054"/>
      <c r="O85" s="1055"/>
      <c r="P85" s="1056"/>
      <c r="Q85" s="1057"/>
      <c r="R85" s="1058"/>
      <c r="S85" s="1058"/>
      <c r="T85" s="1059"/>
      <c r="U85" s="467"/>
      <c r="V85" s="1060"/>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467"/>
      <c r="CA85" s="467"/>
      <c r="CB85" s="467"/>
      <c r="CC85" s="467"/>
      <c r="CD85" s="467"/>
      <c r="CE85" s="467"/>
      <c r="CF85" s="467"/>
      <c r="CG85" s="467"/>
      <c r="CH85" s="467"/>
      <c r="CI85" s="467"/>
      <c r="CJ85" s="467"/>
      <c r="CK85" s="467"/>
      <c r="CL85" s="467"/>
      <c r="CM85" s="467"/>
      <c r="CN85" s="467"/>
      <c r="CO85" s="467"/>
      <c r="CP85" s="467"/>
      <c r="CQ85" s="467"/>
      <c r="CR85" s="467"/>
      <c r="CS85" s="467"/>
      <c r="CT85" s="467"/>
      <c r="CU85" s="467"/>
      <c r="CV85" s="467"/>
      <c r="CW85" s="467"/>
      <c r="CX85" s="467"/>
      <c r="CY85" s="467"/>
      <c r="CZ85" s="467"/>
      <c r="DA85" s="467"/>
      <c r="DB85" s="467"/>
      <c r="DC85" s="467"/>
      <c r="DD85" s="467"/>
      <c r="DE85" s="467"/>
      <c r="DF85" s="467"/>
      <c r="DG85" s="467"/>
      <c r="DH85" s="467"/>
      <c r="DI85" s="467"/>
      <c r="DJ85" s="467"/>
      <c r="DK85" s="467"/>
      <c r="DL85" s="467"/>
      <c r="DM85" s="467"/>
      <c r="DN85" s="467"/>
      <c r="DO85" s="467"/>
      <c r="DP85" s="467"/>
      <c r="DQ85" s="467"/>
      <c r="DR85" s="467"/>
      <c r="DS85" s="467"/>
      <c r="DT85" s="467"/>
      <c r="DU85" s="467"/>
      <c r="DV85" s="467"/>
      <c r="DW85" s="467"/>
      <c r="DX85" s="467"/>
      <c r="DY85" s="467"/>
      <c r="DZ85" s="467"/>
      <c r="EA85" s="467"/>
      <c r="EB85" s="467"/>
      <c r="EC85" s="467"/>
      <c r="ED85" s="467"/>
      <c r="EE85" s="467"/>
      <c r="EF85" s="467"/>
      <c r="EG85" s="467"/>
      <c r="EH85" s="467"/>
      <c r="EI85" s="467"/>
      <c r="EJ85" s="467"/>
      <c r="EK85" s="467"/>
      <c r="EL85" s="467"/>
      <c r="EM85" s="467"/>
      <c r="EN85" s="467"/>
      <c r="EO85" s="467"/>
      <c r="EP85" s="467"/>
      <c r="EQ85" s="467"/>
      <c r="ER85" s="467"/>
      <c r="ES85" s="467"/>
      <c r="ET85" s="467"/>
      <c r="EU85" s="467"/>
      <c r="EV85" s="467"/>
      <c r="EW85" s="467"/>
      <c r="EX85" s="467"/>
      <c r="EY85" s="467"/>
      <c r="EZ85" s="467"/>
      <c r="FA85" s="467"/>
      <c r="FB85" s="467"/>
      <c r="FC85" s="467"/>
      <c r="FD85" s="467"/>
      <c r="FE85" s="467"/>
      <c r="FF85" s="467"/>
      <c r="FG85" s="467"/>
      <c r="FH85" s="467"/>
      <c r="FI85" s="467"/>
      <c r="FJ85" s="467"/>
      <c r="FK85" s="467"/>
      <c r="FL85" s="467"/>
      <c r="FM85" s="467"/>
      <c r="FN85" s="467"/>
      <c r="FO85" s="467"/>
      <c r="FP85" s="467"/>
      <c r="FQ85" s="467"/>
      <c r="FR85" s="467"/>
      <c r="FS85" s="467"/>
      <c r="FT85" s="467"/>
      <c r="FU85" s="467"/>
      <c r="FV85" s="467"/>
      <c r="FW85" s="467"/>
      <c r="FX85" s="467"/>
      <c r="FY85" s="467"/>
      <c r="FZ85" s="467"/>
      <c r="GA85" s="467"/>
      <c r="GB85" s="467"/>
      <c r="GC85" s="467"/>
      <c r="GD85" s="467"/>
      <c r="GE85" s="467"/>
      <c r="GF85" s="467"/>
      <c r="GG85" s="467"/>
      <c r="GH85" s="467"/>
      <c r="GI85" s="467"/>
      <c r="GJ85" s="467"/>
      <c r="GK85" s="467"/>
      <c r="GL85" s="467"/>
      <c r="GM85" s="467"/>
      <c r="GN85" s="467"/>
      <c r="GO85" s="467"/>
      <c r="GP85" s="467"/>
      <c r="GQ85" s="467"/>
      <c r="GR85" s="467"/>
      <c r="GS85" s="467"/>
      <c r="GT85" s="467"/>
      <c r="GU85" s="467"/>
      <c r="GV85" s="467"/>
      <c r="GW85" s="467"/>
      <c r="GX85" s="467"/>
      <c r="GY85" s="467"/>
      <c r="GZ85" s="467"/>
      <c r="HA85" s="467"/>
      <c r="HB85" s="467"/>
      <c r="HC85" s="467"/>
      <c r="HD85" s="467"/>
      <c r="HE85" s="467"/>
      <c r="HF85" s="467"/>
      <c r="HG85" s="467"/>
      <c r="HH85" s="467"/>
      <c r="HI85" s="467"/>
      <c r="HJ85" s="467"/>
      <c r="HK85" s="467"/>
      <c r="HL85" s="467"/>
      <c r="HM85" s="467"/>
      <c r="HN85" s="467"/>
      <c r="HO85" s="467"/>
      <c r="HP85" s="467"/>
      <c r="HQ85" s="467"/>
      <c r="HR85" s="467"/>
      <c r="HS85" s="467"/>
      <c r="HT85" s="467"/>
      <c r="HU85" s="467"/>
      <c r="HV85" s="467"/>
      <c r="HW85" s="467"/>
      <c r="HX85" s="467"/>
      <c r="HY85" s="467"/>
      <c r="HZ85" s="467"/>
      <c r="IA85" s="467"/>
      <c r="IB85" s="467"/>
      <c r="IC85" s="467"/>
      <c r="ID85" s="467"/>
      <c r="IE85" s="467"/>
      <c r="IF85" s="467"/>
      <c r="IG85" s="467"/>
      <c r="IH85" s="467"/>
      <c r="II85" s="467"/>
      <c r="IJ85" s="467"/>
      <c r="IK85" s="467"/>
      <c r="IL85" s="467"/>
      <c r="IM85" s="467"/>
      <c r="IN85" s="467"/>
      <c r="IO85" s="467"/>
      <c r="IP85" s="467"/>
      <c r="IQ85" s="467"/>
      <c r="IR85" s="467"/>
      <c r="IS85" s="467"/>
      <c r="IT85" s="467"/>
      <c r="IU85" s="467"/>
      <c r="IV85" s="467"/>
    </row>
    <row r="86" spans="1:256" s="593" customFormat="1" ht="13.5" customHeight="1">
      <c r="A86" s="1048"/>
      <c r="B86" s="1049"/>
      <c r="C86" s="1049"/>
      <c r="D86" s="1061" t="s">
        <v>5516</v>
      </c>
      <c r="E86" s="1062"/>
      <c r="F86" s="1063">
        <f>(40.63+33.72+20.54)*1.05</f>
        <v>99.634499999999989</v>
      </c>
      <c r="G86" s="1213"/>
      <c r="H86" s="1051"/>
      <c r="I86" s="1064"/>
      <c r="J86" s="1065"/>
      <c r="K86" s="467"/>
      <c r="L86" s="1054"/>
      <c r="M86" s="1054"/>
      <c r="N86" s="1054"/>
      <c r="O86" s="1055"/>
      <c r="P86" s="1056"/>
      <c r="Q86" s="1057"/>
      <c r="R86" s="1058"/>
      <c r="S86" s="1058"/>
      <c r="T86" s="1059"/>
      <c r="U86" s="467"/>
      <c r="V86" s="1060"/>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c r="CB86" s="467"/>
      <c r="CC86" s="467"/>
      <c r="CD86" s="467"/>
      <c r="CE86" s="467"/>
      <c r="CF86" s="467"/>
      <c r="CG86" s="467"/>
      <c r="CH86" s="467"/>
      <c r="CI86" s="467"/>
      <c r="CJ86" s="467"/>
      <c r="CK86" s="467"/>
      <c r="CL86" s="467"/>
      <c r="CM86" s="467"/>
      <c r="CN86" s="467"/>
      <c r="CO86" s="467"/>
      <c r="CP86" s="467"/>
      <c r="CQ86" s="467"/>
      <c r="CR86" s="467"/>
      <c r="CS86" s="467"/>
      <c r="CT86" s="467"/>
      <c r="CU86" s="467"/>
      <c r="CV86" s="467"/>
      <c r="CW86" s="467"/>
      <c r="CX86" s="467"/>
      <c r="CY86" s="467"/>
      <c r="CZ86" s="467"/>
      <c r="DA86" s="467"/>
      <c r="DB86" s="467"/>
      <c r="DC86" s="467"/>
      <c r="DD86" s="467"/>
      <c r="DE86" s="467"/>
      <c r="DF86" s="467"/>
      <c r="DG86" s="467"/>
      <c r="DH86" s="467"/>
      <c r="DI86" s="467"/>
      <c r="DJ86" s="467"/>
      <c r="DK86" s="467"/>
      <c r="DL86" s="467"/>
      <c r="DM86" s="467"/>
      <c r="DN86" s="467"/>
      <c r="DO86" s="467"/>
      <c r="DP86" s="467"/>
      <c r="DQ86" s="467"/>
      <c r="DR86" s="467"/>
      <c r="DS86" s="467"/>
      <c r="DT86" s="467"/>
      <c r="DU86" s="467"/>
      <c r="DV86" s="467"/>
      <c r="DW86" s="467"/>
      <c r="DX86" s="467"/>
      <c r="DY86" s="467"/>
      <c r="DZ86" s="467"/>
      <c r="EA86" s="467"/>
      <c r="EB86" s="467"/>
      <c r="EC86" s="467"/>
      <c r="ED86" s="467"/>
      <c r="EE86" s="467"/>
      <c r="EF86" s="467"/>
      <c r="EG86" s="467"/>
      <c r="EH86" s="467"/>
      <c r="EI86" s="467"/>
      <c r="EJ86" s="467"/>
      <c r="EK86" s="467"/>
      <c r="EL86" s="467"/>
      <c r="EM86" s="467"/>
      <c r="EN86" s="467"/>
      <c r="EO86" s="467"/>
      <c r="EP86" s="467"/>
      <c r="EQ86" s="467"/>
      <c r="ER86" s="467"/>
      <c r="ES86" s="467"/>
      <c r="ET86" s="467"/>
      <c r="EU86" s="467"/>
      <c r="EV86" s="467"/>
      <c r="EW86" s="467"/>
      <c r="EX86" s="467"/>
      <c r="EY86" s="467"/>
      <c r="EZ86" s="467"/>
      <c r="FA86" s="467"/>
      <c r="FB86" s="467"/>
      <c r="FC86" s="467"/>
      <c r="FD86" s="467"/>
      <c r="FE86" s="467"/>
      <c r="FF86" s="467"/>
      <c r="FG86" s="467"/>
      <c r="FH86" s="467"/>
      <c r="FI86" s="467"/>
      <c r="FJ86" s="467"/>
      <c r="FK86" s="467"/>
      <c r="FL86" s="467"/>
      <c r="FM86" s="467"/>
      <c r="FN86" s="467"/>
      <c r="FO86" s="467"/>
      <c r="FP86" s="467"/>
      <c r="FQ86" s="467"/>
      <c r="FR86" s="467"/>
      <c r="FS86" s="467"/>
      <c r="FT86" s="467"/>
      <c r="FU86" s="467"/>
      <c r="FV86" s="467"/>
      <c r="FW86" s="467"/>
      <c r="FX86" s="467"/>
      <c r="FY86" s="467"/>
      <c r="FZ86" s="467"/>
      <c r="GA86" s="467"/>
      <c r="GB86" s="467"/>
      <c r="GC86" s="467"/>
      <c r="GD86" s="467"/>
      <c r="GE86" s="467"/>
      <c r="GF86" s="467"/>
      <c r="GG86" s="467"/>
      <c r="GH86" s="467"/>
      <c r="GI86" s="467"/>
      <c r="GJ86" s="467"/>
      <c r="GK86" s="467"/>
      <c r="GL86" s="467"/>
      <c r="GM86" s="467"/>
      <c r="GN86" s="467"/>
      <c r="GO86" s="467"/>
      <c r="GP86" s="467"/>
      <c r="GQ86" s="467"/>
      <c r="GR86" s="467"/>
      <c r="GS86" s="467"/>
      <c r="GT86" s="467"/>
      <c r="GU86" s="467"/>
      <c r="GV86" s="467"/>
      <c r="GW86" s="467"/>
      <c r="GX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E86" s="467"/>
      <c r="IF86" s="467"/>
      <c r="IG86" s="467"/>
      <c r="IH86" s="467"/>
      <c r="II86" s="467"/>
      <c r="IJ86" s="467"/>
      <c r="IK86" s="467"/>
      <c r="IL86" s="467"/>
      <c r="IM86" s="467"/>
      <c r="IN86" s="467"/>
      <c r="IO86" s="467"/>
      <c r="IP86" s="467"/>
      <c r="IQ86" s="467"/>
      <c r="IR86" s="467"/>
      <c r="IS86" s="467"/>
      <c r="IT86" s="467"/>
      <c r="IU86" s="467"/>
      <c r="IV86" s="467"/>
    </row>
    <row r="87" spans="1:256" s="593" customFormat="1" ht="13.5" customHeight="1">
      <c r="A87" s="1048">
        <v>26</v>
      </c>
      <c r="B87" s="1049">
        <v>592</v>
      </c>
      <c r="C87" s="1049" t="s">
        <v>5517</v>
      </c>
      <c r="D87" s="1049" t="s">
        <v>5518</v>
      </c>
      <c r="E87" s="1049" t="s">
        <v>141</v>
      </c>
      <c r="F87" s="1050">
        <f>SUM(F88:F88)</f>
        <v>63.062999999999995</v>
      </c>
      <c r="G87" s="1213"/>
      <c r="H87" s="1051">
        <f>F87*G87</f>
        <v>0</v>
      </c>
      <c r="I87" s="1052" t="s">
        <v>111</v>
      </c>
      <c r="J87" s="1053"/>
      <c r="K87" s="1054"/>
      <c r="L87" s="1054"/>
      <c r="M87" s="1054"/>
      <c r="N87" s="1054"/>
      <c r="O87" s="1055"/>
      <c r="P87" s="1056"/>
      <c r="Q87" s="1057"/>
      <c r="R87" s="1058"/>
      <c r="S87" s="1058"/>
      <c r="T87" s="1059"/>
      <c r="U87" s="467"/>
      <c r="V87" s="1060"/>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467"/>
      <c r="BX87" s="467"/>
      <c r="BY87" s="467"/>
      <c r="BZ87" s="467"/>
      <c r="CA87" s="467"/>
      <c r="CB87" s="467"/>
      <c r="CC87" s="467"/>
      <c r="CD87" s="467"/>
      <c r="CE87" s="467"/>
      <c r="CF87" s="467"/>
      <c r="CG87" s="467"/>
      <c r="CH87" s="467"/>
      <c r="CI87" s="467"/>
      <c r="CJ87" s="467"/>
      <c r="CK87" s="467"/>
      <c r="CL87" s="467"/>
      <c r="CM87" s="467"/>
      <c r="CN87" s="467"/>
      <c r="CO87" s="467"/>
      <c r="CP87" s="467"/>
      <c r="CQ87" s="467"/>
      <c r="CR87" s="467"/>
      <c r="CS87" s="467"/>
      <c r="CT87" s="467"/>
      <c r="CU87" s="467"/>
      <c r="CV87" s="467"/>
      <c r="CW87" s="467"/>
      <c r="CX87" s="467"/>
      <c r="CY87" s="467"/>
      <c r="CZ87" s="467"/>
      <c r="DA87" s="467"/>
      <c r="DB87" s="467"/>
      <c r="DC87" s="467"/>
      <c r="DD87" s="467"/>
      <c r="DE87" s="467"/>
      <c r="DF87" s="467"/>
      <c r="DG87" s="467"/>
      <c r="DH87" s="467"/>
      <c r="DI87" s="467"/>
      <c r="DJ87" s="467"/>
      <c r="DK87" s="467"/>
      <c r="DL87" s="467"/>
      <c r="DM87" s="467"/>
      <c r="DN87" s="467"/>
      <c r="DO87" s="467"/>
      <c r="DP87" s="467"/>
      <c r="DQ87" s="467"/>
      <c r="DR87" s="467"/>
      <c r="DS87" s="467"/>
      <c r="DT87" s="467"/>
      <c r="DU87" s="467"/>
      <c r="DV87" s="467"/>
      <c r="DW87" s="467"/>
      <c r="DX87" s="467"/>
      <c r="DY87" s="467"/>
      <c r="DZ87" s="467"/>
      <c r="EA87" s="467"/>
      <c r="EB87" s="467"/>
      <c r="EC87" s="467"/>
      <c r="ED87" s="467"/>
      <c r="EE87" s="467"/>
      <c r="EF87" s="467"/>
      <c r="EG87" s="467"/>
      <c r="EH87" s="467"/>
      <c r="EI87" s="467"/>
      <c r="EJ87" s="467"/>
      <c r="EK87" s="467"/>
      <c r="EL87" s="467"/>
      <c r="EM87" s="467"/>
      <c r="EN87" s="467"/>
      <c r="EO87" s="467"/>
      <c r="EP87" s="467"/>
      <c r="EQ87" s="467"/>
      <c r="ER87" s="467"/>
      <c r="ES87" s="467"/>
      <c r="ET87" s="467"/>
      <c r="EU87" s="467"/>
      <c r="EV87" s="467"/>
      <c r="EW87" s="467"/>
      <c r="EX87" s="467"/>
      <c r="EY87" s="467"/>
      <c r="EZ87" s="467"/>
      <c r="FA87" s="467"/>
      <c r="FB87" s="467"/>
      <c r="FC87" s="467"/>
      <c r="FD87" s="467"/>
      <c r="FE87" s="467"/>
      <c r="FF87" s="467"/>
      <c r="FG87" s="467"/>
      <c r="FH87" s="467"/>
      <c r="FI87" s="467"/>
      <c r="FJ87" s="467"/>
      <c r="FK87" s="467"/>
      <c r="FL87" s="467"/>
      <c r="FM87" s="467"/>
      <c r="FN87" s="467"/>
      <c r="FO87" s="467"/>
      <c r="FP87" s="467"/>
      <c r="FQ87" s="467"/>
      <c r="FR87" s="467"/>
      <c r="FS87" s="467"/>
      <c r="FT87" s="467"/>
      <c r="FU87" s="467"/>
      <c r="FV87" s="467"/>
      <c r="FW87" s="467"/>
      <c r="FX87" s="467"/>
      <c r="FY87" s="467"/>
      <c r="FZ87" s="467"/>
      <c r="GA87" s="467"/>
      <c r="GB87" s="467"/>
      <c r="GC87" s="467"/>
      <c r="GD87" s="467"/>
      <c r="GE87" s="467"/>
      <c r="GF87" s="467"/>
      <c r="GG87" s="467"/>
      <c r="GH87" s="467"/>
      <c r="GI87" s="467"/>
      <c r="GJ87" s="467"/>
      <c r="GK87" s="467"/>
      <c r="GL87" s="467"/>
      <c r="GM87" s="467"/>
      <c r="GN87" s="467"/>
      <c r="GO87" s="467"/>
      <c r="GP87" s="467"/>
      <c r="GQ87" s="467"/>
      <c r="GR87" s="467"/>
      <c r="GS87" s="467"/>
      <c r="GT87" s="467"/>
      <c r="GU87" s="467"/>
      <c r="GV87" s="467"/>
      <c r="GW87" s="467"/>
      <c r="GX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E87" s="467"/>
      <c r="IF87" s="467"/>
      <c r="IG87" s="467"/>
      <c r="IH87" s="467"/>
      <c r="II87" s="467"/>
      <c r="IJ87" s="467"/>
      <c r="IK87" s="467"/>
      <c r="IL87" s="467"/>
      <c r="IM87" s="467"/>
      <c r="IN87" s="467"/>
      <c r="IO87" s="467"/>
      <c r="IP87" s="467"/>
      <c r="IQ87" s="467"/>
      <c r="IR87" s="467"/>
      <c r="IS87" s="467"/>
      <c r="IT87" s="467"/>
      <c r="IU87" s="467"/>
      <c r="IV87" s="467"/>
    </row>
    <row r="88" spans="1:256" s="593" customFormat="1" ht="13.5" customHeight="1">
      <c r="A88" s="1048"/>
      <c r="B88" s="1049"/>
      <c r="C88" s="1049"/>
      <c r="D88" s="1061" t="s">
        <v>5519</v>
      </c>
      <c r="E88" s="1062"/>
      <c r="F88" s="1063">
        <f xml:space="preserve"> (42.73+17.33)*1.05</f>
        <v>63.062999999999995</v>
      </c>
      <c r="G88" s="1213"/>
      <c r="H88" s="1051"/>
      <c r="I88" s="1064"/>
      <c r="J88" s="1065"/>
      <c r="K88" s="467"/>
      <c r="L88" s="1054"/>
      <c r="M88" s="1054"/>
      <c r="N88" s="1054"/>
      <c r="O88" s="1055"/>
      <c r="P88" s="1056"/>
      <c r="Q88" s="1057"/>
      <c r="R88" s="1058"/>
      <c r="S88" s="1058"/>
      <c r="T88" s="1059"/>
      <c r="U88" s="467"/>
      <c r="V88" s="1060"/>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c r="CB88" s="467"/>
      <c r="CC88" s="467"/>
      <c r="CD88" s="467"/>
      <c r="CE88" s="467"/>
      <c r="CF88" s="467"/>
      <c r="CG88" s="467"/>
      <c r="CH88" s="467"/>
      <c r="CI88" s="467"/>
      <c r="CJ88" s="467"/>
      <c r="CK88" s="467"/>
      <c r="CL88" s="467"/>
      <c r="CM88" s="467"/>
      <c r="CN88" s="467"/>
      <c r="CO88" s="467"/>
      <c r="CP88" s="467"/>
      <c r="CQ88" s="467"/>
      <c r="CR88" s="467"/>
      <c r="CS88" s="467"/>
      <c r="CT88" s="467"/>
      <c r="CU88" s="467"/>
      <c r="CV88" s="467"/>
      <c r="CW88" s="467"/>
      <c r="CX88" s="467"/>
      <c r="CY88" s="467"/>
      <c r="CZ88" s="467"/>
      <c r="DA88" s="467"/>
      <c r="DB88" s="467"/>
      <c r="DC88" s="467"/>
      <c r="DD88" s="467"/>
      <c r="DE88" s="467"/>
      <c r="DF88" s="467"/>
      <c r="DG88" s="467"/>
      <c r="DH88" s="467"/>
      <c r="DI88" s="467"/>
      <c r="DJ88" s="467"/>
      <c r="DK88" s="467"/>
      <c r="DL88" s="467"/>
      <c r="DM88" s="467"/>
      <c r="DN88" s="467"/>
      <c r="DO88" s="467"/>
      <c r="DP88" s="467"/>
      <c r="DQ88" s="467"/>
      <c r="DR88" s="467"/>
      <c r="DS88" s="467"/>
      <c r="DT88" s="467"/>
      <c r="DU88" s="467"/>
      <c r="DV88" s="467"/>
      <c r="DW88" s="467"/>
      <c r="DX88" s="467"/>
      <c r="DY88" s="467"/>
      <c r="DZ88" s="467"/>
      <c r="EA88" s="467"/>
      <c r="EB88" s="467"/>
      <c r="EC88" s="467"/>
      <c r="ED88" s="467"/>
      <c r="EE88" s="467"/>
      <c r="EF88" s="467"/>
      <c r="EG88" s="467"/>
      <c r="EH88" s="467"/>
      <c r="EI88" s="467"/>
      <c r="EJ88" s="467"/>
      <c r="EK88" s="467"/>
      <c r="EL88" s="467"/>
      <c r="EM88" s="467"/>
      <c r="EN88" s="467"/>
      <c r="EO88" s="467"/>
      <c r="EP88" s="467"/>
      <c r="EQ88" s="467"/>
      <c r="ER88" s="467"/>
      <c r="ES88" s="467"/>
      <c r="ET88" s="467"/>
      <c r="EU88" s="467"/>
      <c r="EV88" s="467"/>
      <c r="EW88" s="467"/>
      <c r="EX88" s="467"/>
      <c r="EY88" s="467"/>
      <c r="EZ88" s="467"/>
      <c r="FA88" s="467"/>
      <c r="FB88" s="467"/>
      <c r="FC88" s="467"/>
      <c r="FD88" s="467"/>
      <c r="FE88" s="467"/>
      <c r="FF88" s="467"/>
      <c r="FG88" s="467"/>
      <c r="FH88" s="467"/>
      <c r="FI88" s="467"/>
      <c r="FJ88" s="467"/>
      <c r="FK88" s="467"/>
      <c r="FL88" s="467"/>
      <c r="FM88" s="467"/>
      <c r="FN88" s="467"/>
      <c r="FO88" s="467"/>
      <c r="FP88" s="467"/>
      <c r="FQ88" s="467"/>
      <c r="FR88" s="467"/>
      <c r="FS88" s="467"/>
      <c r="FT88" s="467"/>
      <c r="FU88" s="467"/>
      <c r="FV88" s="467"/>
      <c r="FW88" s="467"/>
      <c r="FX88" s="467"/>
      <c r="FY88" s="467"/>
      <c r="FZ88" s="467"/>
      <c r="GA88" s="467"/>
      <c r="GB88" s="467"/>
      <c r="GC88" s="467"/>
      <c r="GD88" s="467"/>
      <c r="GE88" s="467"/>
      <c r="GF88" s="467"/>
      <c r="GG88" s="467"/>
      <c r="GH88" s="467"/>
      <c r="GI88" s="467"/>
      <c r="GJ88" s="467"/>
      <c r="GK88" s="467"/>
      <c r="GL88" s="467"/>
      <c r="GM88" s="467"/>
      <c r="GN88" s="467"/>
      <c r="GO88" s="467"/>
      <c r="GP88" s="467"/>
      <c r="GQ88" s="467"/>
      <c r="GR88" s="467"/>
      <c r="GS88" s="467"/>
      <c r="GT88" s="467"/>
      <c r="GU88" s="467"/>
      <c r="GV88" s="467"/>
      <c r="GW88" s="467"/>
      <c r="GX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E88" s="467"/>
      <c r="IF88" s="467"/>
      <c r="IG88" s="467"/>
      <c r="IH88" s="467"/>
      <c r="II88" s="467"/>
      <c r="IJ88" s="467"/>
      <c r="IK88" s="467"/>
      <c r="IL88" s="467"/>
      <c r="IM88" s="467"/>
      <c r="IN88" s="467"/>
      <c r="IO88" s="467"/>
      <c r="IP88" s="467"/>
      <c r="IQ88" s="467"/>
      <c r="IR88" s="467"/>
      <c r="IS88" s="467"/>
      <c r="IT88" s="467"/>
      <c r="IU88" s="467"/>
      <c r="IV88" s="467"/>
    </row>
    <row r="89" spans="1:256" s="593" customFormat="1" ht="13.5" customHeight="1">
      <c r="A89" s="1048">
        <v>27</v>
      </c>
      <c r="B89" s="1049">
        <v>592</v>
      </c>
      <c r="C89" s="1049" t="s">
        <v>5520</v>
      </c>
      <c r="D89" s="1049" t="s">
        <v>5521</v>
      </c>
      <c r="E89" s="1049" t="s">
        <v>141</v>
      </c>
      <c r="F89" s="1050">
        <f>SUM(F90:F90)</f>
        <v>202.0095</v>
      </c>
      <c r="G89" s="1213"/>
      <c r="H89" s="1051">
        <f>F89*G89</f>
        <v>0</v>
      </c>
      <c r="I89" s="1052" t="s">
        <v>111</v>
      </c>
      <c r="J89" s="1053"/>
      <c r="K89" s="1054"/>
      <c r="L89" s="1054"/>
      <c r="M89" s="1054"/>
      <c r="N89" s="1054"/>
      <c r="O89" s="1055"/>
      <c r="P89" s="1056"/>
      <c r="Q89" s="1057"/>
      <c r="R89" s="1058"/>
      <c r="S89" s="1058"/>
      <c r="T89" s="1059"/>
      <c r="U89" s="467"/>
      <c r="V89" s="1060"/>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467"/>
      <c r="BX89" s="467"/>
      <c r="BY89" s="467"/>
      <c r="BZ89" s="467"/>
      <c r="CA89" s="467"/>
      <c r="CB89" s="467"/>
      <c r="CC89" s="467"/>
      <c r="CD89" s="467"/>
      <c r="CE89" s="467"/>
      <c r="CF89" s="467"/>
      <c r="CG89" s="467"/>
      <c r="CH89" s="467"/>
      <c r="CI89" s="467"/>
      <c r="CJ89" s="467"/>
      <c r="CK89" s="467"/>
      <c r="CL89" s="467"/>
      <c r="CM89" s="467"/>
      <c r="CN89" s="467"/>
      <c r="CO89" s="467"/>
      <c r="CP89" s="467"/>
      <c r="CQ89" s="467"/>
      <c r="CR89" s="467"/>
      <c r="CS89" s="467"/>
      <c r="CT89" s="467"/>
      <c r="CU89" s="467"/>
      <c r="CV89" s="467"/>
      <c r="CW89" s="467"/>
      <c r="CX89" s="467"/>
      <c r="CY89" s="467"/>
      <c r="CZ89" s="467"/>
      <c r="DA89" s="467"/>
      <c r="DB89" s="467"/>
      <c r="DC89" s="467"/>
      <c r="DD89" s="467"/>
      <c r="DE89" s="467"/>
      <c r="DF89" s="467"/>
      <c r="DG89" s="467"/>
      <c r="DH89" s="467"/>
      <c r="DI89" s="467"/>
      <c r="DJ89" s="467"/>
      <c r="DK89" s="467"/>
      <c r="DL89" s="467"/>
      <c r="DM89" s="467"/>
      <c r="DN89" s="467"/>
      <c r="DO89" s="467"/>
      <c r="DP89" s="467"/>
      <c r="DQ89" s="467"/>
      <c r="DR89" s="467"/>
      <c r="DS89" s="467"/>
      <c r="DT89" s="467"/>
      <c r="DU89" s="467"/>
      <c r="DV89" s="467"/>
      <c r="DW89" s="467"/>
      <c r="DX89" s="467"/>
      <c r="DY89" s="467"/>
      <c r="DZ89" s="467"/>
      <c r="EA89" s="467"/>
      <c r="EB89" s="467"/>
      <c r="EC89" s="467"/>
      <c r="ED89" s="467"/>
      <c r="EE89" s="467"/>
      <c r="EF89" s="467"/>
      <c r="EG89" s="467"/>
      <c r="EH89" s="467"/>
      <c r="EI89" s="467"/>
      <c r="EJ89" s="467"/>
      <c r="EK89" s="467"/>
      <c r="EL89" s="467"/>
      <c r="EM89" s="467"/>
      <c r="EN89" s="467"/>
      <c r="EO89" s="467"/>
      <c r="EP89" s="467"/>
      <c r="EQ89" s="467"/>
      <c r="ER89" s="467"/>
      <c r="ES89" s="467"/>
      <c r="ET89" s="467"/>
      <c r="EU89" s="467"/>
      <c r="EV89" s="467"/>
      <c r="EW89" s="467"/>
      <c r="EX89" s="467"/>
      <c r="EY89" s="467"/>
      <c r="EZ89" s="467"/>
      <c r="FA89" s="467"/>
      <c r="FB89" s="467"/>
      <c r="FC89" s="467"/>
      <c r="FD89" s="467"/>
      <c r="FE89" s="467"/>
      <c r="FF89" s="467"/>
      <c r="FG89" s="467"/>
      <c r="FH89" s="467"/>
      <c r="FI89" s="467"/>
      <c r="FJ89" s="467"/>
      <c r="FK89" s="467"/>
      <c r="FL89" s="467"/>
      <c r="FM89" s="467"/>
      <c r="FN89" s="467"/>
      <c r="FO89" s="467"/>
      <c r="FP89" s="467"/>
      <c r="FQ89" s="467"/>
      <c r="FR89" s="467"/>
      <c r="FS89" s="467"/>
      <c r="FT89" s="467"/>
      <c r="FU89" s="467"/>
      <c r="FV89" s="467"/>
      <c r="FW89" s="467"/>
      <c r="FX89" s="467"/>
      <c r="FY89" s="467"/>
      <c r="FZ89" s="467"/>
      <c r="GA89" s="467"/>
      <c r="GB89" s="467"/>
      <c r="GC89" s="467"/>
      <c r="GD89" s="467"/>
      <c r="GE89" s="467"/>
      <c r="GF89" s="467"/>
      <c r="GG89" s="467"/>
      <c r="GH89" s="467"/>
      <c r="GI89" s="467"/>
      <c r="GJ89" s="467"/>
      <c r="GK89" s="467"/>
      <c r="GL89" s="467"/>
      <c r="GM89" s="467"/>
      <c r="GN89" s="467"/>
      <c r="GO89" s="467"/>
      <c r="GP89" s="467"/>
      <c r="GQ89" s="467"/>
      <c r="GR89" s="467"/>
      <c r="GS89" s="467"/>
      <c r="GT89" s="467"/>
      <c r="GU89" s="467"/>
      <c r="GV89" s="467"/>
      <c r="GW89" s="467"/>
      <c r="GX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E89" s="467"/>
      <c r="IF89" s="467"/>
      <c r="IG89" s="467"/>
      <c r="IH89" s="467"/>
      <c r="II89" s="467"/>
      <c r="IJ89" s="467"/>
      <c r="IK89" s="467"/>
      <c r="IL89" s="467"/>
      <c r="IM89" s="467"/>
      <c r="IN89" s="467"/>
      <c r="IO89" s="467"/>
      <c r="IP89" s="467"/>
      <c r="IQ89" s="467"/>
      <c r="IR89" s="467"/>
      <c r="IS89" s="467"/>
      <c r="IT89" s="467"/>
      <c r="IU89" s="467"/>
      <c r="IV89" s="467"/>
    </row>
    <row r="90" spans="1:256" s="593" customFormat="1" ht="13.5" customHeight="1">
      <c r="A90" s="1048"/>
      <c r="B90" s="1049"/>
      <c r="C90" s="1049"/>
      <c r="D90" s="1061" t="s">
        <v>5522</v>
      </c>
      <c r="E90" s="1062"/>
      <c r="F90" s="1063">
        <f xml:space="preserve"> (192.39)*1.05</f>
        <v>202.0095</v>
      </c>
      <c r="G90" s="1213"/>
      <c r="H90" s="1051"/>
      <c r="I90" s="1064"/>
      <c r="J90" s="1065"/>
      <c r="K90" s="467"/>
      <c r="L90" s="1054"/>
      <c r="M90" s="1054"/>
      <c r="N90" s="1054"/>
      <c r="O90" s="1055"/>
      <c r="P90" s="1056"/>
      <c r="Q90" s="1057"/>
      <c r="R90" s="1058"/>
      <c r="S90" s="1058"/>
      <c r="T90" s="1059"/>
      <c r="U90" s="467"/>
      <c r="V90" s="1060"/>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7"/>
      <c r="CM90" s="467"/>
      <c r="CN90" s="467"/>
      <c r="CO90" s="467"/>
      <c r="CP90" s="467"/>
      <c r="CQ90" s="467"/>
      <c r="CR90" s="467"/>
      <c r="CS90" s="467"/>
      <c r="CT90" s="467"/>
      <c r="CU90" s="467"/>
      <c r="CV90" s="467"/>
      <c r="CW90" s="467"/>
      <c r="CX90" s="467"/>
      <c r="CY90" s="467"/>
      <c r="CZ90" s="467"/>
      <c r="DA90" s="467"/>
      <c r="DB90" s="467"/>
      <c r="DC90" s="467"/>
      <c r="DD90" s="467"/>
      <c r="DE90" s="467"/>
      <c r="DF90" s="467"/>
      <c r="DG90" s="467"/>
      <c r="DH90" s="467"/>
      <c r="DI90" s="467"/>
      <c r="DJ90" s="467"/>
      <c r="DK90" s="467"/>
      <c r="DL90" s="467"/>
      <c r="DM90" s="467"/>
      <c r="DN90" s="467"/>
      <c r="DO90" s="467"/>
      <c r="DP90" s="467"/>
      <c r="DQ90" s="467"/>
      <c r="DR90" s="467"/>
      <c r="DS90" s="467"/>
      <c r="DT90" s="467"/>
      <c r="DU90" s="467"/>
      <c r="DV90" s="467"/>
      <c r="DW90" s="467"/>
      <c r="DX90" s="467"/>
      <c r="DY90" s="467"/>
      <c r="DZ90" s="467"/>
      <c r="EA90" s="467"/>
      <c r="EB90" s="467"/>
      <c r="EC90" s="467"/>
      <c r="ED90" s="467"/>
      <c r="EE90" s="467"/>
      <c r="EF90" s="467"/>
      <c r="EG90" s="467"/>
      <c r="EH90" s="467"/>
      <c r="EI90" s="467"/>
      <c r="EJ90" s="467"/>
      <c r="EK90" s="467"/>
      <c r="EL90" s="467"/>
      <c r="EM90" s="467"/>
      <c r="EN90" s="467"/>
      <c r="EO90" s="467"/>
      <c r="EP90" s="467"/>
      <c r="EQ90" s="467"/>
      <c r="ER90" s="467"/>
      <c r="ES90" s="467"/>
      <c r="ET90" s="467"/>
      <c r="EU90" s="467"/>
      <c r="EV90" s="467"/>
      <c r="EW90" s="467"/>
      <c r="EX90" s="467"/>
      <c r="EY90" s="467"/>
      <c r="EZ90" s="467"/>
      <c r="FA90" s="467"/>
      <c r="FB90" s="467"/>
      <c r="FC90" s="467"/>
      <c r="FD90" s="467"/>
      <c r="FE90" s="467"/>
      <c r="FF90" s="467"/>
      <c r="FG90" s="467"/>
      <c r="FH90" s="467"/>
      <c r="FI90" s="467"/>
      <c r="FJ90" s="467"/>
      <c r="FK90" s="467"/>
      <c r="FL90" s="467"/>
      <c r="FM90" s="467"/>
      <c r="FN90" s="467"/>
      <c r="FO90" s="467"/>
      <c r="FP90" s="467"/>
      <c r="FQ90" s="467"/>
      <c r="FR90" s="467"/>
      <c r="FS90" s="467"/>
      <c r="FT90" s="467"/>
      <c r="FU90" s="467"/>
      <c r="FV90" s="467"/>
      <c r="FW90" s="467"/>
      <c r="FX90" s="467"/>
      <c r="FY90" s="467"/>
      <c r="FZ90" s="467"/>
      <c r="GA90" s="467"/>
      <c r="GB90" s="467"/>
      <c r="GC90" s="467"/>
      <c r="GD90" s="467"/>
      <c r="GE90" s="467"/>
      <c r="GF90" s="467"/>
      <c r="GG90" s="467"/>
      <c r="GH90" s="467"/>
      <c r="GI90" s="467"/>
      <c r="GJ90" s="467"/>
      <c r="GK90" s="467"/>
      <c r="GL90" s="467"/>
      <c r="GM90" s="467"/>
      <c r="GN90" s="467"/>
      <c r="GO90" s="467"/>
      <c r="GP90" s="467"/>
      <c r="GQ90" s="467"/>
      <c r="GR90" s="467"/>
      <c r="GS90" s="467"/>
      <c r="GT90" s="467"/>
      <c r="GU90" s="467"/>
      <c r="GV90" s="467"/>
      <c r="GW90" s="467"/>
      <c r="GX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E90" s="467"/>
      <c r="IF90" s="467"/>
      <c r="IG90" s="467"/>
      <c r="IH90" s="467"/>
      <c r="II90" s="467"/>
      <c r="IJ90" s="467"/>
      <c r="IK90" s="467"/>
      <c r="IL90" s="467"/>
      <c r="IM90" s="467"/>
      <c r="IN90" s="467"/>
      <c r="IO90" s="467"/>
      <c r="IP90" s="467"/>
      <c r="IQ90" s="467"/>
      <c r="IR90" s="467"/>
      <c r="IS90" s="467"/>
      <c r="IT90" s="467"/>
      <c r="IU90" s="467"/>
      <c r="IV90" s="467"/>
    </row>
    <row r="91" spans="1:256" s="934" customFormat="1" ht="13.5" customHeight="1">
      <c r="A91" s="1040"/>
      <c r="B91" s="1041"/>
      <c r="C91" s="1041">
        <v>5</v>
      </c>
      <c r="D91" s="1041" t="s">
        <v>1642</v>
      </c>
      <c r="E91" s="1041"/>
      <c r="F91" s="1042"/>
      <c r="G91" s="387"/>
      <c r="H91" s="1043">
        <f>SUM(H92,H100,H108,H116,H124,H130,H135,H140,H149)</f>
        <v>0</v>
      </c>
      <c r="I91" s="1044"/>
      <c r="J91" s="1045"/>
      <c r="K91" s="1046"/>
    </row>
    <row r="92" spans="1:256" s="934" customFormat="1" ht="13.5" customHeight="1">
      <c r="A92" s="980" t="s">
        <v>4863</v>
      </c>
      <c r="B92" s="968" t="s">
        <v>5523</v>
      </c>
      <c r="C92" s="930" t="s">
        <v>5524</v>
      </c>
      <c r="D92" s="930" t="s">
        <v>5525</v>
      </c>
      <c r="E92" s="930" t="s">
        <v>163</v>
      </c>
      <c r="F92" s="981">
        <f>SUM(F98:F98)</f>
        <v>192.39</v>
      </c>
      <c r="G92" s="932">
        <f>SUM(H94:H97)/F92</f>
        <v>0</v>
      </c>
      <c r="H92" s="932">
        <f>F92*G92</f>
        <v>0</v>
      </c>
      <c r="I92" s="1014" t="s">
        <v>111</v>
      </c>
      <c r="J92" s="1066"/>
      <c r="K92" s="1067"/>
      <c r="L92" s="1067"/>
      <c r="M92" s="1067"/>
      <c r="N92" s="1068"/>
      <c r="O92" s="1069"/>
      <c r="P92" s="1070"/>
      <c r="Q92" s="1071"/>
      <c r="R92" s="1072"/>
      <c r="S92" s="1072"/>
      <c r="T92" s="1009"/>
      <c r="V92" s="1073"/>
    </row>
    <row r="93" spans="1:256" s="934" customFormat="1" ht="13.5" customHeight="1">
      <c r="A93" s="1074"/>
      <c r="B93" s="1075"/>
      <c r="C93" s="1076"/>
      <c r="D93" s="940" t="s">
        <v>5526</v>
      </c>
      <c r="E93" s="930"/>
      <c r="F93" s="1077"/>
      <c r="G93" s="379"/>
      <c r="H93" s="932"/>
      <c r="I93" s="984"/>
    </row>
    <row r="94" spans="1:256" s="647" customFormat="1" ht="13.5" customHeight="1">
      <c r="A94" s="1078" t="s">
        <v>5527</v>
      </c>
      <c r="B94" s="1079"/>
      <c r="C94" s="777" t="s">
        <v>5528</v>
      </c>
      <c r="D94" s="940" t="s">
        <v>5529</v>
      </c>
      <c r="E94" s="777" t="s">
        <v>163</v>
      </c>
      <c r="F94" s="600">
        <f>F92</f>
        <v>192.39</v>
      </c>
      <c r="G94" s="388"/>
      <c r="H94" s="1080">
        <f>F94*G94</f>
        <v>0</v>
      </c>
      <c r="I94" s="781" t="s">
        <v>112</v>
      </c>
      <c r="J94" s="1081"/>
      <c r="K94" s="1082"/>
      <c r="L94" s="1082"/>
      <c r="M94" s="1082"/>
      <c r="N94" s="1082"/>
      <c r="O94" s="643"/>
      <c r="P94" s="643"/>
      <c r="Q94" s="1083"/>
      <c r="R94" s="1084"/>
      <c r="S94" s="645"/>
      <c r="T94" s="646"/>
      <c r="V94" s="648"/>
    </row>
    <row r="95" spans="1:256" s="934" customFormat="1" ht="13.5" customHeight="1">
      <c r="A95" s="1085" t="s">
        <v>5530</v>
      </c>
      <c r="B95" s="1079"/>
      <c r="C95" s="1086" t="s">
        <v>5531</v>
      </c>
      <c r="D95" s="1087" t="s">
        <v>5532</v>
      </c>
      <c r="E95" s="1088" t="s">
        <v>163</v>
      </c>
      <c r="F95" s="1089">
        <f>(F98)*1.1</f>
        <v>211.62899999999999</v>
      </c>
      <c r="G95" s="389"/>
      <c r="H95" s="1090">
        <f>F95*G95</f>
        <v>0</v>
      </c>
      <c r="I95" s="1091" t="s">
        <v>112</v>
      </c>
      <c r="J95" s="1092"/>
      <c r="K95" s="1093"/>
      <c r="L95" s="1094"/>
      <c r="M95" s="1095"/>
      <c r="N95" s="1095"/>
      <c r="O95" s="1096"/>
      <c r="P95" s="1095"/>
      <c r="Q95" s="1097"/>
      <c r="R95" s="1092"/>
      <c r="S95" s="1093"/>
      <c r="T95" s="1094"/>
      <c r="U95" s="1095"/>
      <c r="V95" s="1095"/>
      <c r="W95" s="1096"/>
      <c r="X95" s="1095"/>
      <c r="Y95" s="1097"/>
    </row>
    <row r="96" spans="1:256" s="934" customFormat="1" ht="13.5" customHeight="1">
      <c r="A96" s="1098"/>
      <c r="B96" s="1099"/>
      <c r="C96" s="777"/>
      <c r="D96" s="1023" t="s">
        <v>5533</v>
      </c>
      <c r="E96" s="1023"/>
      <c r="F96" s="973"/>
      <c r="G96" s="5267" t="s">
        <v>5534</v>
      </c>
      <c r="H96" s="5268"/>
      <c r="I96" s="954"/>
      <c r="J96" s="1100"/>
      <c r="K96" s="1101"/>
      <c r="L96" s="1102"/>
      <c r="M96" s="1103"/>
      <c r="N96" s="1101"/>
      <c r="O96" s="1104"/>
      <c r="P96" s="1105"/>
      <c r="Q96" s="1106"/>
      <c r="R96" s="1107"/>
      <c r="S96" s="1072"/>
      <c r="T96" s="1009"/>
      <c r="V96" s="1073"/>
    </row>
    <row r="97" spans="1:25" s="934" customFormat="1" ht="13.5" customHeight="1">
      <c r="A97" s="1098" t="s">
        <v>5535</v>
      </c>
      <c r="B97" s="1079"/>
      <c r="C97" s="777" t="s">
        <v>5536</v>
      </c>
      <c r="D97" s="940" t="s">
        <v>5537</v>
      </c>
      <c r="E97" s="1023" t="s">
        <v>163</v>
      </c>
      <c r="F97" s="973">
        <f>(F98)*1.1</f>
        <v>211.62899999999999</v>
      </c>
      <c r="G97" s="390"/>
      <c r="H97" s="1108">
        <f>F97*G97</f>
        <v>0</v>
      </c>
      <c r="I97" s="781" t="s">
        <v>112</v>
      </c>
      <c r="J97" s="1081"/>
      <c r="K97" s="1109"/>
      <c r="L97" s="1110"/>
      <c r="M97" s="1111"/>
      <c r="N97" s="1111"/>
      <c r="O97" s="1112"/>
      <c r="P97" s="1111"/>
      <c r="Q97" s="1113"/>
      <c r="R97" s="1072"/>
      <c r="S97" s="1072"/>
      <c r="T97" s="1009"/>
      <c r="V97" s="1073"/>
    </row>
    <row r="98" spans="1:25" s="934" customFormat="1" ht="13.5" customHeight="1">
      <c r="A98" s="929"/>
      <c r="B98" s="930"/>
      <c r="C98" s="1114"/>
      <c r="D98" s="940" t="s">
        <v>5538</v>
      </c>
      <c r="E98" s="1115"/>
      <c r="F98" s="973">
        <v>192.39</v>
      </c>
      <c r="G98" s="380"/>
      <c r="H98" s="949"/>
      <c r="I98" s="941"/>
      <c r="J98" s="1116"/>
      <c r="K98" s="1117"/>
      <c r="L98" s="1094"/>
      <c r="M98" s="1095"/>
      <c r="N98" s="1095"/>
      <c r="O98" s="1118"/>
      <c r="P98" s="1095"/>
      <c r="Q98" s="1119"/>
      <c r="R98" s="1120"/>
      <c r="S98" s="1121"/>
    </row>
    <row r="99" spans="1:25" s="918" customFormat="1" ht="13.5" customHeight="1">
      <c r="A99" s="925"/>
      <c r="B99" s="926"/>
      <c r="C99" s="926"/>
      <c r="D99" s="940" t="s">
        <v>5539</v>
      </c>
      <c r="E99" s="919"/>
      <c r="F99" s="922"/>
      <c r="G99" s="1208"/>
      <c r="H99" s="927"/>
      <c r="I99" s="928"/>
      <c r="J99" s="916"/>
      <c r="K99" s="917"/>
    </row>
    <row r="100" spans="1:25" s="934" customFormat="1" ht="13.5" customHeight="1">
      <c r="A100" s="980" t="s">
        <v>5540</v>
      </c>
      <c r="B100" s="968" t="s">
        <v>5523</v>
      </c>
      <c r="C100" s="930" t="s">
        <v>5541</v>
      </c>
      <c r="D100" s="930" t="s">
        <v>5542</v>
      </c>
      <c r="E100" s="930" t="s">
        <v>163</v>
      </c>
      <c r="F100" s="981">
        <f>SUM(F106:F106)</f>
        <v>40.630000000000003</v>
      </c>
      <c r="G100" s="932">
        <f>SUM(H102:H105)/F100</f>
        <v>0</v>
      </c>
      <c r="H100" s="932">
        <f>F100*G100</f>
        <v>0</v>
      </c>
      <c r="I100" s="1014" t="s">
        <v>111</v>
      </c>
      <c r="J100" s="1066"/>
      <c r="K100" s="1067"/>
      <c r="L100" s="1067"/>
      <c r="M100" s="1067"/>
      <c r="N100" s="1068"/>
      <c r="O100" s="1069"/>
      <c r="P100" s="1070"/>
      <c r="Q100" s="1071"/>
      <c r="R100" s="1072"/>
      <c r="S100" s="1072"/>
      <c r="T100" s="1009"/>
      <c r="V100" s="1073"/>
    </row>
    <row r="101" spans="1:25" s="934" customFormat="1" ht="13.5" customHeight="1">
      <c r="A101" s="1074"/>
      <c r="B101" s="1075"/>
      <c r="C101" s="1076"/>
      <c r="D101" s="940" t="s">
        <v>5526</v>
      </c>
      <c r="E101" s="930"/>
      <c r="F101" s="1077"/>
      <c r="G101" s="379"/>
      <c r="H101" s="932"/>
      <c r="I101" s="984"/>
    </row>
    <row r="102" spans="1:25" s="647" customFormat="1" ht="13.5" customHeight="1">
      <c r="A102" s="1078" t="s">
        <v>5543</v>
      </c>
      <c r="B102" s="1079"/>
      <c r="C102" s="777" t="s">
        <v>5544</v>
      </c>
      <c r="D102" s="940" t="s">
        <v>5545</v>
      </c>
      <c r="E102" s="777" t="s">
        <v>163</v>
      </c>
      <c r="F102" s="600">
        <f>F100</f>
        <v>40.630000000000003</v>
      </c>
      <c r="G102" s="388"/>
      <c r="H102" s="1080">
        <f>F102*G102</f>
        <v>0</v>
      </c>
      <c r="I102" s="781" t="s">
        <v>112</v>
      </c>
      <c r="J102" s="1081"/>
      <c r="K102" s="1082"/>
      <c r="L102" s="1082"/>
      <c r="M102" s="1082"/>
      <c r="N102" s="1082"/>
      <c r="O102" s="643"/>
      <c r="P102" s="643"/>
      <c r="Q102" s="1083"/>
      <c r="R102" s="1084"/>
      <c r="S102" s="645"/>
      <c r="T102" s="646"/>
      <c r="V102" s="648"/>
    </row>
    <row r="103" spans="1:25" s="934" customFormat="1" ht="13.5" customHeight="1">
      <c r="A103" s="1085" t="s">
        <v>5546</v>
      </c>
      <c r="B103" s="1079"/>
      <c r="C103" s="1086" t="s">
        <v>5547</v>
      </c>
      <c r="D103" s="1087" t="s">
        <v>5548</v>
      </c>
      <c r="E103" s="1088" t="s">
        <v>163</v>
      </c>
      <c r="F103" s="1089">
        <f>(F106)*1.1</f>
        <v>44.693000000000005</v>
      </c>
      <c r="G103" s="389"/>
      <c r="H103" s="1090">
        <f>F103*G103</f>
        <v>0</v>
      </c>
      <c r="I103" s="1091" t="s">
        <v>112</v>
      </c>
      <c r="J103" s="1092"/>
      <c r="K103" s="1093"/>
      <c r="L103" s="1094"/>
      <c r="M103" s="1095"/>
      <c r="N103" s="1095"/>
      <c r="O103" s="1096"/>
      <c r="P103" s="1095"/>
      <c r="Q103" s="1097"/>
      <c r="R103" s="1092"/>
      <c r="S103" s="1093"/>
      <c r="T103" s="1094"/>
      <c r="U103" s="1095"/>
      <c r="V103" s="1095"/>
      <c r="W103" s="1096"/>
      <c r="X103" s="1095"/>
      <c r="Y103" s="1097"/>
    </row>
    <row r="104" spans="1:25" s="934" customFormat="1" ht="13.5" customHeight="1">
      <c r="A104" s="1098"/>
      <c r="B104" s="1099"/>
      <c r="C104" s="777"/>
      <c r="D104" s="1023" t="s">
        <v>5533</v>
      </c>
      <c r="E104" s="1023"/>
      <c r="F104" s="973"/>
      <c r="G104" s="5267" t="s">
        <v>5534</v>
      </c>
      <c r="H104" s="5268"/>
      <c r="I104" s="954"/>
      <c r="J104" s="1100"/>
      <c r="K104" s="1101"/>
      <c r="L104" s="1102"/>
      <c r="M104" s="1103"/>
      <c r="N104" s="1101"/>
      <c r="O104" s="1104"/>
      <c r="P104" s="1105"/>
      <c r="Q104" s="1106"/>
      <c r="R104" s="1107"/>
      <c r="S104" s="1072"/>
      <c r="T104" s="1009"/>
      <c r="V104" s="1073"/>
    </row>
    <row r="105" spans="1:25" s="934" customFormat="1" ht="13.5" customHeight="1">
      <c r="A105" s="1098" t="s">
        <v>5549</v>
      </c>
      <c r="B105" s="1079"/>
      <c r="C105" s="777" t="s">
        <v>5536</v>
      </c>
      <c r="D105" s="940" t="s">
        <v>5550</v>
      </c>
      <c r="E105" s="1023" t="s">
        <v>163</v>
      </c>
      <c r="F105" s="973">
        <f>(F106)*1.1</f>
        <v>44.693000000000005</v>
      </c>
      <c r="G105" s="390"/>
      <c r="H105" s="1108">
        <f>F105*G105</f>
        <v>0</v>
      </c>
      <c r="I105" s="781" t="s">
        <v>112</v>
      </c>
      <c r="J105" s="1081"/>
      <c r="K105" s="1109"/>
      <c r="L105" s="1110"/>
      <c r="M105" s="1111"/>
      <c r="N105" s="1111"/>
      <c r="O105" s="1112"/>
      <c r="P105" s="1111"/>
      <c r="Q105" s="1113"/>
      <c r="R105" s="1072"/>
      <c r="S105" s="1072"/>
      <c r="T105" s="1009"/>
      <c r="V105" s="1073"/>
    </row>
    <row r="106" spans="1:25" s="934" customFormat="1" ht="13.5" customHeight="1">
      <c r="A106" s="929"/>
      <c r="B106" s="930"/>
      <c r="C106" s="1114"/>
      <c r="D106" s="940" t="s">
        <v>5551</v>
      </c>
      <c r="E106" s="1115"/>
      <c r="F106" s="973">
        <v>40.630000000000003</v>
      </c>
      <c r="G106" s="380"/>
      <c r="H106" s="949"/>
      <c r="I106" s="941"/>
      <c r="J106" s="1116"/>
      <c r="K106" s="1117"/>
      <c r="L106" s="1094"/>
      <c r="M106" s="1095"/>
      <c r="N106" s="1095"/>
      <c r="O106" s="1118"/>
      <c r="P106" s="1095"/>
      <c r="Q106" s="1119"/>
      <c r="R106" s="1120"/>
      <c r="S106" s="1121"/>
    </row>
    <row r="107" spans="1:25" s="918" customFormat="1" ht="13.5" customHeight="1">
      <c r="A107" s="925"/>
      <c r="B107" s="926"/>
      <c r="C107" s="926"/>
      <c r="D107" s="940" t="s">
        <v>5539</v>
      </c>
      <c r="E107" s="919"/>
      <c r="F107" s="922"/>
      <c r="G107" s="1208"/>
      <c r="H107" s="927"/>
      <c r="I107" s="928"/>
      <c r="J107" s="916"/>
      <c r="K107" s="917"/>
    </row>
    <row r="108" spans="1:25" s="934" customFormat="1" ht="13.5" customHeight="1">
      <c r="A108" s="980" t="s">
        <v>5552</v>
      </c>
      <c r="B108" s="968" t="s">
        <v>5523</v>
      </c>
      <c r="C108" s="930" t="s">
        <v>5553</v>
      </c>
      <c r="D108" s="930" t="s">
        <v>5554</v>
      </c>
      <c r="E108" s="930" t="s">
        <v>163</v>
      </c>
      <c r="F108" s="981">
        <f>SUM(F114:F114)</f>
        <v>42.73</v>
      </c>
      <c r="G108" s="932">
        <f>SUM(H110:H113)/F108</f>
        <v>0</v>
      </c>
      <c r="H108" s="932">
        <f>F108*G108</f>
        <v>0</v>
      </c>
      <c r="I108" s="1014" t="s">
        <v>111</v>
      </c>
      <c r="J108" s="1066"/>
      <c r="K108" s="1067"/>
      <c r="L108" s="1067"/>
      <c r="M108" s="1067"/>
      <c r="N108" s="1068"/>
      <c r="O108" s="1069"/>
      <c r="P108" s="1070"/>
      <c r="Q108" s="1071"/>
      <c r="R108" s="1072"/>
      <c r="S108" s="1072"/>
      <c r="T108" s="1009"/>
      <c r="V108" s="1073"/>
    </row>
    <row r="109" spans="1:25" s="934" customFormat="1" ht="13.5" customHeight="1">
      <c r="A109" s="1074"/>
      <c r="B109" s="1075"/>
      <c r="C109" s="1076"/>
      <c r="D109" s="940" t="s">
        <v>5526</v>
      </c>
      <c r="E109" s="930"/>
      <c r="F109" s="1077"/>
      <c r="G109" s="379"/>
      <c r="H109" s="932"/>
      <c r="I109" s="984"/>
    </row>
    <row r="110" spans="1:25" s="647" customFormat="1" ht="13.5" customHeight="1">
      <c r="A110" s="1078" t="s">
        <v>5555</v>
      </c>
      <c r="B110" s="1079"/>
      <c r="C110" s="777" t="s">
        <v>5556</v>
      </c>
      <c r="D110" s="940" t="s">
        <v>5557</v>
      </c>
      <c r="E110" s="777" t="s">
        <v>163</v>
      </c>
      <c r="F110" s="600">
        <f>F108</f>
        <v>42.73</v>
      </c>
      <c r="G110" s="388"/>
      <c r="H110" s="1080">
        <f>F110*G110</f>
        <v>0</v>
      </c>
      <c r="I110" s="781" t="s">
        <v>112</v>
      </c>
      <c r="J110" s="1081"/>
      <c r="K110" s="1082"/>
      <c r="L110" s="1082"/>
      <c r="M110" s="1082"/>
      <c r="N110" s="1082"/>
      <c r="O110" s="643"/>
      <c r="P110" s="643"/>
      <c r="Q110" s="1083"/>
      <c r="R110" s="1084"/>
      <c r="S110" s="645"/>
      <c r="T110" s="646"/>
      <c r="V110" s="648"/>
    </row>
    <row r="111" spans="1:25" s="934" customFormat="1" ht="13.5" customHeight="1">
      <c r="A111" s="1085" t="s">
        <v>5558</v>
      </c>
      <c r="B111" s="1079"/>
      <c r="C111" s="1086" t="s">
        <v>5559</v>
      </c>
      <c r="D111" s="1087" t="s">
        <v>5560</v>
      </c>
      <c r="E111" s="1088" t="s">
        <v>163</v>
      </c>
      <c r="F111" s="1089">
        <f>(F114)*1.1</f>
        <v>47.003</v>
      </c>
      <c r="G111" s="389"/>
      <c r="H111" s="1090">
        <f>F111*G111</f>
        <v>0</v>
      </c>
      <c r="I111" s="1091" t="s">
        <v>112</v>
      </c>
      <c r="J111" s="1092"/>
      <c r="K111" s="1093"/>
      <c r="L111" s="1094"/>
      <c r="M111" s="1095"/>
      <c r="N111" s="1095"/>
      <c r="O111" s="1096"/>
      <c r="P111" s="1095"/>
      <c r="Q111" s="1097"/>
      <c r="R111" s="1092"/>
      <c r="S111" s="1093"/>
      <c r="T111" s="1094"/>
      <c r="U111" s="1095"/>
      <c r="V111" s="1095"/>
      <c r="W111" s="1096"/>
      <c r="X111" s="1095"/>
      <c r="Y111" s="1097"/>
    </row>
    <row r="112" spans="1:25" s="934" customFormat="1" ht="13.5" customHeight="1">
      <c r="A112" s="1098"/>
      <c r="B112" s="1099"/>
      <c r="C112" s="777"/>
      <c r="D112" s="1023" t="s">
        <v>5561</v>
      </c>
      <c r="E112" s="1023"/>
      <c r="F112" s="973"/>
      <c r="G112" s="5267" t="s">
        <v>5534</v>
      </c>
      <c r="H112" s="5268"/>
      <c r="I112" s="954"/>
      <c r="J112" s="1100"/>
      <c r="K112" s="1101"/>
      <c r="L112" s="1102"/>
      <c r="M112" s="1103"/>
      <c r="N112" s="1101"/>
      <c r="O112" s="1104"/>
      <c r="P112" s="1105"/>
      <c r="Q112" s="1106"/>
      <c r="R112" s="1107"/>
      <c r="S112" s="1072"/>
      <c r="T112" s="1009"/>
      <c r="V112" s="1073"/>
    </row>
    <row r="113" spans="1:25" s="934" customFormat="1" ht="13.5" customHeight="1">
      <c r="A113" s="1098" t="s">
        <v>5562</v>
      </c>
      <c r="B113" s="1079"/>
      <c r="C113" s="777" t="s">
        <v>5563</v>
      </c>
      <c r="D113" s="940" t="s">
        <v>5564</v>
      </c>
      <c r="E113" s="1023" t="s">
        <v>163</v>
      </c>
      <c r="F113" s="973">
        <f>(F114)*1.1</f>
        <v>47.003</v>
      </c>
      <c r="G113" s="390"/>
      <c r="H113" s="1108">
        <f>F113*G113</f>
        <v>0</v>
      </c>
      <c r="I113" s="781" t="s">
        <v>112</v>
      </c>
      <c r="J113" s="1081"/>
      <c r="K113" s="1109"/>
      <c r="L113" s="1110"/>
      <c r="M113" s="1111"/>
      <c r="N113" s="1111"/>
      <c r="O113" s="1112"/>
      <c r="P113" s="1111"/>
      <c r="Q113" s="1113"/>
      <c r="R113" s="1072"/>
      <c r="S113" s="1072"/>
      <c r="T113" s="1009"/>
      <c r="V113" s="1073"/>
    </row>
    <row r="114" spans="1:25" s="934" customFormat="1" ht="13.5" customHeight="1">
      <c r="A114" s="929"/>
      <c r="B114" s="930"/>
      <c r="C114" s="1114"/>
      <c r="D114" s="940" t="s">
        <v>5565</v>
      </c>
      <c r="E114" s="1115"/>
      <c r="F114" s="973">
        <v>42.73</v>
      </c>
      <c r="G114" s="380"/>
      <c r="H114" s="949"/>
      <c r="I114" s="941"/>
      <c r="J114" s="1116"/>
      <c r="K114" s="1117"/>
      <c r="L114" s="1094"/>
      <c r="M114" s="1095"/>
      <c r="N114" s="1095"/>
      <c r="O114" s="1118"/>
      <c r="P114" s="1095"/>
      <c r="Q114" s="1119"/>
      <c r="R114" s="1120"/>
      <c r="S114" s="1121"/>
    </row>
    <row r="115" spans="1:25" s="918" customFormat="1" ht="13.5" customHeight="1">
      <c r="A115" s="925"/>
      <c r="B115" s="926"/>
      <c r="C115" s="926"/>
      <c r="D115" s="940" t="s">
        <v>5539</v>
      </c>
      <c r="E115" s="919"/>
      <c r="F115" s="922"/>
      <c r="G115" s="1208"/>
      <c r="H115" s="927"/>
      <c r="I115" s="928"/>
      <c r="J115" s="916"/>
      <c r="K115" s="917"/>
    </row>
    <row r="116" spans="1:25" s="934" customFormat="1" ht="13.5" customHeight="1">
      <c r="A116" s="980" t="s">
        <v>5452</v>
      </c>
      <c r="B116" s="968" t="s">
        <v>5523</v>
      </c>
      <c r="C116" s="930" t="s">
        <v>5566</v>
      </c>
      <c r="D116" s="930" t="s">
        <v>5567</v>
      </c>
      <c r="E116" s="930" t="s">
        <v>163</v>
      </c>
      <c r="F116" s="981">
        <f>SUM(F122:F122)</f>
        <v>17.329999999999998</v>
      </c>
      <c r="G116" s="932">
        <f>SUM(H118:H121)/F116</f>
        <v>0</v>
      </c>
      <c r="H116" s="932">
        <f>F116*G116</f>
        <v>0</v>
      </c>
      <c r="I116" s="1014" t="s">
        <v>111</v>
      </c>
      <c r="J116" s="1066"/>
      <c r="K116" s="1067"/>
      <c r="L116" s="1067"/>
      <c r="M116" s="1067"/>
      <c r="N116" s="1068"/>
      <c r="O116" s="1069"/>
      <c r="P116" s="1070"/>
      <c r="Q116" s="1071"/>
      <c r="R116" s="1072"/>
      <c r="S116" s="1072"/>
      <c r="T116" s="1009"/>
      <c r="V116" s="1073"/>
    </row>
    <row r="117" spans="1:25" s="934" customFormat="1" ht="13.5" customHeight="1">
      <c r="A117" s="1074"/>
      <c r="B117" s="1075"/>
      <c r="C117" s="1076"/>
      <c r="D117" s="940" t="s">
        <v>5526</v>
      </c>
      <c r="E117" s="930"/>
      <c r="F117" s="1077"/>
      <c r="G117" s="379"/>
      <c r="H117" s="932"/>
      <c r="I117" s="984"/>
    </row>
    <row r="118" spans="1:25" s="647" customFormat="1" ht="13.5" customHeight="1">
      <c r="A118" s="1078" t="s">
        <v>5568</v>
      </c>
      <c r="B118" s="1079"/>
      <c r="C118" s="777" t="s">
        <v>5569</v>
      </c>
      <c r="D118" s="940" t="s">
        <v>5570</v>
      </c>
      <c r="E118" s="777" t="s">
        <v>163</v>
      </c>
      <c r="F118" s="600">
        <f>F116</f>
        <v>17.329999999999998</v>
      </c>
      <c r="G118" s="388"/>
      <c r="H118" s="1080">
        <f>F118*G118</f>
        <v>0</v>
      </c>
      <c r="I118" s="781" t="s">
        <v>112</v>
      </c>
      <c r="J118" s="1081"/>
      <c r="K118" s="1082"/>
      <c r="L118" s="1082"/>
      <c r="M118" s="1082"/>
      <c r="N118" s="1082"/>
      <c r="O118" s="643"/>
      <c r="P118" s="643"/>
      <c r="Q118" s="1083"/>
      <c r="R118" s="1084"/>
      <c r="S118" s="645"/>
      <c r="T118" s="646"/>
      <c r="V118" s="648"/>
    </row>
    <row r="119" spans="1:25" s="934" customFormat="1" ht="13.5" customHeight="1">
      <c r="A119" s="1085" t="s">
        <v>5571</v>
      </c>
      <c r="B119" s="1079"/>
      <c r="C119" s="1086" t="s">
        <v>5572</v>
      </c>
      <c r="D119" s="1087" t="s">
        <v>5573</v>
      </c>
      <c r="E119" s="1088" t="s">
        <v>163</v>
      </c>
      <c r="F119" s="1089">
        <f>(F122)*1.1</f>
        <v>19.062999999999999</v>
      </c>
      <c r="G119" s="389"/>
      <c r="H119" s="1090">
        <f>F119*G119</f>
        <v>0</v>
      </c>
      <c r="I119" s="1091" t="s">
        <v>112</v>
      </c>
      <c r="J119" s="1092"/>
      <c r="K119" s="1093"/>
      <c r="L119" s="1094"/>
      <c r="M119" s="1095"/>
      <c r="N119" s="1095"/>
      <c r="O119" s="1096"/>
      <c r="P119" s="1095"/>
      <c r="Q119" s="1097"/>
      <c r="R119" s="1092"/>
      <c r="S119" s="1093"/>
      <c r="T119" s="1094"/>
      <c r="U119" s="1095"/>
      <c r="V119" s="1095"/>
      <c r="W119" s="1096"/>
      <c r="X119" s="1095"/>
      <c r="Y119" s="1097"/>
    </row>
    <row r="120" spans="1:25" s="934" customFormat="1" ht="13.5" customHeight="1">
      <c r="A120" s="1098"/>
      <c r="B120" s="1099"/>
      <c r="C120" s="777"/>
      <c r="D120" s="1023" t="s">
        <v>5561</v>
      </c>
      <c r="E120" s="1023"/>
      <c r="F120" s="973"/>
      <c r="G120" s="5267" t="s">
        <v>5534</v>
      </c>
      <c r="H120" s="5268"/>
      <c r="I120" s="954"/>
      <c r="J120" s="1100"/>
      <c r="K120" s="1101"/>
      <c r="L120" s="1102"/>
      <c r="M120" s="1103"/>
      <c r="N120" s="1101"/>
      <c r="O120" s="1104"/>
      <c r="P120" s="1105"/>
      <c r="Q120" s="1106"/>
      <c r="R120" s="1107"/>
      <c r="S120" s="1072"/>
      <c r="T120" s="1009"/>
      <c r="V120" s="1073"/>
    </row>
    <row r="121" spans="1:25" s="934" customFormat="1" ht="13.5" customHeight="1">
      <c r="A121" s="1098" t="s">
        <v>5574</v>
      </c>
      <c r="B121" s="1079"/>
      <c r="C121" s="777" t="s">
        <v>5563</v>
      </c>
      <c r="D121" s="940" t="s">
        <v>5575</v>
      </c>
      <c r="E121" s="1023" t="s">
        <v>163</v>
      </c>
      <c r="F121" s="973">
        <f>(F122)*1.1</f>
        <v>19.062999999999999</v>
      </c>
      <c r="G121" s="390"/>
      <c r="H121" s="1108">
        <f>F121*G121</f>
        <v>0</v>
      </c>
      <c r="I121" s="781" t="s">
        <v>112</v>
      </c>
      <c r="J121" s="1081"/>
      <c r="K121" s="1109"/>
      <c r="L121" s="1110"/>
      <c r="M121" s="1111"/>
      <c r="N121" s="1111"/>
      <c r="O121" s="1112"/>
      <c r="P121" s="1111"/>
      <c r="Q121" s="1113"/>
      <c r="R121" s="1072"/>
      <c r="S121" s="1072"/>
      <c r="T121" s="1009"/>
      <c r="V121" s="1073"/>
    </row>
    <row r="122" spans="1:25" s="934" customFormat="1" ht="13.5" customHeight="1">
      <c r="A122" s="929"/>
      <c r="B122" s="930"/>
      <c r="C122" s="1114"/>
      <c r="D122" s="940" t="s">
        <v>5576</v>
      </c>
      <c r="E122" s="1115"/>
      <c r="F122" s="973">
        <v>17.329999999999998</v>
      </c>
      <c r="G122" s="380"/>
      <c r="H122" s="949"/>
      <c r="I122" s="941"/>
      <c r="J122" s="1116"/>
      <c r="K122" s="1117"/>
      <c r="L122" s="1094"/>
      <c r="M122" s="1095"/>
      <c r="N122" s="1095"/>
      <c r="O122" s="1118"/>
      <c r="P122" s="1095"/>
      <c r="Q122" s="1119"/>
      <c r="R122" s="1120"/>
      <c r="S122" s="1121"/>
    </row>
    <row r="123" spans="1:25" s="918" customFormat="1" ht="13.5" customHeight="1">
      <c r="A123" s="925"/>
      <c r="B123" s="926"/>
      <c r="C123" s="926"/>
      <c r="D123" s="940" t="s">
        <v>5539</v>
      </c>
      <c r="E123" s="919"/>
      <c r="F123" s="922"/>
      <c r="G123" s="1208"/>
      <c r="H123" s="927"/>
      <c r="I123" s="928"/>
      <c r="J123" s="916"/>
      <c r="K123" s="917"/>
    </row>
    <row r="124" spans="1:25" s="934" customFormat="1" ht="13.5" customHeight="1">
      <c r="A124" s="980" t="s">
        <v>1242</v>
      </c>
      <c r="B124" s="968" t="s">
        <v>5523</v>
      </c>
      <c r="C124" s="930" t="s">
        <v>5577</v>
      </c>
      <c r="D124" s="930" t="s">
        <v>5578</v>
      </c>
      <c r="E124" s="930" t="s">
        <v>163</v>
      </c>
      <c r="F124" s="981">
        <f>SUM(F128:F128)</f>
        <v>20.54</v>
      </c>
      <c r="G124" s="932">
        <f>SUM(H126:H127)/F124</f>
        <v>0</v>
      </c>
      <c r="H124" s="932">
        <f>F124*G124</f>
        <v>0</v>
      </c>
      <c r="I124" s="1014" t="s">
        <v>111</v>
      </c>
      <c r="J124" s="1066"/>
      <c r="K124" s="1067"/>
      <c r="L124" s="1067"/>
      <c r="M124" s="1067"/>
      <c r="N124" s="1068"/>
      <c r="O124" s="1069"/>
      <c r="P124" s="1070"/>
      <c r="Q124" s="1071"/>
      <c r="R124" s="1072"/>
      <c r="S124" s="1072"/>
      <c r="T124" s="1009"/>
      <c r="V124" s="1073"/>
    </row>
    <row r="125" spans="1:25" s="934" customFormat="1" ht="13.5" customHeight="1">
      <c r="A125" s="1074"/>
      <c r="B125" s="1075"/>
      <c r="C125" s="1076"/>
      <c r="D125" s="940" t="s">
        <v>5526</v>
      </c>
      <c r="E125" s="930"/>
      <c r="F125" s="1077"/>
      <c r="G125" s="379"/>
      <c r="H125" s="932"/>
      <c r="I125" s="984"/>
    </row>
    <row r="126" spans="1:25" s="647" customFormat="1" ht="13.5" customHeight="1">
      <c r="A126" s="1078" t="s">
        <v>5579</v>
      </c>
      <c r="B126" s="1079"/>
      <c r="C126" s="777" t="s">
        <v>5580</v>
      </c>
      <c r="D126" s="940" t="s">
        <v>5581</v>
      </c>
      <c r="E126" s="777" t="s">
        <v>163</v>
      </c>
      <c r="F126" s="600">
        <f>F124</f>
        <v>20.54</v>
      </c>
      <c r="G126" s="388"/>
      <c r="H126" s="1080">
        <f>F126*G126</f>
        <v>0</v>
      </c>
      <c r="I126" s="781" t="s">
        <v>112</v>
      </c>
      <c r="J126" s="1109"/>
      <c r="K126" s="1082"/>
      <c r="L126" s="1082"/>
      <c r="M126" s="1082"/>
      <c r="N126" s="1082"/>
      <c r="O126" s="643"/>
      <c r="P126" s="643"/>
      <c r="Q126" s="1083"/>
      <c r="R126" s="1084"/>
      <c r="S126" s="645"/>
      <c r="T126" s="646"/>
      <c r="V126" s="648"/>
    </row>
    <row r="127" spans="1:25" s="934" customFormat="1" ht="13.5" customHeight="1">
      <c r="A127" s="1098" t="s">
        <v>5582</v>
      </c>
      <c r="B127" s="1079"/>
      <c r="C127" s="777" t="s">
        <v>5563</v>
      </c>
      <c r="D127" s="940" t="s">
        <v>5583</v>
      </c>
      <c r="E127" s="1023" t="s">
        <v>163</v>
      </c>
      <c r="F127" s="973">
        <f>(F128)*1.1</f>
        <v>22.594000000000001</v>
      </c>
      <c r="G127" s="390"/>
      <c r="H127" s="1108">
        <f>F127*G127</f>
        <v>0</v>
      </c>
      <c r="I127" s="781" t="s">
        <v>112</v>
      </c>
      <c r="J127" s="1109"/>
      <c r="K127" s="1109"/>
      <c r="L127" s="1110"/>
      <c r="M127" s="1111"/>
      <c r="N127" s="1111"/>
      <c r="O127" s="1112"/>
      <c r="P127" s="1111"/>
      <c r="Q127" s="1113"/>
      <c r="R127" s="1072"/>
      <c r="S127" s="1072"/>
      <c r="T127" s="1009"/>
      <c r="V127" s="1073"/>
    </row>
    <row r="128" spans="1:25" s="934" customFormat="1" ht="13.5" customHeight="1">
      <c r="A128" s="929"/>
      <c r="B128" s="930"/>
      <c r="C128" s="1114"/>
      <c r="D128" s="940" t="s">
        <v>5584</v>
      </c>
      <c r="E128" s="1115"/>
      <c r="F128" s="973">
        <v>20.54</v>
      </c>
      <c r="G128" s="380"/>
      <c r="H128" s="949"/>
      <c r="I128" s="941"/>
      <c r="J128" s="1116"/>
      <c r="K128" s="1117"/>
      <c r="L128" s="1094"/>
      <c r="M128" s="1095"/>
      <c r="N128" s="1095"/>
      <c r="O128" s="1118"/>
      <c r="P128" s="1095"/>
      <c r="Q128" s="1119"/>
      <c r="R128" s="1120"/>
      <c r="S128" s="1121"/>
    </row>
    <row r="129" spans="1:25" s="918" customFormat="1" ht="13.5" customHeight="1">
      <c r="A129" s="925"/>
      <c r="B129" s="926"/>
      <c r="C129" s="926"/>
      <c r="D129" s="940" t="s">
        <v>5539</v>
      </c>
      <c r="E129" s="919"/>
      <c r="F129" s="922"/>
      <c r="G129" s="1208"/>
      <c r="H129" s="927"/>
      <c r="I129" s="928"/>
      <c r="J129" s="916"/>
      <c r="K129" s="917"/>
    </row>
    <row r="130" spans="1:25" s="934" customFormat="1" ht="13.5" customHeight="1">
      <c r="A130" s="980" t="s">
        <v>1246</v>
      </c>
      <c r="B130" s="968" t="s">
        <v>5523</v>
      </c>
      <c r="C130" s="930" t="s">
        <v>5585</v>
      </c>
      <c r="D130" s="930" t="s">
        <v>5586</v>
      </c>
      <c r="E130" s="930" t="s">
        <v>163</v>
      </c>
      <c r="F130" s="981">
        <f>SUM(F133:F133)</f>
        <v>33.72</v>
      </c>
      <c r="G130" s="932">
        <f>SUM(H132:H132)/F130</f>
        <v>0</v>
      </c>
      <c r="H130" s="932">
        <f>F130*G130</f>
        <v>0</v>
      </c>
      <c r="I130" s="1014" t="s">
        <v>111</v>
      </c>
      <c r="J130" s="1066"/>
      <c r="K130" s="1067"/>
      <c r="L130" s="1067"/>
      <c r="M130" s="1067"/>
      <c r="N130" s="1068"/>
      <c r="O130" s="1069"/>
      <c r="P130" s="1070"/>
      <c r="Q130" s="1071"/>
      <c r="R130" s="1072"/>
      <c r="S130" s="1072"/>
      <c r="T130" s="1009"/>
      <c r="V130" s="1073"/>
    </row>
    <row r="131" spans="1:25" s="934" customFormat="1" ht="13.5" customHeight="1">
      <c r="A131" s="1074"/>
      <c r="B131" s="1075"/>
      <c r="C131" s="1076"/>
      <c r="D131" s="940" t="s">
        <v>5526</v>
      </c>
      <c r="E131" s="930"/>
      <c r="F131" s="1077"/>
      <c r="G131" s="379"/>
      <c r="H131" s="932"/>
      <c r="I131" s="984"/>
    </row>
    <row r="132" spans="1:25" s="934" customFormat="1" ht="13.5" customHeight="1">
      <c r="A132" s="1098" t="s">
        <v>5587</v>
      </c>
      <c r="B132" s="1079"/>
      <c r="C132" s="777" t="s">
        <v>5536</v>
      </c>
      <c r="D132" s="940" t="s">
        <v>5588</v>
      </c>
      <c r="E132" s="1023" t="s">
        <v>163</v>
      </c>
      <c r="F132" s="973">
        <f>(F133)*1.1</f>
        <v>37.091999999999999</v>
      </c>
      <c r="G132" s="390"/>
      <c r="H132" s="1108">
        <f>F132*G132</f>
        <v>0</v>
      </c>
      <c r="I132" s="781" t="s">
        <v>112</v>
      </c>
      <c r="J132" s="1081"/>
      <c r="K132" s="1109"/>
      <c r="L132" s="1110"/>
      <c r="M132" s="1111"/>
      <c r="N132" s="1111"/>
      <c r="O132" s="1112"/>
      <c r="P132" s="1111"/>
      <c r="Q132" s="1113"/>
      <c r="R132" s="1072"/>
      <c r="S132" s="1072"/>
      <c r="T132" s="1009"/>
      <c r="V132" s="1073"/>
    </row>
    <row r="133" spans="1:25" s="934" customFormat="1" ht="13.5" customHeight="1">
      <c r="A133" s="929"/>
      <c r="B133" s="930"/>
      <c r="C133" s="1114"/>
      <c r="D133" s="940" t="s">
        <v>5589</v>
      </c>
      <c r="E133" s="1115"/>
      <c r="F133" s="973">
        <v>33.72</v>
      </c>
      <c r="G133" s="380"/>
      <c r="H133" s="949"/>
      <c r="I133" s="941"/>
      <c r="J133" s="1116"/>
      <c r="K133" s="1117"/>
      <c r="L133" s="1094"/>
      <c r="M133" s="1095"/>
      <c r="N133" s="1095"/>
      <c r="O133" s="1118"/>
      <c r="P133" s="1095"/>
      <c r="Q133" s="1119"/>
      <c r="R133" s="1120"/>
      <c r="S133" s="1121"/>
    </row>
    <row r="134" spans="1:25" s="918" customFormat="1" ht="13.5" customHeight="1">
      <c r="A134" s="925"/>
      <c r="B134" s="926"/>
      <c r="C134" s="926"/>
      <c r="D134" s="940" t="s">
        <v>5539</v>
      </c>
      <c r="E134" s="919"/>
      <c r="F134" s="922"/>
      <c r="G134" s="1208"/>
      <c r="H134" s="927"/>
      <c r="I134" s="928"/>
      <c r="J134" s="916"/>
      <c r="K134" s="917"/>
    </row>
    <row r="135" spans="1:25" s="934" customFormat="1" ht="13.5" customHeight="1">
      <c r="A135" s="980" t="s">
        <v>1250</v>
      </c>
      <c r="B135" s="968" t="s">
        <v>5523</v>
      </c>
      <c r="C135" s="930" t="s">
        <v>5590</v>
      </c>
      <c r="D135" s="930" t="s">
        <v>5591</v>
      </c>
      <c r="E135" s="930" t="s">
        <v>163</v>
      </c>
      <c r="F135" s="981">
        <f>SUM(F138:F138)</f>
        <v>35.64</v>
      </c>
      <c r="G135" s="932">
        <f>SUM(H137:H137)/F135</f>
        <v>0</v>
      </c>
      <c r="H135" s="932">
        <f>F135*G135</f>
        <v>0</v>
      </c>
      <c r="I135" s="1014" t="s">
        <v>111</v>
      </c>
      <c r="J135" s="1066"/>
      <c r="K135" s="1067"/>
      <c r="L135" s="1067"/>
      <c r="M135" s="1067"/>
      <c r="N135" s="1068"/>
      <c r="O135" s="1069"/>
      <c r="P135" s="1070"/>
      <c r="Q135" s="1071"/>
      <c r="R135" s="1072"/>
      <c r="S135" s="1072"/>
      <c r="T135" s="1009"/>
      <c r="V135" s="1073"/>
    </row>
    <row r="136" spans="1:25" s="934" customFormat="1" ht="13.5" customHeight="1">
      <c r="A136" s="1074"/>
      <c r="B136" s="1075"/>
      <c r="C136" s="1076"/>
      <c r="D136" s="940" t="s">
        <v>5526</v>
      </c>
      <c r="E136" s="930"/>
      <c r="F136" s="1077"/>
      <c r="G136" s="379"/>
      <c r="H136" s="932"/>
      <c r="I136" s="984"/>
    </row>
    <row r="137" spans="1:25" s="934" customFormat="1" ht="13.5" customHeight="1">
      <c r="A137" s="1098" t="s">
        <v>5592</v>
      </c>
      <c r="B137" s="1079"/>
      <c r="C137" s="777" t="s">
        <v>5593</v>
      </c>
      <c r="D137" s="940" t="s">
        <v>5594</v>
      </c>
      <c r="E137" s="1023" t="s">
        <v>163</v>
      </c>
      <c r="F137" s="973">
        <f>(F138)*1.1</f>
        <v>39.204000000000001</v>
      </c>
      <c r="G137" s="390"/>
      <c r="H137" s="1108">
        <f>F137*G137</f>
        <v>0</v>
      </c>
      <c r="I137" s="781" t="s">
        <v>112</v>
      </c>
      <c r="J137" s="1081"/>
      <c r="K137" s="1109"/>
      <c r="L137" s="1110"/>
      <c r="M137" s="1111"/>
      <c r="N137" s="1111"/>
      <c r="O137" s="1112"/>
      <c r="P137" s="1111"/>
      <c r="Q137" s="1113"/>
      <c r="R137" s="1072"/>
      <c r="S137" s="1072"/>
      <c r="T137" s="1009"/>
      <c r="V137" s="1073"/>
    </row>
    <row r="138" spans="1:25" s="934" customFormat="1" ht="13.5" customHeight="1">
      <c r="A138" s="929"/>
      <c r="B138" s="930"/>
      <c r="C138" s="1114"/>
      <c r="D138" s="940" t="s">
        <v>5595</v>
      </c>
      <c r="E138" s="1115"/>
      <c r="F138" s="973">
        <v>35.64</v>
      </c>
      <c r="G138" s="380"/>
      <c r="H138" s="949"/>
      <c r="I138" s="941"/>
      <c r="J138" s="1116"/>
      <c r="K138" s="1117"/>
      <c r="L138" s="1094"/>
      <c r="M138" s="1095"/>
      <c r="N138" s="1095"/>
      <c r="O138" s="1118"/>
      <c r="P138" s="1095"/>
      <c r="Q138" s="1119"/>
      <c r="R138" s="1120"/>
      <c r="S138" s="1121"/>
    </row>
    <row r="139" spans="1:25" s="918" customFormat="1" ht="13.5" customHeight="1">
      <c r="A139" s="925"/>
      <c r="B139" s="926"/>
      <c r="C139" s="926"/>
      <c r="D139" s="940" t="s">
        <v>5539</v>
      </c>
      <c r="E139" s="919"/>
      <c r="F139" s="922"/>
      <c r="G139" s="1208"/>
      <c r="H139" s="927"/>
      <c r="I139" s="928"/>
      <c r="J139" s="916"/>
      <c r="K139" s="917"/>
    </row>
    <row r="140" spans="1:25" s="934" customFormat="1" ht="13.5" customHeight="1">
      <c r="A140" s="980" t="s">
        <v>1254</v>
      </c>
      <c r="B140" s="968" t="s">
        <v>5523</v>
      </c>
      <c r="C140" s="930" t="s">
        <v>5596</v>
      </c>
      <c r="D140" s="930" t="s">
        <v>5597</v>
      </c>
      <c r="E140" s="930" t="s">
        <v>163</v>
      </c>
      <c r="F140" s="981">
        <f>SUM(F147:F147)</f>
        <v>27.69</v>
      </c>
      <c r="G140" s="932">
        <f>SUM(H142:H146)/F140</f>
        <v>0</v>
      </c>
      <c r="H140" s="932">
        <f>F140*G140</f>
        <v>0</v>
      </c>
      <c r="I140" s="1014" t="s">
        <v>111</v>
      </c>
      <c r="J140" s="1066"/>
      <c r="K140" s="1067"/>
      <c r="L140" s="1067"/>
      <c r="M140" s="1067"/>
      <c r="N140" s="1068"/>
      <c r="O140" s="1069"/>
      <c r="P140" s="1070"/>
      <c r="Q140" s="1071"/>
      <c r="R140" s="1072"/>
      <c r="S140" s="1072"/>
      <c r="T140" s="1009"/>
      <c r="V140" s="1073"/>
    </row>
    <row r="141" spans="1:25" s="934" customFormat="1" ht="13.5" customHeight="1">
      <c r="A141" s="1074"/>
      <c r="B141" s="1075"/>
      <c r="C141" s="1076"/>
      <c r="D141" s="940" t="s">
        <v>5526</v>
      </c>
      <c r="E141" s="930"/>
      <c r="F141" s="1077"/>
      <c r="G141" s="379"/>
      <c r="H141" s="932"/>
      <c r="I141" s="984"/>
    </row>
    <row r="142" spans="1:25" s="647" customFormat="1" ht="13.5" customHeight="1">
      <c r="A142" s="1078" t="s">
        <v>5598</v>
      </c>
      <c r="B142" s="1079"/>
      <c r="C142" s="777" t="s">
        <v>5599</v>
      </c>
      <c r="D142" s="940" t="s">
        <v>5600</v>
      </c>
      <c r="E142" s="777" t="s">
        <v>1425</v>
      </c>
      <c r="F142" s="600">
        <f>F143+F144</f>
        <v>26</v>
      </c>
      <c r="G142" s="388"/>
      <c r="H142" s="1080">
        <f>F142*G142</f>
        <v>0</v>
      </c>
      <c r="I142" s="781" t="s">
        <v>112</v>
      </c>
      <c r="J142" s="1081"/>
      <c r="K142" s="1082"/>
      <c r="L142" s="1082"/>
      <c r="M142" s="1082"/>
      <c r="N142" s="1082"/>
      <c r="O142" s="643"/>
      <c r="P142" s="643"/>
      <c r="Q142" s="1083"/>
      <c r="R142" s="1084"/>
      <c r="S142" s="645"/>
      <c r="T142" s="646"/>
      <c r="V142" s="648"/>
    </row>
    <row r="143" spans="1:25" s="934" customFormat="1" ht="13.5" customHeight="1">
      <c r="A143" s="1085" t="s">
        <v>5601</v>
      </c>
      <c r="B143" s="1079"/>
      <c r="C143" s="1086" t="s">
        <v>5572</v>
      </c>
      <c r="D143" s="1087" t="s">
        <v>5602</v>
      </c>
      <c r="E143" s="1088" t="s">
        <v>1425</v>
      </c>
      <c r="F143" s="1089">
        <v>6</v>
      </c>
      <c r="G143" s="389"/>
      <c r="H143" s="1090">
        <f>F143*G143</f>
        <v>0</v>
      </c>
      <c r="I143" s="1091" t="s">
        <v>112</v>
      </c>
      <c r="J143" s="1092"/>
      <c r="K143" s="1093"/>
      <c r="L143" s="1094"/>
      <c r="M143" s="1095"/>
      <c r="N143" s="1095"/>
      <c r="O143" s="1096"/>
      <c r="P143" s="1095"/>
      <c r="Q143" s="1097"/>
      <c r="R143" s="1092"/>
      <c r="S143" s="1093"/>
      <c r="T143" s="1094"/>
      <c r="U143" s="1095"/>
      <c r="V143" s="1095"/>
      <c r="W143" s="1096"/>
      <c r="X143" s="1095"/>
      <c r="Y143" s="1097"/>
    </row>
    <row r="144" spans="1:25" s="934" customFormat="1" ht="13.5" customHeight="1">
      <c r="A144" s="1085" t="s">
        <v>5603</v>
      </c>
      <c r="B144" s="1079"/>
      <c r="C144" s="1086" t="s">
        <v>5604</v>
      </c>
      <c r="D144" s="1087" t="s">
        <v>5605</v>
      </c>
      <c r="E144" s="1088" t="s">
        <v>1425</v>
      </c>
      <c r="F144" s="1089">
        <v>20</v>
      </c>
      <c r="G144" s="389"/>
      <c r="H144" s="1090">
        <f>F144*G144</f>
        <v>0</v>
      </c>
      <c r="I144" s="1091" t="s">
        <v>112</v>
      </c>
      <c r="J144" s="1092"/>
      <c r="K144" s="1093"/>
      <c r="L144" s="1094"/>
      <c r="M144" s="1095"/>
      <c r="N144" s="1095"/>
      <c r="O144" s="1096"/>
      <c r="P144" s="1095"/>
      <c r="Q144" s="1097"/>
      <c r="R144" s="1092"/>
      <c r="S144" s="1093"/>
      <c r="T144" s="1094"/>
      <c r="U144" s="1095"/>
      <c r="V144" s="1095"/>
      <c r="W144" s="1096"/>
      <c r="X144" s="1095"/>
      <c r="Y144" s="1097"/>
    </row>
    <row r="145" spans="1:22" s="934" customFormat="1" ht="13.5" customHeight="1">
      <c r="A145" s="1098" t="s">
        <v>5606</v>
      </c>
      <c r="B145" s="1079"/>
      <c r="C145" s="777" t="s">
        <v>5593</v>
      </c>
      <c r="D145" s="940" t="s">
        <v>5607</v>
      </c>
      <c r="E145" s="1023" t="s">
        <v>163</v>
      </c>
      <c r="F145" s="973">
        <f>(F146)*1.1</f>
        <v>12.100000000000001</v>
      </c>
      <c r="G145" s="390"/>
      <c r="H145" s="1108">
        <f>F145*G145</f>
        <v>0</v>
      </c>
      <c r="I145" s="781" t="s">
        <v>112</v>
      </c>
      <c r="J145" s="1081"/>
      <c r="K145" s="1109"/>
      <c r="L145" s="1110"/>
      <c r="M145" s="1111"/>
      <c r="N145" s="1111"/>
      <c r="O145" s="1112"/>
      <c r="P145" s="1111"/>
      <c r="Q145" s="1113"/>
      <c r="R145" s="1072"/>
      <c r="S145" s="1072"/>
      <c r="T145" s="1009"/>
      <c r="V145" s="1073"/>
    </row>
    <row r="146" spans="1:22" s="934" customFormat="1" ht="13.5" customHeight="1">
      <c r="A146" s="1098" t="s">
        <v>5608</v>
      </c>
      <c r="B146" s="1079"/>
      <c r="C146" s="777" t="s">
        <v>5609</v>
      </c>
      <c r="D146" s="940" t="s">
        <v>5610</v>
      </c>
      <c r="E146" s="1023" t="s">
        <v>1425</v>
      </c>
      <c r="F146" s="973">
        <v>11</v>
      </c>
      <c r="G146" s="390"/>
      <c r="H146" s="1108">
        <f>F146*G146</f>
        <v>0</v>
      </c>
      <c r="I146" s="781" t="s">
        <v>112</v>
      </c>
      <c r="J146" s="1081"/>
      <c r="K146" s="1109"/>
      <c r="L146" s="1110"/>
      <c r="M146" s="1111"/>
      <c r="N146" s="1111"/>
      <c r="O146" s="1112"/>
      <c r="P146" s="1111"/>
      <c r="Q146" s="1113"/>
      <c r="R146" s="1072"/>
      <c r="S146" s="1072"/>
      <c r="T146" s="1009"/>
      <c r="V146" s="1073"/>
    </row>
    <row r="147" spans="1:22" s="934" customFormat="1" ht="13.5" customHeight="1">
      <c r="A147" s="929"/>
      <c r="B147" s="930"/>
      <c r="C147" s="1114"/>
      <c r="D147" s="940" t="s">
        <v>5611</v>
      </c>
      <c r="E147" s="1115"/>
      <c r="F147" s="973">
        <v>27.69</v>
      </c>
      <c r="G147" s="380"/>
      <c r="H147" s="949"/>
      <c r="I147" s="941"/>
      <c r="J147" s="1116"/>
      <c r="K147" s="1117"/>
      <c r="L147" s="1094"/>
      <c r="M147" s="1095"/>
      <c r="N147" s="1095"/>
      <c r="O147" s="1118"/>
      <c r="P147" s="1095"/>
      <c r="Q147" s="1119"/>
      <c r="R147" s="1120"/>
      <c r="S147" s="1121"/>
    </row>
    <row r="148" spans="1:22" s="918" customFormat="1" ht="13.5" customHeight="1">
      <c r="A148" s="925"/>
      <c r="B148" s="926"/>
      <c r="C148" s="926"/>
      <c r="D148" s="940" t="s">
        <v>5539</v>
      </c>
      <c r="E148" s="919"/>
      <c r="F148" s="922"/>
      <c r="G148" s="1208"/>
      <c r="H148" s="927"/>
      <c r="I148" s="928"/>
      <c r="J148" s="916"/>
      <c r="K148" s="917"/>
    </row>
    <row r="149" spans="1:22" s="934" customFormat="1" ht="13.5" customHeight="1">
      <c r="A149" s="980" t="s">
        <v>1258</v>
      </c>
      <c r="B149" s="968" t="s">
        <v>5523</v>
      </c>
      <c r="C149" s="930" t="s">
        <v>5585</v>
      </c>
      <c r="D149" s="930" t="s">
        <v>5612</v>
      </c>
      <c r="E149" s="930" t="s">
        <v>163</v>
      </c>
      <c r="F149" s="981">
        <f>SUM(F152:F152)</f>
        <v>10.130000000000001</v>
      </c>
      <c r="G149" s="932">
        <f>SUM(H151:H151)/F149</f>
        <v>0</v>
      </c>
      <c r="H149" s="932">
        <f>F149*G149</f>
        <v>0</v>
      </c>
      <c r="I149" s="1014" t="s">
        <v>111</v>
      </c>
      <c r="J149" s="1066"/>
      <c r="K149" s="1067"/>
      <c r="L149" s="1067"/>
      <c r="M149" s="1067"/>
      <c r="N149" s="1068"/>
      <c r="O149" s="1069"/>
      <c r="P149" s="1070"/>
      <c r="Q149" s="1071"/>
      <c r="R149" s="1072"/>
      <c r="S149" s="1072"/>
      <c r="T149" s="1009"/>
      <c r="V149" s="1073"/>
    </row>
    <row r="150" spans="1:22" s="934" customFormat="1" ht="13.5" customHeight="1">
      <c r="A150" s="1074"/>
      <c r="B150" s="1075"/>
      <c r="C150" s="1076"/>
      <c r="D150" s="940" t="s">
        <v>5526</v>
      </c>
      <c r="E150" s="930"/>
      <c r="F150" s="1077"/>
      <c r="G150" s="379"/>
      <c r="H150" s="932"/>
      <c r="I150" s="984"/>
    </row>
    <row r="151" spans="1:22" s="934" customFormat="1" ht="13.5" customHeight="1">
      <c r="A151" s="1098" t="s">
        <v>5613</v>
      </c>
      <c r="B151" s="1079"/>
      <c r="C151" s="777" t="s">
        <v>5593</v>
      </c>
      <c r="D151" s="940" t="s">
        <v>5614</v>
      </c>
      <c r="E151" s="1023" t="s">
        <v>163</v>
      </c>
      <c r="F151" s="973">
        <f>(F152)*1.1</f>
        <v>11.143000000000002</v>
      </c>
      <c r="G151" s="390"/>
      <c r="H151" s="1108">
        <f>F151*G151</f>
        <v>0</v>
      </c>
      <c r="I151" s="781" t="s">
        <v>112</v>
      </c>
      <c r="J151" s="1081"/>
      <c r="K151" s="1109"/>
      <c r="L151" s="1110"/>
      <c r="M151" s="1111"/>
      <c r="N151" s="1111"/>
      <c r="O151" s="1112"/>
      <c r="P151" s="1111"/>
      <c r="Q151" s="1113"/>
      <c r="R151" s="1072"/>
      <c r="S151" s="1072"/>
      <c r="T151" s="1009"/>
      <c r="V151" s="1073"/>
    </row>
    <row r="152" spans="1:22" s="934" customFormat="1" ht="13.5" customHeight="1">
      <c r="A152" s="929"/>
      <c r="B152" s="930"/>
      <c r="C152" s="1114"/>
      <c r="D152" s="940" t="s">
        <v>5615</v>
      </c>
      <c r="E152" s="1115"/>
      <c r="F152" s="973">
        <v>10.130000000000001</v>
      </c>
      <c r="G152" s="380"/>
      <c r="H152" s="949"/>
      <c r="I152" s="941"/>
      <c r="J152" s="1116"/>
      <c r="K152" s="1117"/>
      <c r="L152" s="1094"/>
      <c r="M152" s="1095"/>
      <c r="N152" s="1095"/>
      <c r="O152" s="1118"/>
      <c r="P152" s="1095"/>
      <c r="Q152" s="1119"/>
      <c r="R152" s="1120"/>
      <c r="S152" s="1121"/>
    </row>
    <row r="153" spans="1:22" s="918" customFormat="1" ht="13.5" customHeight="1">
      <c r="A153" s="925"/>
      <c r="B153" s="926"/>
      <c r="C153" s="926"/>
      <c r="D153" s="940" t="s">
        <v>5539</v>
      </c>
      <c r="E153" s="919"/>
      <c r="F153" s="922"/>
      <c r="G153" s="1208"/>
      <c r="H153" s="927"/>
      <c r="I153" s="928"/>
      <c r="J153" s="916"/>
      <c r="K153" s="917"/>
    </row>
    <row r="154" spans="1:22" s="935" customFormat="1" ht="13.5" customHeight="1">
      <c r="A154" s="1040"/>
      <c r="B154" s="1040"/>
      <c r="C154" s="1041" t="s">
        <v>311</v>
      </c>
      <c r="D154" s="1041" t="s">
        <v>312</v>
      </c>
      <c r="E154" s="1122"/>
      <c r="F154" s="1042"/>
      <c r="G154" s="387"/>
      <c r="H154" s="1043">
        <f>SUM(H155:H187,H192:H193)</f>
        <v>0</v>
      </c>
      <c r="I154" s="941"/>
    </row>
    <row r="155" spans="1:22" s="934" customFormat="1" ht="13.5" customHeight="1">
      <c r="A155" s="929">
        <v>37</v>
      </c>
      <c r="B155" s="968" t="s">
        <v>5110</v>
      </c>
      <c r="C155" s="930" t="s">
        <v>5616</v>
      </c>
      <c r="D155" s="930" t="s">
        <v>5617</v>
      </c>
      <c r="E155" s="930" t="s">
        <v>1315</v>
      </c>
      <c r="F155" s="981">
        <f>SUM(F157:F157)</f>
        <v>1</v>
      </c>
      <c r="G155" s="5272" t="s">
        <v>6351</v>
      </c>
      <c r="H155" s="5273"/>
      <c r="I155" s="1123" t="s">
        <v>137</v>
      </c>
      <c r="J155" s="1053"/>
      <c r="K155" s="1067"/>
      <c r="L155" s="1067"/>
      <c r="M155" s="1067"/>
      <c r="N155" s="1067"/>
      <c r="O155" s="1069"/>
      <c r="P155" s="1070"/>
      <c r="Q155" s="1071"/>
      <c r="R155" s="1072"/>
      <c r="S155" s="1072"/>
      <c r="T155" s="1009"/>
      <c r="V155" s="1073"/>
    </row>
    <row r="156" spans="1:22" s="934" customFormat="1" ht="27" customHeight="1">
      <c r="A156" s="929"/>
      <c r="B156" s="930"/>
      <c r="C156" s="930"/>
      <c r="D156" s="1023" t="s">
        <v>5618</v>
      </c>
      <c r="E156" s="930"/>
      <c r="F156" s="1124"/>
      <c r="G156" s="949"/>
      <c r="H156" s="949"/>
      <c r="I156" s="941"/>
      <c r="J156" s="1065"/>
      <c r="K156" s="1125"/>
      <c r="L156" s="1067"/>
      <c r="M156" s="1067"/>
      <c r="N156" s="1067"/>
      <c r="O156" s="1069"/>
      <c r="P156" s="1070"/>
      <c r="Q156" s="1071"/>
      <c r="R156" s="1072"/>
      <c r="S156" s="1072"/>
      <c r="T156" s="1009"/>
      <c r="V156" s="1073"/>
    </row>
    <row r="157" spans="1:22" s="934" customFormat="1" ht="13.5" customHeight="1">
      <c r="A157" s="929"/>
      <c r="B157" s="930"/>
      <c r="C157" s="930"/>
      <c r="D157" s="1023" t="s">
        <v>5619</v>
      </c>
      <c r="E157" s="930"/>
      <c r="F157" s="973">
        <v>1</v>
      </c>
      <c r="G157" s="949"/>
      <c r="H157" s="949"/>
      <c r="I157" s="941"/>
      <c r="J157" s="1065"/>
      <c r="K157" s="1125"/>
      <c r="L157" s="1067"/>
      <c r="M157" s="1067"/>
      <c r="N157" s="1067"/>
      <c r="O157" s="1069"/>
      <c r="P157" s="1070"/>
      <c r="Q157" s="1071"/>
      <c r="R157" s="1072"/>
      <c r="S157" s="1072"/>
      <c r="T157" s="1009"/>
      <c r="V157" s="1073"/>
    </row>
    <row r="158" spans="1:22" s="934" customFormat="1" ht="13.5" customHeight="1">
      <c r="A158" s="929">
        <v>38</v>
      </c>
      <c r="B158" s="968" t="s">
        <v>5110</v>
      </c>
      <c r="C158" s="930" t="s">
        <v>5620</v>
      </c>
      <c r="D158" s="930" t="s">
        <v>5621</v>
      </c>
      <c r="E158" s="930" t="s">
        <v>1315</v>
      </c>
      <c r="F158" s="981">
        <f>SUM(F160:F160)</f>
        <v>1</v>
      </c>
      <c r="G158" s="5272" t="s">
        <v>6351</v>
      </c>
      <c r="H158" s="5273"/>
      <c r="I158" s="1123" t="s">
        <v>137</v>
      </c>
      <c r="J158" s="1053"/>
      <c r="K158" s="1067"/>
      <c r="L158" s="1067"/>
      <c r="M158" s="1067"/>
      <c r="N158" s="1067"/>
      <c r="O158" s="1069"/>
      <c r="P158" s="1070"/>
      <c r="Q158" s="1071"/>
      <c r="R158" s="1072"/>
      <c r="S158" s="1072"/>
      <c r="T158" s="1009"/>
      <c r="V158" s="1073"/>
    </row>
    <row r="159" spans="1:22" s="934" customFormat="1" ht="27" customHeight="1">
      <c r="A159" s="929"/>
      <c r="B159" s="930"/>
      <c r="C159" s="930"/>
      <c r="D159" s="1023" t="s">
        <v>5622</v>
      </c>
      <c r="E159" s="930"/>
      <c r="F159" s="1124"/>
      <c r="G159" s="380"/>
      <c r="H159" s="949"/>
      <c r="I159" s="941"/>
      <c r="J159" s="1065"/>
      <c r="K159" s="1125"/>
      <c r="L159" s="1067"/>
      <c r="M159" s="1067"/>
      <c r="N159" s="1067"/>
      <c r="O159" s="1069"/>
      <c r="P159" s="1070"/>
      <c r="Q159" s="1071"/>
      <c r="R159" s="1072"/>
      <c r="S159" s="1072"/>
      <c r="T159" s="1009"/>
      <c r="V159" s="1073"/>
    </row>
    <row r="160" spans="1:22" s="934" customFormat="1" ht="13.5" customHeight="1">
      <c r="A160" s="929"/>
      <c r="B160" s="930"/>
      <c r="C160" s="930"/>
      <c r="D160" s="1023" t="s">
        <v>5623</v>
      </c>
      <c r="E160" s="930"/>
      <c r="F160" s="973">
        <v>1</v>
      </c>
      <c r="G160" s="380"/>
      <c r="H160" s="949"/>
      <c r="I160" s="941"/>
      <c r="J160" s="1065"/>
      <c r="K160" s="1125"/>
      <c r="L160" s="1067"/>
      <c r="M160" s="1067"/>
      <c r="N160" s="1067"/>
      <c r="O160" s="1069"/>
      <c r="P160" s="1070"/>
      <c r="Q160" s="1071"/>
      <c r="R160" s="1072"/>
      <c r="S160" s="1072"/>
      <c r="T160" s="1009"/>
      <c r="V160" s="1073"/>
    </row>
    <row r="161" spans="1:256" s="934" customFormat="1" ht="13.5" customHeight="1">
      <c r="A161" s="929">
        <v>39</v>
      </c>
      <c r="B161" s="968" t="s">
        <v>5110</v>
      </c>
      <c r="C161" s="930">
        <v>916331112</v>
      </c>
      <c r="D161" s="930" t="s">
        <v>5624</v>
      </c>
      <c r="E161" s="930" t="s">
        <v>141</v>
      </c>
      <c r="F161" s="981">
        <f>SUM(F163:F163)</f>
        <v>234.084</v>
      </c>
      <c r="G161" s="380"/>
      <c r="H161" s="949">
        <f>F161*G161</f>
        <v>0</v>
      </c>
      <c r="I161" s="1123" t="s">
        <v>137</v>
      </c>
      <c r="J161" s="1053"/>
      <c r="K161" s="1067"/>
      <c r="L161" s="1067"/>
      <c r="M161" s="1067"/>
      <c r="N161" s="1067"/>
      <c r="O161" s="1069"/>
      <c r="P161" s="1070"/>
      <c r="Q161" s="1071"/>
      <c r="R161" s="1072"/>
      <c r="S161" s="1072"/>
      <c r="T161" s="1009"/>
      <c r="V161" s="1073"/>
    </row>
    <row r="162" spans="1:256" s="934" customFormat="1" ht="13.5" customHeight="1">
      <c r="A162" s="929"/>
      <c r="B162" s="930"/>
      <c r="C162" s="930"/>
      <c r="D162" s="1023" t="s">
        <v>5625</v>
      </c>
      <c r="E162" s="930"/>
      <c r="F162" s="1124"/>
      <c r="G162" s="380"/>
      <c r="H162" s="949"/>
      <c r="I162" s="941"/>
      <c r="J162" s="1065"/>
      <c r="K162" s="1125"/>
      <c r="L162" s="1067"/>
      <c r="M162" s="1067"/>
      <c r="N162" s="1067"/>
      <c r="O162" s="1069"/>
      <c r="P162" s="1070"/>
      <c r="Q162" s="1071"/>
      <c r="R162" s="1072"/>
      <c r="S162" s="1072"/>
      <c r="T162" s="1009"/>
      <c r="V162" s="1073"/>
    </row>
    <row r="163" spans="1:256" s="934" customFormat="1" ht="13.5" customHeight="1">
      <c r="A163" s="929"/>
      <c r="B163" s="930"/>
      <c r="C163" s="930"/>
      <c r="D163" s="1023" t="s">
        <v>5626</v>
      </c>
      <c r="E163" s="930"/>
      <c r="F163" s="973">
        <v>234.084</v>
      </c>
      <c r="G163" s="380"/>
      <c r="H163" s="949"/>
      <c r="I163" s="941"/>
      <c r="J163" s="1065"/>
      <c r="K163" s="1125"/>
      <c r="L163" s="1067"/>
      <c r="M163" s="1067"/>
      <c r="N163" s="1067"/>
      <c r="O163" s="1069"/>
      <c r="P163" s="1070"/>
      <c r="Q163" s="1071"/>
      <c r="R163" s="1072"/>
      <c r="S163" s="1072"/>
      <c r="T163" s="1009"/>
      <c r="V163" s="1073"/>
    </row>
    <row r="164" spans="1:256" s="593" customFormat="1" ht="13.5" customHeight="1">
      <c r="A164" s="1048">
        <v>40</v>
      </c>
      <c r="B164" s="1049">
        <v>592</v>
      </c>
      <c r="C164" s="1049">
        <v>59217002</v>
      </c>
      <c r="D164" s="1049" t="s">
        <v>5627</v>
      </c>
      <c r="E164" s="1049" t="s">
        <v>141</v>
      </c>
      <c r="F164" s="1050">
        <f>SUM(F165:F165)</f>
        <v>245.78820000000002</v>
      </c>
      <c r="G164" s="1213"/>
      <c r="H164" s="1051">
        <f>F164*G164</f>
        <v>0</v>
      </c>
      <c r="I164" s="1052" t="s">
        <v>137</v>
      </c>
      <c r="J164" s="1053"/>
      <c r="K164" s="1054"/>
      <c r="L164" s="1054"/>
      <c r="M164" s="1054"/>
      <c r="N164" s="1054"/>
      <c r="O164" s="1055"/>
      <c r="P164" s="1056"/>
      <c r="Q164" s="1057"/>
      <c r="R164" s="1058"/>
      <c r="S164" s="1058"/>
      <c r="T164" s="1059"/>
      <c r="U164" s="467"/>
      <c r="V164" s="1060"/>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467"/>
      <c r="AY164" s="467"/>
      <c r="AZ164" s="467"/>
      <c r="BA164" s="467"/>
      <c r="BB164" s="467"/>
      <c r="BC164" s="467"/>
      <c r="BD164" s="467"/>
      <c r="BE164" s="467"/>
      <c r="BF164" s="467"/>
      <c r="BG164" s="467"/>
      <c r="BH164" s="467"/>
      <c r="BI164" s="467"/>
      <c r="BJ164" s="467"/>
      <c r="BK164" s="467"/>
      <c r="BL164" s="467"/>
      <c r="BM164" s="467"/>
      <c r="BN164" s="467"/>
      <c r="BO164" s="467"/>
      <c r="BP164" s="467"/>
      <c r="BQ164" s="467"/>
      <c r="BR164" s="467"/>
      <c r="BS164" s="467"/>
      <c r="BT164" s="467"/>
      <c r="BU164" s="467"/>
      <c r="BV164" s="467"/>
      <c r="BW164" s="467"/>
      <c r="BX164" s="467"/>
      <c r="BY164" s="467"/>
      <c r="BZ164" s="467"/>
      <c r="CA164" s="467"/>
      <c r="CB164" s="467"/>
      <c r="CC164" s="467"/>
      <c r="CD164" s="467"/>
      <c r="CE164" s="467"/>
      <c r="CF164" s="467"/>
      <c r="CG164" s="467"/>
      <c r="CH164" s="467"/>
      <c r="CI164" s="467"/>
      <c r="CJ164" s="467"/>
      <c r="CK164" s="467"/>
      <c r="CL164" s="467"/>
      <c r="CM164" s="467"/>
      <c r="CN164" s="467"/>
      <c r="CO164" s="467"/>
      <c r="CP164" s="467"/>
      <c r="CQ164" s="467"/>
      <c r="CR164" s="467"/>
      <c r="CS164" s="467"/>
      <c r="CT164" s="467"/>
      <c r="CU164" s="467"/>
      <c r="CV164" s="467"/>
      <c r="CW164" s="467"/>
      <c r="CX164" s="467"/>
      <c r="CY164" s="467"/>
      <c r="CZ164" s="467"/>
      <c r="DA164" s="467"/>
      <c r="DB164" s="467"/>
      <c r="DC164" s="467"/>
      <c r="DD164" s="467"/>
      <c r="DE164" s="467"/>
      <c r="DF164" s="467"/>
      <c r="DG164" s="467"/>
      <c r="DH164" s="467"/>
      <c r="DI164" s="467"/>
      <c r="DJ164" s="467"/>
      <c r="DK164" s="467"/>
      <c r="DL164" s="467"/>
      <c r="DM164" s="467"/>
      <c r="DN164" s="467"/>
      <c r="DO164" s="467"/>
      <c r="DP164" s="467"/>
      <c r="DQ164" s="467"/>
      <c r="DR164" s="467"/>
      <c r="DS164" s="467"/>
      <c r="DT164" s="467"/>
      <c r="DU164" s="467"/>
      <c r="DV164" s="467"/>
      <c r="DW164" s="467"/>
      <c r="DX164" s="467"/>
      <c r="DY164" s="467"/>
      <c r="DZ164" s="467"/>
      <c r="EA164" s="467"/>
      <c r="EB164" s="467"/>
      <c r="EC164" s="467"/>
      <c r="ED164" s="467"/>
      <c r="EE164" s="467"/>
      <c r="EF164" s="467"/>
      <c r="EG164" s="467"/>
      <c r="EH164" s="467"/>
      <c r="EI164" s="467"/>
      <c r="EJ164" s="467"/>
      <c r="EK164" s="467"/>
      <c r="EL164" s="467"/>
      <c r="EM164" s="467"/>
      <c r="EN164" s="467"/>
      <c r="EO164" s="467"/>
      <c r="EP164" s="467"/>
      <c r="EQ164" s="467"/>
      <c r="ER164" s="467"/>
      <c r="ES164" s="467"/>
      <c r="ET164" s="467"/>
      <c r="EU164" s="467"/>
      <c r="EV164" s="467"/>
      <c r="EW164" s="467"/>
      <c r="EX164" s="467"/>
      <c r="EY164" s="467"/>
      <c r="EZ164" s="467"/>
      <c r="FA164" s="467"/>
      <c r="FB164" s="467"/>
      <c r="FC164" s="467"/>
      <c r="FD164" s="467"/>
      <c r="FE164" s="467"/>
      <c r="FF164" s="467"/>
      <c r="FG164" s="467"/>
      <c r="FH164" s="467"/>
      <c r="FI164" s="467"/>
      <c r="FJ164" s="467"/>
      <c r="FK164" s="467"/>
      <c r="FL164" s="467"/>
      <c r="FM164" s="467"/>
      <c r="FN164" s="467"/>
      <c r="FO164" s="467"/>
      <c r="FP164" s="467"/>
      <c r="FQ164" s="467"/>
      <c r="FR164" s="467"/>
      <c r="FS164" s="467"/>
      <c r="FT164" s="467"/>
      <c r="FU164" s="467"/>
      <c r="FV164" s="467"/>
      <c r="FW164" s="467"/>
      <c r="FX164" s="467"/>
      <c r="FY164" s="467"/>
      <c r="FZ164" s="467"/>
      <c r="GA164" s="467"/>
      <c r="GB164" s="467"/>
      <c r="GC164" s="467"/>
      <c r="GD164" s="467"/>
      <c r="GE164" s="467"/>
      <c r="GF164" s="467"/>
      <c r="GG164" s="467"/>
      <c r="GH164" s="467"/>
      <c r="GI164" s="467"/>
      <c r="GJ164" s="467"/>
      <c r="GK164" s="467"/>
      <c r="GL164" s="467"/>
      <c r="GM164" s="467"/>
      <c r="GN164" s="467"/>
      <c r="GO164" s="467"/>
      <c r="GP164" s="467"/>
      <c r="GQ164" s="467"/>
      <c r="GR164" s="467"/>
      <c r="GS164" s="467"/>
      <c r="GT164" s="467"/>
      <c r="GU164" s="467"/>
      <c r="GV164" s="467"/>
      <c r="GW164" s="467"/>
      <c r="GX164" s="467"/>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7"/>
      <c r="IF164" s="467"/>
      <c r="IG164" s="467"/>
      <c r="IH164" s="467"/>
      <c r="II164" s="467"/>
      <c r="IJ164" s="467"/>
      <c r="IK164" s="467"/>
      <c r="IL164" s="467"/>
      <c r="IM164" s="467"/>
      <c r="IN164" s="467"/>
      <c r="IO164" s="467"/>
      <c r="IP164" s="467"/>
      <c r="IQ164" s="467"/>
      <c r="IR164" s="467"/>
      <c r="IS164" s="467"/>
      <c r="IT164" s="467"/>
      <c r="IU164" s="467"/>
      <c r="IV164" s="467"/>
    </row>
    <row r="165" spans="1:256" s="593" customFormat="1" ht="13.5" customHeight="1">
      <c r="A165" s="1048"/>
      <c r="B165" s="1049"/>
      <c r="C165" s="1049"/>
      <c r="D165" s="1061" t="s">
        <v>5628</v>
      </c>
      <c r="E165" s="1062"/>
      <c r="F165" s="1063">
        <f>(234.084)*1.05</f>
        <v>245.78820000000002</v>
      </c>
      <c r="G165" s="1213"/>
      <c r="H165" s="1051"/>
      <c r="I165" s="1064"/>
      <c r="J165" s="1065"/>
      <c r="K165" s="467"/>
      <c r="L165" s="1054"/>
      <c r="M165" s="1054"/>
      <c r="N165" s="1054"/>
      <c r="O165" s="1055"/>
      <c r="P165" s="1056"/>
      <c r="Q165" s="1057"/>
      <c r="R165" s="1058"/>
      <c r="S165" s="1058"/>
      <c r="T165" s="1059"/>
      <c r="U165" s="467"/>
      <c r="V165" s="1060"/>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7"/>
      <c r="BM165" s="467"/>
      <c r="BN165" s="467"/>
      <c r="BO165" s="467"/>
      <c r="BP165" s="467"/>
      <c r="BQ165" s="467"/>
      <c r="BR165" s="467"/>
      <c r="BS165" s="467"/>
      <c r="BT165" s="467"/>
      <c r="BU165" s="467"/>
      <c r="BV165" s="467"/>
      <c r="BW165" s="467"/>
      <c r="BX165" s="467"/>
      <c r="BY165" s="467"/>
      <c r="BZ165" s="467"/>
      <c r="CA165" s="467"/>
      <c r="CB165" s="467"/>
      <c r="CC165" s="467"/>
      <c r="CD165" s="467"/>
      <c r="CE165" s="467"/>
      <c r="CF165" s="467"/>
      <c r="CG165" s="467"/>
      <c r="CH165" s="467"/>
      <c r="CI165" s="467"/>
      <c r="CJ165" s="467"/>
      <c r="CK165" s="467"/>
      <c r="CL165" s="467"/>
      <c r="CM165" s="467"/>
      <c r="CN165" s="467"/>
      <c r="CO165" s="467"/>
      <c r="CP165" s="467"/>
      <c r="CQ165" s="467"/>
      <c r="CR165" s="467"/>
      <c r="CS165" s="467"/>
      <c r="CT165" s="467"/>
      <c r="CU165" s="467"/>
      <c r="CV165" s="467"/>
      <c r="CW165" s="467"/>
      <c r="CX165" s="467"/>
      <c r="CY165" s="467"/>
      <c r="CZ165" s="467"/>
      <c r="DA165" s="467"/>
      <c r="DB165" s="467"/>
      <c r="DC165" s="467"/>
      <c r="DD165" s="467"/>
      <c r="DE165" s="467"/>
      <c r="DF165" s="467"/>
      <c r="DG165" s="467"/>
      <c r="DH165" s="467"/>
      <c r="DI165" s="467"/>
      <c r="DJ165" s="467"/>
      <c r="DK165" s="467"/>
      <c r="DL165" s="467"/>
      <c r="DM165" s="467"/>
      <c r="DN165" s="467"/>
      <c r="DO165" s="467"/>
      <c r="DP165" s="467"/>
      <c r="DQ165" s="467"/>
      <c r="DR165" s="467"/>
      <c r="DS165" s="467"/>
      <c r="DT165" s="467"/>
      <c r="DU165" s="467"/>
      <c r="DV165" s="467"/>
      <c r="DW165" s="467"/>
      <c r="DX165" s="467"/>
      <c r="DY165" s="467"/>
      <c r="DZ165" s="467"/>
      <c r="EA165" s="467"/>
      <c r="EB165" s="467"/>
      <c r="EC165" s="467"/>
      <c r="ED165" s="467"/>
      <c r="EE165" s="467"/>
      <c r="EF165" s="467"/>
      <c r="EG165" s="467"/>
      <c r="EH165" s="467"/>
      <c r="EI165" s="467"/>
      <c r="EJ165" s="467"/>
      <c r="EK165" s="467"/>
      <c r="EL165" s="467"/>
      <c r="EM165" s="467"/>
      <c r="EN165" s="467"/>
      <c r="EO165" s="467"/>
      <c r="EP165" s="467"/>
      <c r="EQ165" s="467"/>
      <c r="ER165" s="467"/>
      <c r="ES165" s="467"/>
      <c r="ET165" s="467"/>
      <c r="EU165" s="467"/>
      <c r="EV165" s="467"/>
      <c r="EW165" s="467"/>
      <c r="EX165" s="467"/>
      <c r="EY165" s="467"/>
      <c r="EZ165" s="467"/>
      <c r="FA165" s="467"/>
      <c r="FB165" s="467"/>
      <c r="FC165" s="467"/>
      <c r="FD165" s="467"/>
      <c r="FE165" s="467"/>
      <c r="FF165" s="467"/>
      <c r="FG165" s="467"/>
      <c r="FH165" s="467"/>
      <c r="FI165" s="467"/>
      <c r="FJ165" s="467"/>
      <c r="FK165" s="467"/>
      <c r="FL165" s="467"/>
      <c r="FM165" s="467"/>
      <c r="FN165" s="467"/>
      <c r="FO165" s="467"/>
      <c r="FP165" s="467"/>
      <c r="FQ165" s="467"/>
      <c r="FR165" s="467"/>
      <c r="FS165" s="467"/>
      <c r="FT165" s="467"/>
      <c r="FU165" s="467"/>
      <c r="FV165" s="467"/>
      <c r="FW165" s="467"/>
      <c r="FX165" s="467"/>
      <c r="FY165" s="467"/>
      <c r="FZ165" s="467"/>
      <c r="GA165" s="467"/>
      <c r="GB165" s="467"/>
      <c r="GC165" s="467"/>
      <c r="GD165" s="467"/>
      <c r="GE165" s="467"/>
      <c r="GF165" s="467"/>
      <c r="GG165" s="467"/>
      <c r="GH165" s="467"/>
      <c r="GI165" s="467"/>
      <c r="GJ165" s="467"/>
      <c r="GK165" s="467"/>
      <c r="GL165" s="467"/>
      <c r="GM165" s="467"/>
      <c r="GN165" s="467"/>
      <c r="GO165" s="467"/>
      <c r="GP165" s="467"/>
      <c r="GQ165" s="467"/>
      <c r="GR165" s="467"/>
      <c r="GS165" s="467"/>
      <c r="GT165" s="467"/>
      <c r="GU165" s="467"/>
      <c r="GV165" s="467"/>
      <c r="GW165" s="467"/>
      <c r="GX165" s="467"/>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7"/>
      <c r="IF165" s="467"/>
      <c r="IG165" s="467"/>
      <c r="IH165" s="467"/>
      <c r="II165" s="467"/>
      <c r="IJ165" s="467"/>
      <c r="IK165" s="467"/>
      <c r="IL165" s="467"/>
      <c r="IM165" s="467"/>
      <c r="IN165" s="467"/>
      <c r="IO165" s="467"/>
      <c r="IP165" s="467"/>
      <c r="IQ165" s="467"/>
      <c r="IR165" s="467"/>
      <c r="IS165" s="467"/>
      <c r="IT165" s="467"/>
      <c r="IU165" s="467"/>
      <c r="IV165" s="467"/>
    </row>
    <row r="166" spans="1:256" s="593" customFormat="1" ht="27" customHeight="1">
      <c r="A166" s="1048"/>
      <c r="B166" s="1049"/>
      <c r="C166" s="1049"/>
      <c r="D166" s="1061" t="s">
        <v>5629</v>
      </c>
      <c r="E166" s="1062"/>
      <c r="F166" s="1063"/>
      <c r="G166" s="1213"/>
      <c r="H166" s="1051"/>
      <c r="I166" s="1064"/>
      <c r="J166" s="1126"/>
      <c r="K166" s="1054"/>
      <c r="L166" s="1054"/>
      <c r="M166" s="1054"/>
      <c r="N166" s="1054"/>
      <c r="O166" s="1055"/>
      <c r="P166" s="1127"/>
      <c r="Q166" s="1057"/>
      <c r="R166" s="1058"/>
      <c r="S166" s="1058"/>
      <c r="T166" s="1059"/>
      <c r="U166" s="467"/>
      <c r="V166" s="1060"/>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c r="BN166" s="467"/>
      <c r="BO166" s="467"/>
      <c r="BP166" s="467"/>
      <c r="BQ166" s="467"/>
      <c r="BR166" s="467"/>
      <c r="BS166" s="467"/>
      <c r="BT166" s="467"/>
      <c r="BU166" s="467"/>
      <c r="BV166" s="467"/>
      <c r="BW166" s="467"/>
      <c r="BX166" s="467"/>
      <c r="BY166" s="467"/>
      <c r="BZ166" s="467"/>
      <c r="CA166" s="467"/>
      <c r="CB166" s="467"/>
      <c r="CC166" s="467"/>
      <c r="CD166" s="467"/>
      <c r="CE166" s="467"/>
      <c r="CF166" s="467"/>
      <c r="CG166" s="467"/>
      <c r="CH166" s="467"/>
      <c r="CI166" s="467"/>
      <c r="CJ166" s="467"/>
      <c r="CK166" s="467"/>
      <c r="CL166" s="467"/>
      <c r="CM166" s="467"/>
      <c r="CN166" s="467"/>
      <c r="CO166" s="467"/>
      <c r="CP166" s="467"/>
      <c r="CQ166" s="467"/>
      <c r="CR166" s="467"/>
      <c r="CS166" s="467"/>
      <c r="CT166" s="467"/>
      <c r="CU166" s="467"/>
      <c r="CV166" s="467"/>
      <c r="CW166" s="467"/>
      <c r="CX166" s="467"/>
      <c r="CY166" s="467"/>
      <c r="CZ166" s="467"/>
      <c r="DA166" s="467"/>
      <c r="DB166" s="467"/>
      <c r="DC166" s="467"/>
      <c r="DD166" s="467"/>
      <c r="DE166" s="467"/>
      <c r="DF166" s="467"/>
      <c r="DG166" s="467"/>
      <c r="DH166" s="467"/>
      <c r="DI166" s="467"/>
      <c r="DJ166" s="467"/>
      <c r="DK166" s="467"/>
      <c r="DL166" s="467"/>
      <c r="DM166" s="467"/>
      <c r="DN166" s="467"/>
      <c r="DO166" s="467"/>
      <c r="DP166" s="467"/>
      <c r="DQ166" s="467"/>
      <c r="DR166" s="467"/>
      <c r="DS166" s="467"/>
      <c r="DT166" s="467"/>
      <c r="DU166" s="467"/>
      <c r="DV166" s="467"/>
      <c r="DW166" s="467"/>
      <c r="DX166" s="467"/>
      <c r="DY166" s="467"/>
      <c r="DZ166" s="467"/>
      <c r="EA166" s="467"/>
      <c r="EB166" s="467"/>
      <c r="EC166" s="467"/>
      <c r="ED166" s="467"/>
      <c r="EE166" s="467"/>
      <c r="EF166" s="467"/>
      <c r="EG166" s="467"/>
      <c r="EH166" s="467"/>
      <c r="EI166" s="467"/>
      <c r="EJ166" s="467"/>
      <c r="EK166" s="467"/>
      <c r="EL166" s="467"/>
      <c r="EM166" s="467"/>
      <c r="EN166" s="467"/>
      <c r="EO166" s="467"/>
      <c r="EP166" s="467"/>
      <c r="EQ166" s="467"/>
      <c r="ER166" s="467"/>
      <c r="ES166" s="467"/>
      <c r="ET166" s="467"/>
      <c r="EU166" s="467"/>
      <c r="EV166" s="467"/>
      <c r="EW166" s="467"/>
      <c r="EX166" s="467"/>
      <c r="EY166" s="467"/>
      <c r="EZ166" s="467"/>
      <c r="FA166" s="467"/>
      <c r="FB166" s="467"/>
      <c r="FC166" s="467"/>
      <c r="FD166" s="467"/>
      <c r="FE166" s="467"/>
      <c r="FF166" s="467"/>
      <c r="FG166" s="467"/>
      <c r="FH166" s="467"/>
      <c r="FI166" s="467"/>
      <c r="FJ166" s="467"/>
      <c r="FK166" s="467"/>
      <c r="FL166" s="467"/>
      <c r="FM166" s="467"/>
      <c r="FN166" s="467"/>
      <c r="FO166" s="467"/>
      <c r="FP166" s="467"/>
      <c r="FQ166" s="467"/>
      <c r="FR166" s="467"/>
      <c r="FS166" s="467"/>
      <c r="FT166" s="467"/>
      <c r="FU166" s="467"/>
      <c r="FV166" s="467"/>
      <c r="FW166" s="467"/>
      <c r="FX166" s="467"/>
      <c r="FY166" s="467"/>
      <c r="FZ166" s="467"/>
      <c r="GA166" s="467"/>
      <c r="GB166" s="467"/>
      <c r="GC166" s="467"/>
      <c r="GD166" s="467"/>
      <c r="GE166" s="467"/>
      <c r="GF166" s="467"/>
      <c r="GG166" s="467"/>
      <c r="GH166" s="467"/>
      <c r="GI166" s="467"/>
      <c r="GJ166" s="467"/>
      <c r="GK166" s="467"/>
      <c r="GL166" s="467"/>
      <c r="GM166" s="467"/>
      <c r="GN166" s="467"/>
      <c r="GO166" s="467"/>
      <c r="GP166" s="467"/>
      <c r="GQ166" s="467"/>
      <c r="GR166" s="467"/>
      <c r="GS166" s="467"/>
      <c r="GT166" s="467"/>
      <c r="GU166" s="467"/>
      <c r="GV166" s="467"/>
      <c r="GW166" s="467"/>
      <c r="GX166" s="467"/>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7"/>
      <c r="IF166" s="467"/>
      <c r="IG166" s="467"/>
      <c r="IH166" s="467"/>
      <c r="II166" s="467"/>
      <c r="IJ166" s="467"/>
      <c r="IK166" s="467"/>
      <c r="IL166" s="467"/>
      <c r="IM166" s="467"/>
      <c r="IN166" s="467"/>
      <c r="IO166" s="467"/>
      <c r="IP166" s="467"/>
      <c r="IQ166" s="467"/>
      <c r="IR166" s="467"/>
      <c r="IS166" s="467"/>
      <c r="IT166" s="467"/>
      <c r="IU166" s="467"/>
      <c r="IV166" s="467"/>
    </row>
    <row r="167" spans="1:256" s="934" customFormat="1" ht="13.5" customHeight="1">
      <c r="A167" s="929">
        <v>41</v>
      </c>
      <c r="B167" s="968" t="s">
        <v>5110</v>
      </c>
      <c r="C167" s="930" t="s">
        <v>6361</v>
      </c>
      <c r="D167" s="930" t="s">
        <v>6362</v>
      </c>
      <c r="E167" s="930" t="s">
        <v>141</v>
      </c>
      <c r="F167" s="981">
        <f>SUM(F168:F168)</f>
        <v>20</v>
      </c>
      <c r="G167" s="380"/>
      <c r="H167" s="949">
        <f>F167*G167</f>
        <v>0</v>
      </c>
      <c r="I167" s="1123" t="s">
        <v>2874</v>
      </c>
      <c r="J167" s="1053"/>
      <c r="K167" s="1067"/>
      <c r="L167" s="1067"/>
      <c r="M167" s="1067"/>
      <c r="N167" s="1067"/>
      <c r="O167" s="1069"/>
      <c r="P167" s="1070"/>
      <c r="Q167" s="1071"/>
      <c r="R167" s="1072"/>
      <c r="S167" s="1072"/>
      <c r="T167" s="1009"/>
      <c r="V167" s="1073"/>
    </row>
    <row r="168" spans="1:256" s="934" customFormat="1" ht="13.5" customHeight="1">
      <c r="A168" s="929"/>
      <c r="B168" s="930"/>
      <c r="C168" s="930"/>
      <c r="D168" s="1023" t="s">
        <v>5630</v>
      </c>
      <c r="E168" s="930"/>
      <c r="F168" s="973">
        <v>20</v>
      </c>
      <c r="G168" s="380"/>
      <c r="H168" s="949"/>
      <c r="I168" s="941"/>
      <c r="J168" s="1065"/>
      <c r="K168" s="1125"/>
      <c r="L168" s="1067"/>
      <c r="M168" s="1067"/>
      <c r="N168" s="1067"/>
      <c r="O168" s="1069"/>
      <c r="P168" s="1070"/>
      <c r="Q168" s="1071"/>
      <c r="R168" s="1072"/>
      <c r="S168" s="1072"/>
      <c r="T168" s="1009"/>
      <c r="V168" s="1073"/>
    </row>
    <row r="169" spans="1:256" s="593" customFormat="1" ht="13.5" customHeight="1">
      <c r="A169" s="1048">
        <v>42</v>
      </c>
      <c r="B169" s="1049">
        <v>272</v>
      </c>
      <c r="C169" s="1049" t="s">
        <v>6363</v>
      </c>
      <c r="D169" s="1049" t="s">
        <v>5631</v>
      </c>
      <c r="E169" s="1049" t="s">
        <v>141</v>
      </c>
      <c r="F169" s="1050">
        <f>SUM(F170:F170)</f>
        <v>21</v>
      </c>
      <c r="G169" s="1213"/>
      <c r="H169" s="1051">
        <f>F169*G169</f>
        <v>0</v>
      </c>
      <c r="I169" s="1052" t="s">
        <v>112</v>
      </c>
      <c r="J169" s="1053"/>
      <c r="K169" s="1054"/>
      <c r="L169" s="1054"/>
      <c r="M169" s="1054"/>
      <c r="N169" s="1054"/>
      <c r="O169" s="1055"/>
      <c r="P169" s="1056"/>
      <c r="Q169" s="1057"/>
      <c r="R169" s="1058"/>
      <c r="S169" s="1058"/>
      <c r="T169" s="1059"/>
      <c r="U169" s="467"/>
      <c r="V169" s="1060"/>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c r="BS169" s="467"/>
      <c r="BT169" s="467"/>
      <c r="BU169" s="467"/>
      <c r="BV169" s="467"/>
      <c r="BW169" s="467"/>
      <c r="BX169" s="467"/>
      <c r="BY169" s="467"/>
      <c r="BZ169" s="467"/>
      <c r="CA169" s="467"/>
      <c r="CB169" s="467"/>
      <c r="CC169" s="467"/>
      <c r="CD169" s="467"/>
      <c r="CE169" s="467"/>
      <c r="CF169" s="467"/>
      <c r="CG169" s="467"/>
      <c r="CH169" s="467"/>
      <c r="CI169" s="467"/>
      <c r="CJ169" s="467"/>
      <c r="CK169" s="467"/>
      <c r="CL169" s="467"/>
      <c r="CM169" s="467"/>
      <c r="CN169" s="467"/>
      <c r="CO169" s="467"/>
      <c r="CP169" s="467"/>
      <c r="CQ169" s="467"/>
      <c r="CR169" s="467"/>
      <c r="CS169" s="467"/>
      <c r="CT169" s="467"/>
      <c r="CU169" s="467"/>
      <c r="CV169" s="467"/>
      <c r="CW169" s="467"/>
      <c r="CX169" s="467"/>
      <c r="CY169" s="467"/>
      <c r="CZ169" s="467"/>
      <c r="DA169" s="467"/>
      <c r="DB169" s="467"/>
      <c r="DC169" s="467"/>
      <c r="DD169" s="467"/>
      <c r="DE169" s="467"/>
      <c r="DF169" s="467"/>
      <c r="DG169" s="467"/>
      <c r="DH169" s="467"/>
      <c r="DI169" s="467"/>
      <c r="DJ169" s="467"/>
      <c r="DK169" s="467"/>
      <c r="DL169" s="467"/>
      <c r="DM169" s="467"/>
      <c r="DN169" s="467"/>
      <c r="DO169" s="467"/>
      <c r="DP169" s="467"/>
      <c r="DQ169" s="467"/>
      <c r="DR169" s="467"/>
      <c r="DS169" s="467"/>
      <c r="DT169" s="467"/>
      <c r="DU169" s="467"/>
      <c r="DV169" s="467"/>
      <c r="DW169" s="467"/>
      <c r="DX169" s="467"/>
      <c r="DY169" s="467"/>
      <c r="DZ169" s="467"/>
      <c r="EA169" s="467"/>
      <c r="EB169" s="467"/>
      <c r="EC169" s="467"/>
      <c r="ED169" s="467"/>
      <c r="EE169" s="467"/>
      <c r="EF169" s="467"/>
      <c r="EG169" s="467"/>
      <c r="EH169" s="467"/>
      <c r="EI169" s="467"/>
      <c r="EJ169" s="467"/>
      <c r="EK169" s="467"/>
      <c r="EL169" s="467"/>
      <c r="EM169" s="467"/>
      <c r="EN169" s="467"/>
      <c r="EO169" s="467"/>
      <c r="EP169" s="467"/>
      <c r="EQ169" s="467"/>
      <c r="ER169" s="467"/>
      <c r="ES169" s="467"/>
      <c r="ET169" s="467"/>
      <c r="EU169" s="467"/>
      <c r="EV169" s="467"/>
      <c r="EW169" s="467"/>
      <c r="EX169" s="467"/>
      <c r="EY169" s="467"/>
      <c r="EZ169" s="467"/>
      <c r="FA169" s="467"/>
      <c r="FB169" s="467"/>
      <c r="FC169" s="467"/>
      <c r="FD169" s="467"/>
      <c r="FE169" s="467"/>
      <c r="FF169" s="467"/>
      <c r="FG169" s="467"/>
      <c r="FH169" s="467"/>
      <c r="FI169" s="467"/>
      <c r="FJ169" s="467"/>
      <c r="FK169" s="467"/>
      <c r="FL169" s="467"/>
      <c r="FM169" s="467"/>
      <c r="FN169" s="467"/>
      <c r="FO169" s="467"/>
      <c r="FP169" s="467"/>
      <c r="FQ169" s="467"/>
      <c r="FR169" s="467"/>
      <c r="FS169" s="467"/>
      <c r="FT169" s="467"/>
      <c r="FU169" s="467"/>
      <c r="FV169" s="467"/>
      <c r="FW169" s="467"/>
      <c r="FX169" s="467"/>
      <c r="FY169" s="467"/>
      <c r="FZ169" s="467"/>
      <c r="GA169" s="467"/>
      <c r="GB169" s="467"/>
      <c r="GC169" s="467"/>
      <c r="GD169" s="467"/>
      <c r="GE169" s="467"/>
      <c r="GF169" s="467"/>
      <c r="GG169" s="467"/>
      <c r="GH169" s="467"/>
      <c r="GI169" s="467"/>
      <c r="GJ169" s="467"/>
      <c r="GK169" s="467"/>
      <c r="GL169" s="467"/>
      <c r="GM169" s="467"/>
      <c r="GN169" s="467"/>
      <c r="GO169" s="467"/>
      <c r="GP169" s="467"/>
      <c r="GQ169" s="467"/>
      <c r="GR169" s="467"/>
      <c r="GS169" s="467"/>
      <c r="GT169" s="467"/>
      <c r="GU169" s="467"/>
      <c r="GV169" s="467"/>
      <c r="GW169" s="467"/>
      <c r="GX169" s="467"/>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7"/>
      <c r="IF169" s="467"/>
      <c r="IG169" s="467"/>
      <c r="IH169" s="467"/>
      <c r="II169" s="467"/>
      <c r="IJ169" s="467"/>
      <c r="IK169" s="467"/>
      <c r="IL169" s="467"/>
      <c r="IM169" s="467"/>
      <c r="IN169" s="467"/>
      <c r="IO169" s="467"/>
      <c r="IP169" s="467"/>
      <c r="IQ169" s="467"/>
      <c r="IR169" s="467"/>
      <c r="IS169" s="467"/>
      <c r="IT169" s="467"/>
      <c r="IU169" s="467"/>
      <c r="IV169" s="467"/>
    </row>
    <row r="170" spans="1:256" s="593" customFormat="1" ht="13.5" customHeight="1">
      <c r="A170" s="1048"/>
      <c r="B170" s="1049"/>
      <c r="C170" s="1049"/>
      <c r="D170" s="1061" t="s">
        <v>5632</v>
      </c>
      <c r="E170" s="1062"/>
      <c r="F170" s="1063">
        <f>(20)*1.05</f>
        <v>21</v>
      </c>
      <c r="G170" s="1213"/>
      <c r="H170" s="1051"/>
      <c r="I170" s="1064"/>
      <c r="J170" s="1065"/>
      <c r="K170" s="467"/>
      <c r="L170" s="1054"/>
      <c r="M170" s="1054"/>
      <c r="N170" s="1054"/>
      <c r="O170" s="1055"/>
      <c r="P170" s="1056"/>
      <c r="Q170" s="1057"/>
      <c r="R170" s="1058"/>
      <c r="S170" s="1058"/>
      <c r="T170" s="1059"/>
      <c r="U170" s="467"/>
      <c r="V170" s="1060"/>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7"/>
      <c r="BG170" s="467"/>
      <c r="BH170" s="467"/>
      <c r="BI170" s="467"/>
      <c r="BJ170" s="467"/>
      <c r="BK170" s="467"/>
      <c r="BL170" s="467"/>
      <c r="BM170" s="467"/>
      <c r="BN170" s="467"/>
      <c r="BO170" s="467"/>
      <c r="BP170" s="467"/>
      <c r="BQ170" s="467"/>
      <c r="BR170" s="467"/>
      <c r="BS170" s="467"/>
      <c r="BT170" s="467"/>
      <c r="BU170" s="467"/>
      <c r="BV170" s="467"/>
      <c r="BW170" s="467"/>
      <c r="BX170" s="467"/>
      <c r="BY170" s="467"/>
      <c r="BZ170" s="467"/>
      <c r="CA170" s="467"/>
      <c r="CB170" s="467"/>
      <c r="CC170" s="467"/>
      <c r="CD170" s="467"/>
      <c r="CE170" s="467"/>
      <c r="CF170" s="467"/>
      <c r="CG170" s="467"/>
      <c r="CH170" s="467"/>
      <c r="CI170" s="467"/>
      <c r="CJ170" s="467"/>
      <c r="CK170" s="467"/>
      <c r="CL170" s="467"/>
      <c r="CM170" s="467"/>
      <c r="CN170" s="467"/>
      <c r="CO170" s="467"/>
      <c r="CP170" s="467"/>
      <c r="CQ170" s="467"/>
      <c r="CR170" s="467"/>
      <c r="CS170" s="467"/>
      <c r="CT170" s="467"/>
      <c r="CU170" s="467"/>
      <c r="CV170" s="467"/>
      <c r="CW170" s="467"/>
      <c r="CX170" s="467"/>
      <c r="CY170" s="467"/>
      <c r="CZ170" s="467"/>
      <c r="DA170" s="467"/>
      <c r="DB170" s="467"/>
      <c r="DC170" s="467"/>
      <c r="DD170" s="467"/>
      <c r="DE170" s="467"/>
      <c r="DF170" s="467"/>
      <c r="DG170" s="467"/>
      <c r="DH170" s="467"/>
      <c r="DI170" s="467"/>
      <c r="DJ170" s="467"/>
      <c r="DK170" s="467"/>
      <c r="DL170" s="467"/>
      <c r="DM170" s="467"/>
      <c r="DN170" s="467"/>
      <c r="DO170" s="467"/>
      <c r="DP170" s="467"/>
      <c r="DQ170" s="467"/>
      <c r="DR170" s="467"/>
      <c r="DS170" s="467"/>
      <c r="DT170" s="467"/>
      <c r="DU170" s="467"/>
      <c r="DV170" s="467"/>
      <c r="DW170" s="467"/>
      <c r="DX170" s="467"/>
      <c r="DY170" s="467"/>
      <c r="DZ170" s="467"/>
      <c r="EA170" s="467"/>
      <c r="EB170" s="467"/>
      <c r="EC170" s="467"/>
      <c r="ED170" s="467"/>
      <c r="EE170" s="467"/>
      <c r="EF170" s="467"/>
      <c r="EG170" s="467"/>
      <c r="EH170" s="467"/>
      <c r="EI170" s="467"/>
      <c r="EJ170" s="467"/>
      <c r="EK170" s="467"/>
      <c r="EL170" s="467"/>
      <c r="EM170" s="467"/>
      <c r="EN170" s="467"/>
      <c r="EO170" s="467"/>
      <c r="EP170" s="467"/>
      <c r="EQ170" s="467"/>
      <c r="ER170" s="467"/>
      <c r="ES170" s="467"/>
      <c r="ET170" s="467"/>
      <c r="EU170" s="467"/>
      <c r="EV170" s="467"/>
      <c r="EW170" s="467"/>
      <c r="EX170" s="467"/>
      <c r="EY170" s="467"/>
      <c r="EZ170" s="467"/>
      <c r="FA170" s="467"/>
      <c r="FB170" s="467"/>
      <c r="FC170" s="467"/>
      <c r="FD170" s="467"/>
      <c r="FE170" s="467"/>
      <c r="FF170" s="467"/>
      <c r="FG170" s="467"/>
      <c r="FH170" s="467"/>
      <c r="FI170" s="467"/>
      <c r="FJ170" s="467"/>
      <c r="FK170" s="467"/>
      <c r="FL170" s="467"/>
      <c r="FM170" s="467"/>
      <c r="FN170" s="467"/>
      <c r="FO170" s="467"/>
      <c r="FP170" s="467"/>
      <c r="FQ170" s="467"/>
      <c r="FR170" s="467"/>
      <c r="FS170" s="467"/>
      <c r="FT170" s="467"/>
      <c r="FU170" s="467"/>
      <c r="FV170" s="467"/>
      <c r="FW170" s="467"/>
      <c r="FX170" s="467"/>
      <c r="FY170" s="467"/>
      <c r="FZ170" s="467"/>
      <c r="GA170" s="467"/>
      <c r="GB170" s="467"/>
      <c r="GC170" s="467"/>
      <c r="GD170" s="467"/>
      <c r="GE170" s="467"/>
      <c r="GF170" s="467"/>
      <c r="GG170" s="467"/>
      <c r="GH170" s="467"/>
      <c r="GI170" s="467"/>
      <c r="GJ170" s="467"/>
      <c r="GK170" s="467"/>
      <c r="GL170" s="467"/>
      <c r="GM170" s="467"/>
      <c r="GN170" s="467"/>
      <c r="GO170" s="467"/>
      <c r="GP170" s="467"/>
      <c r="GQ170" s="467"/>
      <c r="GR170" s="467"/>
      <c r="GS170" s="467"/>
      <c r="GT170" s="467"/>
      <c r="GU170" s="467"/>
      <c r="GV170" s="467"/>
      <c r="GW170" s="467"/>
      <c r="GX170" s="467"/>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7"/>
      <c r="IF170" s="467"/>
      <c r="IG170" s="467"/>
      <c r="IH170" s="467"/>
      <c r="II170" s="467"/>
      <c r="IJ170" s="467"/>
      <c r="IK170" s="467"/>
      <c r="IL170" s="467"/>
      <c r="IM170" s="467"/>
      <c r="IN170" s="467"/>
      <c r="IO170" s="467"/>
      <c r="IP170" s="467"/>
      <c r="IQ170" s="467"/>
      <c r="IR170" s="467"/>
      <c r="IS170" s="467"/>
      <c r="IT170" s="467"/>
      <c r="IU170" s="467"/>
      <c r="IV170" s="467"/>
    </row>
    <row r="171" spans="1:256" s="918" customFormat="1" ht="27" customHeight="1">
      <c r="A171" s="942">
        <v>43</v>
      </c>
      <c r="B171" s="943">
        <v>221</v>
      </c>
      <c r="C171" s="943" t="s">
        <v>5633</v>
      </c>
      <c r="D171" s="943" t="s">
        <v>5634</v>
      </c>
      <c r="E171" s="943" t="s">
        <v>141</v>
      </c>
      <c r="F171" s="1128">
        <f>SUM(F173:F173)</f>
        <v>58</v>
      </c>
      <c r="G171" s="1209"/>
      <c r="H171" s="945">
        <f>F171*G171</f>
        <v>0</v>
      </c>
      <c r="I171" s="1123" t="s">
        <v>112</v>
      </c>
      <c r="J171" s="1129"/>
      <c r="K171" s="1130"/>
      <c r="L171" s="934"/>
      <c r="M171" s="1131"/>
      <c r="N171" s="934"/>
      <c r="O171" s="935"/>
      <c r="P171" s="935"/>
      <c r="Q171" s="935"/>
      <c r="R171" s="935"/>
      <c r="S171" s="1129"/>
      <c r="T171" s="1059"/>
      <c r="U171" s="467"/>
      <c r="V171" s="467"/>
      <c r="W171" s="467"/>
      <c r="X171" s="467"/>
      <c r="Y171" s="467"/>
      <c r="Z171" s="467"/>
      <c r="AA171" s="467"/>
      <c r="AB171" s="467"/>
      <c r="AC171" s="467"/>
      <c r="AD171" s="467"/>
      <c r="AE171" s="467"/>
      <c r="AF171" s="467"/>
      <c r="AG171" s="467"/>
      <c r="AH171" s="467"/>
      <c r="AI171" s="467"/>
      <c r="AJ171" s="467"/>
      <c r="AK171" s="467"/>
      <c r="AL171" s="467"/>
      <c r="AM171" s="467"/>
      <c r="AN171" s="467"/>
      <c r="AO171" s="467"/>
      <c r="AP171" s="467"/>
      <c r="AQ171" s="467"/>
      <c r="AR171" s="467"/>
      <c r="AS171" s="467"/>
      <c r="AT171" s="467"/>
      <c r="AU171" s="467"/>
      <c r="AV171" s="467"/>
      <c r="AW171" s="467"/>
      <c r="AX171" s="467"/>
      <c r="AY171" s="467"/>
      <c r="AZ171" s="467"/>
      <c r="BA171" s="467"/>
      <c r="BB171" s="467"/>
      <c r="BC171" s="467"/>
      <c r="BD171" s="467"/>
      <c r="BE171" s="467"/>
      <c r="BF171" s="467"/>
      <c r="BG171" s="467"/>
      <c r="BH171" s="467"/>
      <c r="BI171" s="467"/>
      <c r="BJ171" s="467"/>
      <c r="BK171" s="467"/>
      <c r="BL171" s="467"/>
      <c r="BM171" s="467"/>
      <c r="BN171" s="467"/>
      <c r="BO171" s="467"/>
      <c r="BP171" s="467"/>
      <c r="BQ171" s="467"/>
      <c r="BR171" s="467"/>
      <c r="BS171" s="467"/>
      <c r="BT171" s="467"/>
      <c r="BU171" s="467"/>
      <c r="BV171" s="467"/>
      <c r="BW171" s="467"/>
      <c r="BX171" s="467"/>
      <c r="BY171" s="467"/>
      <c r="BZ171" s="467"/>
      <c r="CA171" s="467"/>
      <c r="CB171" s="467"/>
      <c r="CC171" s="467"/>
      <c r="CD171" s="467"/>
      <c r="CE171" s="467"/>
      <c r="CF171" s="467"/>
      <c r="CG171" s="467"/>
      <c r="CH171" s="467"/>
      <c r="CI171" s="467"/>
      <c r="CJ171" s="467"/>
      <c r="CK171" s="467"/>
      <c r="CL171" s="467"/>
      <c r="CM171" s="467"/>
      <c r="CN171" s="467"/>
      <c r="CO171" s="467"/>
      <c r="CP171" s="467"/>
      <c r="CQ171" s="467"/>
      <c r="CR171" s="467"/>
      <c r="CS171" s="467"/>
      <c r="CT171" s="467"/>
      <c r="CU171" s="467"/>
      <c r="CV171" s="467"/>
      <c r="CW171" s="467"/>
      <c r="CX171" s="467"/>
      <c r="CY171" s="467"/>
      <c r="CZ171" s="467"/>
      <c r="DA171" s="467"/>
      <c r="DB171" s="467"/>
      <c r="DC171" s="467"/>
      <c r="DD171" s="467"/>
      <c r="DE171" s="467"/>
      <c r="DF171" s="467"/>
      <c r="DG171" s="467"/>
      <c r="DH171" s="467"/>
      <c r="DI171" s="467"/>
      <c r="DJ171" s="467"/>
      <c r="DK171" s="467"/>
      <c r="DL171" s="467"/>
      <c r="DM171" s="467"/>
      <c r="DN171" s="467"/>
      <c r="DO171" s="467"/>
      <c r="DP171" s="467"/>
      <c r="DQ171" s="467"/>
      <c r="DR171" s="467"/>
      <c r="DS171" s="467"/>
      <c r="DT171" s="467"/>
      <c r="DU171" s="467"/>
      <c r="DV171" s="467"/>
      <c r="DW171" s="467"/>
      <c r="DX171" s="467"/>
      <c r="DY171" s="467"/>
      <c r="DZ171" s="467"/>
      <c r="EA171" s="467"/>
      <c r="EB171" s="467"/>
      <c r="EC171" s="467"/>
      <c r="ED171" s="467"/>
      <c r="EE171" s="467"/>
      <c r="EF171" s="467"/>
      <c r="EG171" s="467"/>
      <c r="EH171" s="467"/>
      <c r="EI171" s="467"/>
      <c r="EJ171" s="467"/>
      <c r="EK171" s="467"/>
      <c r="EL171" s="467"/>
      <c r="EM171" s="467"/>
      <c r="EN171" s="467"/>
      <c r="EO171" s="467"/>
      <c r="EP171" s="467"/>
      <c r="EQ171" s="467"/>
      <c r="ER171" s="467"/>
      <c r="ES171" s="467"/>
      <c r="ET171" s="467"/>
      <c r="EU171" s="467"/>
      <c r="EV171" s="467"/>
      <c r="EW171" s="467"/>
      <c r="EX171" s="467"/>
      <c r="EY171" s="467"/>
      <c r="EZ171" s="467"/>
      <c r="FA171" s="467"/>
      <c r="FB171" s="467"/>
      <c r="FC171" s="467"/>
      <c r="FD171" s="467"/>
      <c r="FE171" s="467"/>
      <c r="FF171" s="467"/>
      <c r="FG171" s="467"/>
      <c r="FH171" s="467"/>
      <c r="FI171" s="467"/>
      <c r="FJ171" s="467"/>
      <c r="FK171" s="467"/>
      <c r="FL171" s="467"/>
      <c r="FM171" s="467"/>
      <c r="FN171" s="467"/>
      <c r="FO171" s="467"/>
      <c r="FP171" s="467"/>
      <c r="FQ171" s="467"/>
      <c r="FR171" s="467"/>
      <c r="FS171" s="467"/>
      <c r="FT171" s="467"/>
      <c r="FU171" s="467"/>
      <c r="FV171" s="467"/>
      <c r="FW171" s="467"/>
      <c r="FX171" s="467"/>
      <c r="FY171" s="467"/>
      <c r="FZ171" s="467"/>
      <c r="GA171" s="467"/>
      <c r="GB171" s="467"/>
      <c r="GC171" s="467"/>
      <c r="GD171" s="467"/>
      <c r="GE171" s="467"/>
      <c r="GF171" s="467"/>
      <c r="GG171" s="467"/>
      <c r="GH171" s="467"/>
      <c r="GI171" s="467"/>
      <c r="GJ171" s="467"/>
      <c r="GK171" s="467"/>
      <c r="GL171" s="467"/>
      <c r="GM171" s="467"/>
      <c r="GN171" s="467"/>
      <c r="GO171" s="467"/>
      <c r="GP171" s="467"/>
      <c r="GQ171" s="467"/>
      <c r="GR171" s="467"/>
      <c r="GS171" s="467"/>
      <c r="GT171" s="467"/>
      <c r="GU171" s="467"/>
      <c r="GV171" s="467"/>
      <c r="GW171" s="467"/>
      <c r="GX171" s="467"/>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7"/>
      <c r="IF171" s="467"/>
      <c r="IG171" s="467"/>
      <c r="IH171" s="467"/>
      <c r="II171" s="467"/>
      <c r="IJ171" s="467"/>
      <c r="IK171" s="467"/>
      <c r="IL171" s="467"/>
      <c r="IM171" s="467"/>
      <c r="IN171" s="467"/>
      <c r="IO171" s="467"/>
      <c r="IP171" s="467"/>
      <c r="IQ171" s="467"/>
      <c r="IR171" s="467"/>
      <c r="IS171" s="467"/>
      <c r="IT171" s="467"/>
      <c r="IU171" s="467"/>
      <c r="IV171" s="467"/>
    </row>
    <row r="172" spans="1:256" s="918" customFormat="1" ht="13.5" customHeight="1">
      <c r="A172" s="942"/>
      <c r="B172" s="943"/>
      <c r="C172" s="943"/>
      <c r="D172" s="1132" t="s">
        <v>5635</v>
      </c>
      <c r="E172" s="943"/>
      <c r="F172" s="951"/>
      <c r="G172" s="1209"/>
      <c r="H172" s="945"/>
      <c r="I172" s="744"/>
      <c r="J172" s="1133"/>
      <c r="K172" s="1134"/>
      <c r="L172" s="935"/>
      <c r="M172" s="935"/>
      <c r="N172" s="935"/>
      <c r="O172" s="935"/>
      <c r="P172" s="935"/>
      <c r="Q172" s="935"/>
      <c r="R172" s="935"/>
      <c r="S172" s="1129"/>
      <c r="T172" s="1059"/>
      <c r="U172" s="467"/>
      <c r="V172" s="467"/>
      <c r="W172" s="467"/>
      <c r="X172" s="467"/>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c r="AU172" s="467"/>
      <c r="AV172" s="467"/>
      <c r="AW172" s="467"/>
      <c r="AX172" s="467"/>
      <c r="AY172" s="467"/>
      <c r="AZ172" s="467"/>
      <c r="BA172" s="467"/>
      <c r="BB172" s="467"/>
      <c r="BC172" s="467"/>
      <c r="BD172" s="467"/>
      <c r="BE172" s="467"/>
      <c r="BF172" s="467"/>
      <c r="BG172" s="467"/>
      <c r="BH172" s="467"/>
      <c r="BI172" s="467"/>
      <c r="BJ172" s="467"/>
      <c r="BK172" s="467"/>
      <c r="BL172" s="467"/>
      <c r="BM172" s="467"/>
      <c r="BN172" s="467"/>
      <c r="BO172" s="467"/>
      <c r="BP172" s="467"/>
      <c r="BQ172" s="467"/>
      <c r="BR172" s="467"/>
      <c r="BS172" s="467"/>
      <c r="BT172" s="467"/>
      <c r="BU172" s="467"/>
      <c r="BV172" s="467"/>
      <c r="BW172" s="467"/>
      <c r="BX172" s="467"/>
      <c r="BY172" s="467"/>
      <c r="BZ172" s="467"/>
      <c r="CA172" s="467"/>
      <c r="CB172" s="467"/>
      <c r="CC172" s="467"/>
      <c r="CD172" s="467"/>
      <c r="CE172" s="467"/>
      <c r="CF172" s="467"/>
      <c r="CG172" s="467"/>
      <c r="CH172" s="467"/>
      <c r="CI172" s="467"/>
      <c r="CJ172" s="467"/>
      <c r="CK172" s="467"/>
      <c r="CL172" s="467"/>
      <c r="CM172" s="467"/>
      <c r="CN172" s="467"/>
      <c r="CO172" s="467"/>
      <c r="CP172" s="467"/>
      <c r="CQ172" s="467"/>
      <c r="CR172" s="467"/>
      <c r="CS172" s="467"/>
      <c r="CT172" s="467"/>
      <c r="CU172" s="467"/>
      <c r="CV172" s="467"/>
      <c r="CW172" s="467"/>
      <c r="CX172" s="467"/>
      <c r="CY172" s="467"/>
      <c r="CZ172" s="467"/>
      <c r="DA172" s="467"/>
      <c r="DB172" s="467"/>
      <c r="DC172" s="467"/>
      <c r="DD172" s="467"/>
      <c r="DE172" s="467"/>
      <c r="DF172" s="467"/>
      <c r="DG172" s="467"/>
      <c r="DH172" s="467"/>
      <c r="DI172" s="467"/>
      <c r="DJ172" s="467"/>
      <c r="DK172" s="467"/>
      <c r="DL172" s="467"/>
      <c r="DM172" s="467"/>
      <c r="DN172" s="467"/>
      <c r="DO172" s="467"/>
      <c r="DP172" s="467"/>
      <c r="DQ172" s="467"/>
      <c r="DR172" s="467"/>
      <c r="DS172" s="467"/>
      <c r="DT172" s="467"/>
      <c r="DU172" s="467"/>
      <c r="DV172" s="467"/>
      <c r="DW172" s="467"/>
      <c r="DX172" s="467"/>
      <c r="DY172" s="467"/>
      <c r="DZ172" s="467"/>
      <c r="EA172" s="467"/>
      <c r="EB172" s="467"/>
      <c r="EC172" s="467"/>
      <c r="ED172" s="467"/>
      <c r="EE172" s="467"/>
      <c r="EF172" s="467"/>
      <c r="EG172" s="467"/>
      <c r="EH172" s="467"/>
      <c r="EI172" s="467"/>
      <c r="EJ172" s="467"/>
      <c r="EK172" s="467"/>
      <c r="EL172" s="467"/>
      <c r="EM172" s="467"/>
      <c r="EN172" s="467"/>
      <c r="EO172" s="467"/>
      <c r="EP172" s="467"/>
      <c r="EQ172" s="467"/>
      <c r="ER172" s="467"/>
      <c r="ES172" s="467"/>
      <c r="ET172" s="467"/>
      <c r="EU172" s="467"/>
      <c r="EV172" s="467"/>
      <c r="EW172" s="467"/>
      <c r="EX172" s="467"/>
      <c r="EY172" s="467"/>
      <c r="EZ172" s="467"/>
      <c r="FA172" s="467"/>
      <c r="FB172" s="467"/>
      <c r="FC172" s="467"/>
      <c r="FD172" s="467"/>
      <c r="FE172" s="467"/>
      <c r="FF172" s="467"/>
      <c r="FG172" s="467"/>
      <c r="FH172" s="467"/>
      <c r="FI172" s="467"/>
      <c r="FJ172" s="467"/>
      <c r="FK172" s="467"/>
      <c r="FL172" s="467"/>
      <c r="FM172" s="467"/>
      <c r="FN172" s="467"/>
      <c r="FO172" s="467"/>
      <c r="FP172" s="467"/>
      <c r="FQ172" s="467"/>
      <c r="FR172" s="467"/>
      <c r="FS172" s="467"/>
      <c r="FT172" s="467"/>
      <c r="FU172" s="467"/>
      <c r="FV172" s="467"/>
      <c r="FW172" s="467"/>
      <c r="FX172" s="467"/>
      <c r="FY172" s="467"/>
      <c r="FZ172" s="467"/>
      <c r="GA172" s="467"/>
      <c r="GB172" s="467"/>
      <c r="GC172" s="467"/>
      <c r="GD172" s="467"/>
      <c r="GE172" s="467"/>
      <c r="GF172" s="467"/>
      <c r="GG172" s="467"/>
      <c r="GH172" s="467"/>
      <c r="GI172" s="467"/>
      <c r="GJ172" s="467"/>
      <c r="GK172" s="467"/>
      <c r="GL172" s="467"/>
      <c r="GM172" s="467"/>
      <c r="GN172" s="467"/>
      <c r="GO172" s="467"/>
      <c r="GP172" s="467"/>
      <c r="GQ172" s="467"/>
      <c r="GR172" s="467"/>
      <c r="GS172" s="467"/>
      <c r="GT172" s="467"/>
      <c r="GU172" s="467"/>
      <c r="GV172" s="467"/>
      <c r="GW172" s="467"/>
      <c r="GX172" s="467"/>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7"/>
      <c r="IF172" s="467"/>
      <c r="IG172" s="467"/>
      <c r="IH172" s="467"/>
      <c r="II172" s="467"/>
      <c r="IJ172" s="467"/>
      <c r="IK172" s="467"/>
      <c r="IL172" s="467"/>
      <c r="IM172" s="467"/>
      <c r="IN172" s="467"/>
      <c r="IO172" s="467"/>
      <c r="IP172" s="467"/>
      <c r="IQ172" s="467"/>
      <c r="IR172" s="467"/>
      <c r="IS172" s="467"/>
      <c r="IT172" s="467"/>
      <c r="IU172" s="467"/>
      <c r="IV172" s="467"/>
    </row>
    <row r="173" spans="1:256" s="918" customFormat="1" ht="13.5" customHeight="1">
      <c r="A173" s="942"/>
      <c r="B173" s="943"/>
      <c r="C173" s="943"/>
      <c r="D173" s="1132" t="s">
        <v>5636</v>
      </c>
      <c r="E173" s="943"/>
      <c r="F173" s="951">
        <v>58</v>
      </c>
      <c r="G173" s="1209"/>
      <c r="H173" s="945"/>
      <c r="I173" s="744"/>
      <c r="J173" s="1056"/>
      <c r="K173" s="1135"/>
      <c r="L173" s="1136"/>
      <c r="M173" s="1127"/>
      <c r="N173" s="1127"/>
      <c r="O173" s="1055"/>
      <c r="P173" s="1056"/>
      <c r="Q173" s="1057"/>
      <c r="R173" s="1058"/>
      <c r="S173" s="1058"/>
      <c r="T173" s="1059"/>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7"/>
      <c r="BG173" s="467"/>
      <c r="BH173" s="467"/>
      <c r="BI173" s="467"/>
      <c r="BJ173" s="467"/>
      <c r="BK173" s="467"/>
      <c r="BL173" s="467"/>
      <c r="BM173" s="467"/>
      <c r="BN173" s="467"/>
      <c r="BO173" s="467"/>
      <c r="BP173" s="467"/>
      <c r="BQ173" s="467"/>
      <c r="BR173" s="467"/>
      <c r="BS173" s="467"/>
      <c r="BT173" s="467"/>
      <c r="BU173" s="467"/>
      <c r="BV173" s="467"/>
      <c r="BW173" s="467"/>
      <c r="BX173" s="467"/>
      <c r="BY173" s="467"/>
      <c r="BZ173" s="467"/>
      <c r="CA173" s="467"/>
      <c r="CB173" s="467"/>
      <c r="CC173" s="467"/>
      <c r="CD173" s="467"/>
      <c r="CE173" s="467"/>
      <c r="CF173" s="467"/>
      <c r="CG173" s="467"/>
      <c r="CH173" s="467"/>
      <c r="CI173" s="467"/>
      <c r="CJ173" s="467"/>
      <c r="CK173" s="467"/>
      <c r="CL173" s="467"/>
      <c r="CM173" s="467"/>
      <c r="CN173" s="467"/>
      <c r="CO173" s="467"/>
      <c r="CP173" s="467"/>
      <c r="CQ173" s="467"/>
      <c r="CR173" s="467"/>
      <c r="CS173" s="467"/>
      <c r="CT173" s="467"/>
      <c r="CU173" s="467"/>
      <c r="CV173" s="467"/>
      <c r="CW173" s="467"/>
      <c r="CX173" s="467"/>
      <c r="CY173" s="467"/>
      <c r="CZ173" s="467"/>
      <c r="DA173" s="467"/>
      <c r="DB173" s="467"/>
      <c r="DC173" s="467"/>
      <c r="DD173" s="467"/>
      <c r="DE173" s="467"/>
      <c r="DF173" s="467"/>
      <c r="DG173" s="467"/>
      <c r="DH173" s="467"/>
      <c r="DI173" s="467"/>
      <c r="DJ173" s="467"/>
      <c r="DK173" s="467"/>
      <c r="DL173" s="467"/>
      <c r="DM173" s="467"/>
      <c r="DN173" s="467"/>
      <c r="DO173" s="467"/>
      <c r="DP173" s="467"/>
      <c r="DQ173" s="467"/>
      <c r="DR173" s="467"/>
      <c r="DS173" s="467"/>
      <c r="DT173" s="467"/>
      <c r="DU173" s="467"/>
      <c r="DV173" s="467"/>
      <c r="DW173" s="467"/>
      <c r="DX173" s="467"/>
      <c r="DY173" s="467"/>
      <c r="DZ173" s="467"/>
      <c r="EA173" s="467"/>
      <c r="EB173" s="467"/>
      <c r="EC173" s="467"/>
      <c r="ED173" s="467"/>
      <c r="EE173" s="467"/>
      <c r="EF173" s="467"/>
      <c r="EG173" s="467"/>
      <c r="EH173" s="467"/>
      <c r="EI173" s="467"/>
      <c r="EJ173" s="467"/>
      <c r="EK173" s="467"/>
      <c r="EL173" s="467"/>
      <c r="EM173" s="467"/>
      <c r="EN173" s="467"/>
      <c r="EO173" s="467"/>
      <c r="EP173" s="467"/>
      <c r="EQ173" s="467"/>
      <c r="ER173" s="467"/>
      <c r="ES173" s="467"/>
      <c r="ET173" s="467"/>
      <c r="EU173" s="467"/>
      <c r="EV173" s="467"/>
      <c r="EW173" s="467"/>
      <c r="EX173" s="467"/>
      <c r="EY173" s="467"/>
      <c r="EZ173" s="467"/>
      <c r="FA173" s="467"/>
      <c r="FB173" s="467"/>
      <c r="FC173" s="467"/>
      <c r="FD173" s="467"/>
      <c r="FE173" s="467"/>
      <c r="FF173" s="467"/>
      <c r="FG173" s="467"/>
      <c r="FH173" s="467"/>
      <c r="FI173" s="467"/>
      <c r="FJ173" s="467"/>
      <c r="FK173" s="467"/>
      <c r="FL173" s="467"/>
      <c r="FM173" s="467"/>
      <c r="FN173" s="467"/>
      <c r="FO173" s="467"/>
      <c r="FP173" s="467"/>
      <c r="FQ173" s="467"/>
      <c r="FR173" s="467"/>
      <c r="FS173" s="467"/>
      <c r="FT173" s="467"/>
      <c r="FU173" s="467"/>
      <c r="FV173" s="467"/>
      <c r="FW173" s="467"/>
      <c r="FX173" s="467"/>
      <c r="FY173" s="467"/>
      <c r="FZ173" s="467"/>
      <c r="GA173" s="467"/>
      <c r="GB173" s="467"/>
      <c r="GC173" s="467"/>
      <c r="GD173" s="467"/>
      <c r="GE173" s="467"/>
      <c r="GF173" s="467"/>
      <c r="GG173" s="467"/>
      <c r="GH173" s="467"/>
      <c r="GI173" s="467"/>
      <c r="GJ173" s="467"/>
      <c r="GK173" s="467"/>
      <c r="GL173" s="467"/>
      <c r="GM173" s="467"/>
      <c r="GN173" s="467"/>
      <c r="GO173" s="467"/>
      <c r="GP173" s="467"/>
      <c r="GQ173" s="467"/>
      <c r="GR173" s="467"/>
      <c r="GS173" s="467"/>
      <c r="GT173" s="467"/>
      <c r="GU173" s="467"/>
      <c r="GV173" s="467"/>
      <c r="GW173" s="467"/>
      <c r="GX173" s="467"/>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7"/>
      <c r="IF173" s="467"/>
      <c r="IG173" s="467"/>
      <c r="IH173" s="467"/>
      <c r="II173" s="467"/>
      <c r="IJ173" s="467"/>
      <c r="IK173" s="467"/>
      <c r="IL173" s="467"/>
      <c r="IM173" s="467"/>
      <c r="IN173" s="467"/>
      <c r="IO173" s="467"/>
      <c r="IP173" s="467"/>
      <c r="IQ173" s="467"/>
      <c r="IR173" s="467"/>
      <c r="IS173" s="467"/>
      <c r="IT173" s="467"/>
      <c r="IU173" s="467"/>
      <c r="IV173" s="467"/>
    </row>
    <row r="174" spans="1:256" s="918" customFormat="1" ht="13.5" customHeight="1">
      <c r="A174" s="1048">
        <v>44</v>
      </c>
      <c r="B174" s="1049">
        <v>592</v>
      </c>
      <c r="C174" s="1049" t="s">
        <v>5637</v>
      </c>
      <c r="D174" s="1049" t="s">
        <v>5638</v>
      </c>
      <c r="E174" s="1049" t="s">
        <v>141</v>
      </c>
      <c r="F174" s="1050">
        <f>SUM(F175:F175)</f>
        <v>60.900000000000006</v>
      </c>
      <c r="G174" s="1213"/>
      <c r="H174" s="1051">
        <f>F174*G174</f>
        <v>0</v>
      </c>
      <c r="I174" s="1052" t="s">
        <v>112</v>
      </c>
      <c r="J174" s="1129"/>
      <c r="K174" s="1134"/>
      <c r="L174" s="935"/>
      <c r="M174" s="935"/>
      <c r="N174" s="935"/>
      <c r="O174" s="935"/>
      <c r="P174" s="935"/>
      <c r="Q174" s="935"/>
      <c r="R174" s="935"/>
      <c r="S174" s="1129"/>
      <c r="T174" s="1059"/>
      <c r="U174" s="467"/>
      <c r="V174" s="1060"/>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7"/>
      <c r="BE174" s="467"/>
      <c r="BF174" s="467"/>
      <c r="BG174" s="467"/>
      <c r="BH174" s="467"/>
      <c r="BI174" s="467"/>
      <c r="BJ174" s="467"/>
      <c r="BK174" s="467"/>
      <c r="BL174" s="467"/>
      <c r="BM174" s="467"/>
      <c r="BN174" s="467"/>
      <c r="BO174" s="467"/>
      <c r="BP174" s="467"/>
      <c r="BQ174" s="467"/>
      <c r="BR174" s="467"/>
      <c r="BS174" s="467"/>
      <c r="BT174" s="467"/>
      <c r="BU174" s="467"/>
      <c r="BV174" s="467"/>
      <c r="BW174" s="467"/>
      <c r="BX174" s="467"/>
      <c r="BY174" s="467"/>
      <c r="BZ174" s="467"/>
      <c r="CA174" s="467"/>
      <c r="CB174" s="467"/>
      <c r="CC174" s="467"/>
      <c r="CD174" s="467"/>
      <c r="CE174" s="467"/>
      <c r="CF174" s="467"/>
      <c r="CG174" s="467"/>
      <c r="CH174" s="467"/>
      <c r="CI174" s="467"/>
      <c r="CJ174" s="467"/>
      <c r="CK174" s="467"/>
      <c r="CL174" s="467"/>
      <c r="CM174" s="467"/>
      <c r="CN174" s="467"/>
      <c r="CO174" s="467"/>
      <c r="CP174" s="467"/>
      <c r="CQ174" s="467"/>
      <c r="CR174" s="467"/>
      <c r="CS174" s="467"/>
      <c r="CT174" s="467"/>
      <c r="CU174" s="467"/>
      <c r="CV174" s="467"/>
      <c r="CW174" s="467"/>
      <c r="CX174" s="467"/>
      <c r="CY174" s="467"/>
      <c r="CZ174" s="467"/>
      <c r="DA174" s="467"/>
      <c r="DB174" s="467"/>
      <c r="DC174" s="467"/>
      <c r="DD174" s="467"/>
      <c r="DE174" s="467"/>
      <c r="DF174" s="467"/>
      <c r="DG174" s="467"/>
      <c r="DH174" s="467"/>
      <c r="DI174" s="467"/>
      <c r="DJ174" s="467"/>
      <c r="DK174" s="467"/>
      <c r="DL174" s="467"/>
      <c r="DM174" s="467"/>
      <c r="DN174" s="467"/>
      <c r="DO174" s="467"/>
      <c r="DP174" s="467"/>
      <c r="DQ174" s="467"/>
      <c r="DR174" s="467"/>
      <c r="DS174" s="467"/>
      <c r="DT174" s="467"/>
      <c r="DU174" s="467"/>
      <c r="DV174" s="467"/>
      <c r="DW174" s="467"/>
      <c r="DX174" s="467"/>
      <c r="DY174" s="467"/>
      <c r="DZ174" s="467"/>
      <c r="EA174" s="467"/>
      <c r="EB174" s="467"/>
      <c r="EC174" s="467"/>
      <c r="ED174" s="467"/>
      <c r="EE174" s="467"/>
      <c r="EF174" s="467"/>
      <c r="EG174" s="467"/>
      <c r="EH174" s="467"/>
      <c r="EI174" s="467"/>
      <c r="EJ174" s="467"/>
      <c r="EK174" s="467"/>
      <c r="EL174" s="467"/>
      <c r="EM174" s="467"/>
      <c r="EN174" s="467"/>
      <c r="EO174" s="467"/>
      <c r="EP174" s="467"/>
      <c r="EQ174" s="467"/>
      <c r="ER174" s="467"/>
      <c r="ES174" s="467"/>
      <c r="ET174" s="467"/>
      <c r="EU174" s="467"/>
      <c r="EV174" s="467"/>
      <c r="EW174" s="467"/>
      <c r="EX174" s="467"/>
      <c r="EY174" s="467"/>
      <c r="EZ174" s="467"/>
      <c r="FA174" s="467"/>
      <c r="FB174" s="467"/>
      <c r="FC174" s="467"/>
      <c r="FD174" s="467"/>
      <c r="FE174" s="467"/>
      <c r="FF174" s="467"/>
      <c r="FG174" s="467"/>
      <c r="FH174" s="467"/>
      <c r="FI174" s="467"/>
      <c r="FJ174" s="467"/>
      <c r="FK174" s="467"/>
      <c r="FL174" s="467"/>
      <c r="FM174" s="467"/>
      <c r="FN174" s="467"/>
      <c r="FO174" s="467"/>
      <c r="FP174" s="467"/>
      <c r="FQ174" s="467"/>
      <c r="FR174" s="467"/>
      <c r="FS174" s="467"/>
      <c r="FT174" s="467"/>
      <c r="FU174" s="467"/>
      <c r="FV174" s="467"/>
      <c r="FW174" s="467"/>
      <c r="FX174" s="467"/>
      <c r="FY174" s="467"/>
      <c r="FZ174" s="467"/>
      <c r="GA174" s="467"/>
      <c r="GB174" s="467"/>
      <c r="GC174" s="467"/>
      <c r="GD174" s="467"/>
      <c r="GE174" s="467"/>
      <c r="GF174" s="467"/>
      <c r="GG174" s="467"/>
      <c r="GH174" s="467"/>
      <c r="GI174" s="467"/>
      <c r="GJ174" s="467"/>
      <c r="GK174" s="467"/>
      <c r="GL174" s="467"/>
      <c r="GM174" s="467"/>
      <c r="GN174" s="467"/>
      <c r="GO174" s="467"/>
      <c r="GP174" s="467"/>
      <c r="GQ174" s="467"/>
      <c r="GR174" s="467"/>
      <c r="GS174" s="467"/>
      <c r="GT174" s="467"/>
      <c r="GU174" s="467"/>
      <c r="GV174" s="467"/>
      <c r="GW174" s="467"/>
      <c r="GX174" s="467"/>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7"/>
      <c r="IF174" s="467"/>
      <c r="IG174" s="467"/>
      <c r="IH174" s="467"/>
      <c r="II174" s="467"/>
      <c r="IJ174" s="467"/>
      <c r="IK174" s="467"/>
      <c r="IL174" s="467"/>
      <c r="IM174" s="467"/>
      <c r="IN174" s="467"/>
      <c r="IO174" s="467"/>
      <c r="IP174" s="467"/>
      <c r="IQ174" s="467"/>
      <c r="IR174" s="467"/>
      <c r="IS174" s="467"/>
      <c r="IT174" s="467"/>
      <c r="IU174" s="467"/>
      <c r="IV174" s="467"/>
    </row>
    <row r="175" spans="1:256" s="918" customFormat="1" ht="13.5" customHeight="1">
      <c r="A175" s="1048"/>
      <c r="B175" s="1049"/>
      <c r="C175" s="1049"/>
      <c r="D175" s="1061" t="s">
        <v>5639</v>
      </c>
      <c r="E175" s="1062"/>
      <c r="F175" s="1063">
        <f>(58)*1.05</f>
        <v>60.900000000000006</v>
      </c>
      <c r="G175" s="1213"/>
      <c r="H175" s="1051"/>
      <c r="I175" s="1064"/>
      <c r="J175" s="979"/>
      <c r="K175" s="467"/>
      <c r="L175" s="1054"/>
      <c r="M175" s="1054"/>
      <c r="N175" s="1137"/>
      <c r="O175" s="1055"/>
      <c r="P175" s="1056"/>
      <c r="Q175" s="1057"/>
      <c r="R175" s="1058"/>
      <c r="S175" s="1058"/>
      <c r="T175" s="1059"/>
      <c r="U175" s="467"/>
      <c r="V175" s="1060"/>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467"/>
      <c r="AX175" s="467"/>
      <c r="AY175" s="467"/>
      <c r="AZ175" s="467"/>
      <c r="BA175" s="467"/>
      <c r="BB175" s="467"/>
      <c r="BC175" s="467"/>
      <c r="BD175" s="467"/>
      <c r="BE175" s="467"/>
      <c r="BF175" s="467"/>
      <c r="BG175" s="467"/>
      <c r="BH175" s="467"/>
      <c r="BI175" s="467"/>
      <c r="BJ175" s="467"/>
      <c r="BK175" s="467"/>
      <c r="BL175" s="467"/>
      <c r="BM175" s="467"/>
      <c r="BN175" s="467"/>
      <c r="BO175" s="467"/>
      <c r="BP175" s="467"/>
      <c r="BQ175" s="467"/>
      <c r="BR175" s="467"/>
      <c r="BS175" s="467"/>
      <c r="BT175" s="467"/>
      <c r="BU175" s="467"/>
      <c r="BV175" s="467"/>
      <c r="BW175" s="467"/>
      <c r="BX175" s="467"/>
      <c r="BY175" s="467"/>
      <c r="BZ175" s="467"/>
      <c r="CA175" s="467"/>
      <c r="CB175" s="467"/>
      <c r="CC175" s="467"/>
      <c r="CD175" s="467"/>
      <c r="CE175" s="467"/>
      <c r="CF175" s="467"/>
      <c r="CG175" s="467"/>
      <c r="CH175" s="467"/>
      <c r="CI175" s="467"/>
      <c r="CJ175" s="467"/>
      <c r="CK175" s="467"/>
      <c r="CL175" s="467"/>
      <c r="CM175" s="467"/>
      <c r="CN175" s="467"/>
      <c r="CO175" s="467"/>
      <c r="CP175" s="467"/>
      <c r="CQ175" s="467"/>
      <c r="CR175" s="467"/>
      <c r="CS175" s="467"/>
      <c r="CT175" s="467"/>
      <c r="CU175" s="467"/>
      <c r="CV175" s="467"/>
      <c r="CW175" s="467"/>
      <c r="CX175" s="467"/>
      <c r="CY175" s="467"/>
      <c r="CZ175" s="467"/>
      <c r="DA175" s="467"/>
      <c r="DB175" s="467"/>
      <c r="DC175" s="467"/>
      <c r="DD175" s="467"/>
      <c r="DE175" s="467"/>
      <c r="DF175" s="467"/>
      <c r="DG175" s="467"/>
      <c r="DH175" s="467"/>
      <c r="DI175" s="467"/>
      <c r="DJ175" s="467"/>
      <c r="DK175" s="467"/>
      <c r="DL175" s="467"/>
      <c r="DM175" s="467"/>
      <c r="DN175" s="467"/>
      <c r="DO175" s="467"/>
      <c r="DP175" s="467"/>
      <c r="DQ175" s="467"/>
      <c r="DR175" s="467"/>
      <c r="DS175" s="467"/>
      <c r="DT175" s="467"/>
      <c r="DU175" s="467"/>
      <c r="DV175" s="467"/>
      <c r="DW175" s="467"/>
      <c r="DX175" s="467"/>
      <c r="DY175" s="467"/>
      <c r="DZ175" s="467"/>
      <c r="EA175" s="467"/>
      <c r="EB175" s="467"/>
      <c r="EC175" s="467"/>
      <c r="ED175" s="467"/>
      <c r="EE175" s="467"/>
      <c r="EF175" s="467"/>
      <c r="EG175" s="467"/>
      <c r="EH175" s="467"/>
      <c r="EI175" s="467"/>
      <c r="EJ175" s="467"/>
      <c r="EK175" s="467"/>
      <c r="EL175" s="467"/>
      <c r="EM175" s="467"/>
      <c r="EN175" s="467"/>
      <c r="EO175" s="467"/>
      <c r="EP175" s="467"/>
      <c r="EQ175" s="467"/>
      <c r="ER175" s="467"/>
      <c r="ES175" s="467"/>
      <c r="ET175" s="467"/>
      <c r="EU175" s="467"/>
      <c r="EV175" s="467"/>
      <c r="EW175" s="467"/>
      <c r="EX175" s="467"/>
      <c r="EY175" s="467"/>
      <c r="EZ175" s="467"/>
      <c r="FA175" s="467"/>
      <c r="FB175" s="467"/>
      <c r="FC175" s="467"/>
      <c r="FD175" s="467"/>
      <c r="FE175" s="467"/>
      <c r="FF175" s="467"/>
      <c r="FG175" s="467"/>
      <c r="FH175" s="467"/>
      <c r="FI175" s="467"/>
      <c r="FJ175" s="467"/>
      <c r="FK175" s="467"/>
      <c r="FL175" s="467"/>
      <c r="FM175" s="467"/>
      <c r="FN175" s="467"/>
      <c r="FO175" s="467"/>
      <c r="FP175" s="467"/>
      <c r="FQ175" s="467"/>
      <c r="FR175" s="467"/>
      <c r="FS175" s="467"/>
      <c r="FT175" s="467"/>
      <c r="FU175" s="467"/>
      <c r="FV175" s="467"/>
      <c r="FW175" s="467"/>
      <c r="FX175" s="467"/>
      <c r="FY175" s="467"/>
      <c r="FZ175" s="467"/>
      <c r="GA175" s="467"/>
      <c r="GB175" s="467"/>
      <c r="GC175" s="467"/>
      <c r="GD175" s="467"/>
      <c r="GE175" s="467"/>
      <c r="GF175" s="467"/>
      <c r="GG175" s="467"/>
      <c r="GH175" s="467"/>
      <c r="GI175" s="467"/>
      <c r="GJ175" s="467"/>
      <c r="GK175" s="467"/>
      <c r="GL175" s="467"/>
      <c r="GM175" s="467"/>
      <c r="GN175" s="467"/>
      <c r="GO175" s="467"/>
      <c r="GP175" s="467"/>
      <c r="GQ175" s="467"/>
      <c r="GR175" s="467"/>
      <c r="GS175" s="467"/>
      <c r="GT175" s="467"/>
      <c r="GU175" s="467"/>
      <c r="GV175" s="467"/>
      <c r="GW175" s="467"/>
      <c r="GX175" s="467"/>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7"/>
      <c r="IF175" s="467"/>
      <c r="IG175" s="467"/>
      <c r="IH175" s="467"/>
      <c r="II175" s="467"/>
      <c r="IJ175" s="467"/>
      <c r="IK175" s="467"/>
      <c r="IL175" s="467"/>
      <c r="IM175" s="467"/>
      <c r="IN175" s="467"/>
      <c r="IO175" s="467"/>
      <c r="IP175" s="467"/>
      <c r="IQ175" s="467"/>
      <c r="IR175" s="467"/>
      <c r="IS175" s="467"/>
      <c r="IT175" s="467"/>
      <c r="IU175" s="467"/>
      <c r="IV175" s="467"/>
    </row>
    <row r="176" spans="1:256" s="918" customFormat="1" ht="27" customHeight="1">
      <c r="A176" s="942">
        <v>45</v>
      </c>
      <c r="B176" s="943">
        <v>221</v>
      </c>
      <c r="C176" s="943" t="s">
        <v>5640</v>
      </c>
      <c r="D176" s="943" t="s">
        <v>5641</v>
      </c>
      <c r="E176" s="943" t="s">
        <v>163</v>
      </c>
      <c r="F176" s="1128">
        <f>SUM(F178:F178)</f>
        <v>29</v>
      </c>
      <c r="G176" s="1209"/>
      <c r="H176" s="945">
        <f>F176*G176</f>
        <v>0</v>
      </c>
      <c r="I176" s="1123" t="s">
        <v>112</v>
      </c>
      <c r="J176" s="1129"/>
      <c r="K176" s="1134"/>
      <c r="L176" s="935"/>
      <c r="M176" s="935"/>
      <c r="N176" s="935"/>
      <c r="O176" s="935"/>
      <c r="P176" s="935"/>
      <c r="Q176" s="935"/>
      <c r="R176" s="935"/>
      <c r="S176" s="1129"/>
      <c r="T176" s="1059"/>
      <c r="U176" s="467"/>
      <c r="V176" s="467"/>
      <c r="W176" s="467"/>
      <c r="X176" s="467"/>
      <c r="Y176" s="467"/>
      <c r="Z176" s="467"/>
      <c r="AA176" s="467"/>
      <c r="AB176" s="467"/>
      <c r="AC176" s="467"/>
      <c r="AD176" s="467"/>
      <c r="AE176" s="467"/>
      <c r="AF176" s="467"/>
      <c r="AG176" s="467"/>
      <c r="AH176" s="467"/>
      <c r="AI176" s="467"/>
      <c r="AJ176" s="467"/>
      <c r="AK176" s="467"/>
      <c r="AL176" s="467"/>
      <c r="AM176" s="467"/>
      <c r="AN176" s="467"/>
      <c r="AO176" s="467"/>
      <c r="AP176" s="467"/>
      <c r="AQ176" s="467"/>
      <c r="AR176" s="467"/>
      <c r="AS176" s="467"/>
      <c r="AT176" s="467"/>
      <c r="AU176" s="467"/>
      <c r="AV176" s="467"/>
      <c r="AW176" s="467"/>
      <c r="AX176" s="467"/>
      <c r="AY176" s="467"/>
      <c r="AZ176" s="467"/>
      <c r="BA176" s="467"/>
      <c r="BB176" s="467"/>
      <c r="BC176" s="467"/>
      <c r="BD176" s="467"/>
      <c r="BE176" s="467"/>
      <c r="BF176" s="467"/>
      <c r="BG176" s="467"/>
      <c r="BH176" s="467"/>
      <c r="BI176" s="467"/>
      <c r="BJ176" s="467"/>
      <c r="BK176" s="467"/>
      <c r="BL176" s="467"/>
      <c r="BM176" s="467"/>
      <c r="BN176" s="467"/>
      <c r="BO176" s="467"/>
      <c r="BP176" s="467"/>
      <c r="BQ176" s="467"/>
      <c r="BR176" s="467"/>
      <c r="BS176" s="467"/>
      <c r="BT176" s="467"/>
      <c r="BU176" s="467"/>
      <c r="BV176" s="467"/>
      <c r="BW176" s="467"/>
      <c r="BX176" s="467"/>
      <c r="BY176" s="467"/>
      <c r="BZ176" s="467"/>
      <c r="CA176" s="467"/>
      <c r="CB176" s="467"/>
      <c r="CC176" s="467"/>
      <c r="CD176" s="467"/>
      <c r="CE176" s="467"/>
      <c r="CF176" s="467"/>
      <c r="CG176" s="467"/>
      <c r="CH176" s="467"/>
      <c r="CI176" s="467"/>
      <c r="CJ176" s="467"/>
      <c r="CK176" s="467"/>
      <c r="CL176" s="467"/>
      <c r="CM176" s="467"/>
      <c r="CN176" s="467"/>
      <c r="CO176" s="467"/>
      <c r="CP176" s="467"/>
      <c r="CQ176" s="467"/>
      <c r="CR176" s="467"/>
      <c r="CS176" s="467"/>
      <c r="CT176" s="467"/>
      <c r="CU176" s="467"/>
      <c r="CV176" s="467"/>
      <c r="CW176" s="467"/>
      <c r="CX176" s="467"/>
      <c r="CY176" s="467"/>
      <c r="CZ176" s="467"/>
      <c r="DA176" s="467"/>
      <c r="DB176" s="467"/>
      <c r="DC176" s="467"/>
      <c r="DD176" s="467"/>
      <c r="DE176" s="467"/>
      <c r="DF176" s="467"/>
      <c r="DG176" s="467"/>
      <c r="DH176" s="467"/>
      <c r="DI176" s="467"/>
      <c r="DJ176" s="467"/>
      <c r="DK176" s="467"/>
      <c r="DL176" s="467"/>
      <c r="DM176" s="467"/>
      <c r="DN176" s="467"/>
      <c r="DO176" s="467"/>
      <c r="DP176" s="467"/>
      <c r="DQ176" s="467"/>
      <c r="DR176" s="467"/>
      <c r="DS176" s="467"/>
      <c r="DT176" s="467"/>
      <c r="DU176" s="467"/>
      <c r="DV176" s="467"/>
      <c r="DW176" s="467"/>
      <c r="DX176" s="467"/>
      <c r="DY176" s="467"/>
      <c r="DZ176" s="467"/>
      <c r="EA176" s="467"/>
      <c r="EB176" s="467"/>
      <c r="EC176" s="467"/>
      <c r="ED176" s="467"/>
      <c r="EE176" s="467"/>
      <c r="EF176" s="467"/>
      <c r="EG176" s="467"/>
      <c r="EH176" s="467"/>
      <c r="EI176" s="467"/>
      <c r="EJ176" s="467"/>
      <c r="EK176" s="467"/>
      <c r="EL176" s="467"/>
      <c r="EM176" s="467"/>
      <c r="EN176" s="467"/>
      <c r="EO176" s="467"/>
      <c r="EP176" s="467"/>
      <c r="EQ176" s="467"/>
      <c r="ER176" s="467"/>
      <c r="ES176" s="467"/>
      <c r="ET176" s="467"/>
      <c r="EU176" s="467"/>
      <c r="EV176" s="467"/>
      <c r="EW176" s="467"/>
      <c r="EX176" s="467"/>
      <c r="EY176" s="467"/>
      <c r="EZ176" s="467"/>
      <c r="FA176" s="467"/>
      <c r="FB176" s="467"/>
      <c r="FC176" s="467"/>
      <c r="FD176" s="467"/>
      <c r="FE176" s="467"/>
      <c r="FF176" s="467"/>
      <c r="FG176" s="467"/>
      <c r="FH176" s="467"/>
      <c r="FI176" s="467"/>
      <c r="FJ176" s="467"/>
      <c r="FK176" s="467"/>
      <c r="FL176" s="467"/>
      <c r="FM176" s="467"/>
      <c r="FN176" s="467"/>
      <c r="FO176" s="467"/>
      <c r="FP176" s="467"/>
      <c r="FQ176" s="467"/>
      <c r="FR176" s="467"/>
      <c r="FS176" s="467"/>
      <c r="FT176" s="467"/>
      <c r="FU176" s="467"/>
      <c r="FV176" s="467"/>
      <c r="FW176" s="467"/>
      <c r="FX176" s="467"/>
      <c r="FY176" s="467"/>
      <c r="FZ176" s="467"/>
      <c r="GA176" s="467"/>
      <c r="GB176" s="467"/>
      <c r="GC176" s="467"/>
      <c r="GD176" s="467"/>
      <c r="GE176" s="467"/>
      <c r="GF176" s="467"/>
      <c r="GG176" s="467"/>
      <c r="GH176" s="467"/>
      <c r="GI176" s="467"/>
      <c r="GJ176" s="467"/>
      <c r="GK176" s="467"/>
      <c r="GL176" s="467"/>
      <c r="GM176" s="467"/>
      <c r="GN176" s="467"/>
      <c r="GO176" s="467"/>
      <c r="GP176" s="467"/>
      <c r="GQ176" s="467"/>
      <c r="GR176" s="467"/>
      <c r="GS176" s="467"/>
      <c r="GT176" s="467"/>
      <c r="GU176" s="467"/>
      <c r="GV176" s="467"/>
      <c r="GW176" s="467"/>
      <c r="GX176" s="467"/>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7"/>
      <c r="IF176" s="467"/>
      <c r="IG176" s="467"/>
      <c r="IH176" s="467"/>
      <c r="II176" s="467"/>
      <c r="IJ176" s="467"/>
      <c r="IK176" s="467"/>
      <c r="IL176" s="467"/>
      <c r="IM176" s="467"/>
      <c r="IN176" s="467"/>
      <c r="IO176" s="467"/>
      <c r="IP176" s="467"/>
      <c r="IQ176" s="467"/>
      <c r="IR176" s="467"/>
      <c r="IS176" s="467"/>
      <c r="IT176" s="467"/>
      <c r="IU176" s="467"/>
      <c r="IV176" s="467"/>
    </row>
    <row r="177" spans="1:256" s="918" customFormat="1" ht="13.5" customHeight="1">
      <c r="A177" s="942"/>
      <c r="B177" s="943"/>
      <c r="C177" s="943"/>
      <c r="D177" s="1132" t="s">
        <v>5642</v>
      </c>
      <c r="E177" s="943"/>
      <c r="F177" s="951"/>
      <c r="G177" s="1209"/>
      <c r="H177" s="945"/>
      <c r="I177" s="744"/>
      <c r="J177" s="1129"/>
      <c r="K177" s="1134"/>
      <c r="L177" s="935"/>
      <c r="M177" s="935"/>
      <c r="N177" s="935"/>
      <c r="O177" s="935"/>
      <c r="P177" s="935"/>
      <c r="Q177" s="935"/>
      <c r="R177" s="935"/>
      <c r="S177" s="1129"/>
      <c r="T177" s="1059"/>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67"/>
      <c r="AZ177" s="467"/>
      <c r="BA177" s="467"/>
      <c r="BB177" s="467"/>
      <c r="BC177" s="467"/>
      <c r="BD177" s="467"/>
      <c r="BE177" s="467"/>
      <c r="BF177" s="467"/>
      <c r="BG177" s="467"/>
      <c r="BH177" s="467"/>
      <c r="BI177" s="467"/>
      <c r="BJ177" s="467"/>
      <c r="BK177" s="467"/>
      <c r="BL177" s="467"/>
      <c r="BM177" s="467"/>
      <c r="BN177" s="467"/>
      <c r="BO177" s="467"/>
      <c r="BP177" s="467"/>
      <c r="BQ177" s="467"/>
      <c r="BR177" s="467"/>
      <c r="BS177" s="467"/>
      <c r="BT177" s="467"/>
      <c r="BU177" s="467"/>
      <c r="BV177" s="467"/>
      <c r="BW177" s="467"/>
      <c r="BX177" s="467"/>
      <c r="BY177" s="467"/>
      <c r="BZ177" s="467"/>
      <c r="CA177" s="467"/>
      <c r="CB177" s="467"/>
      <c r="CC177" s="467"/>
      <c r="CD177" s="467"/>
      <c r="CE177" s="467"/>
      <c r="CF177" s="467"/>
      <c r="CG177" s="467"/>
      <c r="CH177" s="467"/>
      <c r="CI177" s="467"/>
      <c r="CJ177" s="467"/>
      <c r="CK177" s="467"/>
      <c r="CL177" s="467"/>
      <c r="CM177" s="467"/>
      <c r="CN177" s="467"/>
      <c r="CO177" s="467"/>
      <c r="CP177" s="467"/>
      <c r="CQ177" s="467"/>
      <c r="CR177" s="467"/>
      <c r="CS177" s="467"/>
      <c r="CT177" s="467"/>
      <c r="CU177" s="467"/>
      <c r="CV177" s="467"/>
      <c r="CW177" s="467"/>
      <c r="CX177" s="467"/>
      <c r="CY177" s="467"/>
      <c r="CZ177" s="467"/>
      <c r="DA177" s="467"/>
      <c r="DB177" s="467"/>
      <c r="DC177" s="467"/>
      <c r="DD177" s="467"/>
      <c r="DE177" s="467"/>
      <c r="DF177" s="467"/>
      <c r="DG177" s="467"/>
      <c r="DH177" s="467"/>
      <c r="DI177" s="467"/>
      <c r="DJ177" s="467"/>
      <c r="DK177" s="467"/>
      <c r="DL177" s="467"/>
      <c r="DM177" s="467"/>
      <c r="DN177" s="467"/>
      <c r="DO177" s="467"/>
      <c r="DP177" s="467"/>
      <c r="DQ177" s="467"/>
      <c r="DR177" s="467"/>
      <c r="DS177" s="467"/>
      <c r="DT177" s="467"/>
      <c r="DU177" s="467"/>
      <c r="DV177" s="467"/>
      <c r="DW177" s="467"/>
      <c r="DX177" s="467"/>
      <c r="DY177" s="467"/>
      <c r="DZ177" s="467"/>
      <c r="EA177" s="467"/>
      <c r="EB177" s="467"/>
      <c r="EC177" s="467"/>
      <c r="ED177" s="467"/>
      <c r="EE177" s="467"/>
      <c r="EF177" s="467"/>
      <c r="EG177" s="467"/>
      <c r="EH177" s="467"/>
      <c r="EI177" s="467"/>
      <c r="EJ177" s="467"/>
      <c r="EK177" s="467"/>
      <c r="EL177" s="467"/>
      <c r="EM177" s="467"/>
      <c r="EN177" s="467"/>
      <c r="EO177" s="467"/>
      <c r="EP177" s="467"/>
      <c r="EQ177" s="467"/>
      <c r="ER177" s="467"/>
      <c r="ES177" s="467"/>
      <c r="ET177" s="467"/>
      <c r="EU177" s="467"/>
      <c r="EV177" s="467"/>
      <c r="EW177" s="467"/>
      <c r="EX177" s="467"/>
      <c r="EY177" s="467"/>
      <c r="EZ177" s="467"/>
      <c r="FA177" s="467"/>
      <c r="FB177" s="467"/>
      <c r="FC177" s="467"/>
      <c r="FD177" s="467"/>
      <c r="FE177" s="467"/>
      <c r="FF177" s="467"/>
      <c r="FG177" s="467"/>
      <c r="FH177" s="467"/>
      <c r="FI177" s="467"/>
      <c r="FJ177" s="467"/>
      <c r="FK177" s="467"/>
      <c r="FL177" s="467"/>
      <c r="FM177" s="467"/>
      <c r="FN177" s="467"/>
      <c r="FO177" s="467"/>
      <c r="FP177" s="467"/>
      <c r="FQ177" s="467"/>
      <c r="FR177" s="467"/>
      <c r="FS177" s="467"/>
      <c r="FT177" s="467"/>
      <c r="FU177" s="467"/>
      <c r="FV177" s="467"/>
      <c r="FW177" s="467"/>
      <c r="FX177" s="467"/>
      <c r="FY177" s="467"/>
      <c r="FZ177" s="467"/>
      <c r="GA177" s="467"/>
      <c r="GB177" s="467"/>
      <c r="GC177" s="467"/>
      <c r="GD177" s="467"/>
      <c r="GE177" s="467"/>
      <c r="GF177" s="467"/>
      <c r="GG177" s="467"/>
      <c r="GH177" s="467"/>
      <c r="GI177" s="467"/>
      <c r="GJ177" s="467"/>
      <c r="GK177" s="467"/>
      <c r="GL177" s="467"/>
      <c r="GM177" s="467"/>
      <c r="GN177" s="467"/>
      <c r="GO177" s="467"/>
      <c r="GP177" s="467"/>
      <c r="GQ177" s="467"/>
      <c r="GR177" s="467"/>
      <c r="GS177" s="467"/>
      <c r="GT177" s="467"/>
      <c r="GU177" s="467"/>
      <c r="GV177" s="467"/>
      <c r="GW177" s="467"/>
      <c r="GX177" s="467"/>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7"/>
      <c r="IF177" s="467"/>
      <c r="IG177" s="467"/>
      <c r="IH177" s="467"/>
      <c r="II177" s="467"/>
      <c r="IJ177" s="467"/>
      <c r="IK177" s="467"/>
      <c r="IL177" s="467"/>
      <c r="IM177" s="467"/>
      <c r="IN177" s="467"/>
      <c r="IO177" s="467"/>
      <c r="IP177" s="467"/>
      <c r="IQ177" s="467"/>
      <c r="IR177" s="467"/>
      <c r="IS177" s="467"/>
      <c r="IT177" s="467"/>
      <c r="IU177" s="467"/>
      <c r="IV177" s="467"/>
    </row>
    <row r="178" spans="1:256" s="918" customFormat="1" ht="13.5" customHeight="1">
      <c r="A178" s="942"/>
      <c r="B178" s="943"/>
      <c r="C178" s="943"/>
      <c r="D178" s="1132" t="s">
        <v>5643</v>
      </c>
      <c r="E178" s="943"/>
      <c r="F178" s="951">
        <f>(58)*0.5</f>
        <v>29</v>
      </c>
      <c r="G178" s="1209"/>
      <c r="H178" s="945"/>
      <c r="I178" s="744"/>
      <c r="J178" s="1056"/>
      <c r="K178" s="1135"/>
      <c r="L178" s="1136"/>
      <c r="M178" s="1127"/>
      <c r="N178" s="1127"/>
      <c r="O178" s="1055"/>
      <c r="P178" s="1056"/>
      <c r="Q178" s="1057"/>
      <c r="R178" s="1058"/>
      <c r="S178" s="1058"/>
      <c r="T178" s="1059"/>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c r="BW178" s="467"/>
      <c r="BX178" s="467"/>
      <c r="BY178" s="467"/>
      <c r="BZ178" s="467"/>
      <c r="CA178" s="467"/>
      <c r="CB178" s="467"/>
      <c r="CC178" s="467"/>
      <c r="CD178" s="467"/>
      <c r="CE178" s="467"/>
      <c r="CF178" s="467"/>
      <c r="CG178" s="467"/>
      <c r="CH178" s="467"/>
      <c r="CI178" s="467"/>
      <c r="CJ178" s="467"/>
      <c r="CK178" s="467"/>
      <c r="CL178" s="467"/>
      <c r="CM178" s="467"/>
      <c r="CN178" s="467"/>
      <c r="CO178" s="467"/>
      <c r="CP178" s="467"/>
      <c r="CQ178" s="467"/>
      <c r="CR178" s="467"/>
      <c r="CS178" s="467"/>
      <c r="CT178" s="467"/>
      <c r="CU178" s="467"/>
      <c r="CV178" s="467"/>
      <c r="CW178" s="467"/>
      <c r="CX178" s="467"/>
      <c r="CY178" s="467"/>
      <c r="CZ178" s="467"/>
      <c r="DA178" s="467"/>
      <c r="DB178" s="467"/>
      <c r="DC178" s="467"/>
      <c r="DD178" s="467"/>
      <c r="DE178" s="467"/>
      <c r="DF178" s="467"/>
      <c r="DG178" s="467"/>
      <c r="DH178" s="467"/>
      <c r="DI178" s="467"/>
      <c r="DJ178" s="467"/>
      <c r="DK178" s="467"/>
      <c r="DL178" s="467"/>
      <c r="DM178" s="467"/>
      <c r="DN178" s="467"/>
      <c r="DO178" s="467"/>
      <c r="DP178" s="467"/>
      <c r="DQ178" s="467"/>
      <c r="DR178" s="467"/>
      <c r="DS178" s="467"/>
      <c r="DT178" s="467"/>
      <c r="DU178" s="467"/>
      <c r="DV178" s="467"/>
      <c r="DW178" s="467"/>
      <c r="DX178" s="467"/>
      <c r="DY178" s="467"/>
      <c r="DZ178" s="467"/>
      <c r="EA178" s="467"/>
      <c r="EB178" s="467"/>
      <c r="EC178" s="467"/>
      <c r="ED178" s="467"/>
      <c r="EE178" s="467"/>
      <c r="EF178" s="467"/>
      <c r="EG178" s="467"/>
      <c r="EH178" s="467"/>
      <c r="EI178" s="467"/>
      <c r="EJ178" s="467"/>
      <c r="EK178" s="467"/>
      <c r="EL178" s="467"/>
      <c r="EM178" s="467"/>
      <c r="EN178" s="467"/>
      <c r="EO178" s="467"/>
      <c r="EP178" s="467"/>
      <c r="EQ178" s="467"/>
      <c r="ER178" s="467"/>
      <c r="ES178" s="467"/>
      <c r="ET178" s="467"/>
      <c r="EU178" s="467"/>
      <c r="EV178" s="467"/>
      <c r="EW178" s="467"/>
      <c r="EX178" s="467"/>
      <c r="EY178" s="467"/>
      <c r="EZ178" s="467"/>
      <c r="FA178" s="467"/>
      <c r="FB178" s="467"/>
      <c r="FC178" s="467"/>
      <c r="FD178" s="467"/>
      <c r="FE178" s="467"/>
      <c r="FF178" s="467"/>
      <c r="FG178" s="467"/>
      <c r="FH178" s="467"/>
      <c r="FI178" s="467"/>
      <c r="FJ178" s="467"/>
      <c r="FK178" s="467"/>
      <c r="FL178" s="467"/>
      <c r="FM178" s="467"/>
      <c r="FN178" s="467"/>
      <c r="FO178" s="467"/>
      <c r="FP178" s="467"/>
      <c r="FQ178" s="467"/>
      <c r="FR178" s="467"/>
      <c r="FS178" s="467"/>
      <c r="FT178" s="467"/>
      <c r="FU178" s="467"/>
      <c r="FV178" s="467"/>
      <c r="FW178" s="467"/>
      <c r="FX178" s="467"/>
      <c r="FY178" s="467"/>
      <c r="FZ178" s="467"/>
      <c r="GA178" s="467"/>
      <c r="GB178" s="467"/>
      <c r="GC178" s="467"/>
      <c r="GD178" s="467"/>
      <c r="GE178" s="467"/>
      <c r="GF178" s="467"/>
      <c r="GG178" s="467"/>
      <c r="GH178" s="467"/>
      <c r="GI178" s="467"/>
      <c r="GJ178" s="467"/>
      <c r="GK178" s="467"/>
      <c r="GL178" s="467"/>
      <c r="GM178" s="467"/>
      <c r="GN178" s="467"/>
      <c r="GO178" s="467"/>
      <c r="GP178" s="467"/>
      <c r="GQ178" s="467"/>
      <c r="GR178" s="467"/>
      <c r="GS178" s="467"/>
      <c r="GT178" s="467"/>
      <c r="GU178" s="467"/>
      <c r="GV178" s="467"/>
      <c r="GW178" s="467"/>
      <c r="GX178" s="467"/>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7"/>
      <c r="IF178" s="467"/>
      <c r="IG178" s="467"/>
      <c r="IH178" s="467"/>
      <c r="II178" s="467"/>
      <c r="IJ178" s="467"/>
      <c r="IK178" s="467"/>
      <c r="IL178" s="467"/>
      <c r="IM178" s="467"/>
      <c r="IN178" s="467"/>
      <c r="IO178" s="467"/>
      <c r="IP178" s="467"/>
      <c r="IQ178" s="467"/>
      <c r="IR178" s="467"/>
      <c r="IS178" s="467"/>
      <c r="IT178" s="467"/>
      <c r="IU178" s="467"/>
      <c r="IV178" s="467"/>
    </row>
    <row r="179" spans="1:256" s="918" customFormat="1" ht="13.5" customHeight="1">
      <c r="A179" s="1048">
        <v>46</v>
      </c>
      <c r="B179" s="1049">
        <v>592</v>
      </c>
      <c r="C179" s="1049">
        <v>59227034</v>
      </c>
      <c r="D179" s="1049" t="s">
        <v>5644</v>
      </c>
      <c r="E179" s="1049" t="s">
        <v>141</v>
      </c>
      <c r="F179" s="1050">
        <f>SUM(F180:F180)</f>
        <v>60.900000000000006</v>
      </c>
      <c r="G179" s="1213"/>
      <c r="H179" s="1051">
        <f>F179*G179</f>
        <v>0</v>
      </c>
      <c r="I179" s="1052" t="s">
        <v>137</v>
      </c>
      <c r="J179" s="1129"/>
      <c r="K179" s="1134"/>
      <c r="L179" s="935"/>
      <c r="M179" s="935"/>
      <c r="N179" s="935"/>
      <c r="O179" s="935"/>
      <c r="P179" s="935"/>
      <c r="Q179" s="935"/>
      <c r="R179" s="935"/>
      <c r="S179" s="1129"/>
      <c r="T179" s="1059"/>
      <c r="U179" s="467"/>
      <c r="V179" s="1060"/>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7"/>
      <c r="AS179" s="467"/>
      <c r="AT179" s="467"/>
      <c r="AU179" s="467"/>
      <c r="AV179" s="467"/>
      <c r="AW179" s="467"/>
      <c r="AX179" s="467"/>
      <c r="AY179" s="467"/>
      <c r="AZ179" s="467"/>
      <c r="BA179" s="467"/>
      <c r="BB179" s="467"/>
      <c r="BC179" s="467"/>
      <c r="BD179" s="467"/>
      <c r="BE179" s="467"/>
      <c r="BF179" s="467"/>
      <c r="BG179" s="467"/>
      <c r="BH179" s="467"/>
      <c r="BI179" s="467"/>
      <c r="BJ179" s="467"/>
      <c r="BK179" s="467"/>
      <c r="BL179" s="467"/>
      <c r="BM179" s="467"/>
      <c r="BN179" s="467"/>
      <c r="BO179" s="467"/>
      <c r="BP179" s="467"/>
      <c r="BQ179" s="467"/>
      <c r="BR179" s="467"/>
      <c r="BS179" s="467"/>
      <c r="BT179" s="467"/>
      <c r="BU179" s="467"/>
      <c r="BV179" s="467"/>
      <c r="BW179" s="467"/>
      <c r="BX179" s="467"/>
      <c r="BY179" s="467"/>
      <c r="BZ179" s="467"/>
      <c r="CA179" s="467"/>
      <c r="CB179" s="467"/>
      <c r="CC179" s="467"/>
      <c r="CD179" s="467"/>
      <c r="CE179" s="467"/>
      <c r="CF179" s="467"/>
      <c r="CG179" s="467"/>
      <c r="CH179" s="467"/>
      <c r="CI179" s="467"/>
      <c r="CJ179" s="467"/>
      <c r="CK179" s="467"/>
      <c r="CL179" s="467"/>
      <c r="CM179" s="467"/>
      <c r="CN179" s="467"/>
      <c r="CO179" s="467"/>
      <c r="CP179" s="467"/>
      <c r="CQ179" s="467"/>
      <c r="CR179" s="467"/>
      <c r="CS179" s="467"/>
      <c r="CT179" s="467"/>
      <c r="CU179" s="467"/>
      <c r="CV179" s="467"/>
      <c r="CW179" s="467"/>
      <c r="CX179" s="467"/>
      <c r="CY179" s="467"/>
      <c r="CZ179" s="467"/>
      <c r="DA179" s="467"/>
      <c r="DB179" s="467"/>
      <c r="DC179" s="467"/>
      <c r="DD179" s="467"/>
      <c r="DE179" s="467"/>
      <c r="DF179" s="467"/>
      <c r="DG179" s="467"/>
      <c r="DH179" s="467"/>
      <c r="DI179" s="467"/>
      <c r="DJ179" s="467"/>
      <c r="DK179" s="467"/>
      <c r="DL179" s="467"/>
      <c r="DM179" s="467"/>
      <c r="DN179" s="467"/>
      <c r="DO179" s="467"/>
      <c r="DP179" s="467"/>
      <c r="DQ179" s="467"/>
      <c r="DR179" s="467"/>
      <c r="DS179" s="467"/>
      <c r="DT179" s="467"/>
      <c r="DU179" s="467"/>
      <c r="DV179" s="467"/>
      <c r="DW179" s="467"/>
      <c r="DX179" s="467"/>
      <c r="DY179" s="467"/>
      <c r="DZ179" s="467"/>
      <c r="EA179" s="467"/>
      <c r="EB179" s="467"/>
      <c r="EC179" s="467"/>
      <c r="ED179" s="467"/>
      <c r="EE179" s="467"/>
      <c r="EF179" s="467"/>
      <c r="EG179" s="467"/>
      <c r="EH179" s="467"/>
      <c r="EI179" s="467"/>
      <c r="EJ179" s="467"/>
      <c r="EK179" s="467"/>
      <c r="EL179" s="467"/>
      <c r="EM179" s="467"/>
      <c r="EN179" s="467"/>
      <c r="EO179" s="467"/>
      <c r="EP179" s="467"/>
      <c r="EQ179" s="467"/>
      <c r="ER179" s="467"/>
      <c r="ES179" s="467"/>
      <c r="ET179" s="467"/>
      <c r="EU179" s="467"/>
      <c r="EV179" s="467"/>
      <c r="EW179" s="467"/>
      <c r="EX179" s="467"/>
      <c r="EY179" s="467"/>
      <c r="EZ179" s="467"/>
      <c r="FA179" s="467"/>
      <c r="FB179" s="467"/>
      <c r="FC179" s="467"/>
      <c r="FD179" s="467"/>
      <c r="FE179" s="467"/>
      <c r="FF179" s="467"/>
      <c r="FG179" s="467"/>
      <c r="FH179" s="467"/>
      <c r="FI179" s="467"/>
      <c r="FJ179" s="467"/>
      <c r="FK179" s="467"/>
      <c r="FL179" s="467"/>
      <c r="FM179" s="467"/>
      <c r="FN179" s="467"/>
      <c r="FO179" s="467"/>
      <c r="FP179" s="467"/>
      <c r="FQ179" s="467"/>
      <c r="FR179" s="467"/>
      <c r="FS179" s="467"/>
      <c r="FT179" s="467"/>
      <c r="FU179" s="467"/>
      <c r="FV179" s="467"/>
      <c r="FW179" s="467"/>
      <c r="FX179" s="467"/>
      <c r="FY179" s="467"/>
      <c r="FZ179" s="467"/>
      <c r="GA179" s="467"/>
      <c r="GB179" s="467"/>
      <c r="GC179" s="467"/>
      <c r="GD179" s="467"/>
      <c r="GE179" s="467"/>
      <c r="GF179" s="467"/>
      <c r="GG179" s="467"/>
      <c r="GH179" s="467"/>
      <c r="GI179" s="467"/>
      <c r="GJ179" s="467"/>
      <c r="GK179" s="467"/>
      <c r="GL179" s="467"/>
      <c r="GM179" s="467"/>
      <c r="GN179" s="467"/>
      <c r="GO179" s="467"/>
      <c r="GP179" s="467"/>
      <c r="GQ179" s="467"/>
      <c r="GR179" s="467"/>
      <c r="GS179" s="467"/>
      <c r="GT179" s="467"/>
      <c r="GU179" s="467"/>
      <c r="GV179" s="467"/>
      <c r="GW179" s="467"/>
      <c r="GX179" s="467"/>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7"/>
      <c r="IF179" s="467"/>
      <c r="IG179" s="467"/>
      <c r="IH179" s="467"/>
      <c r="II179" s="467"/>
      <c r="IJ179" s="467"/>
      <c r="IK179" s="467"/>
      <c r="IL179" s="467"/>
      <c r="IM179" s="467"/>
      <c r="IN179" s="467"/>
      <c r="IO179" s="467"/>
      <c r="IP179" s="467"/>
      <c r="IQ179" s="467"/>
      <c r="IR179" s="467"/>
      <c r="IS179" s="467"/>
      <c r="IT179" s="467"/>
      <c r="IU179" s="467"/>
      <c r="IV179" s="467"/>
    </row>
    <row r="180" spans="1:256" s="918" customFormat="1" ht="27" customHeight="1">
      <c r="A180" s="1048"/>
      <c r="B180" s="1049"/>
      <c r="C180" s="1049"/>
      <c r="D180" s="1061" t="s">
        <v>5645</v>
      </c>
      <c r="E180" s="1062"/>
      <c r="F180" s="1063">
        <f>(58)*1.05</f>
        <v>60.900000000000006</v>
      </c>
      <c r="G180" s="1213"/>
      <c r="H180" s="1051"/>
      <c r="I180" s="1064"/>
      <c r="J180" s="1138"/>
      <c r="K180" s="467"/>
      <c r="L180" s="1054"/>
      <c r="M180" s="1054"/>
      <c r="N180" s="1137"/>
      <c r="O180" s="1055"/>
      <c r="P180" s="1056"/>
      <c r="Q180" s="1057"/>
      <c r="R180" s="1058"/>
      <c r="S180" s="1058"/>
      <c r="T180" s="1059"/>
      <c r="U180" s="467"/>
      <c r="V180" s="1060"/>
      <c r="W180" s="467"/>
      <c r="X180" s="467"/>
      <c r="Y180" s="467"/>
      <c r="Z180" s="467"/>
      <c r="AA180" s="467"/>
      <c r="AB180" s="467"/>
      <c r="AC180" s="467"/>
      <c r="AD180" s="467"/>
      <c r="AE180" s="467"/>
      <c r="AF180" s="467"/>
      <c r="AG180" s="467"/>
      <c r="AH180" s="467"/>
      <c r="AI180" s="467"/>
      <c r="AJ180" s="467"/>
      <c r="AK180" s="467"/>
      <c r="AL180" s="467"/>
      <c r="AM180" s="467"/>
      <c r="AN180" s="467"/>
      <c r="AO180" s="467"/>
      <c r="AP180" s="467"/>
      <c r="AQ180" s="467"/>
      <c r="AR180" s="467"/>
      <c r="AS180" s="467"/>
      <c r="AT180" s="467"/>
      <c r="AU180" s="467"/>
      <c r="AV180" s="467"/>
      <c r="AW180" s="467"/>
      <c r="AX180" s="467"/>
      <c r="AY180" s="467"/>
      <c r="AZ180" s="467"/>
      <c r="BA180" s="467"/>
      <c r="BB180" s="467"/>
      <c r="BC180" s="467"/>
      <c r="BD180" s="467"/>
      <c r="BE180" s="467"/>
      <c r="BF180" s="467"/>
      <c r="BG180" s="467"/>
      <c r="BH180" s="467"/>
      <c r="BI180" s="467"/>
      <c r="BJ180" s="467"/>
      <c r="BK180" s="467"/>
      <c r="BL180" s="467"/>
      <c r="BM180" s="467"/>
      <c r="BN180" s="467"/>
      <c r="BO180" s="467"/>
      <c r="BP180" s="467"/>
      <c r="BQ180" s="467"/>
      <c r="BR180" s="467"/>
      <c r="BS180" s="467"/>
      <c r="BT180" s="467"/>
      <c r="BU180" s="467"/>
      <c r="BV180" s="467"/>
      <c r="BW180" s="467"/>
      <c r="BX180" s="467"/>
      <c r="BY180" s="467"/>
      <c r="BZ180" s="467"/>
      <c r="CA180" s="467"/>
      <c r="CB180" s="467"/>
      <c r="CC180" s="467"/>
      <c r="CD180" s="467"/>
      <c r="CE180" s="467"/>
      <c r="CF180" s="467"/>
      <c r="CG180" s="467"/>
      <c r="CH180" s="467"/>
      <c r="CI180" s="467"/>
      <c r="CJ180" s="467"/>
      <c r="CK180" s="467"/>
      <c r="CL180" s="467"/>
      <c r="CM180" s="467"/>
      <c r="CN180" s="467"/>
      <c r="CO180" s="467"/>
      <c r="CP180" s="467"/>
      <c r="CQ180" s="467"/>
      <c r="CR180" s="467"/>
      <c r="CS180" s="467"/>
      <c r="CT180" s="467"/>
      <c r="CU180" s="467"/>
      <c r="CV180" s="467"/>
      <c r="CW180" s="467"/>
      <c r="CX180" s="467"/>
      <c r="CY180" s="467"/>
      <c r="CZ180" s="467"/>
      <c r="DA180" s="467"/>
      <c r="DB180" s="467"/>
      <c r="DC180" s="467"/>
      <c r="DD180" s="467"/>
      <c r="DE180" s="467"/>
      <c r="DF180" s="467"/>
      <c r="DG180" s="467"/>
      <c r="DH180" s="467"/>
      <c r="DI180" s="467"/>
      <c r="DJ180" s="467"/>
      <c r="DK180" s="467"/>
      <c r="DL180" s="467"/>
      <c r="DM180" s="467"/>
      <c r="DN180" s="467"/>
      <c r="DO180" s="467"/>
      <c r="DP180" s="467"/>
      <c r="DQ180" s="467"/>
      <c r="DR180" s="467"/>
      <c r="DS180" s="467"/>
      <c r="DT180" s="467"/>
      <c r="DU180" s="467"/>
      <c r="DV180" s="467"/>
      <c r="DW180" s="467"/>
      <c r="DX180" s="467"/>
      <c r="DY180" s="467"/>
      <c r="DZ180" s="467"/>
      <c r="EA180" s="467"/>
      <c r="EB180" s="467"/>
      <c r="EC180" s="467"/>
      <c r="ED180" s="467"/>
      <c r="EE180" s="467"/>
      <c r="EF180" s="467"/>
      <c r="EG180" s="467"/>
      <c r="EH180" s="467"/>
      <c r="EI180" s="467"/>
      <c r="EJ180" s="467"/>
      <c r="EK180" s="467"/>
      <c r="EL180" s="467"/>
      <c r="EM180" s="467"/>
      <c r="EN180" s="467"/>
      <c r="EO180" s="467"/>
      <c r="EP180" s="467"/>
      <c r="EQ180" s="467"/>
      <c r="ER180" s="467"/>
      <c r="ES180" s="467"/>
      <c r="ET180" s="467"/>
      <c r="EU180" s="467"/>
      <c r="EV180" s="467"/>
      <c r="EW180" s="467"/>
      <c r="EX180" s="467"/>
      <c r="EY180" s="467"/>
      <c r="EZ180" s="467"/>
      <c r="FA180" s="467"/>
      <c r="FB180" s="467"/>
      <c r="FC180" s="467"/>
      <c r="FD180" s="467"/>
      <c r="FE180" s="467"/>
      <c r="FF180" s="467"/>
      <c r="FG180" s="467"/>
      <c r="FH180" s="467"/>
      <c r="FI180" s="467"/>
      <c r="FJ180" s="467"/>
      <c r="FK180" s="467"/>
      <c r="FL180" s="467"/>
      <c r="FM180" s="467"/>
      <c r="FN180" s="467"/>
      <c r="FO180" s="467"/>
      <c r="FP180" s="467"/>
      <c r="FQ180" s="467"/>
      <c r="FR180" s="467"/>
      <c r="FS180" s="467"/>
      <c r="FT180" s="467"/>
      <c r="FU180" s="467"/>
      <c r="FV180" s="467"/>
      <c r="FW180" s="467"/>
      <c r="FX180" s="467"/>
      <c r="FY180" s="467"/>
      <c r="FZ180" s="467"/>
      <c r="GA180" s="467"/>
      <c r="GB180" s="467"/>
      <c r="GC180" s="467"/>
      <c r="GD180" s="467"/>
      <c r="GE180" s="467"/>
      <c r="GF180" s="467"/>
      <c r="GG180" s="467"/>
      <c r="GH180" s="467"/>
      <c r="GI180" s="467"/>
      <c r="GJ180" s="467"/>
      <c r="GK180" s="467"/>
      <c r="GL180" s="467"/>
      <c r="GM180" s="467"/>
      <c r="GN180" s="467"/>
      <c r="GO180" s="467"/>
      <c r="GP180" s="467"/>
      <c r="GQ180" s="467"/>
      <c r="GR180" s="467"/>
      <c r="GS180" s="467"/>
      <c r="GT180" s="467"/>
      <c r="GU180" s="467"/>
      <c r="GV180" s="467"/>
      <c r="GW180" s="467"/>
      <c r="GX180" s="467"/>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7"/>
      <c r="IF180" s="467"/>
      <c r="IG180" s="467"/>
      <c r="IH180" s="467"/>
      <c r="II180" s="467"/>
      <c r="IJ180" s="467"/>
      <c r="IK180" s="467"/>
      <c r="IL180" s="467"/>
      <c r="IM180" s="467"/>
      <c r="IN180" s="467"/>
      <c r="IO180" s="467"/>
      <c r="IP180" s="467"/>
      <c r="IQ180" s="467"/>
      <c r="IR180" s="467"/>
      <c r="IS180" s="467"/>
      <c r="IT180" s="467"/>
      <c r="IU180" s="467"/>
      <c r="IV180" s="467"/>
    </row>
    <row r="181" spans="1:256" s="593" customFormat="1" ht="27" customHeight="1">
      <c r="A181" s="980" t="s">
        <v>1298</v>
      </c>
      <c r="B181" s="968" t="s">
        <v>5646</v>
      </c>
      <c r="C181" s="776" t="s">
        <v>5647</v>
      </c>
      <c r="D181" s="776" t="s">
        <v>5648</v>
      </c>
      <c r="E181" s="776" t="s">
        <v>141</v>
      </c>
      <c r="F181" s="981">
        <f>SUM(F183:F183)</f>
        <v>16.3</v>
      </c>
      <c r="G181" s="380"/>
      <c r="H181" s="949">
        <f>F181*G181</f>
        <v>0</v>
      </c>
      <c r="I181" s="941" t="s">
        <v>111</v>
      </c>
      <c r="J181" s="1139"/>
    </row>
    <row r="182" spans="1:256" s="593" customFormat="1" ht="13.5" customHeight="1">
      <c r="A182" s="1048"/>
      <c r="B182" s="1049"/>
      <c r="C182" s="1049"/>
      <c r="D182" s="585" t="s">
        <v>5649</v>
      </c>
      <c r="E182" s="776"/>
      <c r="F182" s="1140"/>
      <c r="G182" s="380"/>
      <c r="H182" s="949"/>
      <c r="I182" s="984"/>
      <c r="J182" s="935"/>
    </row>
    <row r="183" spans="1:256" s="593" customFormat="1" ht="13.5" customHeight="1">
      <c r="A183" s="1048"/>
      <c r="B183" s="1049"/>
      <c r="C183" s="1049"/>
      <c r="D183" s="585" t="s">
        <v>5650</v>
      </c>
      <c r="E183" s="776"/>
      <c r="F183" s="973">
        <v>16.3</v>
      </c>
      <c r="G183" s="380"/>
      <c r="H183" s="949"/>
      <c r="I183" s="984"/>
    </row>
    <row r="184" spans="1:256" s="1147" customFormat="1" ht="94.5" customHeight="1">
      <c r="A184" s="1141"/>
      <c r="B184" s="1142"/>
      <c r="C184" s="1142"/>
      <c r="D184" s="985" t="s">
        <v>5651</v>
      </c>
      <c r="E184" s="1143"/>
      <c r="F184" s="1144"/>
      <c r="G184" s="391"/>
      <c r="H184" s="1145"/>
      <c r="I184" s="1146"/>
    </row>
    <row r="185" spans="1:256" s="935" customFormat="1" ht="67.5" customHeight="1">
      <c r="A185" s="1048"/>
      <c r="B185" s="1049"/>
      <c r="C185" s="1049"/>
      <c r="D185" s="584" t="s">
        <v>310</v>
      </c>
      <c r="E185" s="585"/>
      <c r="F185" s="1148"/>
      <c r="G185" s="384"/>
      <c r="H185" s="949"/>
      <c r="I185" s="1044"/>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3"/>
      <c r="AL185" s="593"/>
      <c r="AM185" s="593"/>
      <c r="AN185" s="593"/>
      <c r="AO185" s="593"/>
      <c r="AP185" s="593"/>
      <c r="AQ185" s="593"/>
      <c r="AR185" s="593"/>
      <c r="AS185" s="593"/>
      <c r="AT185" s="593"/>
      <c r="AU185" s="593"/>
      <c r="AV185" s="593"/>
      <c r="AW185" s="593"/>
      <c r="AX185" s="593"/>
      <c r="AY185" s="593"/>
      <c r="AZ185" s="593"/>
      <c r="BA185" s="593"/>
      <c r="BB185" s="593"/>
      <c r="BC185" s="593"/>
      <c r="BD185" s="593"/>
      <c r="BE185" s="593"/>
      <c r="BF185" s="593"/>
      <c r="BG185" s="593"/>
      <c r="BH185" s="593"/>
      <c r="BI185" s="593"/>
      <c r="BJ185" s="593"/>
      <c r="BK185" s="593"/>
      <c r="BL185" s="593"/>
      <c r="BM185" s="593"/>
      <c r="BN185" s="593"/>
      <c r="BO185" s="593"/>
      <c r="BP185" s="593"/>
      <c r="BQ185" s="593"/>
      <c r="BR185" s="593"/>
      <c r="BS185" s="593"/>
      <c r="BT185" s="593"/>
      <c r="BU185" s="593"/>
      <c r="BV185" s="593"/>
      <c r="BW185" s="593"/>
      <c r="BX185" s="593"/>
      <c r="BY185" s="593"/>
      <c r="BZ185" s="593"/>
      <c r="CA185" s="593"/>
      <c r="CB185" s="593"/>
      <c r="CC185" s="593"/>
      <c r="CD185" s="593"/>
      <c r="CE185" s="593"/>
      <c r="CF185" s="593"/>
      <c r="CG185" s="593"/>
      <c r="CH185" s="593"/>
      <c r="CI185" s="593"/>
      <c r="CJ185" s="593"/>
      <c r="CK185" s="593"/>
      <c r="CL185" s="593"/>
      <c r="CM185" s="593"/>
      <c r="CN185" s="593"/>
      <c r="CO185" s="593"/>
      <c r="CP185" s="593"/>
      <c r="CQ185" s="593"/>
      <c r="CR185" s="593"/>
      <c r="CS185" s="593"/>
      <c r="CT185" s="593"/>
      <c r="CU185" s="593"/>
      <c r="CV185" s="593"/>
      <c r="CW185" s="593"/>
      <c r="CX185" s="593"/>
      <c r="CY185" s="593"/>
      <c r="CZ185" s="593"/>
      <c r="DA185" s="593"/>
      <c r="DB185" s="593"/>
      <c r="DC185" s="593"/>
      <c r="DD185" s="593"/>
    </row>
    <row r="186" spans="1:256" s="918" customFormat="1" ht="27" customHeight="1">
      <c r="A186" s="913">
        <v>48</v>
      </c>
      <c r="B186" s="596" t="s">
        <v>2962</v>
      </c>
      <c r="C186" s="1149" t="s">
        <v>2963</v>
      </c>
      <c r="D186" s="393" t="s">
        <v>6353</v>
      </c>
      <c r="E186" s="64" t="s">
        <v>175</v>
      </c>
      <c r="F186" s="1012">
        <f>SUM(F187:F187)</f>
        <v>94.908999999999992</v>
      </c>
      <c r="G186" s="1150">
        <f>SUM(H188:H190)/F186</f>
        <v>0</v>
      </c>
      <c r="H186" s="953">
        <f>F186*G186</f>
        <v>0</v>
      </c>
      <c r="I186" s="954" t="s">
        <v>111</v>
      </c>
      <c r="J186" s="1151"/>
    </row>
    <row r="187" spans="1:256" s="918" customFormat="1" ht="13.5" customHeight="1">
      <c r="A187" s="1152"/>
      <c r="B187" s="989"/>
      <c r="C187" s="990"/>
      <c r="D187" s="959" t="s">
        <v>5652</v>
      </c>
      <c r="E187" s="959"/>
      <c r="F187" s="1153">
        <f>(33.16+46.551+15.198)</f>
        <v>94.908999999999992</v>
      </c>
      <c r="G187" s="1214"/>
      <c r="H187" s="1154"/>
      <c r="I187" s="1155"/>
      <c r="J187" s="1156"/>
      <c r="L187" s="995"/>
    </row>
    <row r="188" spans="1:256" s="918" customFormat="1" ht="13.5" customHeight="1">
      <c r="A188" s="988" t="s">
        <v>5653</v>
      </c>
      <c r="B188" s="989"/>
      <c r="C188" s="777">
        <v>997221611</v>
      </c>
      <c r="D188" s="959" t="s">
        <v>5654</v>
      </c>
      <c r="E188" s="959" t="s">
        <v>175</v>
      </c>
      <c r="F188" s="991">
        <f>F186</f>
        <v>94.908999999999992</v>
      </c>
      <c r="G188" s="1215"/>
      <c r="H188" s="1108">
        <f>F188*G188</f>
        <v>0</v>
      </c>
      <c r="I188" s="781" t="s">
        <v>137</v>
      </c>
      <c r="J188" s="1156"/>
      <c r="K188" s="1157"/>
      <c r="L188" s="1157"/>
      <c r="M188" s="1157"/>
      <c r="N188" s="1157"/>
      <c r="O188" s="1157"/>
      <c r="P188" s="1157"/>
      <c r="Q188" s="1158"/>
    </row>
    <row r="189" spans="1:256" s="918" customFormat="1" ht="27" customHeight="1">
      <c r="A189" s="988" t="s">
        <v>5655</v>
      </c>
      <c r="B189" s="989"/>
      <c r="C189" s="777" t="s">
        <v>6355</v>
      </c>
      <c r="D189" s="959" t="s">
        <v>6356</v>
      </c>
      <c r="E189" s="959" t="s">
        <v>175</v>
      </c>
      <c r="F189" s="991">
        <f>F188</f>
        <v>94.908999999999992</v>
      </c>
      <c r="G189" s="1215"/>
      <c r="H189" s="1159">
        <f>F189*G189</f>
        <v>0</v>
      </c>
      <c r="I189" s="781" t="s">
        <v>112</v>
      </c>
      <c r="J189" s="1156"/>
      <c r="K189" s="1157"/>
      <c r="L189" s="1157"/>
      <c r="M189" s="1157"/>
      <c r="N189" s="1157"/>
      <c r="O189" s="1157"/>
      <c r="P189" s="1157"/>
      <c r="Q189" s="1158"/>
    </row>
    <row r="190" spans="1:256" s="918" customFormat="1" ht="27" customHeight="1">
      <c r="A190" s="988" t="s">
        <v>5656</v>
      </c>
      <c r="B190" s="989"/>
      <c r="C190" s="777" t="s">
        <v>6359</v>
      </c>
      <c r="D190" s="959" t="s">
        <v>6323</v>
      </c>
      <c r="E190" s="959" t="s">
        <v>175</v>
      </c>
      <c r="F190" s="991">
        <f>F186</f>
        <v>94.908999999999992</v>
      </c>
      <c r="G190" s="392"/>
      <c r="H190" s="1108">
        <f>F190*G190</f>
        <v>0</v>
      </c>
      <c r="I190" s="781" t="s">
        <v>112</v>
      </c>
      <c r="J190" s="993"/>
      <c r="N190" s="1158"/>
      <c r="O190" s="1157"/>
      <c r="P190" s="1157"/>
      <c r="Q190" s="1157"/>
      <c r="R190" s="1157"/>
      <c r="S190" s="1157"/>
      <c r="T190" s="1157"/>
      <c r="U190" s="1158"/>
    </row>
    <row r="191" spans="1:256" s="918" customFormat="1" ht="67.5" customHeight="1">
      <c r="A191" s="988"/>
      <c r="B191" s="989"/>
      <c r="C191" s="990"/>
      <c r="D191" s="584" t="s">
        <v>310</v>
      </c>
      <c r="E191" s="959"/>
      <c r="F191" s="991"/>
      <c r="G191" s="1212"/>
      <c r="H191" s="953"/>
      <c r="I191" s="1160"/>
      <c r="J191" s="1161"/>
      <c r="K191" s="994"/>
      <c r="L191" s="995"/>
    </row>
    <row r="192" spans="1:256" s="918" customFormat="1" ht="27" customHeight="1">
      <c r="A192" s="913">
        <v>49</v>
      </c>
      <c r="B192" s="596" t="s">
        <v>2962</v>
      </c>
      <c r="C192" s="1149" t="s">
        <v>2979</v>
      </c>
      <c r="D192" s="393" t="s">
        <v>6354</v>
      </c>
      <c r="E192" s="64" t="s">
        <v>175</v>
      </c>
      <c r="F192" s="1012">
        <f>SUM(F193:F193)</f>
        <v>202.655</v>
      </c>
      <c r="G192" s="1150">
        <f>SUM(H194:H196)/F192</f>
        <v>0</v>
      </c>
      <c r="H192" s="953">
        <f>F192*G192</f>
        <v>0</v>
      </c>
      <c r="I192" s="954" t="s">
        <v>111</v>
      </c>
      <c r="J192" s="1156"/>
    </row>
    <row r="193" spans="1:21" s="918" customFormat="1" ht="13.5" customHeight="1">
      <c r="A193" s="1152"/>
      <c r="B193" s="989"/>
      <c r="C193" s="990"/>
      <c r="D193" s="959" t="s">
        <v>5657</v>
      </c>
      <c r="E193" s="959"/>
      <c r="F193" s="1153">
        <f>(14.826+35.599+13.356+0.148+138.726)</f>
        <v>202.655</v>
      </c>
      <c r="G193" s="1214"/>
      <c r="H193" s="953"/>
      <c r="I193" s="1160"/>
      <c r="J193" s="1156"/>
      <c r="K193" s="1157"/>
      <c r="L193" s="1157"/>
      <c r="M193" s="1157"/>
      <c r="N193" s="1157"/>
      <c r="O193" s="1157"/>
      <c r="P193" s="1157"/>
      <c r="Q193" s="1156"/>
    </row>
    <row r="194" spans="1:21" s="918" customFormat="1" ht="13.5" customHeight="1">
      <c r="A194" s="988" t="s">
        <v>5658</v>
      </c>
      <c r="B194" s="989"/>
      <c r="C194" s="777">
        <v>997221611</v>
      </c>
      <c r="D194" s="959" t="s">
        <v>5654</v>
      </c>
      <c r="E194" s="959" t="s">
        <v>175</v>
      </c>
      <c r="F194" s="991">
        <f>F192</f>
        <v>202.655</v>
      </c>
      <c r="G194" s="1215"/>
      <c r="H194" s="1108">
        <f>F194*G194</f>
        <v>0</v>
      </c>
      <c r="I194" s="781" t="s">
        <v>137</v>
      </c>
      <c r="J194" s="1162"/>
      <c r="K194" s="1157"/>
      <c r="L194" s="1157"/>
      <c r="M194" s="1157"/>
      <c r="N194" s="1157"/>
      <c r="O194" s="1157"/>
      <c r="P194" s="1157"/>
      <c r="Q194" s="1156"/>
    </row>
    <row r="195" spans="1:21" s="918" customFormat="1" ht="27" customHeight="1">
      <c r="A195" s="988" t="s">
        <v>5659</v>
      </c>
      <c r="B195" s="989"/>
      <c r="C195" s="777" t="s">
        <v>6357</v>
      </c>
      <c r="D195" s="959" t="s">
        <v>6358</v>
      </c>
      <c r="E195" s="959" t="s">
        <v>175</v>
      </c>
      <c r="F195" s="991">
        <f>F194</f>
        <v>202.655</v>
      </c>
      <c r="G195" s="1215"/>
      <c r="H195" s="1159">
        <f>F195*G195</f>
        <v>0</v>
      </c>
      <c r="I195" s="781" t="s">
        <v>112</v>
      </c>
      <c r="J195" s="1156"/>
      <c r="K195" s="1157"/>
      <c r="L195" s="1157"/>
      <c r="M195" s="1157"/>
      <c r="N195" s="1157"/>
      <c r="O195" s="1157"/>
      <c r="P195" s="1157"/>
      <c r="Q195" s="1158"/>
    </row>
    <row r="196" spans="1:21" s="918" customFormat="1" ht="27" customHeight="1">
      <c r="A196" s="988" t="s">
        <v>5660</v>
      </c>
      <c r="B196" s="989"/>
      <c r="C196" s="777" t="s">
        <v>5661</v>
      </c>
      <c r="D196" s="959" t="s">
        <v>6360</v>
      </c>
      <c r="E196" s="959" t="s">
        <v>175</v>
      </c>
      <c r="F196" s="991">
        <f>F192</f>
        <v>202.655</v>
      </c>
      <c r="G196" s="1215"/>
      <c r="H196" s="1108">
        <f>F196*G196</f>
        <v>0</v>
      </c>
      <c r="I196" s="781" t="s">
        <v>112</v>
      </c>
      <c r="J196" s="993"/>
      <c r="N196" s="1158"/>
      <c r="O196" s="1157"/>
      <c r="P196" s="1157"/>
      <c r="Q196" s="1157"/>
      <c r="R196" s="1157"/>
      <c r="S196" s="1157"/>
      <c r="T196" s="1157"/>
      <c r="U196" s="1158"/>
    </row>
    <row r="197" spans="1:21" s="918" customFormat="1" ht="67.5" customHeight="1">
      <c r="A197" s="988"/>
      <c r="B197" s="989"/>
      <c r="C197" s="990"/>
      <c r="D197" s="584" t="s">
        <v>310</v>
      </c>
      <c r="E197" s="959"/>
      <c r="F197" s="991"/>
      <c r="G197" s="1212"/>
      <c r="H197" s="953"/>
      <c r="I197" s="992"/>
      <c r="J197" s="1163"/>
      <c r="K197" s="1164"/>
      <c r="L197" s="995"/>
    </row>
    <row r="198" spans="1:21" s="918" customFormat="1" ht="13.5" customHeight="1">
      <c r="A198" s="925"/>
      <c r="B198" s="926"/>
      <c r="C198" s="926" t="s">
        <v>356</v>
      </c>
      <c r="D198" s="926" t="s">
        <v>357</v>
      </c>
      <c r="E198" s="926"/>
      <c r="F198" s="1165"/>
      <c r="G198" s="1208"/>
      <c r="H198" s="927">
        <f>SUM(H199:H202)</f>
        <v>0</v>
      </c>
      <c r="I198" s="1160"/>
      <c r="J198" s="1000"/>
    </row>
    <row r="199" spans="1:21" s="918" customFormat="1" ht="27" customHeight="1">
      <c r="A199" s="913">
        <v>50</v>
      </c>
      <c r="B199" s="1007" t="s">
        <v>5523</v>
      </c>
      <c r="C199" s="393">
        <v>998225111</v>
      </c>
      <c r="D199" s="393" t="s">
        <v>5662</v>
      </c>
      <c r="E199" s="394" t="s">
        <v>175</v>
      </c>
      <c r="F199" s="395">
        <f>SUM(F200:F200)</f>
        <v>297.56299999999999</v>
      </c>
      <c r="G199" s="1210"/>
      <c r="H199" s="953">
        <f>F199*G199</f>
        <v>0</v>
      </c>
      <c r="I199" s="954" t="s">
        <v>1801</v>
      </c>
      <c r="J199" s="1166"/>
      <c r="L199" s="1167"/>
    </row>
    <row r="200" spans="1:21" s="918" customFormat="1" ht="13.5" customHeight="1">
      <c r="A200" s="913"/>
      <c r="B200" s="1007"/>
      <c r="C200" s="393"/>
      <c r="D200" s="959" t="s">
        <v>5663</v>
      </c>
      <c r="E200" s="394"/>
      <c r="F200" s="1168">
        <v>297.56299999999999</v>
      </c>
      <c r="G200" s="1210"/>
      <c r="H200" s="953"/>
      <c r="I200" s="1169"/>
      <c r="J200" s="1166"/>
      <c r="L200" s="1167"/>
    </row>
    <row r="201" spans="1:21" s="64" customFormat="1" ht="13.5" customHeight="1">
      <c r="A201" s="913">
        <v>51</v>
      </c>
      <c r="B201" s="393" t="s">
        <v>362</v>
      </c>
      <c r="C201" s="393" t="s">
        <v>2424</v>
      </c>
      <c r="D201" s="393" t="s">
        <v>2425</v>
      </c>
      <c r="E201" s="393" t="s">
        <v>69</v>
      </c>
      <c r="F201" s="1012">
        <f>F202</f>
        <v>15</v>
      </c>
      <c r="G201" s="1210"/>
      <c r="H201" s="953">
        <f>F201*G201</f>
        <v>0</v>
      </c>
      <c r="I201" s="954" t="s">
        <v>1801</v>
      </c>
      <c r="J201" s="961"/>
      <c r="K201" s="1167"/>
      <c r="L201" s="918"/>
      <c r="M201" s="1170"/>
      <c r="N201" s="918"/>
      <c r="O201" s="1171"/>
      <c r="P201" s="918"/>
      <c r="Q201" s="918"/>
      <c r="R201" s="1172"/>
    </row>
    <row r="202" spans="1:21" s="64" customFormat="1" ht="27" customHeight="1">
      <c r="A202" s="913"/>
      <c r="B202" s="393"/>
      <c r="C202" s="1173"/>
      <c r="D202" s="959" t="s">
        <v>365</v>
      </c>
      <c r="E202" s="1173"/>
      <c r="F202" s="1174">
        <v>15</v>
      </c>
      <c r="G202" s="1216"/>
      <c r="H202" s="1175"/>
      <c r="I202" s="1176"/>
      <c r="M202" s="1170"/>
    </row>
    <row r="203" spans="1:21" ht="21" customHeight="1">
      <c r="A203" s="1177"/>
      <c r="B203" s="1178"/>
      <c r="C203" s="1178"/>
      <c r="D203" s="1178" t="s">
        <v>0</v>
      </c>
      <c r="E203" s="1178"/>
      <c r="F203" s="1179"/>
      <c r="G203" s="1180"/>
      <c r="H203" s="1180">
        <f>H7</f>
        <v>0</v>
      </c>
      <c r="I203" s="1181"/>
    </row>
    <row r="204" spans="1:21">
      <c r="A204" s="1182"/>
      <c r="B204" s="1182"/>
      <c r="C204" s="1183"/>
      <c r="D204" s="1183"/>
      <c r="E204" s="1184"/>
      <c r="F204" s="1185"/>
      <c r="G204" s="1186"/>
      <c r="H204" s="1186"/>
      <c r="I204" s="1187"/>
    </row>
    <row r="205" spans="1:21" ht="13.5" customHeight="1">
      <c r="A205" s="5269" t="s">
        <v>862</v>
      </c>
      <c r="B205" s="5270"/>
      <c r="C205" s="5271"/>
      <c r="D205" s="1188" t="s">
        <v>1644</v>
      </c>
      <c r="E205" s="1189"/>
      <c r="F205" s="1190"/>
      <c r="G205" s="1191"/>
      <c r="H205" s="1192">
        <f>H203</f>
        <v>0</v>
      </c>
      <c r="I205" s="1193"/>
    </row>
    <row r="206" spans="1:21" ht="13.5" customHeight="1">
      <c r="A206" s="1194"/>
      <c r="B206" s="1195"/>
      <c r="C206" s="1195"/>
      <c r="D206" s="1196"/>
      <c r="E206" s="1197"/>
      <c r="F206" s="1198"/>
      <c r="G206" s="1199"/>
      <c r="H206" s="1200"/>
      <c r="I206" s="1181"/>
    </row>
    <row r="207" spans="1:21" ht="13.5" customHeight="1">
      <c r="A207" s="1201" t="s">
        <v>1</v>
      </c>
      <c r="B207" s="1201"/>
      <c r="C207" s="1201"/>
      <c r="D207" s="1201"/>
      <c r="E207" s="1201"/>
      <c r="F207" s="1201"/>
      <c r="G207" s="1201"/>
      <c r="H207" s="1201"/>
      <c r="I207" s="1201"/>
    </row>
    <row r="208" spans="1:21" ht="27" customHeight="1">
      <c r="A208" s="5258" t="s">
        <v>864</v>
      </c>
      <c r="B208" s="5258"/>
      <c r="C208" s="5258"/>
      <c r="D208" s="5258"/>
      <c r="E208" s="5258"/>
      <c r="F208" s="5258"/>
      <c r="G208" s="5258"/>
      <c r="H208" s="1201"/>
      <c r="I208" s="1181"/>
    </row>
    <row r="209" spans="1:9" ht="93.75" customHeight="1">
      <c r="A209" s="5258" t="s">
        <v>104</v>
      </c>
      <c r="B209" s="5258"/>
      <c r="C209" s="5258"/>
      <c r="D209" s="5258"/>
      <c r="E209" s="5258"/>
      <c r="F209" s="5258"/>
      <c r="G209" s="5258"/>
      <c r="H209" s="1201"/>
      <c r="I209" s="1201"/>
    </row>
    <row r="210" spans="1:9" ht="13.5" customHeight="1">
      <c r="A210" s="5258" t="s">
        <v>105</v>
      </c>
      <c r="B210" s="5258"/>
      <c r="C210" s="5258"/>
      <c r="D210" s="5258"/>
      <c r="E210" s="5258"/>
      <c r="F210" s="5258"/>
      <c r="G210" s="5258"/>
      <c r="H210" s="1202"/>
      <c r="I210" s="1202"/>
    </row>
    <row r="211" spans="1:9" ht="13.5" customHeight="1">
      <c r="A211" s="5258" t="s">
        <v>106</v>
      </c>
      <c r="B211" s="5258"/>
      <c r="C211" s="5258"/>
      <c r="D211" s="5258"/>
      <c r="E211" s="5258"/>
      <c r="F211" s="5258"/>
      <c r="G211" s="5258"/>
      <c r="H211" s="1202"/>
      <c r="I211" s="1202"/>
    </row>
    <row r="212" spans="1:9" s="889" customFormat="1" ht="40.5" customHeight="1">
      <c r="A212" s="5156" t="s">
        <v>865</v>
      </c>
      <c r="B212" s="5156"/>
      <c r="C212" s="5156"/>
      <c r="D212" s="5156"/>
      <c r="E212" s="5156"/>
      <c r="F212" s="5156"/>
      <c r="G212" s="5156"/>
      <c r="H212" s="1203"/>
      <c r="I212" s="888"/>
    </row>
    <row r="213" spans="1:9" s="889" customFormat="1" ht="108" customHeight="1">
      <c r="A213" s="5156" t="s">
        <v>1013</v>
      </c>
      <c r="B213" s="5156"/>
      <c r="C213" s="5156"/>
      <c r="D213" s="5156"/>
      <c r="E213" s="5156"/>
      <c r="F213" s="5156"/>
      <c r="G213" s="5156"/>
      <c r="H213" s="1204"/>
      <c r="I213" s="1205"/>
    </row>
  </sheetData>
  <sheetProtection algorithmName="SHA-512" hashValue="SPqL4r6z+PIWC8byFnL6fm0x2zinadWzEsQNmBIvNuFCsX2gdq/iTTlKYIa0ctSLQkrNuUNe38UnAVu8ODFNeg==" saltValue="PMgDGVzpqhaGmU5V96EVqg==" spinCount="100000" sheet="1" objects="1" scenarios="1"/>
  <mergeCells count="15">
    <mergeCell ref="A213:G213"/>
    <mergeCell ref="A212:G212"/>
    <mergeCell ref="A2:I2"/>
    <mergeCell ref="A3:D3"/>
    <mergeCell ref="G96:H96"/>
    <mergeCell ref="G104:H104"/>
    <mergeCell ref="G112:H112"/>
    <mergeCell ref="G120:H120"/>
    <mergeCell ref="A205:C205"/>
    <mergeCell ref="A208:G208"/>
    <mergeCell ref="A209:G209"/>
    <mergeCell ref="A210:G210"/>
    <mergeCell ref="A211:G211"/>
    <mergeCell ref="G155:H155"/>
    <mergeCell ref="G158:H15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7C13-D9E0-4BFE-8CCB-EAD19B34411F}">
  <sheetPr>
    <tabColor rgb="FFFF00FF"/>
    <pageSetUpPr fitToPage="1"/>
  </sheetPr>
  <dimension ref="A1:I11"/>
  <sheetViews>
    <sheetView workbookViewId="0"/>
  </sheetViews>
  <sheetFormatPr defaultRowHeight="10.5"/>
  <cols>
    <col min="1" max="1" width="13.6640625" style="111" customWidth="1"/>
    <col min="2" max="2" width="68.6640625" style="111" customWidth="1"/>
    <col min="3" max="3" width="18.33203125" style="111" customWidth="1"/>
    <col min="4" max="256" width="9.33203125" style="111"/>
    <col min="257" max="257" width="13.6640625" style="111" customWidth="1"/>
    <col min="258" max="258" width="68.6640625" style="111" customWidth="1"/>
    <col min="259" max="259" width="18.33203125" style="111" customWidth="1"/>
    <col min="260" max="512" width="9.33203125" style="111"/>
    <col min="513" max="513" width="13.6640625" style="111" customWidth="1"/>
    <col min="514" max="514" width="68.6640625" style="111" customWidth="1"/>
    <col min="515" max="515" width="18.33203125" style="111" customWidth="1"/>
    <col min="516" max="768" width="9.33203125" style="111"/>
    <col min="769" max="769" width="13.6640625" style="111" customWidth="1"/>
    <col min="770" max="770" width="68.6640625" style="111" customWidth="1"/>
    <col min="771" max="771" width="18.33203125" style="111" customWidth="1"/>
    <col min="772" max="1024" width="9.33203125" style="111"/>
    <col min="1025" max="1025" width="13.6640625" style="111" customWidth="1"/>
    <col min="1026" max="1026" width="68.6640625" style="111" customWidth="1"/>
    <col min="1027" max="1027" width="18.33203125" style="111" customWidth="1"/>
    <col min="1028" max="1280" width="9.33203125" style="111"/>
    <col min="1281" max="1281" width="13.6640625" style="111" customWidth="1"/>
    <col min="1282" max="1282" width="68.6640625" style="111" customWidth="1"/>
    <col min="1283" max="1283" width="18.33203125" style="111" customWidth="1"/>
    <col min="1284" max="1536" width="9.33203125" style="111"/>
    <col min="1537" max="1537" width="13.6640625" style="111" customWidth="1"/>
    <col min="1538" max="1538" width="68.6640625" style="111" customWidth="1"/>
    <col min="1539" max="1539" width="18.33203125" style="111" customWidth="1"/>
    <col min="1540" max="1792" width="9.33203125" style="111"/>
    <col min="1793" max="1793" width="13.6640625" style="111" customWidth="1"/>
    <col min="1794" max="1794" width="68.6640625" style="111" customWidth="1"/>
    <col min="1795" max="1795" width="18.33203125" style="111" customWidth="1"/>
    <col min="1796" max="2048" width="9.33203125" style="111"/>
    <col min="2049" max="2049" width="13.6640625" style="111" customWidth="1"/>
    <col min="2050" max="2050" width="68.6640625" style="111" customWidth="1"/>
    <col min="2051" max="2051" width="18.33203125" style="111" customWidth="1"/>
    <col min="2052" max="2304" width="9.33203125" style="111"/>
    <col min="2305" max="2305" width="13.6640625" style="111" customWidth="1"/>
    <col min="2306" max="2306" width="68.6640625" style="111" customWidth="1"/>
    <col min="2307" max="2307" width="18.33203125" style="111" customWidth="1"/>
    <col min="2308" max="2560" width="9.33203125" style="111"/>
    <col min="2561" max="2561" width="13.6640625" style="111" customWidth="1"/>
    <col min="2562" max="2562" width="68.6640625" style="111" customWidth="1"/>
    <col min="2563" max="2563" width="18.33203125" style="111" customWidth="1"/>
    <col min="2564" max="2816" width="9.33203125" style="111"/>
    <col min="2817" max="2817" width="13.6640625" style="111" customWidth="1"/>
    <col min="2818" max="2818" width="68.6640625" style="111" customWidth="1"/>
    <col min="2819" max="2819" width="18.33203125" style="111" customWidth="1"/>
    <col min="2820" max="3072" width="9.33203125" style="111"/>
    <col min="3073" max="3073" width="13.6640625" style="111" customWidth="1"/>
    <col min="3074" max="3074" width="68.6640625" style="111" customWidth="1"/>
    <col min="3075" max="3075" width="18.33203125" style="111" customWidth="1"/>
    <col min="3076" max="3328" width="9.33203125" style="111"/>
    <col min="3329" max="3329" width="13.6640625" style="111" customWidth="1"/>
    <col min="3330" max="3330" width="68.6640625" style="111" customWidth="1"/>
    <col min="3331" max="3331" width="18.33203125" style="111" customWidth="1"/>
    <col min="3332" max="3584" width="9.33203125" style="111"/>
    <col min="3585" max="3585" width="13.6640625" style="111" customWidth="1"/>
    <col min="3586" max="3586" width="68.6640625" style="111" customWidth="1"/>
    <col min="3587" max="3587" width="18.33203125" style="111" customWidth="1"/>
    <col min="3588" max="3840" width="9.33203125" style="111"/>
    <col min="3841" max="3841" width="13.6640625" style="111" customWidth="1"/>
    <col min="3842" max="3842" width="68.6640625" style="111" customWidth="1"/>
    <col min="3843" max="3843" width="18.33203125" style="111" customWidth="1"/>
    <col min="3844" max="4096" width="9.33203125" style="111"/>
    <col min="4097" max="4097" width="13.6640625" style="111" customWidth="1"/>
    <col min="4098" max="4098" width="68.6640625" style="111" customWidth="1"/>
    <col min="4099" max="4099" width="18.33203125" style="111" customWidth="1"/>
    <col min="4100" max="4352" width="9.33203125" style="111"/>
    <col min="4353" max="4353" width="13.6640625" style="111" customWidth="1"/>
    <col min="4354" max="4354" width="68.6640625" style="111" customWidth="1"/>
    <col min="4355" max="4355" width="18.33203125" style="111" customWidth="1"/>
    <col min="4356" max="4608" width="9.33203125" style="111"/>
    <col min="4609" max="4609" width="13.6640625" style="111" customWidth="1"/>
    <col min="4610" max="4610" width="68.6640625" style="111" customWidth="1"/>
    <col min="4611" max="4611" width="18.33203125" style="111" customWidth="1"/>
    <col min="4612" max="4864" width="9.33203125" style="111"/>
    <col min="4865" max="4865" width="13.6640625" style="111" customWidth="1"/>
    <col min="4866" max="4866" width="68.6640625" style="111" customWidth="1"/>
    <col min="4867" max="4867" width="18.33203125" style="111" customWidth="1"/>
    <col min="4868" max="5120" width="9.33203125" style="111"/>
    <col min="5121" max="5121" width="13.6640625" style="111" customWidth="1"/>
    <col min="5122" max="5122" width="68.6640625" style="111" customWidth="1"/>
    <col min="5123" max="5123" width="18.33203125" style="111" customWidth="1"/>
    <col min="5124" max="5376" width="9.33203125" style="111"/>
    <col min="5377" max="5377" width="13.6640625" style="111" customWidth="1"/>
    <col min="5378" max="5378" width="68.6640625" style="111" customWidth="1"/>
    <col min="5379" max="5379" width="18.33203125" style="111" customWidth="1"/>
    <col min="5380" max="5632" width="9.33203125" style="111"/>
    <col min="5633" max="5633" width="13.6640625" style="111" customWidth="1"/>
    <col min="5634" max="5634" width="68.6640625" style="111" customWidth="1"/>
    <col min="5635" max="5635" width="18.33203125" style="111" customWidth="1"/>
    <col min="5636" max="5888" width="9.33203125" style="111"/>
    <col min="5889" max="5889" width="13.6640625" style="111" customWidth="1"/>
    <col min="5890" max="5890" width="68.6640625" style="111" customWidth="1"/>
    <col min="5891" max="5891" width="18.33203125" style="111" customWidth="1"/>
    <col min="5892" max="6144" width="9.33203125" style="111"/>
    <col min="6145" max="6145" width="13.6640625" style="111" customWidth="1"/>
    <col min="6146" max="6146" width="68.6640625" style="111" customWidth="1"/>
    <col min="6147" max="6147" width="18.33203125" style="111" customWidth="1"/>
    <col min="6148" max="6400" width="9.33203125" style="111"/>
    <col min="6401" max="6401" width="13.6640625" style="111" customWidth="1"/>
    <col min="6402" max="6402" width="68.6640625" style="111" customWidth="1"/>
    <col min="6403" max="6403" width="18.33203125" style="111" customWidth="1"/>
    <col min="6404" max="6656" width="9.33203125" style="111"/>
    <col min="6657" max="6657" width="13.6640625" style="111" customWidth="1"/>
    <col min="6658" max="6658" width="68.6640625" style="111" customWidth="1"/>
    <col min="6659" max="6659" width="18.33203125" style="111" customWidth="1"/>
    <col min="6660" max="6912" width="9.33203125" style="111"/>
    <col min="6913" max="6913" width="13.6640625" style="111" customWidth="1"/>
    <col min="6914" max="6914" width="68.6640625" style="111" customWidth="1"/>
    <col min="6915" max="6915" width="18.33203125" style="111" customWidth="1"/>
    <col min="6916" max="7168" width="9.33203125" style="111"/>
    <col min="7169" max="7169" width="13.6640625" style="111" customWidth="1"/>
    <col min="7170" max="7170" width="68.6640625" style="111" customWidth="1"/>
    <col min="7171" max="7171" width="18.33203125" style="111" customWidth="1"/>
    <col min="7172" max="7424" width="9.33203125" style="111"/>
    <col min="7425" max="7425" width="13.6640625" style="111" customWidth="1"/>
    <col min="7426" max="7426" width="68.6640625" style="111" customWidth="1"/>
    <col min="7427" max="7427" width="18.33203125" style="111" customWidth="1"/>
    <col min="7428" max="7680" width="9.33203125" style="111"/>
    <col min="7681" max="7681" width="13.6640625" style="111" customWidth="1"/>
    <col min="7682" max="7682" width="68.6640625" style="111" customWidth="1"/>
    <col min="7683" max="7683" width="18.33203125" style="111" customWidth="1"/>
    <col min="7684" max="7936" width="9.33203125" style="111"/>
    <col min="7937" max="7937" width="13.6640625" style="111" customWidth="1"/>
    <col min="7938" max="7938" width="68.6640625" style="111" customWidth="1"/>
    <col min="7939" max="7939" width="18.33203125" style="111" customWidth="1"/>
    <col min="7940" max="8192" width="9.33203125" style="111"/>
    <col min="8193" max="8193" width="13.6640625" style="111" customWidth="1"/>
    <col min="8194" max="8194" width="68.6640625" style="111" customWidth="1"/>
    <col min="8195" max="8195" width="18.33203125" style="111" customWidth="1"/>
    <col min="8196" max="8448" width="9.33203125" style="111"/>
    <col min="8449" max="8449" width="13.6640625" style="111" customWidth="1"/>
    <col min="8450" max="8450" width="68.6640625" style="111" customWidth="1"/>
    <col min="8451" max="8451" width="18.33203125" style="111" customWidth="1"/>
    <col min="8452" max="8704" width="9.33203125" style="111"/>
    <col min="8705" max="8705" width="13.6640625" style="111" customWidth="1"/>
    <col min="8706" max="8706" width="68.6640625" style="111" customWidth="1"/>
    <col min="8707" max="8707" width="18.33203125" style="111" customWidth="1"/>
    <col min="8708" max="8960" width="9.33203125" style="111"/>
    <col min="8961" max="8961" width="13.6640625" style="111" customWidth="1"/>
    <col min="8962" max="8962" width="68.6640625" style="111" customWidth="1"/>
    <col min="8963" max="8963" width="18.33203125" style="111" customWidth="1"/>
    <col min="8964" max="9216" width="9.33203125" style="111"/>
    <col min="9217" max="9217" width="13.6640625" style="111" customWidth="1"/>
    <col min="9218" max="9218" width="68.6640625" style="111" customWidth="1"/>
    <col min="9219" max="9219" width="18.33203125" style="111" customWidth="1"/>
    <col min="9220" max="9472" width="9.33203125" style="111"/>
    <col min="9473" max="9473" width="13.6640625" style="111" customWidth="1"/>
    <col min="9474" max="9474" width="68.6640625" style="111" customWidth="1"/>
    <col min="9475" max="9475" width="18.33203125" style="111" customWidth="1"/>
    <col min="9476" max="9728" width="9.33203125" style="111"/>
    <col min="9729" max="9729" width="13.6640625" style="111" customWidth="1"/>
    <col min="9730" max="9730" width="68.6640625" style="111" customWidth="1"/>
    <col min="9731" max="9731" width="18.33203125" style="111" customWidth="1"/>
    <col min="9732" max="9984" width="9.33203125" style="111"/>
    <col min="9985" max="9985" width="13.6640625" style="111" customWidth="1"/>
    <col min="9986" max="9986" width="68.6640625" style="111" customWidth="1"/>
    <col min="9987" max="9987" width="18.33203125" style="111" customWidth="1"/>
    <col min="9988" max="10240" width="9.33203125" style="111"/>
    <col min="10241" max="10241" width="13.6640625" style="111" customWidth="1"/>
    <col min="10242" max="10242" width="68.6640625" style="111" customWidth="1"/>
    <col min="10243" max="10243" width="18.33203125" style="111" customWidth="1"/>
    <col min="10244" max="10496" width="9.33203125" style="111"/>
    <col min="10497" max="10497" width="13.6640625" style="111" customWidth="1"/>
    <col min="10498" max="10498" width="68.6640625" style="111" customWidth="1"/>
    <col min="10499" max="10499" width="18.33203125" style="111" customWidth="1"/>
    <col min="10500" max="10752" width="9.33203125" style="111"/>
    <col min="10753" max="10753" width="13.6640625" style="111" customWidth="1"/>
    <col min="10754" max="10754" width="68.6640625" style="111" customWidth="1"/>
    <col min="10755" max="10755" width="18.33203125" style="111" customWidth="1"/>
    <col min="10756" max="11008" width="9.33203125" style="111"/>
    <col min="11009" max="11009" width="13.6640625" style="111" customWidth="1"/>
    <col min="11010" max="11010" width="68.6640625" style="111" customWidth="1"/>
    <col min="11011" max="11011" width="18.33203125" style="111" customWidth="1"/>
    <col min="11012" max="11264" width="9.33203125" style="111"/>
    <col min="11265" max="11265" width="13.6640625" style="111" customWidth="1"/>
    <col min="11266" max="11266" width="68.6640625" style="111" customWidth="1"/>
    <col min="11267" max="11267" width="18.33203125" style="111" customWidth="1"/>
    <col min="11268" max="11520" width="9.33203125" style="111"/>
    <col min="11521" max="11521" width="13.6640625" style="111" customWidth="1"/>
    <col min="11522" max="11522" width="68.6640625" style="111" customWidth="1"/>
    <col min="11523" max="11523" width="18.33203125" style="111" customWidth="1"/>
    <col min="11524" max="11776" width="9.33203125" style="111"/>
    <col min="11777" max="11777" width="13.6640625" style="111" customWidth="1"/>
    <col min="11778" max="11778" width="68.6640625" style="111" customWidth="1"/>
    <col min="11779" max="11779" width="18.33203125" style="111" customWidth="1"/>
    <col min="11780" max="12032" width="9.33203125" style="111"/>
    <col min="12033" max="12033" width="13.6640625" style="111" customWidth="1"/>
    <col min="12034" max="12034" width="68.6640625" style="111" customWidth="1"/>
    <col min="12035" max="12035" width="18.33203125" style="111" customWidth="1"/>
    <col min="12036" max="12288" width="9.33203125" style="111"/>
    <col min="12289" max="12289" width="13.6640625" style="111" customWidth="1"/>
    <col min="12290" max="12290" width="68.6640625" style="111" customWidth="1"/>
    <col min="12291" max="12291" width="18.33203125" style="111" customWidth="1"/>
    <col min="12292" max="12544" width="9.33203125" style="111"/>
    <col min="12545" max="12545" width="13.6640625" style="111" customWidth="1"/>
    <col min="12546" max="12546" width="68.6640625" style="111" customWidth="1"/>
    <col min="12547" max="12547" width="18.33203125" style="111" customWidth="1"/>
    <col min="12548" max="12800" width="9.33203125" style="111"/>
    <col min="12801" max="12801" width="13.6640625" style="111" customWidth="1"/>
    <col min="12802" max="12802" width="68.6640625" style="111" customWidth="1"/>
    <col min="12803" max="12803" width="18.33203125" style="111" customWidth="1"/>
    <col min="12804" max="13056" width="9.33203125" style="111"/>
    <col min="13057" max="13057" width="13.6640625" style="111" customWidth="1"/>
    <col min="13058" max="13058" width="68.6640625" style="111" customWidth="1"/>
    <col min="13059" max="13059" width="18.33203125" style="111" customWidth="1"/>
    <col min="13060" max="13312" width="9.33203125" style="111"/>
    <col min="13313" max="13313" width="13.6640625" style="111" customWidth="1"/>
    <col min="13314" max="13314" width="68.6640625" style="111" customWidth="1"/>
    <col min="13315" max="13315" width="18.33203125" style="111" customWidth="1"/>
    <col min="13316" max="13568" width="9.33203125" style="111"/>
    <col min="13569" max="13569" width="13.6640625" style="111" customWidth="1"/>
    <col min="13570" max="13570" width="68.6640625" style="111" customWidth="1"/>
    <col min="13571" max="13571" width="18.33203125" style="111" customWidth="1"/>
    <col min="13572" max="13824" width="9.33203125" style="111"/>
    <col min="13825" max="13825" width="13.6640625" style="111" customWidth="1"/>
    <col min="13826" max="13826" width="68.6640625" style="111" customWidth="1"/>
    <col min="13827" max="13827" width="18.33203125" style="111" customWidth="1"/>
    <col min="13828" max="14080" width="9.33203125" style="111"/>
    <col min="14081" max="14081" width="13.6640625" style="111" customWidth="1"/>
    <col min="14082" max="14082" width="68.6640625" style="111" customWidth="1"/>
    <col min="14083" max="14083" width="18.33203125" style="111" customWidth="1"/>
    <col min="14084" max="14336" width="9.33203125" style="111"/>
    <col min="14337" max="14337" width="13.6640625" style="111" customWidth="1"/>
    <col min="14338" max="14338" width="68.6640625" style="111" customWidth="1"/>
    <col min="14339" max="14339" width="18.33203125" style="111" customWidth="1"/>
    <col min="14340" max="14592" width="9.33203125" style="111"/>
    <col min="14593" max="14593" width="13.6640625" style="111" customWidth="1"/>
    <col min="14594" max="14594" width="68.6640625" style="111" customWidth="1"/>
    <col min="14595" max="14595" width="18.33203125" style="111" customWidth="1"/>
    <col min="14596" max="14848" width="9.33203125" style="111"/>
    <col min="14849" max="14849" width="13.6640625" style="111" customWidth="1"/>
    <col min="14850" max="14850" width="68.6640625" style="111" customWidth="1"/>
    <col min="14851" max="14851" width="18.33203125" style="111" customWidth="1"/>
    <col min="14852" max="15104" width="9.33203125" style="111"/>
    <col min="15105" max="15105" width="13.6640625" style="111" customWidth="1"/>
    <col min="15106" max="15106" width="68.6640625" style="111" customWidth="1"/>
    <col min="15107" max="15107" width="18.33203125" style="111" customWidth="1"/>
    <col min="15108" max="15360" width="9.33203125" style="111"/>
    <col min="15361" max="15361" width="13.6640625" style="111" customWidth="1"/>
    <col min="15362" max="15362" width="68.6640625" style="111" customWidth="1"/>
    <col min="15363" max="15363" width="18.33203125" style="111" customWidth="1"/>
    <col min="15364" max="15616" width="9.33203125" style="111"/>
    <col min="15617" max="15617" width="13.6640625" style="111" customWidth="1"/>
    <col min="15618" max="15618" width="68.6640625" style="111" customWidth="1"/>
    <col min="15619" max="15619" width="18.33203125" style="111" customWidth="1"/>
    <col min="15620" max="15872" width="9.33203125" style="111"/>
    <col min="15873" max="15873" width="13.6640625" style="111" customWidth="1"/>
    <col min="15874" max="15874" width="68.6640625" style="111" customWidth="1"/>
    <col min="15875" max="15875" width="18.33203125" style="111" customWidth="1"/>
    <col min="15876" max="16128" width="9.33203125" style="111"/>
    <col min="16129" max="16129" width="13.6640625" style="111" customWidth="1"/>
    <col min="16130" max="16130" width="68.6640625" style="111" customWidth="1"/>
    <col min="16131" max="16131" width="18.33203125" style="111" customWidth="1"/>
    <col min="16132" max="16384" width="9.33203125" style="111"/>
  </cols>
  <sheetData>
    <row r="1" spans="1:9" ht="20.25" customHeight="1">
      <c r="A1" s="27" t="s">
        <v>866</v>
      </c>
      <c r="B1" s="28"/>
      <c r="C1" s="28"/>
    </row>
    <row r="2" spans="1:9" s="884" customFormat="1" ht="13.5" customHeight="1">
      <c r="A2" s="58" t="s">
        <v>1639</v>
      </c>
      <c r="B2" s="58"/>
      <c r="C2" s="58"/>
      <c r="D2" s="58"/>
      <c r="E2" s="882"/>
      <c r="F2" s="882"/>
      <c r="G2" s="882"/>
      <c r="H2" s="882"/>
      <c r="I2" s="883"/>
    </row>
    <row r="3" spans="1:9" s="889" customFormat="1" ht="13.5" customHeight="1">
      <c r="A3" s="885" t="s">
        <v>1647</v>
      </c>
      <c r="B3" s="886"/>
      <c r="C3" s="886"/>
      <c r="D3" s="886"/>
      <c r="E3" s="886"/>
      <c r="F3" s="887"/>
      <c r="G3" s="887"/>
      <c r="H3" s="888"/>
      <c r="I3" s="888"/>
    </row>
    <row r="4" spans="1:9" s="889" customFormat="1" ht="13.5" customHeight="1">
      <c r="A4" s="885"/>
      <c r="B4" s="886"/>
      <c r="C4" s="886"/>
      <c r="D4" s="886"/>
      <c r="E4" s="886"/>
      <c r="F4" s="887"/>
      <c r="G4" s="887"/>
      <c r="H4" s="888"/>
      <c r="I4" s="888"/>
    </row>
    <row r="5" spans="1:9" ht="23.25" customHeight="1">
      <c r="A5" s="30" t="s">
        <v>868</v>
      </c>
      <c r="B5" s="31" t="s">
        <v>121</v>
      </c>
      <c r="C5" s="32" t="s">
        <v>5344</v>
      </c>
    </row>
    <row r="6" spans="1:9" ht="12.6" customHeight="1">
      <c r="A6" s="276">
        <v>1</v>
      </c>
      <c r="B6" s="277">
        <v>2</v>
      </c>
      <c r="C6" s="278">
        <v>3</v>
      </c>
    </row>
    <row r="7" spans="1:9" ht="21" customHeight="1">
      <c r="A7" s="36"/>
      <c r="B7" s="37"/>
      <c r="C7" s="37"/>
    </row>
    <row r="8" spans="1:9" ht="13.5" customHeight="1">
      <c r="A8" s="279">
        <v>1</v>
      </c>
      <c r="B8" s="280" t="s">
        <v>5455</v>
      </c>
      <c r="C8" s="365">
        <f>'D.2.2. AREÁL. TEPLOVOD'!H169</f>
        <v>0</v>
      </c>
    </row>
    <row r="9" spans="1:9" ht="13.5" customHeight="1">
      <c r="A9" s="279">
        <v>2</v>
      </c>
      <c r="B9" s="280" t="s">
        <v>5454</v>
      </c>
      <c r="C9" s="365">
        <f>'D.2.2. AREÁL. TEPLOVOD-BP'!H75</f>
        <v>0</v>
      </c>
    </row>
    <row r="10" spans="1:9" ht="21" customHeight="1">
      <c r="A10" s="282"/>
      <c r="B10" s="283" t="s">
        <v>1648</v>
      </c>
      <c r="C10" s="366">
        <f>SUM(C8:C9)</f>
        <v>0</v>
      </c>
    </row>
    <row r="11" spans="1:9" ht="13.5" customHeight="1">
      <c r="A11" s="367"/>
      <c r="C11" s="368"/>
    </row>
  </sheetData>
  <sheetProtection algorithmName="SHA-512" hashValue="q4eIR55cWgYKiCQBq8o6+8i4cm61TwNUOq2+9/wKd4WXsc5NPKWQw81tDrSl3KjG2Z2rfelRcRpu9evZViI0zg==" saltValue="358nPuAtiNDUAKO0z4BtwA=="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D96C-A133-4EB1-8F27-64E2D46A8169}">
  <sheetPr>
    <tabColor rgb="FFFF00FF"/>
    <pageSetUpPr fitToPage="1"/>
  </sheetPr>
  <dimension ref="A1:IW177"/>
  <sheetViews>
    <sheetView zoomScaleNormal="100" workbookViewId="0"/>
  </sheetViews>
  <sheetFormatPr defaultRowHeight="15"/>
  <cols>
    <col min="1" max="1" width="4.83203125" style="692" customWidth="1"/>
    <col min="2" max="2" width="5" style="692" customWidth="1"/>
    <col min="3" max="3" width="16.83203125" style="692" customWidth="1"/>
    <col min="4" max="4" width="75.83203125" style="692" customWidth="1"/>
    <col min="5" max="5" width="7.83203125" style="692" customWidth="1"/>
    <col min="6" max="6" width="11.83203125" style="840" customWidth="1"/>
    <col min="7" max="7" width="13.6640625" style="692" customWidth="1"/>
    <col min="8" max="8" width="18.33203125" style="692" customWidth="1"/>
    <col min="9" max="9" width="20.1640625" style="692" customWidth="1"/>
    <col min="10" max="10" width="21.33203125" style="692" customWidth="1"/>
    <col min="11" max="11" width="13.6640625" style="692" customWidth="1"/>
    <col min="12" max="12" width="13.1640625" style="692" customWidth="1"/>
    <col min="13" max="15" width="9.33203125" style="692"/>
    <col min="16" max="16" width="23.6640625" style="692" customWidth="1"/>
    <col min="17" max="17" width="14.1640625" style="692" customWidth="1"/>
    <col min="18" max="18" width="13.83203125" style="692" customWidth="1"/>
    <col min="19" max="19" width="9.33203125" style="692"/>
    <col min="20" max="20" width="13.6640625" style="692" customWidth="1"/>
    <col min="21" max="16384" width="9.33203125" style="692"/>
  </cols>
  <sheetData>
    <row r="1" spans="1:20" ht="18">
      <c r="A1" s="1" t="s">
        <v>2760</v>
      </c>
      <c r="B1" s="28"/>
      <c r="C1" s="28"/>
      <c r="D1" s="111"/>
      <c r="E1" s="111"/>
      <c r="F1" s="252"/>
      <c r="G1" s="111"/>
      <c r="H1" s="111"/>
      <c r="I1" s="111"/>
    </row>
    <row r="2" spans="1:20" ht="15" customHeight="1">
      <c r="A2" s="5193" t="s">
        <v>1639</v>
      </c>
      <c r="B2" s="5229"/>
      <c r="C2" s="5229"/>
      <c r="D2" s="5229"/>
      <c r="E2" s="698"/>
      <c r="F2" s="699"/>
      <c r="G2" s="700"/>
      <c r="H2" s="700"/>
    </row>
    <row r="3" spans="1:20" s="543" customFormat="1" ht="13.5" customHeight="1">
      <c r="A3" s="5228" t="s">
        <v>1647</v>
      </c>
      <c r="B3" s="5274"/>
      <c r="C3" s="5274"/>
      <c r="D3" s="5274"/>
    </row>
    <row r="4" spans="1:20" s="541" customFormat="1" ht="13.5" customHeight="1">
      <c r="A4" s="5193" t="s">
        <v>5377</v>
      </c>
      <c r="B4" s="5275"/>
      <c r="C4" s="5275"/>
      <c r="D4" s="5275"/>
      <c r="E4" s="544"/>
      <c r="F4" s="701"/>
      <c r="G4" s="545"/>
      <c r="H4" s="542"/>
      <c r="I4" s="542"/>
    </row>
    <row r="5" spans="1:20">
      <c r="A5" s="702"/>
      <c r="B5" s="702"/>
      <c r="C5" s="702"/>
      <c r="D5" s="703"/>
      <c r="E5" s="704"/>
      <c r="F5" s="705"/>
      <c r="G5" s="702"/>
      <c r="H5" s="702"/>
      <c r="I5" s="706"/>
      <c r="J5" s="371"/>
    </row>
    <row r="6" spans="1:20" ht="22.5">
      <c r="A6" s="707" t="s">
        <v>118</v>
      </c>
      <c r="B6" s="707" t="s">
        <v>119</v>
      </c>
      <c r="C6" s="707" t="s">
        <v>120</v>
      </c>
      <c r="D6" s="707" t="s">
        <v>121</v>
      </c>
      <c r="E6" s="707" t="s">
        <v>122</v>
      </c>
      <c r="F6" s="708" t="s">
        <v>123</v>
      </c>
      <c r="G6" s="707" t="s">
        <v>124</v>
      </c>
      <c r="H6" s="709" t="s">
        <v>2</v>
      </c>
      <c r="I6" s="710" t="s">
        <v>46</v>
      </c>
      <c r="J6" s="372"/>
    </row>
    <row r="7" spans="1:20">
      <c r="A7" s="707" t="s">
        <v>125</v>
      </c>
      <c r="B7" s="707" t="s">
        <v>126</v>
      </c>
      <c r="C7" s="707">
        <v>3</v>
      </c>
      <c r="D7" s="707">
        <v>4</v>
      </c>
      <c r="E7" s="707">
        <v>5</v>
      </c>
      <c r="F7" s="708">
        <v>6</v>
      </c>
      <c r="G7" s="707">
        <v>7</v>
      </c>
      <c r="H7" s="709">
        <v>8</v>
      </c>
      <c r="I7" s="710">
        <v>9</v>
      </c>
    </row>
    <row r="8" spans="1:20" s="562" customFormat="1" ht="21" customHeight="1">
      <c r="A8" s="711"/>
      <c r="B8" s="712"/>
      <c r="C8" s="712" t="s">
        <v>132</v>
      </c>
      <c r="D8" s="712" t="s">
        <v>133</v>
      </c>
      <c r="E8" s="712"/>
      <c r="F8" s="713"/>
      <c r="G8" s="714"/>
      <c r="H8" s="714">
        <f>SUM(H9,H101,H112,H118,H149)</f>
        <v>0</v>
      </c>
    </row>
    <row r="9" spans="1:20" s="562" customFormat="1" ht="13.5" customHeight="1">
      <c r="A9" s="556"/>
      <c r="B9" s="659"/>
      <c r="C9" s="558" t="s">
        <v>125</v>
      </c>
      <c r="D9" s="558" t="s">
        <v>134</v>
      </c>
      <c r="E9" s="558"/>
      <c r="F9" s="559"/>
      <c r="G9" s="560"/>
      <c r="H9" s="560">
        <f>SUM(H10:H81,H87:H92,H99:H100)</f>
        <v>0</v>
      </c>
      <c r="I9" s="561"/>
      <c r="L9" s="563"/>
    </row>
    <row r="10" spans="1:20" s="571" customFormat="1" ht="13.5" customHeight="1">
      <c r="A10" s="564">
        <v>1</v>
      </c>
      <c r="B10" s="565" t="s">
        <v>135</v>
      </c>
      <c r="C10" s="565">
        <v>115101201</v>
      </c>
      <c r="D10" s="565" t="s">
        <v>136</v>
      </c>
      <c r="E10" s="565" t="s">
        <v>69</v>
      </c>
      <c r="F10" s="566">
        <v>24</v>
      </c>
      <c r="G10" s="307"/>
      <c r="H10" s="568">
        <f t="shared" ref="H10:H16" si="0">ROUND(F10*G10,2)</f>
        <v>0</v>
      </c>
      <c r="I10" s="561" t="s">
        <v>137</v>
      </c>
      <c r="J10" s="569"/>
      <c r="K10" s="570"/>
      <c r="L10" s="570"/>
      <c r="M10" s="570"/>
      <c r="N10" s="570"/>
      <c r="O10" s="570"/>
      <c r="P10" s="467"/>
      <c r="Q10" s="562"/>
      <c r="R10" s="569"/>
      <c r="S10" s="569"/>
      <c r="T10" s="569"/>
    </row>
    <row r="11" spans="1:20" s="571" customFormat="1" ht="13.5" customHeight="1">
      <c r="A11" s="564">
        <v>2</v>
      </c>
      <c r="B11" s="565" t="s">
        <v>135</v>
      </c>
      <c r="C11" s="565">
        <v>115101301</v>
      </c>
      <c r="D11" s="565" t="s">
        <v>138</v>
      </c>
      <c r="E11" s="565" t="s">
        <v>139</v>
      </c>
      <c r="F11" s="566">
        <v>3</v>
      </c>
      <c r="G11" s="307"/>
      <c r="H11" s="568">
        <f t="shared" si="0"/>
        <v>0</v>
      </c>
      <c r="I11" s="561" t="s">
        <v>137</v>
      </c>
      <c r="J11" s="569"/>
      <c r="K11" s="570"/>
      <c r="L11" s="570"/>
      <c r="M11" s="570"/>
      <c r="N11" s="570"/>
      <c r="O11" s="570"/>
      <c r="P11" s="467"/>
      <c r="Q11" s="562"/>
      <c r="R11" s="569"/>
      <c r="S11" s="569"/>
      <c r="T11" s="569"/>
    </row>
    <row r="12" spans="1:20" s="571" customFormat="1" ht="13.5" customHeight="1">
      <c r="A12" s="564">
        <v>3</v>
      </c>
      <c r="B12" s="565" t="s">
        <v>135</v>
      </c>
      <c r="C12" s="565">
        <v>119001402</v>
      </c>
      <c r="D12" s="565" t="s">
        <v>140</v>
      </c>
      <c r="E12" s="565" t="s">
        <v>141</v>
      </c>
      <c r="F12" s="566">
        <v>5</v>
      </c>
      <c r="G12" s="307"/>
      <c r="H12" s="568">
        <f t="shared" si="0"/>
        <v>0</v>
      </c>
      <c r="I12" s="561" t="s">
        <v>137</v>
      </c>
      <c r="J12" s="569"/>
      <c r="K12" s="570"/>
      <c r="L12" s="570"/>
      <c r="M12" s="570"/>
      <c r="N12" s="570"/>
      <c r="O12" s="570"/>
      <c r="P12" s="467"/>
      <c r="Q12" s="562"/>
      <c r="R12" s="569"/>
      <c r="S12" s="569"/>
      <c r="T12" s="569"/>
    </row>
    <row r="13" spans="1:20" s="571" customFormat="1" ht="13.5" customHeight="1">
      <c r="A13" s="564">
        <v>4</v>
      </c>
      <c r="B13" s="565" t="s">
        <v>135</v>
      </c>
      <c r="C13" s="565">
        <v>119001406</v>
      </c>
      <c r="D13" s="565" t="s">
        <v>142</v>
      </c>
      <c r="E13" s="565" t="s">
        <v>141</v>
      </c>
      <c r="F13" s="566">
        <v>5</v>
      </c>
      <c r="G13" s="307"/>
      <c r="H13" s="568">
        <f t="shared" si="0"/>
        <v>0</v>
      </c>
      <c r="I13" s="561" t="s">
        <v>137</v>
      </c>
      <c r="J13" s="569"/>
      <c r="K13" s="570"/>
      <c r="L13" s="570"/>
      <c r="M13" s="570"/>
      <c r="N13" s="570"/>
      <c r="O13" s="570"/>
      <c r="P13" s="467"/>
      <c r="Q13" s="562"/>
      <c r="R13" s="569"/>
      <c r="S13" s="569"/>
      <c r="T13" s="569"/>
    </row>
    <row r="14" spans="1:20" s="571" customFormat="1" ht="13.5" customHeight="1">
      <c r="A14" s="564">
        <v>5</v>
      </c>
      <c r="B14" s="565" t="s">
        <v>135</v>
      </c>
      <c r="C14" s="565">
        <v>119001412</v>
      </c>
      <c r="D14" s="565" t="s">
        <v>143</v>
      </c>
      <c r="E14" s="565" t="s">
        <v>141</v>
      </c>
      <c r="F14" s="566">
        <v>5</v>
      </c>
      <c r="G14" s="307"/>
      <c r="H14" s="568">
        <f t="shared" si="0"/>
        <v>0</v>
      </c>
      <c r="I14" s="561" t="s">
        <v>137</v>
      </c>
      <c r="J14" s="569"/>
      <c r="K14" s="570"/>
      <c r="L14" s="570"/>
      <c r="M14" s="570"/>
      <c r="N14" s="570"/>
      <c r="O14" s="570"/>
      <c r="P14" s="467"/>
      <c r="Q14" s="562"/>
      <c r="R14" s="569"/>
      <c r="S14" s="569"/>
      <c r="T14" s="569"/>
    </row>
    <row r="15" spans="1:20" s="571" customFormat="1" ht="13.5" customHeight="1">
      <c r="A15" s="564">
        <v>6</v>
      </c>
      <c r="B15" s="565" t="s">
        <v>135</v>
      </c>
      <c r="C15" s="565">
        <v>119001423</v>
      </c>
      <c r="D15" s="565" t="s">
        <v>5346</v>
      </c>
      <c r="E15" s="565" t="s">
        <v>141</v>
      </c>
      <c r="F15" s="566">
        <v>12</v>
      </c>
      <c r="G15" s="307"/>
      <c r="H15" s="568">
        <f t="shared" si="0"/>
        <v>0</v>
      </c>
      <c r="I15" s="561" t="s">
        <v>137</v>
      </c>
      <c r="J15" s="569"/>
      <c r="K15" s="570"/>
      <c r="L15" s="570"/>
      <c r="M15" s="570"/>
      <c r="N15" s="570"/>
      <c r="O15" s="570"/>
      <c r="P15" s="467"/>
      <c r="Q15" s="562"/>
      <c r="R15" s="569"/>
      <c r="S15" s="569"/>
      <c r="T15" s="569"/>
    </row>
    <row r="16" spans="1:20" s="562" customFormat="1" ht="27" customHeight="1">
      <c r="A16" s="556">
        <v>7</v>
      </c>
      <c r="B16" s="572" t="s">
        <v>135</v>
      </c>
      <c r="C16" s="565" t="s">
        <v>4252</v>
      </c>
      <c r="D16" s="565" t="s">
        <v>4253</v>
      </c>
      <c r="E16" s="565" t="s">
        <v>49</v>
      </c>
      <c r="F16" s="573">
        <f>ROUND(SUM(F17),3)</f>
        <v>1</v>
      </c>
      <c r="G16" s="307"/>
      <c r="H16" s="568">
        <f t="shared" si="0"/>
        <v>0</v>
      </c>
      <c r="I16" s="561" t="s">
        <v>112</v>
      </c>
      <c r="J16" s="574"/>
    </row>
    <row r="17" spans="1:23" s="562" customFormat="1" ht="40.5" customHeight="1">
      <c r="A17" s="556"/>
      <c r="B17" s="572"/>
      <c r="C17" s="565"/>
      <c r="D17" s="575" t="s">
        <v>4254</v>
      </c>
      <c r="E17" s="565"/>
      <c r="F17" s="576">
        <v>1</v>
      </c>
      <c r="G17" s="307"/>
      <c r="H17" s="567"/>
      <c r="I17" s="561"/>
      <c r="J17" s="577"/>
    </row>
    <row r="18" spans="1:23" s="562" customFormat="1" ht="40.5" customHeight="1">
      <c r="A18" s="578"/>
      <c r="B18" s="565"/>
      <c r="C18" s="565"/>
      <c r="D18" s="575" t="s">
        <v>4255</v>
      </c>
      <c r="E18" s="565"/>
      <c r="F18" s="579"/>
      <c r="G18" s="307"/>
      <c r="H18" s="567"/>
      <c r="I18" s="580"/>
      <c r="J18" s="574"/>
    </row>
    <row r="19" spans="1:23" s="562" customFormat="1" ht="27" customHeight="1">
      <c r="A19" s="556">
        <v>8</v>
      </c>
      <c r="B19" s="572" t="s">
        <v>135</v>
      </c>
      <c r="C19" s="565" t="s">
        <v>4256</v>
      </c>
      <c r="D19" s="565" t="s">
        <v>4257</v>
      </c>
      <c r="E19" s="565" t="s">
        <v>49</v>
      </c>
      <c r="F19" s="573">
        <f>ROUND(SUM(F20),3)</f>
        <v>1</v>
      </c>
      <c r="G19" s="307"/>
      <c r="H19" s="568">
        <f t="shared" ref="H19" si="1">ROUND(F19*G19,2)</f>
        <v>0</v>
      </c>
      <c r="I19" s="561" t="s">
        <v>112</v>
      </c>
      <c r="J19" s="574"/>
    </row>
    <row r="20" spans="1:23" s="562" customFormat="1" ht="27" customHeight="1">
      <c r="A20" s="556"/>
      <c r="B20" s="572"/>
      <c r="C20" s="565"/>
      <c r="D20" s="575" t="s">
        <v>4258</v>
      </c>
      <c r="E20" s="565"/>
      <c r="F20" s="576">
        <v>1</v>
      </c>
      <c r="G20" s="307"/>
      <c r="H20" s="567"/>
      <c r="I20" s="561"/>
      <c r="J20" s="577"/>
    </row>
    <row r="21" spans="1:23" s="562" customFormat="1" ht="13.5" customHeight="1">
      <c r="A21" s="556"/>
      <c r="B21" s="572"/>
      <c r="C21" s="565"/>
      <c r="D21" s="575" t="s">
        <v>4259</v>
      </c>
      <c r="E21" s="565"/>
      <c r="F21" s="576"/>
      <c r="G21" s="307"/>
      <c r="H21" s="567"/>
      <c r="I21" s="561"/>
      <c r="J21" s="577"/>
    </row>
    <row r="22" spans="1:23" s="593" customFormat="1" ht="67.5" customHeight="1">
      <c r="A22" s="581"/>
      <c r="B22" s="582"/>
      <c r="C22" s="583"/>
      <c r="D22" s="584" t="s">
        <v>310</v>
      </c>
      <c r="E22" s="585"/>
      <c r="F22" s="586"/>
      <c r="G22" s="696"/>
      <c r="H22" s="587"/>
      <c r="I22" s="588"/>
      <c r="J22" s="589"/>
      <c r="K22" s="590"/>
      <c r="L22" s="591"/>
      <c r="M22" s="592"/>
    </row>
    <row r="23" spans="1:23" s="604" customFormat="1" ht="27" customHeight="1">
      <c r="A23" s="608">
        <v>9</v>
      </c>
      <c r="B23" s="557" t="s">
        <v>135</v>
      </c>
      <c r="C23" s="557">
        <v>132212222</v>
      </c>
      <c r="D23" s="557" t="s">
        <v>4260</v>
      </c>
      <c r="E23" s="557" t="s">
        <v>146</v>
      </c>
      <c r="F23" s="573">
        <f>ROUND(SUM(F26:F27),3)</f>
        <v>0.94799999999999995</v>
      </c>
      <c r="G23" s="288"/>
      <c r="H23" s="568">
        <f t="shared" ref="H23" si="2">ROUND(F23*G23,2)</f>
        <v>0</v>
      </c>
      <c r="I23" s="613" t="s">
        <v>137</v>
      </c>
      <c r="J23" s="715"/>
      <c r="U23" s="605"/>
      <c r="W23" s="605"/>
    </row>
    <row r="24" spans="1:23" s="723" customFormat="1" ht="13.5" customHeight="1">
      <c r="A24" s="716"/>
      <c r="B24" s="717"/>
      <c r="C24" s="718"/>
      <c r="D24" s="719" t="s">
        <v>5378</v>
      </c>
      <c r="E24" s="599"/>
      <c r="F24" s="600"/>
      <c r="G24" s="877"/>
      <c r="H24" s="720"/>
      <c r="I24" s="721"/>
      <c r="J24" s="722"/>
      <c r="U24" s="724"/>
      <c r="W24" s="724"/>
    </row>
    <row r="25" spans="1:23" s="723" customFormat="1" ht="13.5" customHeight="1">
      <c r="A25" s="716"/>
      <c r="B25" s="717"/>
      <c r="C25" s="718"/>
      <c r="D25" s="719" t="s">
        <v>5379</v>
      </c>
      <c r="E25" s="599"/>
      <c r="F25" s="600"/>
      <c r="G25" s="877"/>
      <c r="H25" s="720"/>
      <c r="I25" s="721"/>
      <c r="J25" s="722"/>
      <c r="U25" s="724"/>
      <c r="W25" s="724"/>
    </row>
    <row r="26" spans="1:23" s="723" customFormat="1" ht="13.5" customHeight="1">
      <c r="A26" s="716"/>
      <c r="B26" s="717"/>
      <c r="C26" s="718"/>
      <c r="D26" s="719" t="s">
        <v>5380</v>
      </c>
      <c r="E26" s="599"/>
      <c r="F26" s="600">
        <f>(7.74*1.1*1.8)*0.05</f>
        <v>0.76626000000000016</v>
      </c>
      <c r="G26" s="877"/>
      <c r="H26" s="720"/>
      <c r="I26" s="721"/>
      <c r="J26" s="722"/>
      <c r="U26" s="724"/>
      <c r="W26" s="724"/>
    </row>
    <row r="27" spans="1:23" s="723" customFormat="1" ht="13.5" customHeight="1">
      <c r="A27" s="716"/>
      <c r="B27" s="717"/>
      <c r="C27" s="718"/>
      <c r="D27" s="719" t="s">
        <v>5381</v>
      </c>
      <c r="E27" s="599"/>
      <c r="F27" s="600">
        <f>(1.94*1.1*1.7)*0.05</f>
        <v>0.18139</v>
      </c>
      <c r="G27" s="877"/>
      <c r="H27" s="720"/>
      <c r="I27" s="721"/>
      <c r="J27" s="722"/>
      <c r="U27" s="724"/>
      <c r="W27" s="724"/>
    </row>
    <row r="28" spans="1:23" s="604" customFormat="1" ht="27" customHeight="1">
      <c r="A28" s="595"/>
      <c r="B28" s="596"/>
      <c r="C28" s="597"/>
      <c r="D28" s="597" t="s">
        <v>4323</v>
      </c>
      <c r="E28" s="597"/>
      <c r="F28" s="607"/>
      <c r="G28" s="289"/>
      <c r="H28" s="601"/>
      <c r="I28" s="602"/>
      <c r="J28" s="606"/>
      <c r="U28" s="605"/>
      <c r="W28" s="605"/>
    </row>
    <row r="29" spans="1:23" s="612" customFormat="1" ht="27" customHeight="1">
      <c r="A29" s="608">
        <v>10</v>
      </c>
      <c r="B29" s="557" t="s">
        <v>135</v>
      </c>
      <c r="C29" s="557">
        <v>132254201</v>
      </c>
      <c r="D29" s="557" t="s">
        <v>5382</v>
      </c>
      <c r="E29" s="557" t="s">
        <v>146</v>
      </c>
      <c r="F29" s="573">
        <f>ROUND(SUM(F32:F33),3)</f>
        <v>9.4770000000000003</v>
      </c>
      <c r="G29" s="288"/>
      <c r="H29" s="568">
        <f t="shared" ref="H29" si="3">ROUND(F29*G29,2)</f>
        <v>0</v>
      </c>
      <c r="I29" s="613" t="s">
        <v>137</v>
      </c>
      <c r="J29" s="610"/>
      <c r="K29" s="725"/>
    </row>
    <row r="30" spans="1:23" s="723" customFormat="1" ht="13.5" customHeight="1">
      <c r="A30" s="716"/>
      <c r="B30" s="717"/>
      <c r="C30" s="718"/>
      <c r="D30" s="719" t="s">
        <v>5383</v>
      </c>
      <c r="E30" s="599"/>
      <c r="F30" s="600"/>
      <c r="G30" s="877"/>
      <c r="H30" s="720"/>
      <c r="I30" s="721"/>
      <c r="J30" s="722"/>
      <c r="U30" s="724"/>
      <c r="W30" s="724"/>
    </row>
    <row r="31" spans="1:23" s="723" customFormat="1" ht="13.5" customHeight="1">
      <c r="A31" s="716"/>
      <c r="B31" s="717"/>
      <c r="C31" s="718"/>
      <c r="D31" s="719" t="s">
        <v>5379</v>
      </c>
      <c r="E31" s="599"/>
      <c r="F31" s="600"/>
      <c r="G31" s="877"/>
      <c r="H31" s="720"/>
      <c r="I31" s="721"/>
      <c r="J31" s="722"/>
      <c r="U31" s="724"/>
      <c r="W31" s="724"/>
    </row>
    <row r="32" spans="1:23" s="723" customFormat="1" ht="13.5" customHeight="1">
      <c r="A32" s="716"/>
      <c r="B32" s="717"/>
      <c r="C32" s="718"/>
      <c r="D32" s="719" t="s">
        <v>5384</v>
      </c>
      <c r="E32" s="599"/>
      <c r="F32" s="600">
        <f>(7.74*1.1*1.8)*0.5</f>
        <v>7.6626000000000012</v>
      </c>
      <c r="G32" s="877"/>
      <c r="H32" s="720"/>
      <c r="I32" s="721"/>
      <c r="J32" s="722"/>
      <c r="U32" s="724"/>
      <c r="W32" s="724"/>
    </row>
    <row r="33" spans="1:23" s="723" customFormat="1" ht="13.5" customHeight="1">
      <c r="A33" s="716"/>
      <c r="B33" s="717"/>
      <c r="C33" s="718"/>
      <c r="D33" s="719" t="s">
        <v>5385</v>
      </c>
      <c r="E33" s="599"/>
      <c r="F33" s="600">
        <f>(1.94*1.1*1.7)*0.5</f>
        <v>1.8138999999999998</v>
      </c>
      <c r="G33" s="877"/>
      <c r="H33" s="720"/>
      <c r="I33" s="721"/>
      <c r="J33" s="722"/>
      <c r="U33" s="724"/>
      <c r="W33" s="724"/>
    </row>
    <row r="34" spans="1:23" s="604" customFormat="1" ht="27" customHeight="1">
      <c r="A34" s="595"/>
      <c r="B34" s="596"/>
      <c r="C34" s="597"/>
      <c r="D34" s="597" t="s">
        <v>4323</v>
      </c>
      <c r="E34" s="597"/>
      <c r="F34" s="607"/>
      <c r="G34" s="289"/>
      <c r="H34" s="601"/>
      <c r="I34" s="602"/>
      <c r="J34" s="606"/>
      <c r="U34" s="605"/>
      <c r="W34" s="605"/>
    </row>
    <row r="35" spans="1:23" s="604" customFormat="1" ht="27" customHeight="1">
      <c r="A35" s="608">
        <v>11</v>
      </c>
      <c r="B35" s="557" t="s">
        <v>135</v>
      </c>
      <c r="C35" s="557">
        <v>132312222</v>
      </c>
      <c r="D35" s="557" t="s">
        <v>4387</v>
      </c>
      <c r="E35" s="557" t="s">
        <v>146</v>
      </c>
      <c r="F35" s="573">
        <f>ROUND(SUM(F38:F39),3)</f>
        <v>0.94799999999999995</v>
      </c>
      <c r="G35" s="288"/>
      <c r="H35" s="568">
        <f t="shared" ref="H35" si="4">ROUND(F35*G35,2)</f>
        <v>0</v>
      </c>
      <c r="I35" s="613" t="s">
        <v>137</v>
      </c>
      <c r="J35" s="726"/>
      <c r="K35" s="726"/>
      <c r="L35" s="726"/>
      <c r="M35" s="727"/>
      <c r="U35" s="605"/>
      <c r="W35" s="605"/>
    </row>
    <row r="36" spans="1:23" s="723" customFormat="1" ht="13.5" customHeight="1">
      <c r="A36" s="716"/>
      <c r="B36" s="717"/>
      <c r="C36" s="718"/>
      <c r="D36" s="719" t="s">
        <v>5378</v>
      </c>
      <c r="E36" s="599"/>
      <c r="F36" s="600"/>
      <c r="G36" s="877"/>
      <c r="H36" s="720"/>
      <c r="I36" s="721"/>
      <c r="J36" s="726"/>
      <c r="K36" s="728"/>
      <c r="U36" s="724"/>
      <c r="W36" s="724"/>
    </row>
    <row r="37" spans="1:23" s="723" customFormat="1" ht="13.5" customHeight="1">
      <c r="A37" s="716"/>
      <c r="B37" s="717"/>
      <c r="C37" s="718"/>
      <c r="D37" s="719" t="s">
        <v>5379</v>
      </c>
      <c r="E37" s="599"/>
      <c r="F37" s="600"/>
      <c r="G37" s="877"/>
      <c r="H37" s="720"/>
      <c r="I37" s="721"/>
      <c r="J37" s="726"/>
      <c r="K37" s="728"/>
      <c r="U37" s="724"/>
      <c r="W37" s="724"/>
    </row>
    <row r="38" spans="1:23" s="723" customFormat="1" ht="13.5" customHeight="1">
      <c r="A38" s="716"/>
      <c r="B38" s="717"/>
      <c r="C38" s="718"/>
      <c r="D38" s="719" t="s">
        <v>5380</v>
      </c>
      <c r="E38" s="599"/>
      <c r="F38" s="600">
        <f>(7.74*1.1*1.8)*0.05</f>
        <v>0.76626000000000016</v>
      </c>
      <c r="G38" s="877"/>
      <c r="H38" s="720"/>
      <c r="I38" s="721"/>
      <c r="J38" s="726"/>
      <c r="K38" s="728"/>
      <c r="U38" s="724"/>
      <c r="W38" s="724"/>
    </row>
    <row r="39" spans="1:23" s="723" customFormat="1" ht="13.5" customHeight="1">
      <c r="A39" s="716"/>
      <c r="B39" s="717"/>
      <c r="C39" s="718"/>
      <c r="D39" s="719" t="s">
        <v>5381</v>
      </c>
      <c r="E39" s="599"/>
      <c r="F39" s="600">
        <f>(1.94*1.1*1.7)*0.05</f>
        <v>0.18139</v>
      </c>
      <c r="G39" s="877"/>
      <c r="H39" s="720"/>
      <c r="I39" s="721"/>
      <c r="J39" s="722"/>
      <c r="U39" s="724"/>
      <c r="W39" s="724"/>
    </row>
    <row r="40" spans="1:23" s="604" customFormat="1" ht="27" customHeight="1">
      <c r="A40" s="595"/>
      <c r="B40" s="596"/>
      <c r="C40" s="597"/>
      <c r="D40" s="597" t="s">
        <v>4323</v>
      </c>
      <c r="E40" s="597"/>
      <c r="F40" s="607"/>
      <c r="G40" s="289"/>
      <c r="H40" s="601"/>
      <c r="I40" s="602"/>
      <c r="J40" s="606"/>
      <c r="U40" s="605"/>
      <c r="W40" s="605"/>
    </row>
    <row r="41" spans="1:23" s="612" customFormat="1" ht="27" customHeight="1">
      <c r="A41" s="608">
        <v>12</v>
      </c>
      <c r="B41" s="557" t="s">
        <v>135</v>
      </c>
      <c r="C41" s="557">
        <v>132354201</v>
      </c>
      <c r="D41" s="557" t="s">
        <v>5386</v>
      </c>
      <c r="E41" s="557" t="s">
        <v>146</v>
      </c>
      <c r="F41" s="573">
        <f>ROUND(SUM(F44:F45),3)</f>
        <v>7.5810000000000004</v>
      </c>
      <c r="G41" s="288"/>
      <c r="H41" s="568">
        <f t="shared" ref="H41" si="5">ROUND(F41*G41,2)</f>
        <v>0</v>
      </c>
      <c r="I41" s="613" t="s">
        <v>137</v>
      </c>
      <c r="J41" s="610"/>
      <c r="K41" s="725"/>
    </row>
    <row r="42" spans="1:23" s="723" customFormat="1" ht="13.5" customHeight="1">
      <c r="A42" s="716"/>
      <c r="B42" s="717"/>
      <c r="C42" s="718"/>
      <c r="D42" s="719" t="s">
        <v>5387</v>
      </c>
      <c r="E42" s="599"/>
      <c r="F42" s="600"/>
      <c r="G42" s="877"/>
      <c r="H42" s="720"/>
      <c r="I42" s="721"/>
      <c r="J42" s="722"/>
      <c r="U42" s="724"/>
      <c r="W42" s="724"/>
    </row>
    <row r="43" spans="1:23" s="723" customFormat="1" ht="13.5" customHeight="1">
      <c r="A43" s="716"/>
      <c r="B43" s="717"/>
      <c r="C43" s="718"/>
      <c r="D43" s="719" t="s">
        <v>5379</v>
      </c>
      <c r="E43" s="599"/>
      <c r="F43" s="600"/>
      <c r="G43" s="877"/>
      <c r="H43" s="720"/>
      <c r="I43" s="721"/>
      <c r="J43" s="722"/>
      <c r="U43" s="724"/>
      <c r="W43" s="724"/>
    </row>
    <row r="44" spans="1:23" s="723" customFormat="1" ht="13.5" customHeight="1">
      <c r="A44" s="716"/>
      <c r="B44" s="717"/>
      <c r="C44" s="718"/>
      <c r="D44" s="719" t="s">
        <v>5388</v>
      </c>
      <c r="E44" s="599"/>
      <c r="F44" s="600">
        <f>(7.74*1.1*1.8)*0.4</f>
        <v>6.1300800000000013</v>
      </c>
      <c r="G44" s="877"/>
      <c r="H44" s="720"/>
      <c r="I44" s="721"/>
      <c r="J44" s="722"/>
      <c r="U44" s="724"/>
      <c r="W44" s="724"/>
    </row>
    <row r="45" spans="1:23" s="723" customFormat="1" ht="13.5" customHeight="1">
      <c r="A45" s="716"/>
      <c r="B45" s="717"/>
      <c r="C45" s="718"/>
      <c r="D45" s="719" t="s">
        <v>5389</v>
      </c>
      <c r="E45" s="599"/>
      <c r="F45" s="600">
        <f>(1.94*1.1*1.7)*0.4</f>
        <v>1.45112</v>
      </c>
      <c r="G45" s="877"/>
      <c r="H45" s="720"/>
      <c r="I45" s="721"/>
      <c r="J45" s="722"/>
      <c r="U45" s="724"/>
      <c r="W45" s="724"/>
    </row>
    <row r="46" spans="1:23" s="604" customFormat="1" ht="27" customHeight="1">
      <c r="A46" s="595"/>
      <c r="B46" s="596"/>
      <c r="C46" s="597"/>
      <c r="D46" s="597" t="s">
        <v>4323</v>
      </c>
      <c r="E46" s="597"/>
      <c r="F46" s="607"/>
      <c r="G46" s="289"/>
      <c r="H46" s="601"/>
      <c r="I46" s="602"/>
      <c r="J46" s="606"/>
      <c r="U46" s="605"/>
      <c r="W46" s="605"/>
    </row>
    <row r="47" spans="1:23" s="612" customFormat="1" ht="13.5" customHeight="1">
      <c r="A47" s="608">
        <v>13</v>
      </c>
      <c r="B47" s="557" t="s">
        <v>135</v>
      </c>
      <c r="C47" s="557">
        <v>151101101</v>
      </c>
      <c r="D47" s="557" t="s">
        <v>2371</v>
      </c>
      <c r="E47" s="557" t="s">
        <v>163</v>
      </c>
      <c r="F47" s="573">
        <f>ROUND(SUM(F51:F52),3)</f>
        <v>27.568000000000001</v>
      </c>
      <c r="G47" s="288"/>
      <c r="H47" s="568">
        <f t="shared" ref="H47" si="6">ROUND(F47*G47,2)</f>
        <v>0</v>
      </c>
      <c r="I47" s="613" t="s">
        <v>137</v>
      </c>
    </row>
    <row r="48" spans="1:23" s="723" customFormat="1" ht="13.5" customHeight="1">
      <c r="A48" s="716"/>
      <c r="B48" s="717"/>
      <c r="C48" s="718"/>
      <c r="D48" s="719" t="s">
        <v>5390</v>
      </c>
      <c r="E48" s="599"/>
      <c r="F48" s="600"/>
      <c r="G48" s="877"/>
      <c r="H48" s="720"/>
      <c r="I48" s="721"/>
      <c r="J48" s="722"/>
      <c r="U48" s="724"/>
      <c r="W48" s="724"/>
    </row>
    <row r="49" spans="1:23" s="723" customFormat="1" ht="13.5" customHeight="1">
      <c r="A49" s="716"/>
      <c r="B49" s="717"/>
      <c r="C49" s="718"/>
      <c r="D49" s="719" t="s">
        <v>5391</v>
      </c>
      <c r="E49" s="599"/>
      <c r="F49" s="600"/>
      <c r="G49" s="877"/>
      <c r="H49" s="720"/>
      <c r="I49" s="721"/>
      <c r="J49" s="722"/>
      <c r="U49" s="724"/>
      <c r="W49" s="724"/>
    </row>
    <row r="50" spans="1:23" s="723" customFormat="1" ht="13.5" customHeight="1">
      <c r="A50" s="716"/>
      <c r="B50" s="717"/>
      <c r="C50" s="718"/>
      <c r="D50" s="719" t="s">
        <v>5379</v>
      </c>
      <c r="E50" s="599"/>
      <c r="F50" s="600"/>
      <c r="G50" s="877"/>
      <c r="H50" s="720"/>
      <c r="I50" s="721"/>
      <c r="J50" s="722"/>
      <c r="U50" s="724"/>
      <c r="W50" s="724"/>
    </row>
    <row r="51" spans="1:23" s="723" customFormat="1" ht="13.5" customHeight="1">
      <c r="A51" s="716"/>
      <c r="B51" s="717"/>
      <c r="C51" s="718"/>
      <c r="D51" s="719" t="s">
        <v>5392</v>
      </c>
      <c r="E51" s="599"/>
      <c r="F51" s="600">
        <f>((7.74*1.8)*2)*0.8</f>
        <v>22.291200000000003</v>
      </c>
      <c r="G51" s="877"/>
      <c r="H51" s="720"/>
      <c r="I51" s="721"/>
      <c r="J51" s="722"/>
      <c r="U51" s="724"/>
      <c r="W51" s="724"/>
    </row>
    <row r="52" spans="1:23" s="723" customFormat="1" ht="13.5" customHeight="1">
      <c r="A52" s="716"/>
      <c r="B52" s="717"/>
      <c r="C52" s="718"/>
      <c r="D52" s="719" t="s">
        <v>5393</v>
      </c>
      <c r="E52" s="599"/>
      <c r="F52" s="600">
        <f>((1.94*1.7)*2)*0.8</f>
        <v>5.2768000000000006</v>
      </c>
      <c r="G52" s="877"/>
      <c r="H52" s="720"/>
      <c r="I52" s="721"/>
      <c r="J52" s="722"/>
      <c r="U52" s="724"/>
      <c r="W52" s="724"/>
    </row>
    <row r="53" spans="1:23" s="612" customFormat="1" ht="13.5" customHeight="1">
      <c r="A53" s="608">
        <v>14</v>
      </c>
      <c r="B53" s="557" t="s">
        <v>135</v>
      </c>
      <c r="C53" s="557">
        <v>151101111</v>
      </c>
      <c r="D53" s="557" t="s">
        <v>2378</v>
      </c>
      <c r="E53" s="557" t="s">
        <v>163</v>
      </c>
      <c r="F53" s="615">
        <f>F47</f>
        <v>27.568000000000001</v>
      </c>
      <c r="G53" s="288"/>
      <c r="H53" s="568">
        <f t="shared" ref="H53:H54" si="7">ROUND(F53*G53,2)</f>
        <v>0</v>
      </c>
      <c r="I53" s="613" t="s">
        <v>137</v>
      </c>
    </row>
    <row r="54" spans="1:23" s="612" customFormat="1" ht="13.5" customHeight="1">
      <c r="A54" s="608">
        <v>15</v>
      </c>
      <c r="B54" s="557" t="s">
        <v>135</v>
      </c>
      <c r="C54" s="557">
        <v>174151101</v>
      </c>
      <c r="D54" s="557" t="s">
        <v>4579</v>
      </c>
      <c r="E54" s="557" t="s">
        <v>146</v>
      </c>
      <c r="F54" s="573">
        <f>ROUND(SUM(F58:F59),3)</f>
        <v>13.097</v>
      </c>
      <c r="G54" s="288"/>
      <c r="H54" s="568">
        <f t="shared" si="7"/>
        <v>0</v>
      </c>
      <c r="I54" s="613" t="s">
        <v>137</v>
      </c>
    </row>
    <row r="55" spans="1:23" s="723" customFormat="1" ht="13.5" customHeight="1">
      <c r="A55" s="716"/>
      <c r="B55" s="717"/>
      <c r="C55" s="718"/>
      <c r="D55" s="719" t="s">
        <v>5394</v>
      </c>
      <c r="E55" s="599"/>
      <c r="F55" s="600"/>
      <c r="G55" s="877"/>
      <c r="H55" s="720"/>
      <c r="I55" s="721"/>
      <c r="J55" s="722"/>
      <c r="U55" s="724"/>
      <c r="W55" s="724"/>
    </row>
    <row r="56" spans="1:23" s="723" customFormat="1" ht="13.5" customHeight="1">
      <c r="A56" s="716"/>
      <c r="B56" s="717"/>
      <c r="C56" s="718"/>
      <c r="D56" s="719" t="s">
        <v>5395</v>
      </c>
      <c r="E56" s="599"/>
      <c r="F56" s="600"/>
      <c r="G56" s="877"/>
      <c r="H56" s="720"/>
      <c r="I56" s="721"/>
      <c r="J56" s="722"/>
      <c r="U56" s="724"/>
      <c r="W56" s="724"/>
    </row>
    <row r="57" spans="1:23" s="723" customFormat="1" ht="13.5" customHeight="1">
      <c r="A57" s="716"/>
      <c r="B57" s="717"/>
      <c r="C57" s="718"/>
      <c r="D57" s="719" t="s">
        <v>5379</v>
      </c>
      <c r="E57" s="599"/>
      <c r="F57" s="600"/>
      <c r="G57" s="877"/>
      <c r="H57" s="720"/>
      <c r="I57" s="721"/>
      <c r="J57" s="722"/>
      <c r="U57" s="724"/>
      <c r="W57" s="724"/>
    </row>
    <row r="58" spans="1:23" s="723" customFormat="1" ht="13.5" customHeight="1">
      <c r="A58" s="716"/>
      <c r="B58" s="717"/>
      <c r="C58" s="718"/>
      <c r="D58" s="719" t="s">
        <v>5396</v>
      </c>
      <c r="E58" s="599"/>
      <c r="F58" s="600">
        <f>(7.74*1.1)*(1.8-0.15-0.4)</f>
        <v>10.642500000000002</v>
      </c>
      <c r="G58" s="877"/>
      <c r="H58" s="720"/>
      <c r="I58" s="721"/>
      <c r="J58" s="722"/>
      <c r="U58" s="724"/>
      <c r="W58" s="724"/>
    </row>
    <row r="59" spans="1:23" s="723" customFormat="1" ht="13.5" customHeight="1">
      <c r="A59" s="716"/>
      <c r="B59" s="717"/>
      <c r="C59" s="718"/>
      <c r="D59" s="719" t="s">
        <v>5397</v>
      </c>
      <c r="E59" s="599"/>
      <c r="F59" s="600">
        <f>(1.94*1.1)*(1.7-0.15-0.4)</f>
        <v>2.4540999999999995</v>
      </c>
      <c r="G59" s="877"/>
      <c r="H59" s="720"/>
      <c r="I59" s="721"/>
      <c r="J59" s="722"/>
      <c r="U59" s="724"/>
      <c r="W59" s="724"/>
    </row>
    <row r="60" spans="1:23" s="612" customFormat="1" ht="13.5" customHeight="1">
      <c r="A60" s="729">
        <v>16</v>
      </c>
      <c r="B60" s="730">
        <v>583</v>
      </c>
      <c r="C60" s="730">
        <v>58343930</v>
      </c>
      <c r="D60" s="730" t="s">
        <v>4662</v>
      </c>
      <c r="E60" s="730" t="s">
        <v>175</v>
      </c>
      <c r="F60" s="731">
        <f>ROUND(SUM(F63:F64),3)</f>
        <v>26.193999999999999</v>
      </c>
      <c r="G60" s="292"/>
      <c r="H60" s="733">
        <f t="shared" ref="H60" si="8">ROUND(F60*G60,2)</f>
        <v>0</v>
      </c>
      <c r="I60" s="734" t="s">
        <v>137</v>
      </c>
    </row>
    <row r="61" spans="1:23" s="723" customFormat="1" ht="13.5" customHeight="1">
      <c r="A61" s="735"/>
      <c r="B61" s="736"/>
      <c r="C61" s="737"/>
      <c r="D61" s="738" t="s">
        <v>5398</v>
      </c>
      <c r="E61" s="739"/>
      <c r="F61" s="740"/>
      <c r="G61" s="878"/>
      <c r="H61" s="741"/>
      <c r="I61" s="742"/>
      <c r="J61" s="722"/>
      <c r="U61" s="724"/>
      <c r="W61" s="724"/>
    </row>
    <row r="62" spans="1:23" s="723" customFormat="1" ht="13.5" customHeight="1">
      <c r="A62" s="735"/>
      <c r="B62" s="736"/>
      <c r="C62" s="737"/>
      <c r="D62" s="738" t="s">
        <v>5379</v>
      </c>
      <c r="E62" s="739"/>
      <c r="F62" s="740"/>
      <c r="G62" s="878"/>
      <c r="H62" s="741"/>
      <c r="I62" s="742"/>
      <c r="J62" s="722"/>
      <c r="U62" s="724"/>
      <c r="W62" s="724"/>
    </row>
    <row r="63" spans="1:23" s="723" customFormat="1" ht="13.5" customHeight="1">
      <c r="A63" s="735"/>
      <c r="B63" s="736"/>
      <c r="C63" s="737"/>
      <c r="D63" s="738" t="s">
        <v>5399</v>
      </c>
      <c r="E63" s="739"/>
      <c r="F63" s="740">
        <f>(10.643)*2</f>
        <v>21.286000000000001</v>
      </c>
      <c r="G63" s="878"/>
      <c r="H63" s="741"/>
      <c r="I63" s="742"/>
      <c r="J63" s="722"/>
      <c r="U63" s="724"/>
      <c r="W63" s="724"/>
    </row>
    <row r="64" spans="1:23" s="723" customFormat="1" ht="13.5" customHeight="1">
      <c r="A64" s="735"/>
      <c r="B64" s="736"/>
      <c r="C64" s="737"/>
      <c r="D64" s="738" t="s">
        <v>5400</v>
      </c>
      <c r="E64" s="739"/>
      <c r="F64" s="740">
        <f>(2.454)*2</f>
        <v>4.9080000000000004</v>
      </c>
      <c r="G64" s="878"/>
      <c r="H64" s="741"/>
      <c r="I64" s="742"/>
      <c r="J64" s="722"/>
      <c r="U64" s="724"/>
      <c r="W64" s="724"/>
    </row>
    <row r="65" spans="1:257" s="612" customFormat="1" ht="13.5" customHeight="1">
      <c r="A65" s="608">
        <v>17</v>
      </c>
      <c r="B65" s="557" t="s">
        <v>135</v>
      </c>
      <c r="C65" s="557">
        <v>175111101</v>
      </c>
      <c r="D65" s="557" t="s">
        <v>2392</v>
      </c>
      <c r="E65" s="557" t="s">
        <v>146</v>
      </c>
      <c r="F65" s="573">
        <f>ROUND(SUM(F68:F69),3)</f>
        <v>4.2590000000000003</v>
      </c>
      <c r="G65" s="288"/>
      <c r="H65" s="568">
        <f t="shared" ref="H65" si="9">ROUND(F65*G65,2)</f>
        <v>0</v>
      </c>
      <c r="I65" s="613" t="s">
        <v>137</v>
      </c>
    </row>
    <row r="66" spans="1:257" s="612" customFormat="1" ht="13.5" customHeight="1">
      <c r="A66" s="608"/>
      <c r="B66" s="557"/>
      <c r="C66" s="557"/>
      <c r="D66" s="719" t="s">
        <v>5401</v>
      </c>
      <c r="E66" s="557"/>
      <c r="F66" s="615"/>
      <c r="G66" s="288"/>
      <c r="H66" s="609"/>
      <c r="I66" s="613"/>
    </row>
    <row r="67" spans="1:257" s="723" customFormat="1" ht="13.5" customHeight="1">
      <c r="A67" s="716"/>
      <c r="B67" s="717"/>
      <c r="C67" s="718"/>
      <c r="D67" s="719" t="s">
        <v>5379</v>
      </c>
      <c r="E67" s="599"/>
      <c r="F67" s="600"/>
      <c r="G67" s="877"/>
      <c r="H67" s="720"/>
      <c r="I67" s="721"/>
      <c r="J67" s="722"/>
      <c r="U67" s="724"/>
      <c r="W67" s="724"/>
    </row>
    <row r="68" spans="1:257" s="723" customFormat="1" ht="13.5" customHeight="1">
      <c r="A68" s="716"/>
      <c r="B68" s="717"/>
      <c r="C68" s="718"/>
      <c r="D68" s="719" t="s">
        <v>5402</v>
      </c>
      <c r="E68" s="599"/>
      <c r="F68" s="600">
        <f>(7.74*1.1)*(0.4)</f>
        <v>3.4056000000000006</v>
      </c>
      <c r="G68" s="877"/>
      <c r="H68" s="720"/>
      <c r="I68" s="721"/>
      <c r="J68" s="722"/>
      <c r="U68" s="724"/>
      <c r="W68" s="724"/>
    </row>
    <row r="69" spans="1:257" s="723" customFormat="1" ht="13.5" customHeight="1">
      <c r="A69" s="716"/>
      <c r="B69" s="717"/>
      <c r="C69" s="718"/>
      <c r="D69" s="719" t="s">
        <v>5403</v>
      </c>
      <c r="E69" s="599"/>
      <c r="F69" s="600">
        <f>(1.94*1.1)*(0.4)</f>
        <v>0.85360000000000003</v>
      </c>
      <c r="G69" s="877"/>
      <c r="H69" s="720"/>
      <c r="I69" s="721"/>
      <c r="J69" s="722"/>
      <c r="U69" s="724"/>
      <c r="W69" s="724"/>
    </row>
    <row r="70" spans="1:257" s="612" customFormat="1" ht="13.5" customHeight="1">
      <c r="A70" s="729">
        <v>18</v>
      </c>
      <c r="B70" s="730">
        <v>583</v>
      </c>
      <c r="C70" s="730" t="s">
        <v>5404</v>
      </c>
      <c r="D70" s="730" t="s">
        <v>5405</v>
      </c>
      <c r="E70" s="730" t="s">
        <v>175</v>
      </c>
      <c r="F70" s="731">
        <f>ROUND(SUM(F73:F74),3)</f>
        <v>8.52</v>
      </c>
      <c r="G70" s="292"/>
      <c r="H70" s="733">
        <f t="shared" ref="H70" si="10">ROUND(F70*G70,2)</f>
        <v>0</v>
      </c>
      <c r="I70" s="734" t="s">
        <v>112</v>
      </c>
    </row>
    <row r="71" spans="1:257" s="612" customFormat="1" ht="13.5" customHeight="1">
      <c r="A71" s="729"/>
      <c r="B71" s="730"/>
      <c r="C71" s="730"/>
      <c r="D71" s="738" t="s">
        <v>5401</v>
      </c>
      <c r="E71" s="730"/>
      <c r="F71" s="743"/>
      <c r="G71" s="292"/>
      <c r="H71" s="732"/>
      <c r="I71" s="734"/>
    </row>
    <row r="72" spans="1:257" s="723" customFormat="1" ht="13.5" customHeight="1">
      <c r="A72" s="735"/>
      <c r="B72" s="736"/>
      <c r="C72" s="737"/>
      <c r="D72" s="738" t="s">
        <v>5379</v>
      </c>
      <c r="E72" s="739"/>
      <c r="F72" s="740"/>
      <c r="G72" s="878"/>
      <c r="H72" s="741"/>
      <c r="I72" s="742"/>
      <c r="J72" s="722"/>
      <c r="U72" s="724"/>
      <c r="W72" s="724"/>
    </row>
    <row r="73" spans="1:257" s="723" customFormat="1" ht="13.5" customHeight="1">
      <c r="A73" s="735"/>
      <c r="B73" s="736"/>
      <c r="C73" s="737"/>
      <c r="D73" s="738" t="s">
        <v>5406</v>
      </c>
      <c r="E73" s="739"/>
      <c r="F73" s="740">
        <f>(3.406)*2</f>
        <v>6.8120000000000003</v>
      </c>
      <c r="G73" s="878"/>
      <c r="H73" s="741"/>
      <c r="I73" s="742"/>
      <c r="J73" s="722"/>
      <c r="U73" s="724"/>
      <c r="W73" s="724"/>
    </row>
    <row r="74" spans="1:257" s="723" customFormat="1" ht="13.5" customHeight="1">
      <c r="A74" s="735"/>
      <c r="B74" s="736"/>
      <c r="C74" s="737"/>
      <c r="D74" s="738" t="s">
        <v>5407</v>
      </c>
      <c r="E74" s="739"/>
      <c r="F74" s="740">
        <f>(0.854)*2</f>
        <v>1.708</v>
      </c>
      <c r="G74" s="878"/>
      <c r="H74" s="741"/>
      <c r="I74" s="742"/>
      <c r="J74" s="722"/>
      <c r="U74" s="724"/>
      <c r="W74" s="724"/>
    </row>
    <row r="75" spans="1:257" s="562" customFormat="1" ht="13.5" customHeight="1">
      <c r="A75" s="564">
        <v>19</v>
      </c>
      <c r="B75" s="572" t="s">
        <v>135</v>
      </c>
      <c r="C75" s="565" t="s">
        <v>4782</v>
      </c>
      <c r="D75" s="565" t="s">
        <v>4783</v>
      </c>
      <c r="E75" s="565" t="s">
        <v>146</v>
      </c>
      <c r="F75" s="566">
        <f>SUM(F77,F79)</f>
        <v>18.954000000000001</v>
      </c>
      <c r="G75" s="655">
        <f>SUM(H82:H86)/F75</f>
        <v>0</v>
      </c>
      <c r="H75" s="655">
        <f>F75*G75</f>
        <v>0</v>
      </c>
      <c r="I75" s="744" t="s">
        <v>112</v>
      </c>
    </row>
    <row r="76" spans="1:257" s="753" customFormat="1" ht="13.5" customHeight="1">
      <c r="A76" s="745"/>
      <c r="B76" s="746"/>
      <c r="C76" s="747"/>
      <c r="D76" s="748" t="s">
        <v>5408</v>
      </c>
      <c r="E76" s="747"/>
      <c r="F76" s="749"/>
      <c r="G76" s="373"/>
      <c r="H76" s="750"/>
      <c r="I76" s="751"/>
      <c r="J76" s="752"/>
      <c r="L76" s="754"/>
      <c r="M76" s="755"/>
      <c r="N76" s="754"/>
      <c r="O76" s="754"/>
      <c r="P76" s="754"/>
      <c r="Q76" s="754"/>
      <c r="R76" s="754"/>
      <c r="S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c r="CB76" s="754"/>
      <c r="CC76" s="754"/>
      <c r="CD76" s="754"/>
      <c r="CE76" s="754"/>
      <c r="CF76" s="754"/>
      <c r="CG76" s="754"/>
      <c r="CH76" s="754"/>
      <c r="CI76" s="754"/>
      <c r="CJ76" s="754"/>
      <c r="CK76" s="754"/>
      <c r="CL76" s="754"/>
      <c r="CM76" s="754"/>
      <c r="CN76" s="754"/>
      <c r="CO76" s="754"/>
      <c r="CP76" s="754"/>
      <c r="CQ76" s="754"/>
      <c r="CR76" s="754"/>
      <c r="CS76" s="754"/>
      <c r="CT76" s="754"/>
      <c r="CU76" s="754"/>
      <c r="CV76" s="754"/>
      <c r="CW76" s="754"/>
      <c r="CX76" s="754"/>
      <c r="CY76" s="754"/>
      <c r="CZ76" s="754"/>
      <c r="DA76" s="754"/>
      <c r="DB76" s="754"/>
      <c r="DC76" s="754"/>
      <c r="DD76" s="754"/>
      <c r="DE76" s="754"/>
      <c r="DF76" s="754"/>
      <c r="DG76" s="754"/>
      <c r="DH76" s="754"/>
      <c r="DI76" s="754"/>
      <c r="DJ76" s="754"/>
      <c r="DK76" s="754"/>
      <c r="DL76" s="754"/>
      <c r="DM76" s="754"/>
      <c r="DN76" s="754"/>
      <c r="DO76" s="754"/>
      <c r="DP76" s="754"/>
      <c r="DQ76" s="754"/>
      <c r="DR76" s="754"/>
      <c r="DS76" s="754"/>
      <c r="DT76" s="754"/>
      <c r="DU76" s="754"/>
      <c r="DV76" s="754"/>
      <c r="DW76" s="754"/>
      <c r="DX76" s="754"/>
      <c r="DY76" s="754"/>
      <c r="DZ76" s="754"/>
      <c r="EA76" s="754"/>
      <c r="EB76" s="754"/>
      <c r="EC76" s="754"/>
      <c r="ED76" s="754"/>
      <c r="EE76" s="754"/>
      <c r="EF76" s="754"/>
      <c r="EG76" s="754"/>
      <c r="EH76" s="754"/>
      <c r="EI76" s="754"/>
      <c r="EJ76" s="754"/>
      <c r="EK76" s="754"/>
      <c r="EL76" s="754"/>
      <c r="EM76" s="754"/>
      <c r="EN76" s="754"/>
      <c r="EO76" s="754"/>
      <c r="EP76" s="754"/>
      <c r="EQ76" s="754"/>
      <c r="ER76" s="754"/>
      <c r="ES76" s="754"/>
      <c r="ET76" s="754"/>
      <c r="EU76" s="754"/>
      <c r="EV76" s="754"/>
      <c r="EW76" s="754"/>
      <c r="EX76" s="754"/>
      <c r="EY76" s="754"/>
      <c r="EZ76" s="754"/>
      <c r="FA76" s="754"/>
      <c r="FB76" s="754"/>
      <c r="FC76" s="754"/>
      <c r="FD76" s="754"/>
      <c r="FE76" s="754"/>
      <c r="FF76" s="754"/>
      <c r="FG76" s="754"/>
      <c r="FH76" s="754"/>
      <c r="FI76" s="754"/>
      <c r="FJ76" s="754"/>
      <c r="FK76" s="754"/>
      <c r="FL76" s="754"/>
      <c r="FM76" s="754"/>
      <c r="FN76" s="754"/>
      <c r="FO76" s="754"/>
      <c r="FP76" s="754"/>
      <c r="FQ76" s="754"/>
      <c r="FR76" s="754"/>
      <c r="FS76" s="754"/>
      <c r="FT76" s="754"/>
      <c r="FU76" s="754"/>
      <c r="FV76" s="754"/>
      <c r="FW76" s="754"/>
      <c r="FX76" s="754"/>
      <c r="FY76" s="754"/>
      <c r="FZ76" s="754"/>
      <c r="GA76" s="754"/>
      <c r="GB76" s="754"/>
      <c r="GC76" s="754"/>
      <c r="GD76" s="754"/>
      <c r="GE76" s="754"/>
      <c r="GF76" s="754"/>
      <c r="GG76" s="754"/>
      <c r="GH76" s="754"/>
      <c r="GI76" s="754"/>
      <c r="GJ76" s="754"/>
      <c r="GK76" s="754"/>
      <c r="GL76" s="754"/>
      <c r="GM76" s="754"/>
      <c r="GN76" s="754"/>
      <c r="GO76" s="754"/>
      <c r="GP76" s="754"/>
      <c r="GQ76" s="754"/>
      <c r="GR76" s="754"/>
      <c r="GS76" s="754"/>
      <c r="GT76" s="754"/>
      <c r="GU76" s="754"/>
      <c r="GV76" s="754"/>
      <c r="GW76" s="754"/>
      <c r="GX76" s="754"/>
      <c r="GY76" s="754"/>
      <c r="GZ76" s="754"/>
      <c r="HA76" s="754"/>
      <c r="HB76" s="754"/>
      <c r="HC76" s="754"/>
      <c r="HD76" s="754"/>
      <c r="HE76" s="754"/>
      <c r="HF76" s="754"/>
      <c r="HG76" s="754"/>
      <c r="HH76" s="754"/>
      <c r="HI76" s="754"/>
      <c r="HJ76" s="754"/>
      <c r="HK76" s="754"/>
      <c r="HL76" s="754"/>
      <c r="HM76" s="754"/>
      <c r="HN76" s="754"/>
      <c r="HO76" s="754"/>
      <c r="HP76" s="754"/>
      <c r="HQ76" s="754"/>
      <c r="HR76" s="754"/>
      <c r="HS76" s="754"/>
      <c r="HT76" s="754"/>
      <c r="HU76" s="754"/>
      <c r="HV76" s="754"/>
      <c r="HW76" s="754"/>
      <c r="HX76" s="754"/>
      <c r="HY76" s="754"/>
      <c r="HZ76" s="754"/>
      <c r="IA76" s="754"/>
      <c r="IB76" s="754"/>
      <c r="IC76" s="754"/>
      <c r="ID76" s="754"/>
      <c r="IE76" s="754"/>
      <c r="IF76" s="754"/>
      <c r="IG76" s="754"/>
      <c r="IH76" s="754"/>
      <c r="II76" s="754"/>
      <c r="IJ76" s="754"/>
      <c r="IK76" s="754"/>
      <c r="IL76" s="754"/>
      <c r="IM76" s="754"/>
      <c r="IN76" s="754"/>
      <c r="IO76" s="754"/>
      <c r="IP76" s="754"/>
      <c r="IQ76" s="754"/>
      <c r="IR76" s="754"/>
      <c r="IS76" s="754"/>
      <c r="IT76" s="754"/>
      <c r="IU76" s="754"/>
      <c r="IV76" s="754"/>
      <c r="IW76" s="754"/>
    </row>
    <row r="77" spans="1:257" s="753" customFormat="1" ht="13.5" customHeight="1">
      <c r="A77" s="745"/>
      <c r="B77" s="746"/>
      <c r="C77" s="565"/>
      <c r="D77" s="756" t="s">
        <v>182</v>
      </c>
      <c r="E77" s="757"/>
      <c r="F77" s="758">
        <f>SUM(F78:F78)</f>
        <v>10.425000000000001</v>
      </c>
      <c r="G77" s="374"/>
      <c r="H77" s="759"/>
      <c r="I77" s="751"/>
      <c r="J77" s="760"/>
      <c r="K77" s="593"/>
      <c r="L77" s="213"/>
      <c r="M77" s="213"/>
      <c r="N77" s="213"/>
      <c r="O77" s="213"/>
      <c r="P77" s="213"/>
      <c r="Q77" s="213"/>
      <c r="R77" s="213"/>
      <c r="S77" s="213"/>
      <c r="T77" s="213"/>
      <c r="U77" s="213"/>
      <c r="V77" s="213"/>
      <c r="W77" s="213"/>
      <c r="X77" s="213"/>
      <c r="Y77" s="213"/>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c r="CB77" s="754"/>
      <c r="CC77" s="754"/>
      <c r="CD77" s="754"/>
      <c r="CE77" s="754"/>
      <c r="CF77" s="754"/>
      <c r="CG77" s="754"/>
      <c r="CH77" s="754"/>
      <c r="CI77" s="754"/>
      <c r="CJ77" s="754"/>
      <c r="CK77" s="754"/>
      <c r="CL77" s="754"/>
      <c r="CM77" s="754"/>
      <c r="CN77" s="754"/>
      <c r="CO77" s="754"/>
      <c r="CP77" s="754"/>
      <c r="CQ77" s="754"/>
      <c r="CR77" s="754"/>
      <c r="CS77" s="754"/>
      <c r="CT77" s="754"/>
      <c r="CU77" s="754"/>
      <c r="CV77" s="754"/>
      <c r="CW77" s="754"/>
      <c r="CX77" s="754"/>
      <c r="CY77" s="754"/>
      <c r="CZ77" s="754"/>
      <c r="DA77" s="754"/>
      <c r="DB77" s="754"/>
      <c r="DC77" s="754"/>
      <c r="DD77" s="754"/>
      <c r="DE77" s="754"/>
      <c r="DF77" s="754"/>
      <c r="DG77" s="754"/>
      <c r="DH77" s="754"/>
      <c r="DI77" s="754"/>
      <c r="DJ77" s="754"/>
      <c r="DK77" s="754"/>
      <c r="DL77" s="754"/>
      <c r="DM77" s="754"/>
      <c r="DN77" s="754"/>
      <c r="DO77" s="754"/>
      <c r="DP77" s="754"/>
      <c r="DQ77" s="754"/>
      <c r="DR77" s="754"/>
      <c r="DS77" s="754"/>
      <c r="DT77" s="754"/>
      <c r="DU77" s="754"/>
      <c r="DV77" s="754"/>
      <c r="DW77" s="754"/>
      <c r="DX77" s="754"/>
      <c r="DY77" s="754"/>
      <c r="DZ77" s="754"/>
      <c r="EA77" s="754"/>
      <c r="EB77" s="754"/>
      <c r="EC77" s="754"/>
      <c r="ED77" s="754"/>
      <c r="EE77" s="754"/>
      <c r="EF77" s="754"/>
      <c r="EG77" s="754"/>
      <c r="EH77" s="754"/>
      <c r="EI77" s="754"/>
      <c r="EJ77" s="754"/>
      <c r="EK77" s="754"/>
      <c r="EL77" s="754"/>
      <c r="EM77" s="754"/>
      <c r="EN77" s="754"/>
      <c r="EO77" s="754"/>
      <c r="EP77" s="754"/>
      <c r="EQ77" s="754"/>
      <c r="ER77" s="754"/>
      <c r="ES77" s="754"/>
      <c r="ET77" s="754"/>
      <c r="EU77" s="754"/>
      <c r="EV77" s="754"/>
      <c r="EW77" s="754"/>
      <c r="EX77" s="754"/>
      <c r="EY77" s="754"/>
      <c r="EZ77" s="754"/>
      <c r="FA77" s="754"/>
      <c r="FB77" s="754"/>
      <c r="FC77" s="754"/>
      <c r="FD77" s="754"/>
      <c r="FE77" s="754"/>
      <c r="FF77" s="754"/>
      <c r="FG77" s="754"/>
      <c r="FH77" s="754"/>
      <c r="FI77" s="754"/>
      <c r="FJ77" s="754"/>
      <c r="FK77" s="754"/>
      <c r="FL77" s="754"/>
      <c r="FM77" s="754"/>
      <c r="FN77" s="754"/>
      <c r="FO77" s="754"/>
      <c r="FP77" s="754"/>
      <c r="FQ77" s="754"/>
      <c r="FR77" s="754"/>
      <c r="FS77" s="754"/>
      <c r="FT77" s="754"/>
      <c r="FU77" s="754"/>
      <c r="FV77" s="754"/>
      <c r="FW77" s="754"/>
      <c r="FX77" s="754"/>
      <c r="FY77" s="754"/>
      <c r="FZ77" s="754"/>
      <c r="GA77" s="754"/>
      <c r="GB77" s="754"/>
      <c r="GC77" s="754"/>
      <c r="GD77" s="754"/>
      <c r="GE77" s="754"/>
      <c r="GF77" s="754"/>
      <c r="GG77" s="754"/>
      <c r="GH77" s="754"/>
      <c r="GI77" s="754"/>
      <c r="GJ77" s="754"/>
      <c r="GK77" s="754"/>
      <c r="GL77" s="754"/>
      <c r="GM77" s="754"/>
      <c r="GN77" s="754"/>
      <c r="GO77" s="754"/>
      <c r="GP77" s="754"/>
      <c r="GQ77" s="754"/>
      <c r="GR77" s="754"/>
      <c r="GS77" s="754"/>
      <c r="GT77" s="754"/>
      <c r="GU77" s="754"/>
      <c r="GV77" s="754"/>
      <c r="GW77" s="754"/>
      <c r="GX77" s="754"/>
      <c r="GY77" s="754"/>
      <c r="GZ77" s="754"/>
      <c r="HA77" s="754"/>
      <c r="HB77" s="754"/>
      <c r="HC77" s="754"/>
      <c r="HD77" s="754"/>
      <c r="HE77" s="754"/>
      <c r="HF77" s="754"/>
      <c r="HG77" s="754"/>
      <c r="HH77" s="754"/>
      <c r="HI77" s="754"/>
      <c r="HJ77" s="754"/>
      <c r="HK77" s="754"/>
      <c r="HL77" s="754"/>
      <c r="HM77" s="754"/>
      <c r="HN77" s="754"/>
      <c r="HO77" s="754"/>
      <c r="HP77" s="754"/>
      <c r="HQ77" s="754"/>
      <c r="HR77" s="754"/>
      <c r="HS77" s="754"/>
      <c r="HT77" s="754"/>
      <c r="HU77" s="754"/>
      <c r="HV77" s="754"/>
      <c r="HW77" s="754"/>
      <c r="HX77" s="754"/>
      <c r="HY77" s="754"/>
      <c r="HZ77" s="754"/>
      <c r="IA77" s="754"/>
      <c r="IB77" s="754"/>
      <c r="IC77" s="754"/>
      <c r="ID77" s="754"/>
      <c r="IE77" s="754"/>
      <c r="IF77" s="754"/>
      <c r="IG77" s="754"/>
      <c r="IH77" s="754"/>
      <c r="II77" s="754"/>
      <c r="IJ77" s="754"/>
      <c r="IK77" s="754"/>
      <c r="IL77" s="754"/>
      <c r="IM77" s="754"/>
      <c r="IN77" s="754"/>
      <c r="IO77" s="754"/>
      <c r="IP77" s="754"/>
      <c r="IQ77" s="754"/>
      <c r="IR77" s="754"/>
      <c r="IS77" s="754"/>
      <c r="IT77" s="754"/>
      <c r="IU77" s="754"/>
      <c r="IV77" s="754"/>
      <c r="IW77" s="754"/>
    </row>
    <row r="78" spans="1:257" s="593" customFormat="1" ht="13.5" customHeight="1">
      <c r="A78" s="761"/>
      <c r="B78" s="582"/>
      <c r="C78" s="583"/>
      <c r="D78" s="585" t="s">
        <v>5409</v>
      </c>
      <c r="E78" s="585"/>
      <c r="F78" s="762">
        <f>(9.477+0.948)</f>
        <v>10.425000000000001</v>
      </c>
      <c r="G78" s="879"/>
      <c r="H78" s="587"/>
      <c r="I78" s="588"/>
      <c r="J78" s="763"/>
      <c r="K78" s="753"/>
      <c r="L78" s="754"/>
      <c r="M78" s="764"/>
      <c r="N78" s="754"/>
      <c r="O78" s="754"/>
      <c r="P78" s="754"/>
      <c r="Q78" s="754"/>
      <c r="R78" s="754"/>
      <c r="S78" s="754"/>
      <c r="T78" s="754"/>
      <c r="U78" s="754"/>
      <c r="V78" s="754"/>
      <c r="W78" s="754"/>
      <c r="X78" s="754"/>
      <c r="Y78" s="754"/>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c r="CP78" s="213"/>
      <c r="CQ78" s="213"/>
      <c r="CR78" s="213"/>
      <c r="CS78" s="213"/>
      <c r="CT78" s="213"/>
      <c r="CU78" s="213"/>
      <c r="CV78" s="213"/>
      <c r="CW78" s="213"/>
      <c r="CX78" s="213"/>
      <c r="CY78" s="213"/>
      <c r="CZ78" s="213"/>
      <c r="DA78" s="213"/>
      <c r="DB78" s="213"/>
      <c r="DC78" s="213"/>
      <c r="DD78" s="213"/>
      <c r="DE78" s="213"/>
      <c r="DF78" s="213"/>
      <c r="DG78" s="213"/>
      <c r="DH78" s="213"/>
      <c r="DI78" s="213"/>
      <c r="DJ78" s="213"/>
      <c r="DK78" s="213"/>
      <c r="DL78" s="213"/>
      <c r="DM78" s="213"/>
      <c r="DN78" s="213"/>
      <c r="DO78" s="213"/>
      <c r="DP78" s="213"/>
      <c r="DQ78" s="213"/>
      <c r="DR78" s="213"/>
      <c r="DS78" s="213"/>
      <c r="DT78" s="213"/>
      <c r="DU78" s="213"/>
      <c r="DV78" s="213"/>
      <c r="DW78" s="213"/>
      <c r="DX78" s="213"/>
      <c r="DY78" s="213"/>
      <c r="DZ78" s="213"/>
      <c r="EA78" s="213"/>
      <c r="EB78" s="213"/>
      <c r="EC78" s="213"/>
      <c r="ED78" s="213"/>
      <c r="EE78" s="213"/>
      <c r="EF78" s="213"/>
      <c r="EG78" s="213"/>
      <c r="EH78" s="213"/>
      <c r="EI78" s="213"/>
      <c r="EJ78" s="213"/>
      <c r="EK78" s="213"/>
      <c r="EL78" s="213"/>
      <c r="EM78" s="213"/>
      <c r="EN78" s="213"/>
      <c r="EO78" s="213"/>
      <c r="EP78" s="213"/>
      <c r="EQ78" s="213"/>
      <c r="ER78" s="213"/>
      <c r="ES78" s="213"/>
      <c r="ET78" s="213"/>
      <c r="EU78" s="213"/>
      <c r="EV78" s="213"/>
      <c r="EW78" s="213"/>
      <c r="EX78" s="213"/>
      <c r="EY78" s="213"/>
      <c r="EZ78" s="213"/>
      <c r="FA78" s="213"/>
      <c r="FB78" s="213"/>
      <c r="FC78" s="213"/>
      <c r="FD78" s="213"/>
      <c r="FE78" s="213"/>
      <c r="FF78" s="213"/>
      <c r="FG78" s="213"/>
      <c r="FH78" s="213"/>
      <c r="FI78" s="213"/>
      <c r="FJ78" s="213"/>
      <c r="FK78" s="213"/>
      <c r="FL78" s="213"/>
      <c r="FM78" s="213"/>
      <c r="FN78" s="213"/>
      <c r="FO78" s="213"/>
      <c r="FP78" s="213"/>
      <c r="FQ78" s="213"/>
      <c r="FR78" s="213"/>
      <c r="FS78" s="213"/>
      <c r="FT78" s="213"/>
      <c r="FU78" s="213"/>
      <c r="FV78" s="213"/>
      <c r="FW78" s="213"/>
      <c r="FX78" s="213"/>
      <c r="FY78" s="213"/>
      <c r="FZ78" s="213"/>
      <c r="GA78" s="213"/>
      <c r="GB78" s="213"/>
      <c r="GC78" s="213"/>
      <c r="GD78" s="213"/>
      <c r="GE78" s="213"/>
      <c r="GF78" s="213"/>
      <c r="GG78" s="213"/>
      <c r="GH78" s="213"/>
      <c r="GI78" s="213"/>
      <c r="GJ78" s="213"/>
      <c r="GK78" s="213"/>
      <c r="GL78" s="213"/>
      <c r="GM78" s="213"/>
      <c r="GN78" s="213"/>
      <c r="GO78" s="213"/>
      <c r="GP78" s="213"/>
      <c r="GQ78" s="213"/>
      <c r="GR78" s="213"/>
      <c r="GS78" s="213"/>
      <c r="GT78" s="213"/>
      <c r="GU78" s="213"/>
      <c r="GV78" s="213"/>
      <c r="GW78" s="213"/>
      <c r="GX78" s="213"/>
      <c r="GY78" s="213"/>
      <c r="GZ78" s="213"/>
      <c r="HA78" s="213"/>
      <c r="HB78" s="213"/>
      <c r="HC78" s="213"/>
      <c r="HD78" s="213"/>
      <c r="HE78" s="213"/>
      <c r="HF78" s="213"/>
      <c r="HG78" s="213"/>
      <c r="HH78" s="213"/>
      <c r="HI78" s="213"/>
      <c r="HJ78" s="213"/>
      <c r="HK78" s="213"/>
      <c r="HL78" s="213"/>
      <c r="HM78" s="213"/>
      <c r="HN78" s="213"/>
      <c r="HO78" s="213"/>
      <c r="HP78" s="213"/>
      <c r="HQ78" s="213"/>
      <c r="HR78" s="213"/>
      <c r="HS78" s="213"/>
      <c r="HT78" s="213"/>
      <c r="HU78" s="213"/>
      <c r="HV78" s="213"/>
      <c r="HW78" s="213"/>
      <c r="HX78" s="213"/>
      <c r="HY78" s="213"/>
      <c r="HZ78" s="213"/>
      <c r="IA78" s="213"/>
      <c r="IB78" s="213"/>
      <c r="IC78" s="213"/>
      <c r="ID78" s="213"/>
      <c r="IE78" s="213"/>
      <c r="IF78" s="213"/>
      <c r="IG78" s="213"/>
      <c r="IH78" s="213"/>
      <c r="II78" s="213"/>
      <c r="IJ78" s="213"/>
      <c r="IK78" s="213"/>
      <c r="IL78" s="213"/>
      <c r="IM78" s="213"/>
      <c r="IN78" s="213"/>
      <c r="IO78" s="213"/>
      <c r="IP78" s="213"/>
      <c r="IQ78" s="213"/>
      <c r="IR78" s="213"/>
      <c r="IS78" s="213"/>
      <c r="IT78" s="213"/>
      <c r="IU78" s="213"/>
      <c r="IV78" s="213"/>
      <c r="IW78" s="213"/>
    </row>
    <row r="79" spans="1:257" s="753" customFormat="1" ht="13.5" customHeight="1">
      <c r="A79" s="745"/>
      <c r="B79" s="746"/>
      <c r="C79" s="565"/>
      <c r="D79" s="756" t="s">
        <v>185</v>
      </c>
      <c r="E79" s="757"/>
      <c r="F79" s="758">
        <f>SUM(F80:F80)</f>
        <v>8.5289999999999999</v>
      </c>
      <c r="G79" s="374"/>
      <c r="H79" s="759"/>
      <c r="I79" s="751"/>
      <c r="J79" s="765"/>
      <c r="K79" s="766"/>
      <c r="L79" s="375"/>
      <c r="M79" s="375"/>
      <c r="N79" s="375"/>
      <c r="O79" s="375"/>
      <c r="P79" s="213"/>
      <c r="Q79" s="213"/>
      <c r="R79" s="213"/>
      <c r="S79" s="213"/>
      <c r="T79" s="213"/>
      <c r="U79" s="213"/>
      <c r="V79" s="213"/>
      <c r="W79" s="213"/>
      <c r="X79" s="213"/>
      <c r="Y79" s="213"/>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c r="CB79" s="754"/>
      <c r="CC79" s="754"/>
      <c r="CD79" s="754"/>
      <c r="CE79" s="754"/>
      <c r="CF79" s="754"/>
      <c r="CG79" s="754"/>
      <c r="CH79" s="754"/>
      <c r="CI79" s="754"/>
      <c r="CJ79" s="754"/>
      <c r="CK79" s="754"/>
      <c r="CL79" s="754"/>
      <c r="CM79" s="754"/>
      <c r="CN79" s="754"/>
      <c r="CO79" s="754"/>
      <c r="CP79" s="754"/>
      <c r="CQ79" s="754"/>
      <c r="CR79" s="754"/>
      <c r="CS79" s="754"/>
      <c r="CT79" s="754"/>
      <c r="CU79" s="754"/>
      <c r="CV79" s="754"/>
      <c r="CW79" s="754"/>
      <c r="CX79" s="754"/>
      <c r="CY79" s="754"/>
      <c r="CZ79" s="754"/>
      <c r="DA79" s="754"/>
      <c r="DB79" s="754"/>
      <c r="DC79" s="754"/>
      <c r="DD79" s="754"/>
      <c r="DE79" s="754"/>
      <c r="DF79" s="754"/>
      <c r="DG79" s="754"/>
      <c r="DH79" s="754"/>
      <c r="DI79" s="754"/>
      <c r="DJ79" s="754"/>
      <c r="DK79" s="754"/>
      <c r="DL79" s="754"/>
      <c r="DM79" s="754"/>
      <c r="DN79" s="754"/>
      <c r="DO79" s="754"/>
      <c r="DP79" s="754"/>
      <c r="DQ79" s="754"/>
      <c r="DR79" s="754"/>
      <c r="DS79" s="754"/>
      <c r="DT79" s="754"/>
      <c r="DU79" s="754"/>
      <c r="DV79" s="754"/>
      <c r="DW79" s="754"/>
      <c r="DX79" s="754"/>
      <c r="DY79" s="754"/>
      <c r="DZ79" s="754"/>
      <c r="EA79" s="754"/>
      <c r="EB79" s="754"/>
      <c r="EC79" s="754"/>
      <c r="ED79" s="754"/>
      <c r="EE79" s="754"/>
      <c r="EF79" s="754"/>
      <c r="EG79" s="754"/>
      <c r="EH79" s="754"/>
      <c r="EI79" s="754"/>
      <c r="EJ79" s="754"/>
      <c r="EK79" s="754"/>
      <c r="EL79" s="754"/>
      <c r="EM79" s="754"/>
      <c r="EN79" s="754"/>
      <c r="EO79" s="754"/>
      <c r="EP79" s="754"/>
      <c r="EQ79" s="754"/>
      <c r="ER79" s="754"/>
      <c r="ES79" s="754"/>
      <c r="ET79" s="754"/>
      <c r="EU79" s="754"/>
      <c r="EV79" s="754"/>
      <c r="EW79" s="754"/>
      <c r="EX79" s="754"/>
      <c r="EY79" s="754"/>
      <c r="EZ79" s="754"/>
      <c r="FA79" s="754"/>
      <c r="FB79" s="754"/>
      <c r="FC79" s="754"/>
      <c r="FD79" s="754"/>
      <c r="FE79" s="754"/>
      <c r="FF79" s="754"/>
      <c r="FG79" s="754"/>
      <c r="FH79" s="754"/>
      <c r="FI79" s="754"/>
      <c r="FJ79" s="754"/>
      <c r="FK79" s="754"/>
      <c r="FL79" s="754"/>
      <c r="FM79" s="754"/>
      <c r="FN79" s="754"/>
      <c r="FO79" s="754"/>
      <c r="FP79" s="754"/>
      <c r="FQ79" s="754"/>
      <c r="FR79" s="754"/>
      <c r="FS79" s="754"/>
      <c r="FT79" s="754"/>
      <c r="FU79" s="754"/>
      <c r="FV79" s="754"/>
      <c r="FW79" s="754"/>
      <c r="FX79" s="754"/>
      <c r="FY79" s="754"/>
      <c r="FZ79" s="754"/>
      <c r="GA79" s="754"/>
      <c r="GB79" s="754"/>
      <c r="GC79" s="754"/>
      <c r="GD79" s="754"/>
      <c r="GE79" s="754"/>
      <c r="GF79" s="754"/>
      <c r="GG79" s="754"/>
      <c r="GH79" s="754"/>
      <c r="GI79" s="754"/>
      <c r="GJ79" s="754"/>
      <c r="GK79" s="754"/>
      <c r="GL79" s="754"/>
      <c r="GM79" s="754"/>
      <c r="GN79" s="754"/>
      <c r="GO79" s="754"/>
      <c r="GP79" s="754"/>
      <c r="GQ79" s="754"/>
      <c r="GR79" s="754"/>
      <c r="GS79" s="754"/>
      <c r="GT79" s="754"/>
      <c r="GU79" s="754"/>
      <c r="GV79" s="754"/>
      <c r="GW79" s="754"/>
      <c r="GX79" s="754"/>
      <c r="GY79" s="754"/>
      <c r="GZ79" s="754"/>
      <c r="HA79" s="754"/>
      <c r="HB79" s="754"/>
      <c r="HC79" s="754"/>
      <c r="HD79" s="754"/>
      <c r="HE79" s="754"/>
      <c r="HF79" s="754"/>
      <c r="HG79" s="754"/>
      <c r="HH79" s="754"/>
      <c r="HI79" s="754"/>
      <c r="HJ79" s="754"/>
      <c r="HK79" s="754"/>
      <c r="HL79" s="754"/>
      <c r="HM79" s="754"/>
      <c r="HN79" s="754"/>
      <c r="HO79" s="754"/>
      <c r="HP79" s="754"/>
      <c r="HQ79" s="754"/>
      <c r="HR79" s="754"/>
      <c r="HS79" s="754"/>
      <c r="HT79" s="754"/>
      <c r="HU79" s="754"/>
      <c r="HV79" s="754"/>
      <c r="HW79" s="754"/>
      <c r="HX79" s="754"/>
      <c r="HY79" s="754"/>
      <c r="HZ79" s="754"/>
      <c r="IA79" s="754"/>
      <c r="IB79" s="754"/>
      <c r="IC79" s="754"/>
      <c r="ID79" s="754"/>
      <c r="IE79" s="754"/>
      <c r="IF79" s="754"/>
      <c r="IG79" s="754"/>
      <c r="IH79" s="754"/>
      <c r="II79" s="754"/>
      <c r="IJ79" s="754"/>
      <c r="IK79" s="754"/>
      <c r="IL79" s="754"/>
      <c r="IM79" s="754"/>
      <c r="IN79" s="754"/>
      <c r="IO79" s="754"/>
      <c r="IP79" s="754"/>
      <c r="IQ79" s="754"/>
      <c r="IR79" s="754"/>
      <c r="IS79" s="754"/>
      <c r="IT79" s="754"/>
      <c r="IU79" s="754"/>
      <c r="IV79" s="754"/>
      <c r="IW79" s="754"/>
    </row>
    <row r="80" spans="1:257" s="593" customFormat="1" ht="13.5" customHeight="1">
      <c r="A80" s="761"/>
      <c r="B80" s="582"/>
      <c r="C80" s="583"/>
      <c r="D80" s="585" t="s">
        <v>5410</v>
      </c>
      <c r="E80" s="585"/>
      <c r="F80" s="762">
        <f>(7.581+0.948)</f>
        <v>8.5289999999999999</v>
      </c>
      <c r="G80" s="879"/>
      <c r="H80" s="587"/>
      <c r="I80" s="588"/>
      <c r="J80" s="767"/>
      <c r="K80" s="766"/>
      <c r="L80" s="375"/>
      <c r="M80" s="375"/>
      <c r="N80" s="375"/>
      <c r="O80" s="375"/>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c r="FX80" s="213"/>
      <c r="FY80" s="213"/>
      <c r="FZ80" s="213"/>
      <c r="GA80" s="213"/>
      <c r="GB80" s="213"/>
      <c r="GC80" s="213"/>
      <c r="GD80" s="213"/>
      <c r="GE80" s="213"/>
      <c r="GF80" s="213"/>
      <c r="GG80" s="213"/>
      <c r="GH80" s="213"/>
      <c r="GI80" s="213"/>
      <c r="GJ80" s="213"/>
      <c r="GK80" s="213"/>
      <c r="GL80" s="213"/>
      <c r="GM80" s="213"/>
      <c r="GN80" s="213"/>
      <c r="GO80" s="213"/>
      <c r="GP80" s="213"/>
      <c r="GQ80" s="213"/>
      <c r="GR80" s="213"/>
      <c r="GS80" s="213"/>
      <c r="GT80" s="213"/>
      <c r="GU80" s="213"/>
      <c r="GV80" s="213"/>
      <c r="GW80" s="213"/>
      <c r="GX80" s="213"/>
      <c r="GY80" s="213"/>
      <c r="GZ80" s="213"/>
      <c r="HA80" s="213"/>
      <c r="HB80" s="213"/>
      <c r="HC80" s="213"/>
      <c r="HD80" s="213"/>
      <c r="HE80" s="213"/>
      <c r="HF80" s="213"/>
      <c r="HG80" s="213"/>
      <c r="HH80" s="213"/>
      <c r="HI80" s="213"/>
      <c r="HJ80" s="213"/>
      <c r="HK80" s="213"/>
      <c r="HL80" s="213"/>
      <c r="HM80" s="213"/>
      <c r="HN80" s="213"/>
      <c r="HO80" s="213"/>
      <c r="HP80" s="213"/>
      <c r="HQ80" s="213"/>
      <c r="HR80" s="213"/>
      <c r="HS80" s="213"/>
      <c r="HT80" s="213"/>
      <c r="HU80" s="213"/>
      <c r="HV80" s="213"/>
      <c r="HW80" s="213"/>
      <c r="HX80" s="213"/>
      <c r="HY80" s="213"/>
      <c r="HZ80" s="213"/>
      <c r="IA80" s="213"/>
      <c r="IB80" s="213"/>
      <c r="IC80" s="213"/>
      <c r="ID80" s="213"/>
      <c r="IE80" s="213"/>
      <c r="IF80" s="213"/>
      <c r="IG80" s="213"/>
      <c r="IH80" s="213"/>
      <c r="II80" s="213"/>
      <c r="IJ80" s="213"/>
      <c r="IK80" s="213"/>
      <c r="IL80" s="213"/>
      <c r="IM80" s="213"/>
      <c r="IN80" s="213"/>
      <c r="IO80" s="213"/>
      <c r="IP80" s="213"/>
      <c r="IQ80" s="213"/>
      <c r="IR80" s="213"/>
      <c r="IS80" s="213"/>
      <c r="IT80" s="213"/>
      <c r="IU80" s="213"/>
      <c r="IV80" s="213"/>
      <c r="IW80" s="213"/>
    </row>
    <row r="81" spans="1:257" s="562" customFormat="1" ht="13.5" customHeight="1">
      <c r="A81" s="564"/>
      <c r="B81" s="565"/>
      <c r="C81" s="565"/>
      <c r="D81" s="575" t="s">
        <v>4796</v>
      </c>
      <c r="E81" s="565"/>
      <c r="F81" s="768"/>
      <c r="G81" s="370"/>
      <c r="H81" s="655"/>
      <c r="I81" s="561"/>
      <c r="J81" s="769"/>
      <c r="K81" s="770"/>
    </row>
    <row r="82" spans="1:257" s="562" customFormat="1" ht="13.5" customHeight="1">
      <c r="A82" s="771" t="s">
        <v>5255</v>
      </c>
      <c r="B82" s="565"/>
      <c r="C82" s="772">
        <v>167151101</v>
      </c>
      <c r="D82" s="575" t="s">
        <v>2401</v>
      </c>
      <c r="E82" s="772" t="s">
        <v>146</v>
      </c>
      <c r="F82" s="576">
        <f>F77</f>
        <v>10.425000000000001</v>
      </c>
      <c r="G82" s="376"/>
      <c r="H82" s="773">
        <f t="shared" ref="H82:H86" si="11">F82*G82</f>
        <v>0</v>
      </c>
      <c r="I82" s="774"/>
      <c r="J82" s="769"/>
      <c r="K82" s="770"/>
    </row>
    <row r="83" spans="1:257" s="593" customFormat="1" ht="13.5" customHeight="1">
      <c r="A83" s="775" t="s">
        <v>5256</v>
      </c>
      <c r="B83" s="776"/>
      <c r="C83" s="777">
        <v>167151102</v>
      </c>
      <c r="D83" s="585" t="s">
        <v>4789</v>
      </c>
      <c r="E83" s="778" t="s">
        <v>146</v>
      </c>
      <c r="F83" s="779">
        <f>F79</f>
        <v>8.5289999999999999</v>
      </c>
      <c r="G83" s="880"/>
      <c r="H83" s="780">
        <f t="shared" ref="H83:H85" si="12">ROUND(F83*G83,2)</f>
        <v>0</v>
      </c>
      <c r="I83" s="781" t="s">
        <v>137</v>
      </c>
      <c r="J83" s="782"/>
      <c r="K83" s="783"/>
      <c r="L83" s="621"/>
      <c r="M83" s="621"/>
      <c r="N83" s="621"/>
      <c r="O83" s="621"/>
      <c r="P83" s="621"/>
      <c r="Q83" s="621"/>
      <c r="R83" s="621"/>
      <c r="S83" s="784"/>
      <c r="U83" s="783"/>
      <c r="V83" s="78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c r="FX83" s="213"/>
      <c r="FY83" s="213"/>
      <c r="FZ83" s="213"/>
      <c r="GA83" s="213"/>
      <c r="GB83" s="213"/>
      <c r="GC83" s="213"/>
      <c r="GD83" s="213"/>
      <c r="GE83" s="213"/>
      <c r="GF83" s="213"/>
      <c r="GG83" s="213"/>
      <c r="GH83" s="213"/>
      <c r="GI83" s="213"/>
      <c r="GJ83" s="213"/>
      <c r="GK83" s="213"/>
      <c r="GL83" s="213"/>
      <c r="GM83" s="213"/>
      <c r="GN83" s="213"/>
      <c r="GO83" s="213"/>
      <c r="GP83" s="213"/>
      <c r="GQ83" s="213"/>
      <c r="GR83" s="213"/>
      <c r="GS83" s="213"/>
      <c r="GT83" s="213"/>
      <c r="GU83" s="213"/>
      <c r="GV83" s="213"/>
      <c r="GW83" s="213"/>
      <c r="GX83" s="213"/>
      <c r="GY83" s="213"/>
      <c r="GZ83" s="213"/>
      <c r="HA83" s="213"/>
      <c r="HB83" s="213"/>
      <c r="HC83" s="213"/>
      <c r="HD83" s="213"/>
      <c r="HE83" s="213"/>
      <c r="HF83" s="213"/>
      <c r="HG83" s="213"/>
      <c r="HH83" s="213"/>
      <c r="HI83" s="213"/>
      <c r="HJ83" s="213"/>
      <c r="HK83" s="213"/>
      <c r="HL83" s="213"/>
      <c r="HM83" s="213"/>
      <c r="HN83" s="213"/>
      <c r="HO83" s="213"/>
      <c r="HP83" s="213"/>
      <c r="HQ83" s="213"/>
      <c r="HR83" s="213"/>
      <c r="HS83" s="213"/>
      <c r="HT83" s="213"/>
      <c r="HU83" s="213"/>
      <c r="HV83" s="213"/>
      <c r="HW83" s="213"/>
      <c r="HX83" s="213"/>
      <c r="HY83" s="213"/>
      <c r="HZ83" s="213"/>
      <c r="IA83" s="213"/>
      <c r="IB83" s="213"/>
      <c r="IC83" s="213"/>
      <c r="ID83" s="213"/>
      <c r="IE83" s="213"/>
      <c r="IF83" s="213"/>
      <c r="IG83" s="213"/>
      <c r="IH83" s="213"/>
      <c r="II83" s="213"/>
      <c r="IJ83" s="213"/>
      <c r="IK83" s="213"/>
      <c r="IL83" s="213"/>
      <c r="IM83" s="213"/>
      <c r="IN83" s="213"/>
      <c r="IO83" s="213"/>
      <c r="IP83" s="213"/>
      <c r="IQ83" s="213"/>
      <c r="IR83" s="213"/>
      <c r="IS83" s="213"/>
      <c r="IT83" s="213"/>
      <c r="IU83" s="213"/>
      <c r="IV83" s="213"/>
      <c r="IW83" s="213"/>
    </row>
    <row r="84" spans="1:257" s="593" customFormat="1" ht="27" customHeight="1">
      <c r="A84" s="775" t="s">
        <v>5257</v>
      </c>
      <c r="B84" s="776"/>
      <c r="C84" s="777">
        <v>162351103</v>
      </c>
      <c r="D84" s="585" t="s">
        <v>5411</v>
      </c>
      <c r="E84" s="778" t="s">
        <v>146</v>
      </c>
      <c r="F84" s="779">
        <f>F89</f>
        <v>10.425000000000001</v>
      </c>
      <c r="G84" s="880"/>
      <c r="H84" s="780">
        <f t="shared" si="12"/>
        <v>0</v>
      </c>
      <c r="I84" s="781" t="s">
        <v>137</v>
      </c>
      <c r="J84" s="782"/>
      <c r="K84" s="783"/>
      <c r="L84" s="621"/>
      <c r="M84" s="621"/>
      <c r="N84" s="621"/>
      <c r="O84" s="621"/>
      <c r="P84" s="621"/>
      <c r="Q84" s="621"/>
      <c r="R84" s="621"/>
      <c r="S84" s="784"/>
      <c r="U84" s="783"/>
      <c r="V84" s="78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3"/>
      <c r="EX84" s="213"/>
      <c r="EY84" s="213"/>
      <c r="EZ84" s="213"/>
      <c r="FA84" s="213"/>
      <c r="FB84" s="213"/>
      <c r="FC84" s="213"/>
      <c r="FD84" s="213"/>
      <c r="FE84" s="213"/>
      <c r="FF84" s="213"/>
      <c r="FG84" s="213"/>
      <c r="FH84" s="213"/>
      <c r="FI84" s="213"/>
      <c r="FJ84" s="213"/>
      <c r="FK84" s="213"/>
      <c r="FL84" s="213"/>
      <c r="FM84" s="213"/>
      <c r="FN84" s="213"/>
      <c r="FO84" s="213"/>
      <c r="FP84" s="213"/>
      <c r="FQ84" s="213"/>
      <c r="FR84" s="213"/>
      <c r="FS84" s="213"/>
      <c r="FT84" s="213"/>
      <c r="FU84" s="213"/>
      <c r="FV84" s="213"/>
      <c r="FW84" s="213"/>
      <c r="FX84" s="213"/>
      <c r="FY84" s="213"/>
      <c r="FZ84" s="213"/>
      <c r="GA84" s="213"/>
      <c r="GB84" s="213"/>
      <c r="GC84" s="213"/>
      <c r="GD84" s="213"/>
      <c r="GE84" s="213"/>
      <c r="GF84" s="213"/>
      <c r="GG84" s="213"/>
      <c r="GH84" s="213"/>
      <c r="GI84" s="213"/>
      <c r="GJ84" s="213"/>
      <c r="GK84" s="213"/>
      <c r="GL84" s="213"/>
      <c r="GM84" s="213"/>
      <c r="GN84" s="213"/>
      <c r="GO84" s="213"/>
      <c r="GP84" s="213"/>
      <c r="GQ84" s="213"/>
      <c r="GR84" s="213"/>
      <c r="GS84" s="213"/>
      <c r="GT84" s="213"/>
      <c r="GU84" s="213"/>
      <c r="GV84" s="213"/>
      <c r="GW84" s="213"/>
      <c r="GX84" s="213"/>
      <c r="GY84" s="213"/>
      <c r="GZ84" s="213"/>
      <c r="HA84" s="213"/>
      <c r="HB84" s="213"/>
      <c r="HC84" s="213"/>
      <c r="HD84" s="213"/>
      <c r="HE84" s="213"/>
      <c r="HF84" s="213"/>
      <c r="HG84" s="213"/>
      <c r="HH84" s="213"/>
      <c r="HI84" s="213"/>
      <c r="HJ84" s="213"/>
      <c r="HK84" s="213"/>
      <c r="HL84" s="213"/>
      <c r="HM84" s="213"/>
      <c r="HN84" s="213"/>
      <c r="HO84" s="213"/>
      <c r="HP84" s="213"/>
      <c r="HQ84" s="213"/>
      <c r="HR84" s="213"/>
      <c r="HS84" s="213"/>
      <c r="HT84" s="213"/>
      <c r="HU84" s="213"/>
      <c r="HV84" s="213"/>
      <c r="HW84" s="213"/>
      <c r="HX84" s="213"/>
      <c r="HY84" s="213"/>
      <c r="HZ84" s="213"/>
      <c r="IA84" s="213"/>
      <c r="IB84" s="213"/>
      <c r="IC84" s="213"/>
      <c r="ID84" s="213"/>
      <c r="IE84" s="213"/>
      <c r="IF84" s="213"/>
      <c r="IG84" s="213"/>
      <c r="IH84" s="213"/>
      <c r="II84" s="213"/>
      <c r="IJ84" s="213"/>
      <c r="IK84" s="213"/>
      <c r="IL84" s="213"/>
      <c r="IM84" s="213"/>
      <c r="IN84" s="213"/>
      <c r="IO84" s="213"/>
      <c r="IP84" s="213"/>
      <c r="IQ84" s="213"/>
      <c r="IR84" s="213"/>
      <c r="IS84" s="213"/>
      <c r="IT84" s="213"/>
      <c r="IU84" s="213"/>
      <c r="IV84" s="213"/>
      <c r="IW84" s="213"/>
    </row>
    <row r="85" spans="1:257" s="593" customFormat="1" ht="27" customHeight="1">
      <c r="A85" s="775" t="s">
        <v>5258</v>
      </c>
      <c r="B85" s="776"/>
      <c r="C85" s="777">
        <v>162351123</v>
      </c>
      <c r="D85" s="585" t="s">
        <v>5412</v>
      </c>
      <c r="E85" s="778" t="s">
        <v>146</v>
      </c>
      <c r="F85" s="779">
        <f>F91</f>
        <v>8.5289999999999999</v>
      </c>
      <c r="G85" s="880"/>
      <c r="H85" s="780">
        <f t="shared" si="12"/>
        <v>0</v>
      </c>
      <c r="I85" s="781" t="s">
        <v>137</v>
      </c>
      <c r="J85" s="782"/>
      <c r="K85" s="783"/>
      <c r="L85" s="621"/>
      <c r="M85" s="621"/>
      <c r="N85" s="621"/>
      <c r="O85" s="621"/>
      <c r="P85" s="621"/>
      <c r="Q85" s="621"/>
      <c r="R85" s="621"/>
      <c r="S85" s="784"/>
      <c r="U85" s="783"/>
      <c r="V85" s="78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c r="FG85" s="213"/>
      <c r="FH85" s="213"/>
      <c r="FI85" s="213"/>
      <c r="FJ85" s="213"/>
      <c r="FK85" s="213"/>
      <c r="FL85" s="213"/>
      <c r="FM85" s="213"/>
      <c r="FN85" s="213"/>
      <c r="FO85" s="213"/>
      <c r="FP85" s="213"/>
      <c r="FQ85" s="213"/>
      <c r="FR85" s="213"/>
      <c r="FS85" s="213"/>
      <c r="FT85" s="213"/>
      <c r="FU85" s="213"/>
      <c r="FV85" s="213"/>
      <c r="FW85" s="213"/>
      <c r="FX85" s="213"/>
      <c r="FY85" s="213"/>
      <c r="FZ85" s="213"/>
      <c r="GA85" s="213"/>
      <c r="GB85" s="213"/>
      <c r="GC85" s="213"/>
      <c r="GD85" s="213"/>
      <c r="GE85" s="213"/>
      <c r="GF85" s="213"/>
      <c r="GG85" s="213"/>
      <c r="GH85" s="213"/>
      <c r="GI85" s="213"/>
      <c r="GJ85" s="213"/>
      <c r="GK85" s="213"/>
      <c r="GL85" s="213"/>
      <c r="GM85" s="213"/>
      <c r="GN85" s="213"/>
      <c r="GO85" s="213"/>
      <c r="GP85" s="213"/>
      <c r="GQ85" s="213"/>
      <c r="GR85" s="213"/>
      <c r="GS85" s="213"/>
      <c r="GT85" s="213"/>
      <c r="GU85" s="213"/>
      <c r="GV85" s="213"/>
      <c r="GW85" s="213"/>
      <c r="GX85" s="213"/>
      <c r="GY85" s="213"/>
      <c r="GZ85" s="213"/>
      <c r="HA85" s="213"/>
      <c r="HB85" s="213"/>
      <c r="HC85" s="213"/>
      <c r="HD85" s="213"/>
      <c r="HE85" s="213"/>
      <c r="HF85" s="213"/>
      <c r="HG85" s="213"/>
      <c r="HH85" s="213"/>
      <c r="HI85" s="213"/>
      <c r="HJ85" s="213"/>
      <c r="HK85" s="213"/>
      <c r="HL85" s="213"/>
      <c r="HM85" s="213"/>
      <c r="HN85" s="213"/>
      <c r="HO85" s="213"/>
      <c r="HP85" s="213"/>
      <c r="HQ85" s="213"/>
      <c r="HR85" s="213"/>
      <c r="HS85" s="213"/>
      <c r="HT85" s="213"/>
      <c r="HU85" s="213"/>
      <c r="HV85" s="213"/>
      <c r="HW85" s="213"/>
      <c r="HX85" s="213"/>
      <c r="HY85" s="213"/>
      <c r="HZ85" s="213"/>
      <c r="IA85" s="213"/>
      <c r="IB85" s="213"/>
      <c r="IC85" s="213"/>
      <c r="ID85" s="213"/>
      <c r="IE85" s="213"/>
      <c r="IF85" s="213"/>
      <c r="IG85" s="213"/>
      <c r="IH85" s="213"/>
      <c r="II85" s="213"/>
      <c r="IJ85" s="213"/>
      <c r="IK85" s="213"/>
      <c r="IL85" s="213"/>
      <c r="IM85" s="213"/>
      <c r="IN85" s="213"/>
      <c r="IO85" s="213"/>
      <c r="IP85" s="213"/>
      <c r="IQ85" s="213"/>
      <c r="IR85" s="213"/>
      <c r="IS85" s="213"/>
      <c r="IT85" s="213"/>
      <c r="IU85" s="213"/>
      <c r="IV85" s="213"/>
      <c r="IW85" s="213"/>
    </row>
    <row r="86" spans="1:257" s="562" customFormat="1" ht="13.5" customHeight="1">
      <c r="A86" s="771" t="s">
        <v>5413</v>
      </c>
      <c r="B86" s="565"/>
      <c r="C86" s="785">
        <v>171251201</v>
      </c>
      <c r="D86" s="575" t="s">
        <v>4795</v>
      </c>
      <c r="E86" s="772" t="s">
        <v>146</v>
      </c>
      <c r="F86" s="576">
        <f>F75</f>
        <v>18.954000000000001</v>
      </c>
      <c r="G86" s="376"/>
      <c r="H86" s="773">
        <f t="shared" si="11"/>
        <v>0</v>
      </c>
      <c r="I86" s="774"/>
      <c r="J86" s="786"/>
      <c r="K86" s="787"/>
      <c r="L86" s="612"/>
      <c r="M86" s="612"/>
      <c r="N86" s="612"/>
      <c r="O86" s="612"/>
      <c r="P86" s="612"/>
      <c r="Q86" s="612"/>
      <c r="R86" s="612"/>
      <c r="S86" s="788"/>
      <c r="T86" s="612"/>
    </row>
    <row r="87" spans="1:257" s="593" customFormat="1" ht="27" customHeight="1">
      <c r="A87" s="789">
        <v>20</v>
      </c>
      <c r="B87" s="790" t="s">
        <v>135</v>
      </c>
      <c r="C87" s="776" t="s">
        <v>5414</v>
      </c>
      <c r="D87" s="776" t="s">
        <v>6330</v>
      </c>
      <c r="E87" s="776" t="s">
        <v>146</v>
      </c>
      <c r="F87" s="573">
        <f>ROUND(SUM(F89,F91),3)</f>
        <v>18.954000000000001</v>
      </c>
      <c r="G87" s="655">
        <f>ROUND(SUM(H93:H98)/F87,2)</f>
        <v>0</v>
      </c>
      <c r="H87" s="568">
        <f t="shared" ref="H87" si="13">ROUND(F87*G87,2)</f>
        <v>0</v>
      </c>
      <c r="I87" s="561" t="s">
        <v>112</v>
      </c>
      <c r="J87" s="791"/>
      <c r="K87" s="562"/>
      <c r="L87" s="562"/>
      <c r="M87" s="562"/>
      <c r="N87" s="562"/>
      <c r="O87" s="562"/>
      <c r="P87" s="562"/>
      <c r="Q87" s="562"/>
      <c r="R87" s="562"/>
      <c r="S87" s="562"/>
      <c r="T87" s="562"/>
      <c r="U87" s="562"/>
      <c r="V87" s="562"/>
      <c r="W87" s="562"/>
      <c r="X87" s="562"/>
      <c r="Y87" s="562"/>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13"/>
      <c r="DS87" s="213"/>
      <c r="DT87" s="213"/>
      <c r="DU87" s="213"/>
      <c r="DV87" s="213"/>
      <c r="DW87" s="213"/>
      <c r="DX87" s="213"/>
      <c r="DY87" s="213"/>
      <c r="DZ87" s="213"/>
      <c r="EA87" s="213"/>
      <c r="EB87" s="213"/>
      <c r="EC87" s="213"/>
      <c r="ED87" s="213"/>
      <c r="EE87" s="213"/>
      <c r="EF87" s="213"/>
      <c r="EG87" s="213"/>
      <c r="EH87" s="213"/>
      <c r="EI87" s="213"/>
      <c r="EJ87" s="213"/>
      <c r="EK87" s="213"/>
      <c r="EL87" s="213"/>
      <c r="EM87" s="213"/>
      <c r="EN87" s="213"/>
      <c r="EO87" s="213"/>
      <c r="EP87" s="213"/>
      <c r="EQ87" s="213"/>
      <c r="ER87" s="213"/>
      <c r="ES87" s="213"/>
      <c r="ET87" s="213"/>
      <c r="EU87" s="213"/>
      <c r="EV87" s="213"/>
      <c r="EW87" s="213"/>
      <c r="EX87" s="213"/>
      <c r="EY87" s="213"/>
      <c r="EZ87" s="213"/>
      <c r="FA87" s="213"/>
      <c r="FB87" s="213"/>
      <c r="FC87" s="213"/>
      <c r="FD87" s="213"/>
      <c r="FE87" s="213"/>
      <c r="FF87" s="213"/>
      <c r="FG87" s="213"/>
      <c r="FH87" s="213"/>
      <c r="FI87" s="213"/>
      <c r="FJ87" s="213"/>
      <c r="FK87" s="213"/>
      <c r="FL87" s="213"/>
      <c r="FM87" s="213"/>
      <c r="FN87" s="213"/>
      <c r="FO87" s="213"/>
      <c r="FP87" s="213"/>
      <c r="FQ87" s="213"/>
      <c r="FR87" s="213"/>
      <c r="FS87" s="213"/>
      <c r="FT87" s="213"/>
      <c r="FU87" s="213"/>
      <c r="FV87" s="213"/>
      <c r="FW87" s="213"/>
      <c r="FX87" s="213"/>
      <c r="FY87" s="213"/>
      <c r="FZ87" s="213"/>
      <c r="GA87" s="213"/>
      <c r="GB87" s="213"/>
      <c r="GC87" s="213"/>
      <c r="GD87" s="213"/>
      <c r="GE87" s="213"/>
      <c r="GF87" s="213"/>
      <c r="GG87" s="213"/>
      <c r="GH87" s="213"/>
      <c r="GI87" s="213"/>
      <c r="GJ87" s="213"/>
      <c r="GK87" s="213"/>
      <c r="GL87" s="213"/>
      <c r="GM87" s="213"/>
      <c r="GN87" s="213"/>
      <c r="GO87" s="213"/>
      <c r="GP87" s="213"/>
      <c r="GQ87" s="213"/>
      <c r="GR87" s="213"/>
      <c r="GS87" s="213"/>
      <c r="GT87" s="213"/>
      <c r="GU87" s="213"/>
      <c r="GV87" s="213"/>
      <c r="GW87" s="213"/>
      <c r="GX87" s="213"/>
      <c r="GY87" s="213"/>
      <c r="GZ87" s="213"/>
      <c r="HA87" s="213"/>
      <c r="HB87" s="213"/>
      <c r="HC87" s="213"/>
      <c r="HD87" s="213"/>
      <c r="HE87" s="213"/>
      <c r="HF87" s="213"/>
      <c r="HG87" s="213"/>
      <c r="HH87" s="213"/>
      <c r="HI87" s="213"/>
      <c r="HJ87" s="213"/>
      <c r="HK87" s="213"/>
      <c r="HL87" s="213"/>
      <c r="HM87" s="213"/>
      <c r="HN87" s="213"/>
      <c r="HO87" s="213"/>
      <c r="HP87" s="213"/>
      <c r="HQ87" s="213"/>
      <c r="HR87" s="213"/>
      <c r="HS87" s="213"/>
      <c r="HT87" s="213"/>
      <c r="HU87" s="213"/>
      <c r="HV87" s="213"/>
      <c r="HW87" s="213"/>
      <c r="HX87" s="213"/>
      <c r="HY87" s="213"/>
      <c r="HZ87" s="213"/>
      <c r="IA87" s="213"/>
      <c r="IB87" s="213"/>
      <c r="IC87" s="213"/>
      <c r="ID87" s="213"/>
      <c r="IE87" s="213"/>
      <c r="IF87" s="213"/>
      <c r="IG87" s="213"/>
      <c r="IH87" s="213"/>
      <c r="II87" s="213"/>
      <c r="IJ87" s="213"/>
      <c r="IK87" s="213"/>
      <c r="IL87" s="213"/>
      <c r="IM87" s="213"/>
      <c r="IN87" s="213"/>
      <c r="IO87" s="213"/>
      <c r="IP87" s="213"/>
      <c r="IQ87" s="213"/>
      <c r="IR87" s="213"/>
      <c r="IS87" s="213"/>
      <c r="IT87" s="213"/>
      <c r="IU87" s="213"/>
      <c r="IV87" s="213"/>
      <c r="IW87" s="213"/>
    </row>
    <row r="88" spans="1:257" s="753" customFormat="1" ht="13.5" customHeight="1">
      <c r="A88" s="745"/>
      <c r="B88" s="746"/>
      <c r="C88" s="747"/>
      <c r="D88" s="748" t="s">
        <v>5408</v>
      </c>
      <c r="E88" s="747"/>
      <c r="F88" s="749"/>
      <c r="G88" s="373"/>
      <c r="H88" s="750"/>
      <c r="I88" s="751"/>
      <c r="J88" s="752"/>
      <c r="L88" s="754"/>
      <c r="M88" s="755"/>
      <c r="N88" s="754"/>
      <c r="O88" s="754"/>
      <c r="P88" s="754"/>
      <c r="Q88" s="754"/>
      <c r="R88" s="754"/>
      <c r="S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c r="CB88" s="754"/>
      <c r="CC88" s="754"/>
      <c r="CD88" s="754"/>
      <c r="CE88" s="754"/>
      <c r="CF88" s="754"/>
      <c r="CG88" s="754"/>
      <c r="CH88" s="754"/>
      <c r="CI88" s="754"/>
      <c r="CJ88" s="754"/>
      <c r="CK88" s="754"/>
      <c r="CL88" s="754"/>
      <c r="CM88" s="754"/>
      <c r="CN88" s="754"/>
      <c r="CO88" s="754"/>
      <c r="CP88" s="754"/>
      <c r="CQ88" s="754"/>
      <c r="CR88" s="754"/>
      <c r="CS88" s="754"/>
      <c r="CT88" s="754"/>
      <c r="CU88" s="754"/>
      <c r="CV88" s="754"/>
      <c r="CW88" s="754"/>
      <c r="CX88" s="754"/>
      <c r="CY88" s="754"/>
      <c r="CZ88" s="754"/>
      <c r="DA88" s="754"/>
      <c r="DB88" s="754"/>
      <c r="DC88" s="754"/>
      <c r="DD88" s="754"/>
      <c r="DE88" s="754"/>
      <c r="DF88" s="754"/>
      <c r="DG88" s="754"/>
      <c r="DH88" s="754"/>
      <c r="DI88" s="754"/>
      <c r="DJ88" s="754"/>
      <c r="DK88" s="754"/>
      <c r="DL88" s="754"/>
      <c r="DM88" s="754"/>
      <c r="DN88" s="754"/>
      <c r="DO88" s="754"/>
      <c r="DP88" s="754"/>
      <c r="DQ88" s="754"/>
      <c r="DR88" s="754"/>
      <c r="DS88" s="754"/>
      <c r="DT88" s="754"/>
      <c r="DU88" s="754"/>
      <c r="DV88" s="754"/>
      <c r="DW88" s="754"/>
      <c r="DX88" s="754"/>
      <c r="DY88" s="754"/>
      <c r="DZ88" s="754"/>
      <c r="EA88" s="754"/>
      <c r="EB88" s="754"/>
      <c r="EC88" s="754"/>
      <c r="ED88" s="754"/>
      <c r="EE88" s="754"/>
      <c r="EF88" s="754"/>
      <c r="EG88" s="754"/>
      <c r="EH88" s="754"/>
      <c r="EI88" s="754"/>
      <c r="EJ88" s="754"/>
      <c r="EK88" s="754"/>
      <c r="EL88" s="754"/>
      <c r="EM88" s="754"/>
      <c r="EN88" s="754"/>
      <c r="EO88" s="754"/>
      <c r="EP88" s="754"/>
      <c r="EQ88" s="754"/>
      <c r="ER88" s="754"/>
      <c r="ES88" s="754"/>
      <c r="ET88" s="754"/>
      <c r="EU88" s="754"/>
      <c r="EV88" s="754"/>
      <c r="EW88" s="754"/>
      <c r="EX88" s="754"/>
      <c r="EY88" s="754"/>
      <c r="EZ88" s="754"/>
      <c r="FA88" s="754"/>
      <c r="FB88" s="754"/>
      <c r="FC88" s="754"/>
      <c r="FD88" s="754"/>
      <c r="FE88" s="754"/>
      <c r="FF88" s="754"/>
      <c r="FG88" s="754"/>
      <c r="FH88" s="754"/>
      <c r="FI88" s="754"/>
      <c r="FJ88" s="754"/>
      <c r="FK88" s="754"/>
      <c r="FL88" s="754"/>
      <c r="FM88" s="754"/>
      <c r="FN88" s="754"/>
      <c r="FO88" s="754"/>
      <c r="FP88" s="754"/>
      <c r="FQ88" s="754"/>
      <c r="FR88" s="754"/>
      <c r="FS88" s="754"/>
      <c r="FT88" s="754"/>
      <c r="FU88" s="754"/>
      <c r="FV88" s="754"/>
      <c r="FW88" s="754"/>
      <c r="FX88" s="754"/>
      <c r="FY88" s="754"/>
      <c r="FZ88" s="754"/>
      <c r="GA88" s="754"/>
      <c r="GB88" s="754"/>
      <c r="GC88" s="754"/>
      <c r="GD88" s="754"/>
      <c r="GE88" s="754"/>
      <c r="GF88" s="754"/>
      <c r="GG88" s="754"/>
      <c r="GH88" s="754"/>
      <c r="GI88" s="754"/>
      <c r="GJ88" s="754"/>
      <c r="GK88" s="754"/>
      <c r="GL88" s="754"/>
      <c r="GM88" s="754"/>
      <c r="GN88" s="754"/>
      <c r="GO88" s="754"/>
      <c r="GP88" s="754"/>
      <c r="GQ88" s="754"/>
      <c r="GR88" s="754"/>
      <c r="GS88" s="754"/>
      <c r="GT88" s="754"/>
      <c r="GU88" s="754"/>
      <c r="GV88" s="754"/>
      <c r="GW88" s="754"/>
      <c r="GX88" s="754"/>
      <c r="GY88" s="754"/>
      <c r="GZ88" s="754"/>
      <c r="HA88" s="754"/>
      <c r="HB88" s="754"/>
      <c r="HC88" s="754"/>
      <c r="HD88" s="754"/>
      <c r="HE88" s="754"/>
      <c r="HF88" s="754"/>
      <c r="HG88" s="754"/>
      <c r="HH88" s="754"/>
      <c r="HI88" s="754"/>
      <c r="HJ88" s="754"/>
      <c r="HK88" s="754"/>
      <c r="HL88" s="754"/>
      <c r="HM88" s="754"/>
      <c r="HN88" s="754"/>
      <c r="HO88" s="754"/>
      <c r="HP88" s="754"/>
      <c r="HQ88" s="754"/>
      <c r="HR88" s="754"/>
      <c r="HS88" s="754"/>
      <c r="HT88" s="754"/>
      <c r="HU88" s="754"/>
      <c r="HV88" s="754"/>
      <c r="HW88" s="754"/>
      <c r="HX88" s="754"/>
      <c r="HY88" s="754"/>
      <c r="HZ88" s="754"/>
      <c r="IA88" s="754"/>
      <c r="IB88" s="754"/>
      <c r="IC88" s="754"/>
      <c r="ID88" s="754"/>
      <c r="IE88" s="754"/>
      <c r="IF88" s="754"/>
      <c r="IG88" s="754"/>
      <c r="IH88" s="754"/>
      <c r="II88" s="754"/>
      <c r="IJ88" s="754"/>
      <c r="IK88" s="754"/>
      <c r="IL88" s="754"/>
      <c r="IM88" s="754"/>
      <c r="IN88" s="754"/>
      <c r="IO88" s="754"/>
      <c r="IP88" s="754"/>
      <c r="IQ88" s="754"/>
      <c r="IR88" s="754"/>
      <c r="IS88" s="754"/>
      <c r="IT88" s="754"/>
      <c r="IU88" s="754"/>
      <c r="IV88" s="754"/>
      <c r="IW88" s="754"/>
    </row>
    <row r="89" spans="1:257" s="753" customFormat="1" ht="13.5" customHeight="1">
      <c r="A89" s="745"/>
      <c r="B89" s="746"/>
      <c r="C89" s="565"/>
      <c r="D89" s="756" t="s">
        <v>182</v>
      </c>
      <c r="E89" s="757"/>
      <c r="F89" s="758">
        <f>SUM(F90:F90)</f>
        <v>10.425000000000001</v>
      </c>
      <c r="G89" s="374"/>
      <c r="H89" s="759"/>
      <c r="I89" s="751"/>
      <c r="J89" s="760"/>
      <c r="K89" s="593"/>
      <c r="L89" s="213"/>
      <c r="M89" s="213"/>
      <c r="N89" s="213"/>
      <c r="O89" s="213"/>
      <c r="P89" s="213"/>
      <c r="Q89" s="213"/>
      <c r="R89" s="213"/>
      <c r="S89" s="213"/>
      <c r="T89" s="213"/>
      <c r="U89" s="213"/>
      <c r="V89" s="213"/>
      <c r="W89" s="213"/>
      <c r="X89" s="213"/>
      <c r="Y89" s="213"/>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c r="CB89" s="754"/>
      <c r="CC89" s="754"/>
      <c r="CD89" s="754"/>
      <c r="CE89" s="754"/>
      <c r="CF89" s="754"/>
      <c r="CG89" s="754"/>
      <c r="CH89" s="754"/>
      <c r="CI89" s="754"/>
      <c r="CJ89" s="754"/>
      <c r="CK89" s="754"/>
      <c r="CL89" s="754"/>
      <c r="CM89" s="754"/>
      <c r="CN89" s="754"/>
      <c r="CO89" s="754"/>
      <c r="CP89" s="754"/>
      <c r="CQ89" s="754"/>
      <c r="CR89" s="754"/>
      <c r="CS89" s="754"/>
      <c r="CT89" s="754"/>
      <c r="CU89" s="754"/>
      <c r="CV89" s="754"/>
      <c r="CW89" s="754"/>
      <c r="CX89" s="754"/>
      <c r="CY89" s="754"/>
      <c r="CZ89" s="754"/>
      <c r="DA89" s="754"/>
      <c r="DB89" s="754"/>
      <c r="DC89" s="754"/>
      <c r="DD89" s="754"/>
      <c r="DE89" s="754"/>
      <c r="DF89" s="754"/>
      <c r="DG89" s="754"/>
      <c r="DH89" s="754"/>
      <c r="DI89" s="754"/>
      <c r="DJ89" s="754"/>
      <c r="DK89" s="754"/>
      <c r="DL89" s="754"/>
      <c r="DM89" s="754"/>
      <c r="DN89" s="754"/>
      <c r="DO89" s="754"/>
      <c r="DP89" s="754"/>
      <c r="DQ89" s="754"/>
      <c r="DR89" s="754"/>
      <c r="DS89" s="754"/>
      <c r="DT89" s="754"/>
      <c r="DU89" s="754"/>
      <c r="DV89" s="754"/>
      <c r="DW89" s="754"/>
      <c r="DX89" s="754"/>
      <c r="DY89" s="754"/>
      <c r="DZ89" s="754"/>
      <c r="EA89" s="754"/>
      <c r="EB89" s="754"/>
      <c r="EC89" s="754"/>
      <c r="ED89" s="754"/>
      <c r="EE89" s="754"/>
      <c r="EF89" s="754"/>
      <c r="EG89" s="754"/>
      <c r="EH89" s="754"/>
      <c r="EI89" s="754"/>
      <c r="EJ89" s="754"/>
      <c r="EK89" s="754"/>
      <c r="EL89" s="754"/>
      <c r="EM89" s="754"/>
      <c r="EN89" s="754"/>
      <c r="EO89" s="754"/>
      <c r="EP89" s="754"/>
      <c r="EQ89" s="754"/>
      <c r="ER89" s="754"/>
      <c r="ES89" s="754"/>
      <c r="ET89" s="754"/>
      <c r="EU89" s="754"/>
      <c r="EV89" s="754"/>
      <c r="EW89" s="754"/>
      <c r="EX89" s="754"/>
      <c r="EY89" s="754"/>
      <c r="EZ89" s="754"/>
      <c r="FA89" s="754"/>
      <c r="FB89" s="754"/>
      <c r="FC89" s="754"/>
      <c r="FD89" s="754"/>
      <c r="FE89" s="754"/>
      <c r="FF89" s="754"/>
      <c r="FG89" s="754"/>
      <c r="FH89" s="754"/>
      <c r="FI89" s="754"/>
      <c r="FJ89" s="754"/>
      <c r="FK89" s="754"/>
      <c r="FL89" s="754"/>
      <c r="FM89" s="754"/>
      <c r="FN89" s="754"/>
      <c r="FO89" s="754"/>
      <c r="FP89" s="754"/>
      <c r="FQ89" s="754"/>
      <c r="FR89" s="754"/>
      <c r="FS89" s="754"/>
      <c r="FT89" s="754"/>
      <c r="FU89" s="754"/>
      <c r="FV89" s="754"/>
      <c r="FW89" s="754"/>
      <c r="FX89" s="754"/>
      <c r="FY89" s="754"/>
      <c r="FZ89" s="754"/>
      <c r="GA89" s="754"/>
      <c r="GB89" s="754"/>
      <c r="GC89" s="754"/>
      <c r="GD89" s="754"/>
      <c r="GE89" s="754"/>
      <c r="GF89" s="754"/>
      <c r="GG89" s="754"/>
      <c r="GH89" s="754"/>
      <c r="GI89" s="754"/>
      <c r="GJ89" s="754"/>
      <c r="GK89" s="754"/>
      <c r="GL89" s="754"/>
      <c r="GM89" s="754"/>
      <c r="GN89" s="754"/>
      <c r="GO89" s="754"/>
      <c r="GP89" s="754"/>
      <c r="GQ89" s="754"/>
      <c r="GR89" s="754"/>
      <c r="GS89" s="754"/>
      <c r="GT89" s="754"/>
      <c r="GU89" s="754"/>
      <c r="GV89" s="754"/>
      <c r="GW89" s="754"/>
      <c r="GX89" s="754"/>
      <c r="GY89" s="754"/>
      <c r="GZ89" s="754"/>
      <c r="HA89" s="754"/>
      <c r="HB89" s="754"/>
      <c r="HC89" s="754"/>
      <c r="HD89" s="754"/>
      <c r="HE89" s="754"/>
      <c r="HF89" s="754"/>
      <c r="HG89" s="754"/>
      <c r="HH89" s="754"/>
      <c r="HI89" s="754"/>
      <c r="HJ89" s="754"/>
      <c r="HK89" s="754"/>
      <c r="HL89" s="754"/>
      <c r="HM89" s="754"/>
      <c r="HN89" s="754"/>
      <c r="HO89" s="754"/>
      <c r="HP89" s="754"/>
      <c r="HQ89" s="754"/>
      <c r="HR89" s="754"/>
      <c r="HS89" s="754"/>
      <c r="HT89" s="754"/>
      <c r="HU89" s="754"/>
      <c r="HV89" s="754"/>
      <c r="HW89" s="754"/>
      <c r="HX89" s="754"/>
      <c r="HY89" s="754"/>
      <c r="HZ89" s="754"/>
      <c r="IA89" s="754"/>
      <c r="IB89" s="754"/>
      <c r="IC89" s="754"/>
      <c r="ID89" s="754"/>
      <c r="IE89" s="754"/>
      <c r="IF89" s="754"/>
      <c r="IG89" s="754"/>
      <c r="IH89" s="754"/>
      <c r="II89" s="754"/>
      <c r="IJ89" s="754"/>
      <c r="IK89" s="754"/>
      <c r="IL89" s="754"/>
      <c r="IM89" s="754"/>
      <c r="IN89" s="754"/>
      <c r="IO89" s="754"/>
      <c r="IP89" s="754"/>
      <c r="IQ89" s="754"/>
      <c r="IR89" s="754"/>
      <c r="IS89" s="754"/>
      <c r="IT89" s="754"/>
      <c r="IU89" s="754"/>
      <c r="IV89" s="754"/>
      <c r="IW89" s="754"/>
    </row>
    <row r="90" spans="1:257" s="593" customFormat="1" ht="13.5" customHeight="1">
      <c r="A90" s="761"/>
      <c r="B90" s="582"/>
      <c r="C90" s="583"/>
      <c r="D90" s="585" t="s">
        <v>5409</v>
      </c>
      <c r="E90" s="585"/>
      <c r="F90" s="762">
        <f>(9.477+0.948)</f>
        <v>10.425000000000001</v>
      </c>
      <c r="G90" s="879"/>
      <c r="H90" s="587"/>
      <c r="I90" s="588"/>
      <c r="J90" s="763"/>
      <c r="K90" s="753"/>
      <c r="L90" s="754"/>
      <c r="M90" s="764"/>
      <c r="N90" s="754"/>
      <c r="O90" s="754"/>
      <c r="P90" s="754"/>
      <c r="Q90" s="754"/>
      <c r="R90" s="754"/>
      <c r="S90" s="754"/>
      <c r="T90" s="754"/>
      <c r="U90" s="754"/>
      <c r="V90" s="754"/>
      <c r="W90" s="754"/>
      <c r="X90" s="754"/>
      <c r="Y90" s="754"/>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c r="EN90" s="213"/>
      <c r="EO90" s="213"/>
      <c r="EP90" s="213"/>
      <c r="EQ90" s="213"/>
      <c r="ER90" s="213"/>
      <c r="ES90" s="213"/>
      <c r="ET90" s="213"/>
      <c r="EU90" s="213"/>
      <c r="EV90" s="213"/>
      <c r="EW90" s="213"/>
      <c r="EX90" s="213"/>
      <c r="EY90" s="213"/>
      <c r="EZ90" s="213"/>
      <c r="FA90" s="213"/>
      <c r="FB90" s="213"/>
      <c r="FC90" s="213"/>
      <c r="FD90" s="213"/>
      <c r="FE90" s="213"/>
      <c r="FF90" s="213"/>
      <c r="FG90" s="213"/>
      <c r="FH90" s="213"/>
      <c r="FI90" s="213"/>
      <c r="FJ90" s="213"/>
      <c r="FK90" s="213"/>
      <c r="FL90" s="213"/>
      <c r="FM90" s="213"/>
      <c r="FN90" s="213"/>
      <c r="FO90" s="213"/>
      <c r="FP90" s="213"/>
      <c r="FQ90" s="213"/>
      <c r="FR90" s="213"/>
      <c r="FS90" s="213"/>
      <c r="FT90" s="213"/>
      <c r="FU90" s="213"/>
      <c r="FV90" s="213"/>
      <c r="FW90" s="213"/>
      <c r="FX90" s="213"/>
      <c r="FY90" s="213"/>
      <c r="FZ90" s="213"/>
      <c r="GA90" s="213"/>
      <c r="GB90" s="213"/>
      <c r="GC90" s="213"/>
      <c r="GD90" s="213"/>
      <c r="GE90" s="213"/>
      <c r="GF90" s="213"/>
      <c r="GG90" s="213"/>
      <c r="GH90" s="213"/>
      <c r="GI90" s="213"/>
      <c r="GJ90" s="213"/>
      <c r="GK90" s="213"/>
      <c r="GL90" s="213"/>
      <c r="GM90" s="213"/>
      <c r="GN90" s="213"/>
      <c r="GO90" s="213"/>
      <c r="GP90" s="213"/>
      <c r="GQ90" s="213"/>
      <c r="GR90" s="213"/>
      <c r="GS90" s="213"/>
      <c r="GT90" s="213"/>
      <c r="GU90" s="213"/>
      <c r="GV90" s="213"/>
      <c r="GW90" s="213"/>
      <c r="GX90" s="213"/>
      <c r="GY90" s="213"/>
      <c r="GZ90" s="213"/>
      <c r="HA90" s="213"/>
      <c r="HB90" s="213"/>
      <c r="HC90" s="213"/>
      <c r="HD90" s="213"/>
      <c r="HE90" s="213"/>
      <c r="HF90" s="213"/>
      <c r="HG90" s="213"/>
      <c r="HH90" s="213"/>
      <c r="HI90" s="213"/>
      <c r="HJ90" s="213"/>
      <c r="HK90" s="213"/>
      <c r="HL90" s="213"/>
      <c r="HM90" s="213"/>
      <c r="HN90" s="213"/>
      <c r="HO90" s="213"/>
      <c r="HP90" s="213"/>
      <c r="HQ90" s="213"/>
      <c r="HR90" s="213"/>
      <c r="HS90" s="213"/>
      <c r="HT90" s="213"/>
      <c r="HU90" s="213"/>
      <c r="HV90" s="213"/>
      <c r="HW90" s="213"/>
      <c r="HX90" s="213"/>
      <c r="HY90" s="213"/>
      <c r="HZ90" s="213"/>
      <c r="IA90" s="213"/>
      <c r="IB90" s="213"/>
      <c r="IC90" s="213"/>
      <c r="ID90" s="213"/>
      <c r="IE90" s="213"/>
      <c r="IF90" s="213"/>
      <c r="IG90" s="213"/>
      <c r="IH90" s="213"/>
      <c r="II90" s="213"/>
      <c r="IJ90" s="213"/>
      <c r="IK90" s="213"/>
      <c r="IL90" s="213"/>
      <c r="IM90" s="213"/>
      <c r="IN90" s="213"/>
      <c r="IO90" s="213"/>
      <c r="IP90" s="213"/>
      <c r="IQ90" s="213"/>
      <c r="IR90" s="213"/>
      <c r="IS90" s="213"/>
      <c r="IT90" s="213"/>
      <c r="IU90" s="213"/>
      <c r="IV90" s="213"/>
      <c r="IW90" s="213"/>
    </row>
    <row r="91" spans="1:257" s="753" customFormat="1" ht="13.5" customHeight="1">
      <c r="A91" s="745"/>
      <c r="B91" s="746"/>
      <c r="C91" s="565"/>
      <c r="D91" s="756" t="s">
        <v>185</v>
      </c>
      <c r="E91" s="757"/>
      <c r="F91" s="758">
        <f>SUM(F92:F92)</f>
        <v>8.5289999999999999</v>
      </c>
      <c r="G91" s="374"/>
      <c r="H91" s="759"/>
      <c r="I91" s="751"/>
      <c r="J91" s="765"/>
      <c r="K91" s="766"/>
      <c r="L91" s="375"/>
      <c r="M91" s="375"/>
      <c r="N91" s="375"/>
      <c r="O91" s="375"/>
      <c r="P91" s="213"/>
      <c r="Q91" s="213"/>
      <c r="R91" s="213"/>
      <c r="S91" s="213"/>
      <c r="T91" s="213"/>
      <c r="U91" s="213"/>
      <c r="V91" s="213"/>
      <c r="W91" s="213"/>
      <c r="X91" s="213"/>
      <c r="Y91" s="213"/>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4"/>
      <c r="CF91" s="754"/>
      <c r="CG91" s="754"/>
      <c r="CH91" s="754"/>
      <c r="CI91" s="754"/>
      <c r="CJ91" s="754"/>
      <c r="CK91" s="754"/>
      <c r="CL91" s="754"/>
      <c r="CM91" s="754"/>
      <c r="CN91" s="754"/>
      <c r="CO91" s="754"/>
      <c r="CP91" s="754"/>
      <c r="CQ91" s="754"/>
      <c r="CR91" s="754"/>
      <c r="CS91" s="754"/>
      <c r="CT91" s="754"/>
      <c r="CU91" s="754"/>
      <c r="CV91" s="754"/>
      <c r="CW91" s="754"/>
      <c r="CX91" s="754"/>
      <c r="CY91" s="754"/>
      <c r="CZ91" s="754"/>
      <c r="DA91" s="754"/>
      <c r="DB91" s="754"/>
      <c r="DC91" s="754"/>
      <c r="DD91" s="754"/>
      <c r="DE91" s="754"/>
      <c r="DF91" s="754"/>
      <c r="DG91" s="754"/>
      <c r="DH91" s="754"/>
      <c r="DI91" s="754"/>
      <c r="DJ91" s="754"/>
      <c r="DK91" s="754"/>
      <c r="DL91" s="754"/>
      <c r="DM91" s="754"/>
      <c r="DN91" s="754"/>
      <c r="DO91" s="754"/>
      <c r="DP91" s="754"/>
      <c r="DQ91" s="754"/>
      <c r="DR91" s="754"/>
      <c r="DS91" s="754"/>
      <c r="DT91" s="754"/>
      <c r="DU91" s="754"/>
      <c r="DV91" s="754"/>
      <c r="DW91" s="754"/>
      <c r="DX91" s="754"/>
      <c r="DY91" s="754"/>
      <c r="DZ91" s="754"/>
      <c r="EA91" s="754"/>
      <c r="EB91" s="754"/>
      <c r="EC91" s="754"/>
      <c r="ED91" s="754"/>
      <c r="EE91" s="754"/>
      <c r="EF91" s="754"/>
      <c r="EG91" s="754"/>
      <c r="EH91" s="754"/>
      <c r="EI91" s="754"/>
      <c r="EJ91" s="754"/>
      <c r="EK91" s="754"/>
      <c r="EL91" s="754"/>
      <c r="EM91" s="754"/>
      <c r="EN91" s="754"/>
      <c r="EO91" s="754"/>
      <c r="EP91" s="754"/>
      <c r="EQ91" s="754"/>
      <c r="ER91" s="754"/>
      <c r="ES91" s="754"/>
      <c r="ET91" s="754"/>
      <c r="EU91" s="754"/>
      <c r="EV91" s="754"/>
      <c r="EW91" s="754"/>
      <c r="EX91" s="754"/>
      <c r="EY91" s="754"/>
      <c r="EZ91" s="754"/>
      <c r="FA91" s="754"/>
      <c r="FB91" s="754"/>
      <c r="FC91" s="754"/>
      <c r="FD91" s="754"/>
      <c r="FE91" s="754"/>
      <c r="FF91" s="754"/>
      <c r="FG91" s="754"/>
      <c r="FH91" s="754"/>
      <c r="FI91" s="754"/>
      <c r="FJ91" s="754"/>
      <c r="FK91" s="754"/>
      <c r="FL91" s="754"/>
      <c r="FM91" s="754"/>
      <c r="FN91" s="754"/>
      <c r="FO91" s="754"/>
      <c r="FP91" s="754"/>
      <c r="FQ91" s="754"/>
      <c r="FR91" s="754"/>
      <c r="FS91" s="754"/>
      <c r="FT91" s="754"/>
      <c r="FU91" s="754"/>
      <c r="FV91" s="754"/>
      <c r="FW91" s="754"/>
      <c r="FX91" s="754"/>
      <c r="FY91" s="754"/>
      <c r="FZ91" s="754"/>
      <c r="GA91" s="754"/>
      <c r="GB91" s="754"/>
      <c r="GC91" s="754"/>
      <c r="GD91" s="754"/>
      <c r="GE91" s="754"/>
      <c r="GF91" s="754"/>
      <c r="GG91" s="754"/>
      <c r="GH91" s="754"/>
      <c r="GI91" s="754"/>
      <c r="GJ91" s="754"/>
      <c r="GK91" s="754"/>
      <c r="GL91" s="754"/>
      <c r="GM91" s="754"/>
      <c r="GN91" s="754"/>
      <c r="GO91" s="754"/>
      <c r="GP91" s="754"/>
      <c r="GQ91" s="754"/>
      <c r="GR91" s="754"/>
      <c r="GS91" s="754"/>
      <c r="GT91" s="754"/>
      <c r="GU91" s="754"/>
      <c r="GV91" s="754"/>
      <c r="GW91" s="754"/>
      <c r="GX91" s="754"/>
      <c r="GY91" s="754"/>
      <c r="GZ91" s="754"/>
      <c r="HA91" s="754"/>
      <c r="HB91" s="754"/>
      <c r="HC91" s="754"/>
      <c r="HD91" s="754"/>
      <c r="HE91" s="754"/>
      <c r="HF91" s="754"/>
      <c r="HG91" s="754"/>
      <c r="HH91" s="754"/>
      <c r="HI91" s="754"/>
      <c r="HJ91" s="754"/>
      <c r="HK91" s="754"/>
      <c r="HL91" s="754"/>
      <c r="HM91" s="754"/>
      <c r="HN91" s="754"/>
      <c r="HO91" s="754"/>
      <c r="HP91" s="754"/>
      <c r="HQ91" s="754"/>
      <c r="HR91" s="754"/>
      <c r="HS91" s="754"/>
      <c r="HT91" s="754"/>
      <c r="HU91" s="754"/>
      <c r="HV91" s="754"/>
      <c r="HW91" s="754"/>
      <c r="HX91" s="754"/>
      <c r="HY91" s="754"/>
      <c r="HZ91" s="754"/>
      <c r="IA91" s="754"/>
      <c r="IB91" s="754"/>
      <c r="IC91" s="754"/>
      <c r="ID91" s="754"/>
      <c r="IE91" s="754"/>
      <c r="IF91" s="754"/>
      <c r="IG91" s="754"/>
      <c r="IH91" s="754"/>
      <c r="II91" s="754"/>
      <c r="IJ91" s="754"/>
      <c r="IK91" s="754"/>
      <c r="IL91" s="754"/>
      <c r="IM91" s="754"/>
      <c r="IN91" s="754"/>
      <c r="IO91" s="754"/>
      <c r="IP91" s="754"/>
      <c r="IQ91" s="754"/>
      <c r="IR91" s="754"/>
      <c r="IS91" s="754"/>
      <c r="IT91" s="754"/>
      <c r="IU91" s="754"/>
      <c r="IV91" s="754"/>
      <c r="IW91" s="754"/>
    </row>
    <row r="92" spans="1:257" s="593" customFormat="1" ht="13.5" customHeight="1">
      <c r="A92" s="761"/>
      <c r="B92" s="582"/>
      <c r="C92" s="583"/>
      <c r="D92" s="585" t="s">
        <v>5410</v>
      </c>
      <c r="E92" s="585"/>
      <c r="F92" s="762">
        <f>(7.581+0.948)</f>
        <v>8.5289999999999999</v>
      </c>
      <c r="G92" s="879"/>
      <c r="H92" s="587"/>
      <c r="I92" s="588"/>
      <c r="J92" s="767"/>
      <c r="K92" s="766"/>
      <c r="L92" s="375"/>
      <c r="M92" s="375"/>
      <c r="N92" s="375"/>
      <c r="O92" s="375"/>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c r="CP92" s="213"/>
      <c r="CQ92" s="213"/>
      <c r="CR92" s="213"/>
      <c r="CS92" s="213"/>
      <c r="CT92" s="213"/>
      <c r="CU92" s="213"/>
      <c r="CV92" s="213"/>
      <c r="CW92" s="213"/>
      <c r="CX92" s="213"/>
      <c r="CY92" s="213"/>
      <c r="CZ92" s="213"/>
      <c r="DA92" s="213"/>
      <c r="DB92" s="213"/>
      <c r="DC92" s="213"/>
      <c r="DD92" s="213"/>
      <c r="DE92" s="213"/>
      <c r="DF92" s="213"/>
      <c r="DG92" s="213"/>
      <c r="DH92" s="213"/>
      <c r="DI92" s="213"/>
      <c r="DJ92" s="213"/>
      <c r="DK92" s="213"/>
      <c r="DL92" s="213"/>
      <c r="DM92" s="213"/>
      <c r="DN92" s="213"/>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c r="EN92" s="213"/>
      <c r="EO92" s="213"/>
      <c r="EP92" s="213"/>
      <c r="EQ92" s="213"/>
      <c r="ER92" s="213"/>
      <c r="ES92" s="213"/>
      <c r="ET92" s="213"/>
      <c r="EU92" s="213"/>
      <c r="EV92" s="213"/>
      <c r="EW92" s="213"/>
      <c r="EX92" s="213"/>
      <c r="EY92" s="213"/>
      <c r="EZ92" s="213"/>
      <c r="FA92" s="213"/>
      <c r="FB92" s="213"/>
      <c r="FC92" s="213"/>
      <c r="FD92" s="213"/>
      <c r="FE92" s="213"/>
      <c r="FF92" s="213"/>
      <c r="FG92" s="213"/>
      <c r="FH92" s="213"/>
      <c r="FI92" s="213"/>
      <c r="FJ92" s="213"/>
      <c r="FK92" s="213"/>
      <c r="FL92" s="213"/>
      <c r="FM92" s="213"/>
      <c r="FN92" s="213"/>
      <c r="FO92" s="213"/>
      <c r="FP92" s="213"/>
      <c r="FQ92" s="213"/>
      <c r="FR92" s="213"/>
      <c r="FS92" s="213"/>
      <c r="FT92" s="213"/>
      <c r="FU92" s="213"/>
      <c r="FV92" s="213"/>
      <c r="FW92" s="213"/>
      <c r="FX92" s="213"/>
      <c r="FY92" s="213"/>
      <c r="FZ92" s="213"/>
      <c r="GA92" s="213"/>
      <c r="GB92" s="213"/>
      <c r="GC92" s="213"/>
      <c r="GD92" s="213"/>
      <c r="GE92" s="213"/>
      <c r="GF92" s="213"/>
      <c r="GG92" s="213"/>
      <c r="GH92" s="213"/>
      <c r="GI92" s="213"/>
      <c r="GJ92" s="213"/>
      <c r="GK92" s="213"/>
      <c r="GL92" s="213"/>
      <c r="GM92" s="213"/>
      <c r="GN92" s="213"/>
      <c r="GO92" s="213"/>
      <c r="GP92" s="213"/>
      <c r="GQ92" s="213"/>
      <c r="GR92" s="213"/>
      <c r="GS92" s="213"/>
      <c r="GT92" s="213"/>
      <c r="GU92" s="213"/>
      <c r="GV92" s="213"/>
      <c r="GW92" s="213"/>
      <c r="GX92" s="213"/>
      <c r="GY92" s="213"/>
      <c r="GZ92" s="213"/>
      <c r="HA92" s="213"/>
      <c r="HB92" s="213"/>
      <c r="HC92" s="213"/>
      <c r="HD92" s="213"/>
      <c r="HE92" s="213"/>
      <c r="HF92" s="213"/>
      <c r="HG92" s="213"/>
      <c r="HH92" s="213"/>
      <c r="HI92" s="213"/>
      <c r="HJ92" s="213"/>
      <c r="HK92" s="213"/>
      <c r="HL92" s="213"/>
      <c r="HM92" s="213"/>
      <c r="HN92" s="213"/>
      <c r="HO92" s="213"/>
      <c r="HP92" s="213"/>
      <c r="HQ92" s="213"/>
      <c r="HR92" s="213"/>
      <c r="HS92" s="213"/>
      <c r="HT92" s="213"/>
      <c r="HU92" s="213"/>
      <c r="HV92" s="213"/>
      <c r="HW92" s="213"/>
      <c r="HX92" s="213"/>
      <c r="HY92" s="213"/>
      <c r="HZ92" s="213"/>
      <c r="IA92" s="213"/>
      <c r="IB92" s="213"/>
      <c r="IC92" s="213"/>
      <c r="ID92" s="213"/>
      <c r="IE92" s="213"/>
      <c r="IF92" s="213"/>
      <c r="IG92" s="213"/>
      <c r="IH92" s="213"/>
      <c r="II92" s="213"/>
      <c r="IJ92" s="213"/>
      <c r="IK92" s="213"/>
      <c r="IL92" s="213"/>
      <c r="IM92" s="213"/>
      <c r="IN92" s="213"/>
      <c r="IO92" s="213"/>
      <c r="IP92" s="213"/>
      <c r="IQ92" s="213"/>
      <c r="IR92" s="213"/>
      <c r="IS92" s="213"/>
      <c r="IT92" s="213"/>
      <c r="IU92" s="213"/>
      <c r="IV92" s="213"/>
      <c r="IW92" s="213"/>
    </row>
    <row r="93" spans="1:257" s="593" customFormat="1" ht="13.5" customHeight="1">
      <c r="A93" s="775" t="s">
        <v>5262</v>
      </c>
      <c r="B93" s="776"/>
      <c r="C93" s="777">
        <v>167151101</v>
      </c>
      <c r="D93" s="585" t="s">
        <v>5415</v>
      </c>
      <c r="E93" s="778" t="s">
        <v>146</v>
      </c>
      <c r="F93" s="779">
        <f>F89</f>
        <v>10.425000000000001</v>
      </c>
      <c r="G93" s="880"/>
      <c r="H93" s="780">
        <f t="shared" ref="H93:H94" si="14">ROUND(F93*G93,2)</f>
        <v>0</v>
      </c>
      <c r="I93" s="781" t="s">
        <v>137</v>
      </c>
      <c r="J93" s="782"/>
      <c r="K93" s="783"/>
      <c r="L93" s="621"/>
      <c r="M93" s="621"/>
      <c r="N93" s="621"/>
      <c r="O93" s="621"/>
      <c r="P93" s="621"/>
      <c r="Q93" s="621"/>
      <c r="R93" s="621"/>
      <c r="S93" s="784"/>
      <c r="U93" s="783"/>
      <c r="V93" s="78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c r="FG93" s="213"/>
      <c r="FH93" s="213"/>
      <c r="FI93" s="213"/>
      <c r="FJ93" s="213"/>
      <c r="FK93" s="213"/>
      <c r="FL93" s="213"/>
      <c r="FM93" s="213"/>
      <c r="FN93" s="213"/>
      <c r="FO93" s="213"/>
      <c r="FP93" s="213"/>
      <c r="FQ93" s="213"/>
      <c r="FR93" s="213"/>
      <c r="FS93" s="213"/>
      <c r="FT93" s="213"/>
      <c r="FU93" s="213"/>
      <c r="FV93" s="213"/>
      <c r="FW93" s="213"/>
      <c r="FX93" s="213"/>
      <c r="FY93" s="213"/>
      <c r="FZ93" s="213"/>
      <c r="GA93" s="213"/>
      <c r="GB93" s="213"/>
      <c r="GC93" s="213"/>
      <c r="GD93" s="213"/>
      <c r="GE93" s="213"/>
      <c r="GF93" s="213"/>
      <c r="GG93" s="213"/>
      <c r="GH93" s="213"/>
      <c r="GI93" s="213"/>
      <c r="GJ93" s="213"/>
      <c r="GK93" s="213"/>
      <c r="GL93" s="213"/>
      <c r="GM93" s="213"/>
      <c r="GN93" s="213"/>
      <c r="GO93" s="213"/>
      <c r="GP93" s="213"/>
      <c r="GQ93" s="213"/>
      <c r="GR93" s="213"/>
      <c r="GS93" s="213"/>
      <c r="GT93" s="213"/>
      <c r="GU93" s="213"/>
      <c r="GV93" s="213"/>
      <c r="GW93" s="213"/>
      <c r="GX93" s="213"/>
      <c r="GY93" s="213"/>
      <c r="GZ93" s="213"/>
      <c r="HA93" s="213"/>
      <c r="HB93" s="213"/>
      <c r="HC93" s="213"/>
      <c r="HD93" s="213"/>
      <c r="HE93" s="213"/>
      <c r="HF93" s="213"/>
      <c r="HG93" s="213"/>
      <c r="HH93" s="213"/>
      <c r="HI93" s="213"/>
      <c r="HJ93" s="213"/>
      <c r="HK93" s="213"/>
      <c r="HL93" s="213"/>
      <c r="HM93" s="213"/>
      <c r="HN93" s="213"/>
      <c r="HO93" s="213"/>
      <c r="HP93" s="213"/>
      <c r="HQ93" s="213"/>
      <c r="HR93" s="213"/>
      <c r="HS93" s="213"/>
      <c r="HT93" s="213"/>
      <c r="HU93" s="213"/>
      <c r="HV93" s="213"/>
      <c r="HW93" s="213"/>
      <c r="HX93" s="213"/>
      <c r="HY93" s="213"/>
      <c r="HZ93" s="213"/>
      <c r="IA93" s="213"/>
      <c r="IB93" s="213"/>
      <c r="IC93" s="213"/>
      <c r="ID93" s="213"/>
      <c r="IE93" s="213"/>
      <c r="IF93" s="213"/>
      <c r="IG93" s="213"/>
      <c r="IH93" s="213"/>
      <c r="II93" s="213"/>
      <c r="IJ93" s="213"/>
      <c r="IK93" s="213"/>
      <c r="IL93" s="213"/>
      <c r="IM93" s="213"/>
      <c r="IN93" s="213"/>
      <c r="IO93" s="213"/>
      <c r="IP93" s="213"/>
      <c r="IQ93" s="213"/>
      <c r="IR93" s="213"/>
      <c r="IS93" s="213"/>
      <c r="IT93" s="213"/>
      <c r="IU93" s="213"/>
      <c r="IV93" s="213"/>
      <c r="IW93" s="213"/>
    </row>
    <row r="94" spans="1:257" s="593" customFormat="1" ht="13.5" customHeight="1">
      <c r="A94" s="775" t="s">
        <v>5263</v>
      </c>
      <c r="B94" s="776"/>
      <c r="C94" s="777">
        <v>167151102</v>
      </c>
      <c r="D94" s="585" t="s">
        <v>4789</v>
      </c>
      <c r="E94" s="778" t="s">
        <v>146</v>
      </c>
      <c r="F94" s="779">
        <f>F91</f>
        <v>8.5289999999999999</v>
      </c>
      <c r="G94" s="880"/>
      <c r="H94" s="780">
        <f t="shared" si="14"/>
        <v>0</v>
      </c>
      <c r="I94" s="781" t="s">
        <v>137</v>
      </c>
      <c r="J94" s="782"/>
      <c r="K94" s="783"/>
      <c r="L94" s="621"/>
      <c r="M94" s="621"/>
      <c r="N94" s="621"/>
      <c r="O94" s="621"/>
      <c r="P94" s="621"/>
      <c r="Q94" s="621"/>
      <c r="R94" s="621"/>
      <c r="S94" s="784"/>
      <c r="U94" s="783"/>
      <c r="V94" s="78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c r="EN94" s="213"/>
      <c r="EO94" s="213"/>
      <c r="EP94" s="213"/>
      <c r="EQ94" s="213"/>
      <c r="ER94" s="213"/>
      <c r="ES94" s="213"/>
      <c r="ET94" s="213"/>
      <c r="EU94" s="213"/>
      <c r="EV94" s="213"/>
      <c r="EW94" s="213"/>
      <c r="EX94" s="213"/>
      <c r="EY94" s="213"/>
      <c r="EZ94" s="213"/>
      <c r="FA94" s="213"/>
      <c r="FB94" s="213"/>
      <c r="FC94" s="213"/>
      <c r="FD94" s="213"/>
      <c r="FE94" s="213"/>
      <c r="FF94" s="213"/>
      <c r="FG94" s="213"/>
      <c r="FH94" s="213"/>
      <c r="FI94" s="213"/>
      <c r="FJ94" s="213"/>
      <c r="FK94" s="213"/>
      <c r="FL94" s="213"/>
      <c r="FM94" s="213"/>
      <c r="FN94" s="213"/>
      <c r="FO94" s="213"/>
      <c r="FP94" s="213"/>
      <c r="FQ94" s="213"/>
      <c r="FR94" s="213"/>
      <c r="FS94" s="213"/>
      <c r="FT94" s="213"/>
      <c r="FU94" s="213"/>
      <c r="FV94" s="213"/>
      <c r="FW94" s="213"/>
      <c r="FX94" s="213"/>
      <c r="FY94" s="213"/>
      <c r="FZ94" s="213"/>
      <c r="GA94" s="213"/>
      <c r="GB94" s="213"/>
      <c r="GC94" s="213"/>
      <c r="GD94" s="213"/>
      <c r="GE94" s="213"/>
      <c r="GF94" s="213"/>
      <c r="GG94" s="213"/>
      <c r="GH94" s="213"/>
      <c r="GI94" s="213"/>
      <c r="GJ94" s="213"/>
      <c r="GK94" s="213"/>
      <c r="GL94" s="213"/>
      <c r="GM94" s="213"/>
      <c r="GN94" s="213"/>
      <c r="GO94" s="213"/>
      <c r="GP94" s="213"/>
      <c r="GQ94" s="213"/>
      <c r="GR94" s="213"/>
      <c r="GS94" s="213"/>
      <c r="GT94" s="213"/>
      <c r="GU94" s="213"/>
      <c r="GV94" s="213"/>
      <c r="GW94" s="213"/>
      <c r="GX94" s="213"/>
      <c r="GY94" s="213"/>
      <c r="GZ94" s="213"/>
      <c r="HA94" s="213"/>
      <c r="HB94" s="213"/>
      <c r="HC94" s="213"/>
      <c r="HD94" s="213"/>
      <c r="HE94" s="213"/>
      <c r="HF94" s="213"/>
      <c r="HG94" s="213"/>
      <c r="HH94" s="213"/>
      <c r="HI94" s="213"/>
      <c r="HJ94" s="213"/>
      <c r="HK94" s="213"/>
      <c r="HL94" s="213"/>
      <c r="HM94" s="213"/>
      <c r="HN94" s="213"/>
      <c r="HO94" s="213"/>
      <c r="HP94" s="213"/>
      <c r="HQ94" s="213"/>
      <c r="HR94" s="213"/>
      <c r="HS94" s="213"/>
      <c r="HT94" s="213"/>
      <c r="HU94" s="213"/>
      <c r="HV94" s="213"/>
      <c r="HW94" s="213"/>
      <c r="HX94" s="213"/>
      <c r="HY94" s="213"/>
      <c r="HZ94" s="213"/>
      <c r="IA94" s="213"/>
      <c r="IB94" s="213"/>
      <c r="IC94" s="213"/>
      <c r="ID94" s="213"/>
      <c r="IE94" s="213"/>
      <c r="IF94" s="213"/>
      <c r="IG94" s="213"/>
      <c r="IH94" s="213"/>
      <c r="II94" s="213"/>
      <c r="IJ94" s="213"/>
      <c r="IK94" s="213"/>
      <c r="IL94" s="213"/>
      <c r="IM94" s="213"/>
      <c r="IN94" s="213"/>
      <c r="IO94" s="213"/>
      <c r="IP94" s="213"/>
      <c r="IQ94" s="213"/>
      <c r="IR94" s="213"/>
      <c r="IS94" s="213"/>
      <c r="IT94" s="213"/>
      <c r="IU94" s="213"/>
      <c r="IV94" s="213"/>
      <c r="IW94" s="213"/>
    </row>
    <row r="95" spans="1:257" s="796" customFormat="1" ht="27" customHeight="1">
      <c r="A95" s="792" t="s">
        <v>5264</v>
      </c>
      <c r="B95" s="793"/>
      <c r="C95" s="793" t="s">
        <v>6324</v>
      </c>
      <c r="D95" s="793" t="s">
        <v>6317</v>
      </c>
      <c r="E95" s="793" t="s">
        <v>146</v>
      </c>
      <c r="F95" s="794">
        <f>F89</f>
        <v>10.425000000000001</v>
      </c>
      <c r="G95" s="470"/>
      <c r="H95" s="795">
        <f t="shared" ref="H95:H96" si="15">F95*G95</f>
        <v>0</v>
      </c>
      <c r="I95" s="781" t="s">
        <v>112</v>
      </c>
      <c r="J95" s="783"/>
      <c r="K95" s="783"/>
      <c r="L95" s="621"/>
      <c r="M95" s="621"/>
      <c r="N95" s="621"/>
      <c r="O95" s="621"/>
      <c r="P95" s="621"/>
      <c r="Q95" s="621"/>
      <c r="R95" s="621"/>
      <c r="S95" s="784"/>
      <c r="V95" s="783"/>
      <c r="W95" s="797"/>
      <c r="X95" s="797"/>
      <c r="Y95" s="797"/>
      <c r="Z95" s="797"/>
      <c r="AA95" s="797"/>
      <c r="AB95" s="797"/>
      <c r="AC95" s="797"/>
      <c r="AD95" s="797"/>
      <c r="AE95" s="797"/>
      <c r="AF95" s="797"/>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7"/>
      <c r="BN95" s="797"/>
      <c r="BO95" s="797"/>
      <c r="BP95" s="797"/>
      <c r="BQ95" s="797"/>
      <c r="BR95" s="797"/>
      <c r="BS95" s="797"/>
      <c r="BT95" s="797"/>
      <c r="BU95" s="797"/>
      <c r="BV95" s="797"/>
      <c r="BW95" s="797"/>
      <c r="BX95" s="797"/>
      <c r="BY95" s="797"/>
      <c r="BZ95" s="797"/>
      <c r="CA95" s="797"/>
      <c r="CB95" s="797"/>
      <c r="CC95" s="797"/>
      <c r="CD95" s="797"/>
      <c r="CE95" s="797"/>
      <c r="CF95" s="797"/>
      <c r="CG95" s="797"/>
      <c r="CH95" s="797"/>
      <c r="CI95" s="797"/>
      <c r="CJ95" s="797"/>
      <c r="CK95" s="797"/>
      <c r="CL95" s="797"/>
      <c r="CM95" s="797"/>
      <c r="CN95" s="797"/>
      <c r="CO95" s="797"/>
      <c r="CP95" s="797"/>
      <c r="CQ95" s="797"/>
      <c r="CR95" s="797"/>
      <c r="CS95" s="797"/>
      <c r="CT95" s="797"/>
      <c r="CU95" s="797"/>
      <c r="CV95" s="797"/>
      <c r="CW95" s="797"/>
      <c r="CX95" s="797"/>
      <c r="CY95" s="797"/>
      <c r="CZ95" s="797"/>
      <c r="DA95" s="797"/>
      <c r="DB95" s="797"/>
      <c r="DC95" s="797"/>
      <c r="DD95" s="797"/>
      <c r="DE95" s="797"/>
      <c r="DF95" s="797"/>
      <c r="DG95" s="797"/>
      <c r="DH95" s="797"/>
      <c r="DI95" s="797"/>
      <c r="DJ95" s="797"/>
      <c r="DK95" s="797"/>
      <c r="DL95" s="797"/>
      <c r="DM95" s="797"/>
      <c r="DN95" s="797"/>
      <c r="DO95" s="797"/>
      <c r="DP95" s="797"/>
      <c r="DQ95" s="797"/>
      <c r="DR95" s="797"/>
      <c r="DS95" s="797"/>
      <c r="DT95" s="797"/>
      <c r="DU95" s="797"/>
      <c r="DV95" s="797"/>
      <c r="DW95" s="797"/>
      <c r="DX95" s="797"/>
      <c r="DY95" s="797"/>
      <c r="DZ95" s="797"/>
      <c r="EA95" s="797"/>
      <c r="EB95" s="797"/>
      <c r="EC95" s="797"/>
      <c r="ED95" s="797"/>
      <c r="EE95" s="797"/>
      <c r="EF95" s="797"/>
      <c r="EG95" s="797"/>
      <c r="EH95" s="797"/>
      <c r="EI95" s="797"/>
      <c r="EJ95" s="797"/>
      <c r="EK95" s="797"/>
      <c r="EL95" s="797"/>
      <c r="EM95" s="797"/>
      <c r="EN95" s="797"/>
      <c r="EO95" s="797"/>
      <c r="EP95" s="797"/>
      <c r="EQ95" s="797"/>
      <c r="ER95" s="797"/>
      <c r="ES95" s="797"/>
      <c r="ET95" s="797"/>
      <c r="EU95" s="797"/>
      <c r="EV95" s="797"/>
      <c r="EW95" s="797"/>
      <c r="EX95" s="797"/>
      <c r="EY95" s="797"/>
      <c r="EZ95" s="797"/>
      <c r="FA95" s="797"/>
      <c r="FB95" s="797"/>
      <c r="FC95" s="797"/>
      <c r="FD95" s="797"/>
      <c r="FE95" s="797"/>
      <c r="FF95" s="797"/>
      <c r="FG95" s="797"/>
      <c r="FH95" s="797"/>
      <c r="FI95" s="797"/>
      <c r="FJ95" s="797"/>
      <c r="FK95" s="797"/>
      <c r="FL95" s="797"/>
      <c r="FM95" s="797"/>
      <c r="FN95" s="797"/>
      <c r="FO95" s="797"/>
      <c r="FP95" s="797"/>
      <c r="FQ95" s="797"/>
      <c r="FR95" s="797"/>
      <c r="FS95" s="797"/>
      <c r="FT95" s="797"/>
      <c r="FU95" s="797"/>
      <c r="FV95" s="797"/>
      <c r="FW95" s="797"/>
      <c r="FX95" s="797"/>
      <c r="FY95" s="797"/>
      <c r="FZ95" s="797"/>
      <c r="GA95" s="797"/>
      <c r="GB95" s="797"/>
      <c r="GC95" s="797"/>
      <c r="GD95" s="797"/>
      <c r="GE95" s="797"/>
      <c r="GF95" s="797"/>
      <c r="GG95" s="797"/>
      <c r="GH95" s="797"/>
      <c r="GI95" s="797"/>
      <c r="GJ95" s="797"/>
      <c r="GK95" s="797"/>
      <c r="GL95" s="797"/>
      <c r="GM95" s="797"/>
      <c r="GN95" s="797"/>
      <c r="GO95" s="797"/>
      <c r="GP95" s="797"/>
      <c r="GQ95" s="797"/>
      <c r="GR95" s="797"/>
      <c r="GS95" s="797"/>
      <c r="GT95" s="797"/>
      <c r="GU95" s="797"/>
      <c r="GV95" s="797"/>
      <c r="GW95" s="797"/>
      <c r="GX95" s="797"/>
      <c r="GY95" s="797"/>
      <c r="GZ95" s="797"/>
      <c r="HA95" s="797"/>
      <c r="HB95" s="797"/>
      <c r="HC95" s="797"/>
      <c r="HD95" s="797"/>
      <c r="HE95" s="797"/>
      <c r="HF95" s="797"/>
      <c r="HG95" s="797"/>
      <c r="HH95" s="797"/>
      <c r="HI95" s="797"/>
      <c r="HJ95" s="797"/>
      <c r="HK95" s="797"/>
      <c r="HL95" s="797"/>
      <c r="HM95" s="797"/>
      <c r="HN95" s="797"/>
      <c r="HO95" s="797"/>
      <c r="HP95" s="797"/>
      <c r="HQ95" s="797"/>
      <c r="HR95" s="797"/>
      <c r="HS95" s="797"/>
      <c r="HT95" s="797"/>
      <c r="HU95" s="797"/>
      <c r="HV95" s="797"/>
      <c r="HW95" s="797"/>
      <c r="HX95" s="797"/>
      <c r="HY95" s="797"/>
      <c r="HZ95" s="797"/>
      <c r="IA95" s="797"/>
      <c r="IB95" s="797"/>
      <c r="IC95" s="797"/>
      <c r="ID95" s="797"/>
      <c r="IE95" s="797"/>
      <c r="IF95" s="797"/>
      <c r="IG95" s="797"/>
      <c r="IH95" s="797"/>
      <c r="II95" s="797"/>
      <c r="IJ95" s="797"/>
      <c r="IK95" s="797"/>
      <c r="IL95" s="797"/>
      <c r="IM95" s="797"/>
      <c r="IN95" s="797"/>
      <c r="IO95" s="797"/>
      <c r="IP95" s="797"/>
      <c r="IQ95" s="797"/>
      <c r="IR95" s="797"/>
      <c r="IS95" s="797"/>
      <c r="IT95" s="797"/>
      <c r="IU95" s="797"/>
      <c r="IV95" s="797"/>
    </row>
    <row r="96" spans="1:257" s="796" customFormat="1" ht="27" customHeight="1">
      <c r="A96" s="792" t="s">
        <v>5265</v>
      </c>
      <c r="B96" s="793"/>
      <c r="C96" s="793" t="s">
        <v>6325</v>
      </c>
      <c r="D96" s="793" t="s">
        <v>6318</v>
      </c>
      <c r="E96" s="793" t="s">
        <v>146</v>
      </c>
      <c r="F96" s="794">
        <f>F91</f>
        <v>8.5289999999999999</v>
      </c>
      <c r="G96" s="470"/>
      <c r="H96" s="795">
        <f t="shared" si="15"/>
        <v>0</v>
      </c>
      <c r="I96" s="781" t="s">
        <v>112</v>
      </c>
      <c r="J96" s="783"/>
      <c r="K96" s="783"/>
      <c r="L96" s="621"/>
      <c r="M96" s="621"/>
      <c r="N96" s="621"/>
      <c r="O96" s="621"/>
      <c r="P96" s="621"/>
      <c r="Q96" s="621"/>
      <c r="R96" s="621"/>
      <c r="S96" s="784"/>
      <c r="V96" s="783"/>
      <c r="W96" s="797"/>
      <c r="X96" s="797"/>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7"/>
      <c r="AY96" s="797"/>
      <c r="AZ96" s="797"/>
      <c r="BA96" s="797"/>
      <c r="BB96" s="797"/>
      <c r="BC96" s="797"/>
      <c r="BD96" s="797"/>
      <c r="BE96" s="797"/>
      <c r="BF96" s="797"/>
      <c r="BG96" s="797"/>
      <c r="BH96" s="797"/>
      <c r="BI96" s="797"/>
      <c r="BJ96" s="797"/>
      <c r="BK96" s="797"/>
      <c r="BL96" s="797"/>
      <c r="BM96" s="797"/>
      <c r="BN96" s="797"/>
      <c r="BO96" s="797"/>
      <c r="BP96" s="797"/>
      <c r="BQ96" s="797"/>
      <c r="BR96" s="797"/>
      <c r="BS96" s="797"/>
      <c r="BT96" s="797"/>
      <c r="BU96" s="797"/>
      <c r="BV96" s="797"/>
      <c r="BW96" s="797"/>
      <c r="BX96" s="797"/>
      <c r="BY96" s="797"/>
      <c r="BZ96" s="797"/>
      <c r="CA96" s="797"/>
      <c r="CB96" s="797"/>
      <c r="CC96" s="797"/>
      <c r="CD96" s="797"/>
      <c r="CE96" s="797"/>
      <c r="CF96" s="797"/>
      <c r="CG96" s="797"/>
      <c r="CH96" s="797"/>
      <c r="CI96" s="797"/>
      <c r="CJ96" s="797"/>
      <c r="CK96" s="797"/>
      <c r="CL96" s="797"/>
      <c r="CM96" s="797"/>
      <c r="CN96" s="797"/>
      <c r="CO96" s="797"/>
      <c r="CP96" s="797"/>
      <c r="CQ96" s="797"/>
      <c r="CR96" s="797"/>
      <c r="CS96" s="797"/>
      <c r="CT96" s="797"/>
      <c r="CU96" s="797"/>
      <c r="CV96" s="797"/>
      <c r="CW96" s="797"/>
      <c r="CX96" s="797"/>
      <c r="CY96" s="797"/>
      <c r="CZ96" s="797"/>
      <c r="DA96" s="797"/>
      <c r="DB96" s="797"/>
      <c r="DC96" s="797"/>
      <c r="DD96" s="797"/>
      <c r="DE96" s="797"/>
      <c r="DF96" s="797"/>
      <c r="DG96" s="797"/>
      <c r="DH96" s="797"/>
      <c r="DI96" s="797"/>
      <c r="DJ96" s="797"/>
      <c r="DK96" s="797"/>
      <c r="DL96" s="797"/>
      <c r="DM96" s="797"/>
      <c r="DN96" s="797"/>
      <c r="DO96" s="797"/>
      <c r="DP96" s="797"/>
      <c r="DQ96" s="797"/>
      <c r="DR96" s="797"/>
      <c r="DS96" s="797"/>
      <c r="DT96" s="797"/>
      <c r="DU96" s="797"/>
      <c r="DV96" s="797"/>
      <c r="DW96" s="797"/>
      <c r="DX96" s="797"/>
      <c r="DY96" s="797"/>
      <c r="DZ96" s="797"/>
      <c r="EA96" s="797"/>
      <c r="EB96" s="797"/>
      <c r="EC96" s="797"/>
      <c r="ED96" s="797"/>
      <c r="EE96" s="797"/>
      <c r="EF96" s="797"/>
      <c r="EG96" s="797"/>
      <c r="EH96" s="797"/>
      <c r="EI96" s="797"/>
      <c r="EJ96" s="797"/>
      <c r="EK96" s="797"/>
      <c r="EL96" s="797"/>
      <c r="EM96" s="797"/>
      <c r="EN96" s="797"/>
      <c r="EO96" s="797"/>
      <c r="EP96" s="797"/>
      <c r="EQ96" s="797"/>
      <c r="ER96" s="797"/>
      <c r="ES96" s="797"/>
      <c r="ET96" s="797"/>
      <c r="EU96" s="797"/>
      <c r="EV96" s="797"/>
      <c r="EW96" s="797"/>
      <c r="EX96" s="797"/>
      <c r="EY96" s="797"/>
      <c r="EZ96" s="797"/>
      <c r="FA96" s="797"/>
      <c r="FB96" s="797"/>
      <c r="FC96" s="797"/>
      <c r="FD96" s="797"/>
      <c r="FE96" s="797"/>
      <c r="FF96" s="797"/>
      <c r="FG96" s="797"/>
      <c r="FH96" s="797"/>
      <c r="FI96" s="797"/>
      <c r="FJ96" s="797"/>
      <c r="FK96" s="797"/>
      <c r="FL96" s="797"/>
      <c r="FM96" s="797"/>
      <c r="FN96" s="797"/>
      <c r="FO96" s="797"/>
      <c r="FP96" s="797"/>
      <c r="FQ96" s="797"/>
      <c r="FR96" s="797"/>
      <c r="FS96" s="797"/>
      <c r="FT96" s="797"/>
      <c r="FU96" s="797"/>
      <c r="FV96" s="797"/>
      <c r="FW96" s="797"/>
      <c r="FX96" s="797"/>
      <c r="FY96" s="797"/>
      <c r="FZ96" s="797"/>
      <c r="GA96" s="797"/>
      <c r="GB96" s="797"/>
      <c r="GC96" s="797"/>
      <c r="GD96" s="797"/>
      <c r="GE96" s="797"/>
      <c r="GF96" s="797"/>
      <c r="GG96" s="797"/>
      <c r="GH96" s="797"/>
      <c r="GI96" s="797"/>
      <c r="GJ96" s="797"/>
      <c r="GK96" s="797"/>
      <c r="GL96" s="797"/>
      <c r="GM96" s="797"/>
      <c r="GN96" s="797"/>
      <c r="GO96" s="797"/>
      <c r="GP96" s="797"/>
      <c r="GQ96" s="797"/>
      <c r="GR96" s="797"/>
      <c r="GS96" s="797"/>
      <c r="GT96" s="797"/>
      <c r="GU96" s="797"/>
      <c r="GV96" s="797"/>
      <c r="GW96" s="797"/>
      <c r="GX96" s="797"/>
      <c r="GY96" s="797"/>
      <c r="GZ96" s="797"/>
      <c r="HA96" s="797"/>
      <c r="HB96" s="797"/>
      <c r="HC96" s="797"/>
      <c r="HD96" s="797"/>
      <c r="HE96" s="797"/>
      <c r="HF96" s="797"/>
      <c r="HG96" s="797"/>
      <c r="HH96" s="797"/>
      <c r="HI96" s="797"/>
      <c r="HJ96" s="797"/>
      <c r="HK96" s="797"/>
      <c r="HL96" s="797"/>
      <c r="HM96" s="797"/>
      <c r="HN96" s="797"/>
      <c r="HO96" s="797"/>
      <c r="HP96" s="797"/>
      <c r="HQ96" s="797"/>
      <c r="HR96" s="797"/>
      <c r="HS96" s="797"/>
      <c r="HT96" s="797"/>
      <c r="HU96" s="797"/>
      <c r="HV96" s="797"/>
      <c r="HW96" s="797"/>
      <c r="HX96" s="797"/>
      <c r="HY96" s="797"/>
      <c r="HZ96" s="797"/>
      <c r="IA96" s="797"/>
      <c r="IB96" s="797"/>
      <c r="IC96" s="797"/>
      <c r="ID96" s="797"/>
      <c r="IE96" s="797"/>
      <c r="IF96" s="797"/>
      <c r="IG96" s="797"/>
      <c r="IH96" s="797"/>
      <c r="II96" s="797"/>
      <c r="IJ96" s="797"/>
      <c r="IK96" s="797"/>
      <c r="IL96" s="797"/>
      <c r="IM96" s="797"/>
      <c r="IN96" s="797"/>
      <c r="IO96" s="797"/>
      <c r="IP96" s="797"/>
      <c r="IQ96" s="797"/>
      <c r="IR96" s="797"/>
      <c r="IS96" s="797"/>
      <c r="IT96" s="797"/>
      <c r="IU96" s="797"/>
      <c r="IV96" s="797"/>
    </row>
    <row r="97" spans="1:257" s="804" customFormat="1" ht="27" customHeight="1">
      <c r="A97" s="798" t="s">
        <v>5266</v>
      </c>
      <c r="B97" s="799"/>
      <c r="C97" s="777">
        <v>171251101</v>
      </c>
      <c r="D97" s="800" t="s">
        <v>192</v>
      </c>
      <c r="E97" s="801" t="s">
        <v>146</v>
      </c>
      <c r="F97" s="802">
        <f>F87</f>
        <v>18.954000000000001</v>
      </c>
      <c r="G97" s="295"/>
      <c r="H97" s="803">
        <f t="shared" ref="H97:H98" si="16">ROUND(F97*G97,2)</f>
        <v>0</v>
      </c>
      <c r="I97" s="781" t="s">
        <v>137</v>
      </c>
      <c r="J97" s="647"/>
      <c r="K97" s="647"/>
      <c r="L97" s="612"/>
      <c r="M97" s="612"/>
      <c r="N97" s="612"/>
      <c r="O97" s="612"/>
      <c r="P97" s="612"/>
      <c r="Q97" s="612"/>
      <c r="R97" s="612"/>
      <c r="S97" s="788"/>
      <c r="V97" s="612"/>
    </row>
    <row r="98" spans="1:257" s="804" customFormat="1" ht="27" customHeight="1">
      <c r="A98" s="798" t="s">
        <v>5267</v>
      </c>
      <c r="B98" s="799"/>
      <c r="C98" s="805" t="s">
        <v>6311</v>
      </c>
      <c r="D98" s="806" t="s">
        <v>6323</v>
      </c>
      <c r="E98" s="801" t="s">
        <v>175</v>
      </c>
      <c r="F98" s="802">
        <f>F87*2</f>
        <v>37.908000000000001</v>
      </c>
      <c r="G98" s="295"/>
      <c r="H98" s="803">
        <f t="shared" si="16"/>
        <v>0</v>
      </c>
      <c r="I98" s="781" t="s">
        <v>112</v>
      </c>
      <c r="J98" s="647"/>
      <c r="K98" s="647"/>
      <c r="L98" s="612"/>
      <c r="M98" s="612"/>
      <c r="N98" s="612"/>
      <c r="O98" s="612"/>
      <c r="P98" s="612"/>
      <c r="Q98" s="612"/>
      <c r="R98" s="612"/>
      <c r="S98" s="788"/>
      <c r="V98" s="612"/>
    </row>
    <row r="99" spans="1:257" s="647" customFormat="1" ht="13.5" customHeight="1">
      <c r="A99" s="807"/>
      <c r="B99" s="808"/>
      <c r="C99" s="809"/>
      <c r="D99" s="810" t="s">
        <v>193</v>
      </c>
      <c r="E99" s="811"/>
      <c r="F99" s="812"/>
      <c r="G99" s="881"/>
      <c r="H99" s="813"/>
      <c r="I99" s="814"/>
      <c r="J99" s="815"/>
      <c r="L99" s="612"/>
      <c r="M99" s="612"/>
      <c r="N99" s="612"/>
      <c r="O99" s="612"/>
      <c r="P99" s="612"/>
      <c r="Q99" s="612"/>
      <c r="R99" s="612"/>
      <c r="S99" s="788"/>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6"/>
      <c r="AY99" s="816"/>
      <c r="AZ99" s="816"/>
      <c r="BA99" s="816"/>
      <c r="BB99" s="816"/>
      <c r="BC99" s="816"/>
      <c r="BD99" s="816"/>
      <c r="BE99" s="816"/>
      <c r="BF99" s="816"/>
      <c r="BG99" s="816"/>
      <c r="BH99" s="816"/>
      <c r="BI99" s="816"/>
      <c r="BJ99" s="816"/>
      <c r="BK99" s="816"/>
      <c r="BL99" s="816"/>
      <c r="BM99" s="816"/>
      <c r="BN99" s="816"/>
      <c r="BO99" s="816"/>
      <c r="BP99" s="816"/>
      <c r="BQ99" s="816"/>
      <c r="BR99" s="816"/>
      <c r="BS99" s="816"/>
      <c r="BT99" s="816"/>
      <c r="BU99" s="816"/>
      <c r="BV99" s="816"/>
      <c r="BW99" s="816"/>
      <c r="BX99" s="816"/>
      <c r="BY99" s="816"/>
      <c r="BZ99" s="816"/>
      <c r="CA99" s="816"/>
      <c r="CB99" s="816"/>
      <c r="CC99" s="816"/>
      <c r="CD99" s="816"/>
      <c r="CE99" s="816"/>
      <c r="CF99" s="816"/>
      <c r="CG99" s="816"/>
      <c r="CH99" s="816"/>
      <c r="CI99" s="816"/>
      <c r="CJ99" s="816"/>
      <c r="CK99" s="816"/>
      <c r="CL99" s="816"/>
      <c r="CM99" s="816"/>
      <c r="CN99" s="816"/>
      <c r="CO99" s="816"/>
      <c r="CP99" s="816"/>
      <c r="CQ99" s="816"/>
      <c r="CR99" s="816"/>
      <c r="CS99" s="816"/>
      <c r="CT99" s="816"/>
      <c r="CU99" s="816"/>
      <c r="CV99" s="816"/>
      <c r="CW99" s="816"/>
      <c r="CX99" s="816"/>
      <c r="CY99" s="816"/>
      <c r="CZ99" s="816"/>
      <c r="DA99" s="816"/>
      <c r="DB99" s="816"/>
      <c r="DC99" s="816"/>
      <c r="DD99" s="816"/>
      <c r="DE99" s="816"/>
      <c r="DF99" s="816"/>
      <c r="DG99" s="816"/>
      <c r="DH99" s="816"/>
      <c r="DI99" s="816"/>
      <c r="DJ99" s="816"/>
      <c r="DK99" s="816"/>
      <c r="DL99" s="816"/>
      <c r="DM99" s="816"/>
      <c r="DN99" s="816"/>
      <c r="DO99" s="816"/>
      <c r="DP99" s="816"/>
      <c r="DQ99" s="816"/>
      <c r="DR99" s="816"/>
      <c r="DS99" s="816"/>
      <c r="DT99" s="816"/>
      <c r="DU99" s="816"/>
      <c r="DV99" s="816"/>
      <c r="DW99" s="816"/>
      <c r="DX99" s="816"/>
      <c r="DY99" s="816"/>
      <c r="DZ99" s="816"/>
      <c r="EA99" s="816"/>
      <c r="EB99" s="816"/>
      <c r="EC99" s="816"/>
      <c r="ED99" s="816"/>
      <c r="EE99" s="816"/>
      <c r="EF99" s="816"/>
      <c r="EG99" s="816"/>
      <c r="EH99" s="816"/>
      <c r="EI99" s="816"/>
      <c r="EJ99" s="816"/>
      <c r="EK99" s="816"/>
      <c r="EL99" s="816"/>
      <c r="EM99" s="816"/>
      <c r="EN99" s="816"/>
      <c r="EO99" s="816"/>
      <c r="EP99" s="816"/>
      <c r="EQ99" s="816"/>
      <c r="ER99" s="816"/>
      <c r="ES99" s="816"/>
      <c r="ET99" s="816"/>
      <c r="EU99" s="816"/>
      <c r="EV99" s="816"/>
      <c r="EW99" s="816"/>
      <c r="EX99" s="816"/>
      <c r="EY99" s="816"/>
      <c r="EZ99" s="816"/>
      <c r="FA99" s="816"/>
      <c r="FB99" s="816"/>
      <c r="FC99" s="816"/>
      <c r="FD99" s="816"/>
      <c r="FE99" s="816"/>
      <c r="FF99" s="816"/>
      <c r="FG99" s="816"/>
      <c r="FH99" s="816"/>
      <c r="FI99" s="816"/>
      <c r="FJ99" s="816"/>
      <c r="FK99" s="816"/>
      <c r="FL99" s="816"/>
      <c r="FM99" s="816"/>
      <c r="FN99" s="816"/>
      <c r="FO99" s="816"/>
      <c r="FP99" s="816"/>
      <c r="FQ99" s="816"/>
      <c r="FR99" s="816"/>
      <c r="FS99" s="816"/>
      <c r="FT99" s="816"/>
      <c r="FU99" s="816"/>
      <c r="FV99" s="816"/>
      <c r="FW99" s="816"/>
      <c r="FX99" s="816"/>
      <c r="FY99" s="816"/>
      <c r="FZ99" s="816"/>
      <c r="GA99" s="816"/>
      <c r="GB99" s="816"/>
      <c r="GC99" s="816"/>
      <c r="GD99" s="816"/>
      <c r="GE99" s="816"/>
      <c r="GF99" s="816"/>
      <c r="GG99" s="816"/>
      <c r="GH99" s="816"/>
      <c r="GI99" s="816"/>
      <c r="GJ99" s="816"/>
      <c r="GK99" s="816"/>
      <c r="GL99" s="816"/>
      <c r="GM99" s="816"/>
      <c r="GN99" s="816"/>
      <c r="GO99" s="816"/>
      <c r="GP99" s="816"/>
      <c r="GQ99" s="816"/>
      <c r="GR99" s="816"/>
      <c r="GS99" s="816"/>
      <c r="GT99" s="816"/>
      <c r="GU99" s="816"/>
      <c r="GV99" s="816"/>
      <c r="GW99" s="816"/>
      <c r="GX99" s="816"/>
      <c r="GY99" s="816"/>
      <c r="GZ99" s="816"/>
      <c r="HA99" s="816"/>
      <c r="HB99" s="816"/>
      <c r="HC99" s="816"/>
      <c r="HD99" s="816"/>
      <c r="HE99" s="816"/>
      <c r="HF99" s="816"/>
      <c r="HG99" s="816"/>
      <c r="HH99" s="816"/>
      <c r="HI99" s="816"/>
      <c r="HJ99" s="816"/>
      <c r="HK99" s="816"/>
      <c r="HL99" s="816"/>
      <c r="HM99" s="816"/>
      <c r="HN99" s="816"/>
      <c r="HO99" s="816"/>
      <c r="HP99" s="816"/>
      <c r="HQ99" s="816"/>
      <c r="HR99" s="816"/>
      <c r="HS99" s="816"/>
      <c r="HT99" s="816"/>
      <c r="HU99" s="816"/>
      <c r="HV99" s="816"/>
      <c r="HW99" s="816"/>
      <c r="HX99" s="816"/>
      <c r="HY99" s="816"/>
      <c r="HZ99" s="816"/>
      <c r="IA99" s="816"/>
      <c r="IB99" s="816"/>
      <c r="IC99" s="816"/>
      <c r="ID99" s="816"/>
      <c r="IE99" s="816"/>
      <c r="IF99" s="816"/>
      <c r="IG99" s="816"/>
      <c r="IH99" s="816"/>
      <c r="II99" s="816"/>
      <c r="IJ99" s="816"/>
      <c r="IK99" s="816"/>
      <c r="IL99" s="816"/>
      <c r="IM99" s="816"/>
      <c r="IN99" s="816"/>
      <c r="IO99" s="816"/>
      <c r="IP99" s="816"/>
      <c r="IQ99" s="816"/>
      <c r="IR99" s="816"/>
      <c r="IS99" s="816"/>
      <c r="IT99" s="816"/>
      <c r="IU99" s="816"/>
      <c r="IV99" s="816"/>
      <c r="IW99" s="816"/>
    </row>
    <row r="100" spans="1:257" s="753" customFormat="1" ht="81" customHeight="1">
      <c r="A100" s="817"/>
      <c r="B100" s="818"/>
      <c r="C100" s="819"/>
      <c r="D100" s="584" t="s">
        <v>2404</v>
      </c>
      <c r="E100" s="748"/>
      <c r="F100" s="820"/>
      <c r="G100" s="373"/>
      <c r="H100" s="750"/>
      <c r="I100" s="821"/>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c r="CB100" s="754"/>
      <c r="CC100" s="754"/>
      <c r="CD100" s="754"/>
      <c r="CE100" s="754"/>
      <c r="CF100" s="754"/>
      <c r="CG100" s="754"/>
      <c r="CH100" s="754"/>
      <c r="CI100" s="754"/>
      <c r="CJ100" s="754"/>
      <c r="CK100" s="754"/>
      <c r="CL100" s="754"/>
      <c r="CM100" s="754"/>
      <c r="CN100" s="754"/>
      <c r="CO100" s="754"/>
      <c r="CP100" s="754"/>
      <c r="CQ100" s="754"/>
      <c r="CR100" s="754"/>
      <c r="CS100" s="754"/>
      <c r="CT100" s="754"/>
      <c r="CU100" s="754"/>
      <c r="CV100" s="754"/>
      <c r="CW100" s="754"/>
      <c r="CX100" s="754"/>
      <c r="CY100" s="754"/>
      <c r="CZ100" s="754"/>
      <c r="DA100" s="754"/>
      <c r="DB100" s="754"/>
      <c r="DC100" s="754"/>
      <c r="DD100" s="754"/>
      <c r="DE100" s="754"/>
      <c r="DF100" s="754"/>
      <c r="DG100" s="754"/>
      <c r="DH100" s="754"/>
      <c r="DI100" s="754"/>
      <c r="DJ100" s="754"/>
      <c r="DK100" s="754"/>
      <c r="DL100" s="754"/>
      <c r="DM100" s="754"/>
      <c r="DN100" s="754"/>
      <c r="DO100" s="754"/>
      <c r="DP100" s="754"/>
      <c r="DQ100" s="754"/>
      <c r="DR100" s="754"/>
      <c r="DS100" s="754"/>
      <c r="DT100" s="754"/>
      <c r="DU100" s="754"/>
      <c r="DV100" s="754"/>
      <c r="DW100" s="754"/>
      <c r="DX100" s="754"/>
      <c r="DY100" s="754"/>
      <c r="DZ100" s="754"/>
      <c r="EA100" s="754"/>
      <c r="EB100" s="754"/>
      <c r="EC100" s="754"/>
      <c r="ED100" s="754"/>
      <c r="EE100" s="754"/>
      <c r="EF100" s="754"/>
      <c r="EG100" s="754"/>
      <c r="EH100" s="754"/>
      <c r="EI100" s="754"/>
      <c r="EJ100" s="754"/>
      <c r="EK100" s="754"/>
      <c r="EL100" s="754"/>
      <c r="EM100" s="754"/>
      <c r="EN100" s="754"/>
      <c r="EO100" s="754"/>
      <c r="EP100" s="754"/>
      <c r="EQ100" s="754"/>
      <c r="ER100" s="754"/>
      <c r="ES100" s="754"/>
      <c r="ET100" s="754"/>
      <c r="EU100" s="754"/>
      <c r="EV100" s="754"/>
      <c r="EW100" s="754"/>
      <c r="EX100" s="754"/>
      <c r="EY100" s="754"/>
      <c r="EZ100" s="754"/>
      <c r="FA100" s="754"/>
      <c r="FB100" s="754"/>
      <c r="FC100" s="754"/>
      <c r="FD100" s="754"/>
      <c r="FE100" s="754"/>
      <c r="FF100" s="754"/>
      <c r="FG100" s="754"/>
      <c r="FH100" s="754"/>
      <c r="FI100" s="754"/>
      <c r="FJ100" s="754"/>
      <c r="FK100" s="754"/>
      <c r="FL100" s="754"/>
      <c r="FM100" s="754"/>
      <c r="FN100" s="754"/>
      <c r="FO100" s="754"/>
      <c r="FP100" s="754"/>
      <c r="FQ100" s="754"/>
      <c r="FR100" s="754"/>
      <c r="FS100" s="754"/>
      <c r="FT100" s="754"/>
      <c r="FU100" s="754"/>
      <c r="FV100" s="754"/>
      <c r="FW100" s="754"/>
      <c r="FX100" s="754"/>
      <c r="FY100" s="754"/>
      <c r="FZ100" s="754"/>
      <c r="GA100" s="754"/>
      <c r="GB100" s="754"/>
      <c r="GC100" s="754"/>
      <c r="GD100" s="754"/>
      <c r="GE100" s="754"/>
      <c r="GF100" s="754"/>
      <c r="GG100" s="754"/>
      <c r="GH100" s="754"/>
      <c r="GI100" s="754"/>
      <c r="GJ100" s="754"/>
      <c r="GK100" s="754"/>
      <c r="GL100" s="754"/>
      <c r="GM100" s="754"/>
      <c r="GN100" s="754"/>
      <c r="GO100" s="754"/>
      <c r="GP100" s="754"/>
      <c r="GQ100" s="754"/>
      <c r="GR100" s="754"/>
      <c r="GS100" s="754"/>
      <c r="GT100" s="754"/>
      <c r="GU100" s="754"/>
      <c r="GV100" s="754"/>
      <c r="GW100" s="754"/>
      <c r="GX100" s="754"/>
      <c r="GY100" s="754"/>
      <c r="GZ100" s="754"/>
      <c r="HA100" s="754"/>
      <c r="HB100" s="754"/>
      <c r="HC100" s="754"/>
      <c r="HD100" s="754"/>
      <c r="HE100" s="754"/>
      <c r="HF100" s="754"/>
      <c r="HG100" s="754"/>
      <c r="HH100" s="754"/>
      <c r="HI100" s="754"/>
      <c r="HJ100" s="754"/>
      <c r="HK100" s="754"/>
      <c r="HL100" s="754"/>
      <c r="HM100" s="754"/>
      <c r="HN100" s="754"/>
      <c r="HO100" s="754"/>
      <c r="HP100" s="754"/>
      <c r="HQ100" s="754"/>
      <c r="HR100" s="754"/>
      <c r="HS100" s="754"/>
      <c r="HT100" s="754"/>
      <c r="HU100" s="754"/>
      <c r="HV100" s="754"/>
      <c r="HW100" s="754"/>
      <c r="HX100" s="754"/>
      <c r="HY100" s="754"/>
      <c r="HZ100" s="754"/>
      <c r="IA100" s="754"/>
      <c r="IB100" s="754"/>
      <c r="IC100" s="754"/>
      <c r="ID100" s="754"/>
      <c r="IE100" s="754"/>
      <c r="IF100" s="754"/>
      <c r="IG100" s="754"/>
      <c r="IH100" s="754"/>
      <c r="II100" s="754"/>
      <c r="IJ100" s="754"/>
      <c r="IK100" s="754"/>
      <c r="IL100" s="754"/>
      <c r="IM100" s="754"/>
      <c r="IN100" s="754"/>
      <c r="IO100" s="754"/>
      <c r="IP100" s="754"/>
      <c r="IQ100" s="754"/>
      <c r="IR100" s="754"/>
      <c r="IS100" s="754"/>
      <c r="IT100" s="754"/>
      <c r="IU100" s="754"/>
      <c r="IV100" s="754"/>
      <c r="IW100" s="754"/>
    </row>
    <row r="101" spans="1:257" s="562" customFormat="1" ht="13.5" customHeight="1">
      <c r="A101" s="556"/>
      <c r="B101" s="565"/>
      <c r="C101" s="558">
        <v>2</v>
      </c>
      <c r="D101" s="558" t="s">
        <v>195</v>
      </c>
      <c r="E101" s="558"/>
      <c r="F101" s="559"/>
      <c r="G101" s="369"/>
      <c r="H101" s="560">
        <f>SUM(H102:H111)</f>
        <v>0</v>
      </c>
      <c r="I101" s="561"/>
      <c r="L101" s="563"/>
    </row>
    <row r="102" spans="1:257" s="823" customFormat="1" ht="13.5" customHeight="1">
      <c r="A102" s="556">
        <v>21</v>
      </c>
      <c r="B102" s="572" t="s">
        <v>197</v>
      </c>
      <c r="C102" s="565">
        <v>211971122</v>
      </c>
      <c r="D102" s="565" t="s">
        <v>5416</v>
      </c>
      <c r="E102" s="565" t="s">
        <v>163</v>
      </c>
      <c r="F102" s="573">
        <f>ROUND(SUM(F105:F106),3)</f>
        <v>33.024000000000001</v>
      </c>
      <c r="G102" s="307"/>
      <c r="H102" s="568">
        <f t="shared" ref="H102" si="17">ROUND(F102*G102,2)</f>
        <v>0</v>
      </c>
      <c r="I102" s="561" t="s">
        <v>137</v>
      </c>
      <c r="J102" s="822"/>
      <c r="L102" s="563"/>
    </row>
    <row r="103" spans="1:257" s="823" customFormat="1" ht="13.5" customHeight="1">
      <c r="A103" s="556"/>
      <c r="B103" s="572"/>
      <c r="C103" s="565"/>
      <c r="D103" s="575" t="s">
        <v>5417</v>
      </c>
      <c r="E103" s="565"/>
      <c r="F103" s="566"/>
      <c r="G103" s="307"/>
      <c r="H103" s="567"/>
      <c r="I103" s="561"/>
      <c r="J103" s="822"/>
      <c r="L103" s="563"/>
    </row>
    <row r="104" spans="1:257" s="723" customFormat="1" ht="13.5" customHeight="1">
      <c r="A104" s="716"/>
      <c r="B104" s="717"/>
      <c r="C104" s="718"/>
      <c r="D104" s="719" t="s">
        <v>5379</v>
      </c>
      <c r="E104" s="599"/>
      <c r="F104" s="600"/>
      <c r="G104" s="877"/>
      <c r="H104" s="720"/>
      <c r="I104" s="721"/>
      <c r="J104" s="722"/>
      <c r="U104" s="724"/>
      <c r="W104" s="724"/>
    </row>
    <row r="105" spans="1:257" s="723" customFormat="1" ht="13.5" customHeight="1">
      <c r="A105" s="716"/>
      <c r="B105" s="717"/>
      <c r="C105" s="718"/>
      <c r="D105" s="719" t="s">
        <v>5418</v>
      </c>
      <c r="E105" s="599"/>
      <c r="F105" s="600">
        <f xml:space="preserve"> (((1.1+0.55)*2)*7.74)+(0.54)</f>
        <v>26.082000000000001</v>
      </c>
      <c r="G105" s="877"/>
      <c r="H105" s="720"/>
      <c r="I105" s="721"/>
      <c r="J105" s="722"/>
      <c r="U105" s="724"/>
      <c r="W105" s="724"/>
    </row>
    <row r="106" spans="1:257" s="723" customFormat="1" ht="13.5" customHeight="1">
      <c r="A106" s="716"/>
      <c r="B106" s="717"/>
      <c r="C106" s="718"/>
      <c r="D106" s="719" t="s">
        <v>5419</v>
      </c>
      <c r="E106" s="599"/>
      <c r="F106" s="600">
        <f>(((1.1+0.55)*2)*1.94)+(0.54)</f>
        <v>6.9420000000000002</v>
      </c>
      <c r="G106" s="877"/>
      <c r="H106" s="720"/>
      <c r="I106" s="721"/>
      <c r="J106" s="722"/>
      <c r="U106" s="724"/>
      <c r="W106" s="724"/>
    </row>
    <row r="107" spans="1:257" s="823" customFormat="1" ht="13.5" customHeight="1">
      <c r="A107" s="824">
        <v>22</v>
      </c>
      <c r="B107" s="825">
        <v>693</v>
      </c>
      <c r="C107" s="825">
        <v>69311081</v>
      </c>
      <c r="D107" s="825" t="s">
        <v>5420</v>
      </c>
      <c r="E107" s="825" t="s">
        <v>163</v>
      </c>
      <c r="F107" s="731">
        <f>ROUND(SUM(F110:F111),3)</f>
        <v>37.978000000000002</v>
      </c>
      <c r="G107" s="377"/>
      <c r="H107" s="733">
        <f t="shared" ref="H107" si="18">ROUND(F107*G107,2)</f>
        <v>0</v>
      </c>
      <c r="I107" s="826" t="s">
        <v>137</v>
      </c>
      <c r="L107" s="563"/>
    </row>
    <row r="108" spans="1:257" s="823" customFormat="1" ht="13.5" customHeight="1">
      <c r="A108" s="556"/>
      <c r="B108" s="572"/>
      <c r="C108" s="565"/>
      <c r="D108" s="575" t="s">
        <v>5417</v>
      </c>
      <c r="E108" s="565"/>
      <c r="F108" s="566"/>
      <c r="G108" s="307"/>
      <c r="H108" s="567"/>
      <c r="I108" s="561"/>
      <c r="J108" s="822"/>
      <c r="L108" s="563"/>
    </row>
    <row r="109" spans="1:257" s="723" customFormat="1" ht="13.5" customHeight="1">
      <c r="A109" s="716"/>
      <c r="B109" s="717"/>
      <c r="C109" s="718"/>
      <c r="D109" s="719" t="s">
        <v>5379</v>
      </c>
      <c r="E109" s="599"/>
      <c r="F109" s="600"/>
      <c r="G109" s="877"/>
      <c r="H109" s="720"/>
      <c r="I109" s="721"/>
      <c r="J109" s="722"/>
      <c r="U109" s="724"/>
      <c r="W109" s="724"/>
    </row>
    <row r="110" spans="1:257" s="723" customFormat="1" ht="13.5" customHeight="1">
      <c r="A110" s="716"/>
      <c r="B110" s="717"/>
      <c r="C110" s="718"/>
      <c r="D110" s="719" t="s">
        <v>5421</v>
      </c>
      <c r="E110" s="599"/>
      <c r="F110" s="600">
        <f>(26.082)*1.15</f>
        <v>29.994299999999999</v>
      </c>
      <c r="G110" s="877"/>
      <c r="H110" s="720"/>
      <c r="I110" s="721"/>
      <c r="J110" s="722"/>
      <c r="U110" s="724"/>
      <c r="W110" s="724"/>
    </row>
    <row r="111" spans="1:257" s="723" customFormat="1" ht="13.5" customHeight="1">
      <c r="A111" s="716"/>
      <c r="B111" s="717"/>
      <c r="C111" s="718"/>
      <c r="D111" s="719" t="s">
        <v>5422</v>
      </c>
      <c r="E111" s="599"/>
      <c r="F111" s="600">
        <f>(6.942)*1.15</f>
        <v>7.9832999999999998</v>
      </c>
      <c r="G111" s="877"/>
      <c r="H111" s="720"/>
      <c r="I111" s="721"/>
      <c r="J111" s="722"/>
      <c r="U111" s="724"/>
      <c r="W111" s="724"/>
    </row>
    <row r="112" spans="1:257" s="562" customFormat="1" ht="13.5" customHeight="1">
      <c r="A112" s="556"/>
      <c r="B112" s="565"/>
      <c r="C112" s="558">
        <v>4</v>
      </c>
      <c r="D112" s="558" t="s">
        <v>279</v>
      </c>
      <c r="E112" s="558"/>
      <c r="F112" s="559"/>
      <c r="G112" s="369"/>
      <c r="H112" s="560">
        <f>SUM(H113:H117)</f>
        <v>0</v>
      </c>
      <c r="I112" s="561"/>
      <c r="L112" s="563"/>
    </row>
    <row r="113" spans="1:24" s="612" customFormat="1" ht="13.5" customHeight="1">
      <c r="A113" s="608">
        <v>23</v>
      </c>
      <c r="B113" s="557">
        <v>271</v>
      </c>
      <c r="C113" s="557">
        <v>451573111</v>
      </c>
      <c r="D113" s="557" t="s">
        <v>2405</v>
      </c>
      <c r="E113" s="557" t="s">
        <v>146</v>
      </c>
      <c r="F113" s="573">
        <f>ROUND(SUM(F116:F117),3)</f>
        <v>1.597</v>
      </c>
      <c r="G113" s="288"/>
      <c r="H113" s="568">
        <f t="shared" ref="H113" si="19">ROUND(F113*G113,2)</f>
        <v>0</v>
      </c>
      <c r="I113" s="613" t="s">
        <v>137</v>
      </c>
      <c r="U113" s="827"/>
      <c r="V113" s="827"/>
      <c r="W113" s="827"/>
      <c r="X113" s="827"/>
    </row>
    <row r="114" spans="1:24" s="723" customFormat="1" ht="13.5" customHeight="1">
      <c r="A114" s="716"/>
      <c r="B114" s="717"/>
      <c r="C114" s="718"/>
      <c r="D114" s="599" t="s">
        <v>5423</v>
      </c>
      <c r="E114" s="599"/>
      <c r="F114" s="600"/>
      <c r="G114" s="877"/>
      <c r="H114" s="720"/>
      <c r="I114" s="721"/>
      <c r="J114" s="722"/>
      <c r="U114" s="724"/>
      <c r="W114" s="724"/>
    </row>
    <row r="115" spans="1:24" s="723" customFormat="1" ht="13.5" customHeight="1">
      <c r="A115" s="716"/>
      <c r="B115" s="717"/>
      <c r="C115" s="718"/>
      <c r="D115" s="719" t="s">
        <v>5379</v>
      </c>
      <c r="E115" s="599"/>
      <c r="F115" s="600"/>
      <c r="G115" s="877"/>
      <c r="H115" s="720"/>
      <c r="I115" s="721"/>
      <c r="J115" s="722"/>
      <c r="U115" s="724"/>
      <c r="W115" s="724"/>
    </row>
    <row r="116" spans="1:24" s="723" customFormat="1" ht="13.5" customHeight="1">
      <c r="A116" s="716"/>
      <c r="B116" s="717"/>
      <c r="C116" s="718"/>
      <c r="D116" s="719" t="s">
        <v>5424</v>
      </c>
      <c r="E116" s="599"/>
      <c r="F116" s="600">
        <f>(7.74*1.1)*(0.15)</f>
        <v>1.2771000000000001</v>
      </c>
      <c r="G116" s="877"/>
      <c r="H116" s="720"/>
      <c r="I116" s="721"/>
      <c r="J116" s="722"/>
      <c r="U116" s="724"/>
      <c r="W116" s="724"/>
    </row>
    <row r="117" spans="1:24" s="723" customFormat="1" ht="13.5" customHeight="1">
      <c r="A117" s="716"/>
      <c r="B117" s="717"/>
      <c r="C117" s="718"/>
      <c r="D117" s="719" t="s">
        <v>5425</v>
      </c>
      <c r="E117" s="599"/>
      <c r="F117" s="600">
        <f>(1.94*1.1)*(0.15)</f>
        <v>0.3201</v>
      </c>
      <c r="G117" s="877"/>
      <c r="H117" s="720"/>
      <c r="I117" s="721"/>
      <c r="J117" s="722"/>
      <c r="U117" s="724"/>
      <c r="W117" s="724"/>
    </row>
    <row r="118" spans="1:24" s="612" customFormat="1" ht="13.5" customHeight="1">
      <c r="A118" s="608"/>
      <c r="B118" s="557"/>
      <c r="C118" s="616" t="s">
        <v>1171</v>
      </c>
      <c r="D118" s="616" t="s">
        <v>1646</v>
      </c>
      <c r="E118" s="616"/>
      <c r="F118" s="617"/>
      <c r="G118" s="303"/>
      <c r="H118" s="828">
        <f>SUM(H119:H148)</f>
        <v>0</v>
      </c>
      <c r="I118" s="613"/>
      <c r="J118" s="829"/>
      <c r="U118" s="213"/>
      <c r="V118" s="213"/>
      <c r="W118" s="213"/>
      <c r="X118" s="213"/>
    </row>
    <row r="119" spans="1:24" s="612" customFormat="1" ht="13.5" customHeight="1">
      <c r="A119" s="608">
        <v>24</v>
      </c>
      <c r="B119" s="557">
        <v>271</v>
      </c>
      <c r="C119" s="557" t="s">
        <v>5426</v>
      </c>
      <c r="D119" s="557" t="s">
        <v>5427</v>
      </c>
      <c r="E119" s="557" t="s">
        <v>141</v>
      </c>
      <c r="F119" s="573">
        <f>ROUND(SUM(F122:F126),3)</f>
        <v>21.295999999999999</v>
      </c>
      <c r="G119" s="288"/>
      <c r="H119" s="568">
        <f t="shared" ref="H119" si="20">ROUND(F119*G119,2)</f>
        <v>0</v>
      </c>
      <c r="I119" s="613" t="s">
        <v>111</v>
      </c>
      <c r="U119" s="827"/>
      <c r="V119" s="827"/>
      <c r="W119" s="827"/>
      <c r="X119" s="827"/>
    </row>
    <row r="120" spans="1:24" s="723" customFormat="1" ht="13.5" customHeight="1">
      <c r="A120" s="716"/>
      <c r="B120" s="717"/>
      <c r="C120" s="718"/>
      <c r="D120" s="719" t="s">
        <v>5428</v>
      </c>
      <c r="E120" s="599"/>
      <c r="F120" s="600"/>
      <c r="G120" s="877"/>
      <c r="H120" s="720"/>
      <c r="I120" s="721"/>
      <c r="J120" s="830"/>
      <c r="U120" s="724"/>
      <c r="W120" s="724"/>
    </row>
    <row r="121" spans="1:24" s="723" customFormat="1" ht="13.5" customHeight="1">
      <c r="A121" s="716"/>
      <c r="B121" s="717"/>
      <c r="C121" s="718"/>
      <c r="D121" s="599" t="s">
        <v>5429</v>
      </c>
      <c r="E121" s="599"/>
      <c r="F121" s="831"/>
      <c r="G121" s="877"/>
      <c r="H121" s="720"/>
      <c r="I121" s="721"/>
      <c r="J121" s="832"/>
      <c r="K121" s="832"/>
      <c r="U121" s="724"/>
      <c r="W121" s="724"/>
    </row>
    <row r="122" spans="1:24" s="723" customFormat="1" ht="13.5" customHeight="1">
      <c r="A122" s="716"/>
      <c r="B122" s="717"/>
      <c r="C122" s="718"/>
      <c r="D122" s="719" t="s">
        <v>5430</v>
      </c>
      <c r="E122" s="599"/>
      <c r="F122" s="600">
        <f>(7.74)*1.1</f>
        <v>8.5140000000000011</v>
      </c>
      <c r="G122" s="877"/>
      <c r="H122" s="720"/>
      <c r="I122" s="721"/>
      <c r="J122" s="833"/>
      <c r="U122" s="724"/>
      <c r="W122" s="724"/>
    </row>
    <row r="123" spans="1:24" s="723" customFormat="1" ht="13.5" customHeight="1">
      <c r="A123" s="716"/>
      <c r="B123" s="717"/>
      <c r="C123" s="718"/>
      <c r="D123" s="719" t="s">
        <v>5431</v>
      </c>
      <c r="E123" s="599"/>
      <c r="F123" s="600">
        <f>(1.94)*1.1</f>
        <v>2.1339999999999999</v>
      </c>
      <c r="G123" s="877"/>
      <c r="H123" s="720"/>
      <c r="I123" s="721"/>
      <c r="J123" s="834"/>
      <c r="U123" s="724"/>
      <c r="W123" s="724"/>
    </row>
    <row r="124" spans="1:24" s="723" customFormat="1" ht="13.5" customHeight="1">
      <c r="A124" s="716"/>
      <c r="B124" s="717"/>
      <c r="C124" s="718"/>
      <c r="D124" s="599" t="s">
        <v>5432</v>
      </c>
      <c r="E124" s="599"/>
      <c r="F124" s="831"/>
      <c r="G124" s="877"/>
      <c r="H124" s="720"/>
      <c r="I124" s="721"/>
      <c r="J124" s="835"/>
      <c r="U124" s="724"/>
      <c r="W124" s="724"/>
    </row>
    <row r="125" spans="1:24" s="723" customFormat="1" ht="13.5" customHeight="1">
      <c r="A125" s="716"/>
      <c r="B125" s="717"/>
      <c r="C125" s="718"/>
      <c r="D125" s="719" t="s">
        <v>5430</v>
      </c>
      <c r="E125" s="599"/>
      <c r="F125" s="600">
        <f>(7.74)*1.1</f>
        <v>8.5140000000000011</v>
      </c>
      <c r="G125" s="877"/>
      <c r="H125" s="720"/>
      <c r="I125" s="721"/>
      <c r="J125" s="836"/>
      <c r="U125" s="724"/>
      <c r="W125" s="724"/>
    </row>
    <row r="126" spans="1:24" s="723" customFormat="1" ht="13.5" customHeight="1">
      <c r="A126" s="716"/>
      <c r="B126" s="717"/>
      <c r="C126" s="718"/>
      <c r="D126" s="719" t="s">
        <v>5431</v>
      </c>
      <c r="E126" s="599"/>
      <c r="F126" s="600">
        <f>(1.94)*1.1</f>
        <v>2.1339999999999999</v>
      </c>
      <c r="G126" s="877"/>
      <c r="H126" s="720"/>
      <c r="I126" s="837"/>
      <c r="U126" s="724"/>
      <c r="W126" s="724"/>
    </row>
    <row r="127" spans="1:24" s="723" customFormat="1" ht="13.5" customHeight="1">
      <c r="A127" s="716"/>
      <c r="B127" s="717"/>
      <c r="C127" s="718"/>
      <c r="D127" s="599" t="s">
        <v>2075</v>
      </c>
      <c r="E127" s="599"/>
      <c r="F127" s="600"/>
      <c r="G127" s="877"/>
      <c r="H127" s="720"/>
      <c r="I127" s="721"/>
      <c r="U127" s="724"/>
      <c r="W127" s="724"/>
    </row>
    <row r="128" spans="1:24" s="612" customFormat="1" ht="13.5" customHeight="1">
      <c r="A128" s="608">
        <v>25</v>
      </c>
      <c r="B128" s="557">
        <v>271</v>
      </c>
      <c r="C128" s="557" t="s">
        <v>5433</v>
      </c>
      <c r="D128" s="557" t="s">
        <v>5434</v>
      </c>
      <c r="E128" s="557" t="s">
        <v>141</v>
      </c>
      <c r="F128" s="573">
        <f>ROUND(SUM(F130:F130),3)</f>
        <v>10.648</v>
      </c>
      <c r="G128" s="288"/>
      <c r="H128" s="568">
        <f t="shared" ref="H128" si="21">ROUND(F128*G128,2)</f>
        <v>0</v>
      </c>
      <c r="I128" s="613" t="s">
        <v>111</v>
      </c>
      <c r="U128" s="827"/>
      <c r="V128" s="827"/>
      <c r="W128" s="827"/>
      <c r="X128" s="827"/>
    </row>
    <row r="129" spans="1:255" s="723" customFormat="1" ht="13.5" customHeight="1">
      <c r="A129" s="716"/>
      <c r="B129" s="717"/>
      <c r="C129" s="718"/>
      <c r="D129" s="719" t="s">
        <v>5435</v>
      </c>
      <c r="E129" s="599"/>
      <c r="F129" s="600"/>
      <c r="G129" s="877"/>
      <c r="H129" s="720"/>
      <c r="I129" s="837"/>
      <c r="J129" s="612"/>
      <c r="U129" s="724"/>
      <c r="W129" s="724"/>
    </row>
    <row r="130" spans="1:255" s="612" customFormat="1" ht="13.5" customHeight="1">
      <c r="A130" s="608"/>
      <c r="B130" s="557"/>
      <c r="C130" s="557"/>
      <c r="D130" s="599" t="s">
        <v>5436</v>
      </c>
      <c r="E130" s="557"/>
      <c r="F130" s="600">
        <f>(7.74+1.94)*1.1</f>
        <v>10.648</v>
      </c>
      <c r="G130" s="288"/>
      <c r="H130" s="609"/>
      <c r="I130" s="613"/>
      <c r="U130" s="827"/>
      <c r="V130" s="827"/>
      <c r="W130" s="827"/>
      <c r="X130" s="827"/>
    </row>
    <row r="131" spans="1:255" s="723" customFormat="1" ht="13.5" customHeight="1">
      <c r="A131" s="716"/>
      <c r="B131" s="717"/>
      <c r="C131" s="718"/>
      <c r="D131" s="599" t="s">
        <v>5437</v>
      </c>
      <c r="E131" s="599"/>
      <c r="F131" s="831"/>
      <c r="G131" s="877"/>
      <c r="H131" s="720"/>
      <c r="I131" s="721"/>
      <c r="J131" s="612"/>
      <c r="U131" s="724"/>
      <c r="W131" s="724"/>
    </row>
    <row r="132" spans="1:255" s="612" customFormat="1" ht="27" customHeight="1">
      <c r="A132" s="608">
        <v>26</v>
      </c>
      <c r="B132" s="557">
        <v>271</v>
      </c>
      <c r="C132" s="557" t="s">
        <v>4923</v>
      </c>
      <c r="D132" s="557" t="s">
        <v>5438</v>
      </c>
      <c r="E132" s="557" t="s">
        <v>205</v>
      </c>
      <c r="F132" s="573">
        <f>ROUND(SUM(F133),3)</f>
        <v>2</v>
      </c>
      <c r="G132" s="288"/>
      <c r="H132" s="568">
        <f t="shared" ref="H132" si="22">ROUND(F132*G132,2)</f>
        <v>0</v>
      </c>
      <c r="I132" s="613" t="s">
        <v>111</v>
      </c>
      <c r="U132" s="827"/>
      <c r="V132" s="827"/>
      <c r="W132" s="827"/>
      <c r="X132" s="827"/>
    </row>
    <row r="133" spans="1:255" s="723" customFormat="1" ht="27" customHeight="1">
      <c r="A133" s="716"/>
      <c r="B133" s="717"/>
      <c r="C133" s="718"/>
      <c r="D133" s="599" t="s">
        <v>5439</v>
      </c>
      <c r="E133" s="599"/>
      <c r="F133" s="576">
        <v>2</v>
      </c>
      <c r="G133" s="877"/>
      <c r="H133" s="720"/>
      <c r="I133" s="721"/>
      <c r="J133" s="838"/>
      <c r="U133" s="724"/>
      <c r="W133" s="724"/>
    </row>
    <row r="134" spans="1:255" ht="67.5" customHeight="1">
      <c r="A134" s="556"/>
      <c r="B134" s="565"/>
      <c r="C134" s="565"/>
      <c r="D134" s="839" t="s">
        <v>5440</v>
      </c>
      <c r="E134" s="565"/>
      <c r="G134" s="307"/>
      <c r="H134" s="567"/>
      <c r="I134" s="841"/>
      <c r="J134" s="842"/>
    </row>
    <row r="135" spans="1:255" s="562" customFormat="1" ht="13.5" customHeight="1">
      <c r="A135" s="843">
        <v>27</v>
      </c>
      <c r="B135" s="844">
        <v>271</v>
      </c>
      <c r="C135" s="844" t="s">
        <v>5274</v>
      </c>
      <c r="D135" s="844" t="s">
        <v>5441</v>
      </c>
      <c r="E135" s="844" t="s">
        <v>49</v>
      </c>
      <c r="F135" s="573">
        <f>ROUND(SUM(F137:F137),3)</f>
        <v>2</v>
      </c>
      <c r="G135" s="288"/>
      <c r="H135" s="568">
        <f t="shared" ref="H135" si="23">ROUND(F135*G135,2)</f>
        <v>0</v>
      </c>
      <c r="I135" s="613" t="s">
        <v>111</v>
      </c>
      <c r="J135" s="845"/>
      <c r="BC135" s="846"/>
      <c r="BD135" s="846"/>
      <c r="BE135" s="846"/>
      <c r="BF135" s="846"/>
      <c r="BG135" s="846"/>
      <c r="BH135" s="846"/>
      <c r="BI135" s="846"/>
      <c r="BJ135" s="846"/>
      <c r="BK135" s="846"/>
      <c r="BL135" s="846"/>
      <c r="BM135" s="846"/>
      <c r="BN135" s="846"/>
      <c r="BO135" s="846"/>
      <c r="BP135" s="846"/>
      <c r="BQ135" s="846"/>
      <c r="BR135" s="846"/>
      <c r="BS135" s="846"/>
      <c r="BT135" s="846"/>
      <c r="BU135" s="846"/>
      <c r="BV135" s="846"/>
      <c r="BW135" s="846"/>
      <c r="BX135" s="846"/>
      <c r="BY135" s="846"/>
      <c r="BZ135" s="846"/>
      <c r="CA135" s="846"/>
      <c r="CB135" s="846"/>
      <c r="CC135" s="846"/>
      <c r="CD135" s="846"/>
      <c r="CE135" s="846"/>
      <c r="CF135" s="846"/>
      <c r="CG135" s="846"/>
      <c r="CH135" s="846"/>
      <c r="CI135" s="846"/>
      <c r="CJ135" s="846"/>
      <c r="CK135" s="846"/>
      <c r="CL135" s="846"/>
      <c r="CM135" s="846"/>
      <c r="CN135" s="846"/>
      <c r="CO135" s="846"/>
      <c r="CP135" s="846"/>
      <c r="CQ135" s="846"/>
      <c r="CR135" s="846"/>
      <c r="CS135" s="846"/>
      <c r="CT135" s="846"/>
      <c r="CU135" s="846"/>
      <c r="CV135" s="846"/>
      <c r="CW135" s="846"/>
      <c r="CX135" s="846"/>
      <c r="CY135" s="846"/>
      <c r="CZ135" s="846"/>
      <c r="DA135" s="846"/>
      <c r="DB135" s="846"/>
      <c r="DC135" s="846"/>
      <c r="DD135" s="846"/>
      <c r="DE135" s="846"/>
      <c r="DF135" s="846"/>
      <c r="DG135" s="846"/>
      <c r="DH135" s="846"/>
      <c r="DI135" s="846"/>
      <c r="DJ135" s="846"/>
      <c r="DK135" s="846"/>
      <c r="DL135" s="846"/>
      <c r="DM135" s="846"/>
      <c r="DN135" s="846"/>
      <c r="DO135" s="846"/>
      <c r="DP135" s="846"/>
      <c r="DQ135" s="846"/>
      <c r="DR135" s="846"/>
      <c r="DS135" s="846"/>
      <c r="DT135" s="846"/>
      <c r="DU135" s="846"/>
      <c r="DV135" s="846"/>
      <c r="DW135" s="846"/>
      <c r="DX135" s="846"/>
      <c r="DY135" s="846"/>
      <c r="DZ135" s="846"/>
      <c r="EA135" s="846"/>
      <c r="EB135" s="846"/>
      <c r="EC135" s="846"/>
      <c r="ED135" s="846"/>
      <c r="EE135" s="846"/>
      <c r="EF135" s="846"/>
      <c r="EG135" s="846"/>
      <c r="EH135" s="846"/>
      <c r="EI135" s="846"/>
      <c r="EJ135" s="846"/>
      <c r="EK135" s="846"/>
      <c r="EL135" s="846"/>
      <c r="EM135" s="846"/>
      <c r="EN135" s="846"/>
      <c r="EO135" s="846"/>
      <c r="EP135" s="846"/>
      <c r="EQ135" s="846"/>
      <c r="ER135" s="846"/>
      <c r="ES135" s="846"/>
      <c r="ET135" s="846"/>
      <c r="EU135" s="846"/>
      <c r="EV135" s="846"/>
      <c r="EW135" s="846"/>
      <c r="EX135" s="846"/>
      <c r="EY135" s="846"/>
      <c r="EZ135" s="846"/>
      <c r="FA135" s="846"/>
      <c r="FB135" s="846"/>
      <c r="FC135" s="846"/>
      <c r="FD135" s="846"/>
      <c r="FE135" s="846"/>
      <c r="FF135" s="846"/>
      <c r="FG135" s="846"/>
      <c r="FH135" s="846"/>
      <c r="FI135" s="846"/>
      <c r="FJ135" s="846"/>
      <c r="FK135" s="846"/>
      <c r="FL135" s="846"/>
      <c r="FM135" s="846"/>
      <c r="FN135" s="846"/>
      <c r="FO135" s="846"/>
      <c r="FP135" s="846"/>
      <c r="FQ135" s="846"/>
      <c r="FR135" s="846"/>
      <c r="FS135" s="846"/>
      <c r="FT135" s="846"/>
      <c r="FU135" s="846"/>
      <c r="FV135" s="846"/>
      <c r="FW135" s="846"/>
      <c r="FX135" s="846"/>
      <c r="FY135" s="846"/>
      <c r="FZ135" s="846"/>
      <c r="GA135" s="846"/>
      <c r="GB135" s="846"/>
      <c r="GC135" s="846"/>
      <c r="GD135" s="846"/>
      <c r="GE135" s="846"/>
      <c r="GF135" s="846"/>
      <c r="GG135" s="846"/>
      <c r="GH135" s="846"/>
      <c r="GI135" s="846"/>
      <c r="GJ135" s="846"/>
      <c r="GK135" s="846"/>
      <c r="GL135" s="846"/>
      <c r="GM135" s="846"/>
      <c r="GN135" s="846"/>
      <c r="GO135" s="846"/>
      <c r="GP135" s="846"/>
      <c r="GQ135" s="846"/>
      <c r="GR135" s="846"/>
      <c r="GS135" s="846"/>
      <c r="GT135" s="846"/>
      <c r="GU135" s="846"/>
      <c r="GV135" s="846"/>
      <c r="GW135" s="846"/>
      <c r="GX135" s="846"/>
      <c r="GY135" s="846"/>
      <c r="GZ135" s="846"/>
      <c r="HA135" s="846"/>
      <c r="HB135" s="846"/>
      <c r="HC135" s="846"/>
      <c r="HD135" s="846"/>
      <c r="HE135" s="846"/>
      <c r="HF135" s="846"/>
      <c r="HG135" s="846"/>
      <c r="HH135" s="846"/>
      <c r="HI135" s="846"/>
      <c r="HJ135" s="846"/>
      <c r="HK135" s="846"/>
      <c r="HL135" s="846"/>
      <c r="HM135" s="846"/>
      <c r="HN135" s="846"/>
      <c r="HO135" s="846"/>
      <c r="HP135" s="846"/>
      <c r="HQ135" s="846"/>
      <c r="HR135" s="846"/>
      <c r="HS135" s="846"/>
      <c r="HT135" s="846"/>
      <c r="HU135" s="846"/>
      <c r="HV135" s="846"/>
      <c r="HW135" s="846"/>
      <c r="HX135" s="846"/>
      <c r="HY135" s="846"/>
      <c r="HZ135" s="846"/>
      <c r="IA135" s="846"/>
      <c r="IB135" s="846"/>
      <c r="IC135" s="846"/>
      <c r="ID135" s="846"/>
      <c r="IE135" s="846"/>
      <c r="IF135" s="846"/>
      <c r="IG135" s="846"/>
      <c r="IH135" s="846"/>
      <c r="II135" s="846"/>
      <c r="IJ135" s="846"/>
      <c r="IK135" s="846"/>
      <c r="IL135" s="846"/>
      <c r="IM135" s="846"/>
      <c r="IN135" s="846"/>
      <c r="IO135" s="846"/>
      <c r="IP135" s="846"/>
      <c r="IQ135" s="846"/>
      <c r="IR135" s="846"/>
      <c r="IS135" s="846"/>
      <c r="IT135" s="846"/>
      <c r="IU135" s="846"/>
    </row>
    <row r="136" spans="1:255" s="604" customFormat="1" ht="13.5" customHeight="1">
      <c r="A136" s="595"/>
      <c r="B136" s="596"/>
      <c r="C136" s="597"/>
      <c r="D136" s="719" t="s">
        <v>5442</v>
      </c>
      <c r="E136" s="599"/>
      <c r="F136" s="847"/>
      <c r="G136" s="289"/>
      <c r="H136" s="601"/>
      <c r="I136" s="602"/>
      <c r="J136" s="848"/>
      <c r="U136" s="605"/>
      <c r="W136" s="605"/>
    </row>
    <row r="137" spans="1:255" s="604" customFormat="1" ht="13.5" customHeight="1">
      <c r="A137" s="595"/>
      <c r="B137" s="596"/>
      <c r="C137" s="597"/>
      <c r="D137" s="719" t="s">
        <v>5457</v>
      </c>
      <c r="E137" s="599"/>
      <c r="F137" s="600">
        <v>2</v>
      </c>
      <c r="G137" s="289"/>
      <c r="H137" s="601"/>
      <c r="I137" s="602"/>
      <c r="J137" s="848"/>
      <c r="U137" s="605"/>
      <c r="W137" s="605"/>
    </row>
    <row r="138" spans="1:255" s="562" customFormat="1" ht="54" customHeight="1">
      <c r="A138" s="849"/>
      <c r="B138" s="653"/>
      <c r="C138" s="654"/>
      <c r="D138" s="584" t="s">
        <v>5443</v>
      </c>
      <c r="E138" s="575"/>
      <c r="F138" s="576"/>
      <c r="G138" s="370"/>
      <c r="H138" s="655"/>
      <c r="I138" s="656"/>
    </row>
    <row r="139" spans="1:255" s="612" customFormat="1" ht="13.5" customHeight="1">
      <c r="A139" s="608">
        <v>28</v>
      </c>
      <c r="B139" s="557">
        <v>271</v>
      </c>
      <c r="C139" s="557" t="s">
        <v>5049</v>
      </c>
      <c r="D139" s="557" t="s">
        <v>5456</v>
      </c>
      <c r="E139" s="557" t="s">
        <v>49</v>
      </c>
      <c r="F139" s="573">
        <f>ROUND(SUM(F140),3)</f>
        <v>1</v>
      </c>
      <c r="G139" s="288"/>
      <c r="H139" s="568">
        <f t="shared" ref="H139" si="24">ROUND(F139*G139,2)</f>
        <v>0</v>
      </c>
      <c r="I139" s="613" t="s">
        <v>112</v>
      </c>
      <c r="J139" s="201"/>
    </row>
    <row r="140" spans="1:255" s="604" customFormat="1" ht="27" customHeight="1">
      <c r="A140" s="595"/>
      <c r="B140" s="596"/>
      <c r="C140" s="597"/>
      <c r="D140" s="719" t="s">
        <v>5444</v>
      </c>
      <c r="E140" s="599"/>
      <c r="F140" s="600">
        <v>1</v>
      </c>
      <c r="G140" s="289"/>
      <c r="H140" s="601"/>
      <c r="I140" s="602"/>
      <c r="J140" s="606"/>
      <c r="U140" s="605"/>
      <c r="W140" s="605"/>
    </row>
    <row r="141" spans="1:255" s="604" customFormat="1" ht="13.5" customHeight="1">
      <c r="A141" s="595"/>
      <c r="B141" s="596"/>
      <c r="C141" s="597"/>
      <c r="D141" s="719" t="s">
        <v>5445</v>
      </c>
      <c r="E141" s="599"/>
      <c r="F141" s="600"/>
      <c r="G141" s="289"/>
      <c r="H141" s="601"/>
      <c r="I141" s="602"/>
      <c r="J141" s="606"/>
      <c r="U141" s="605"/>
      <c r="W141" s="605"/>
    </row>
    <row r="142" spans="1:255" s="604" customFormat="1" ht="27" customHeight="1">
      <c r="A142" s="595"/>
      <c r="B142" s="596"/>
      <c r="C142" s="597"/>
      <c r="D142" s="719" t="s">
        <v>5446</v>
      </c>
      <c r="E142" s="599"/>
      <c r="F142" s="600"/>
      <c r="G142" s="289"/>
      <c r="H142" s="601"/>
      <c r="I142" s="602"/>
      <c r="J142" s="606"/>
      <c r="U142" s="605"/>
      <c r="W142" s="605"/>
    </row>
    <row r="143" spans="1:255" s="612" customFormat="1" ht="13.5" customHeight="1">
      <c r="A143" s="608">
        <v>29</v>
      </c>
      <c r="B143" s="557">
        <v>271</v>
      </c>
      <c r="C143" s="557">
        <v>899722112</v>
      </c>
      <c r="D143" s="557" t="s">
        <v>5447</v>
      </c>
      <c r="E143" s="557" t="s">
        <v>141</v>
      </c>
      <c r="F143" s="573">
        <f>ROUND(SUM(F145:F146),3)</f>
        <v>29.04</v>
      </c>
      <c r="G143" s="288"/>
      <c r="H143" s="568">
        <f t="shared" ref="H143" si="25">ROUND(F143*G143,2)</f>
        <v>0</v>
      </c>
      <c r="I143" s="613" t="s">
        <v>137</v>
      </c>
      <c r="U143" s="827"/>
      <c r="V143" s="827"/>
      <c r="W143" s="827"/>
      <c r="X143" s="827"/>
    </row>
    <row r="144" spans="1:255" s="612" customFormat="1" ht="13.5" customHeight="1">
      <c r="A144" s="608"/>
      <c r="B144" s="557"/>
      <c r="C144" s="557"/>
      <c r="D144" s="599" t="s">
        <v>5448</v>
      </c>
      <c r="E144" s="557"/>
      <c r="F144" s="615"/>
      <c r="G144" s="288"/>
      <c r="H144" s="609"/>
      <c r="I144" s="613"/>
      <c r="U144" s="827"/>
      <c r="V144" s="827"/>
      <c r="W144" s="827"/>
      <c r="X144" s="827"/>
    </row>
    <row r="145" spans="1:23" s="723" customFormat="1" ht="27" customHeight="1">
      <c r="A145" s="716"/>
      <c r="B145" s="717"/>
      <c r="C145" s="718"/>
      <c r="D145" s="599" t="s">
        <v>5449</v>
      </c>
      <c r="E145" s="599"/>
      <c r="F145" s="600">
        <f>(7.74+1.94)*2</f>
        <v>19.36</v>
      </c>
      <c r="G145" s="877"/>
      <c r="H145" s="720"/>
      <c r="I145" s="721"/>
      <c r="J145" s="850"/>
      <c r="U145" s="724"/>
      <c r="W145" s="724"/>
    </row>
    <row r="146" spans="1:23" s="723" customFormat="1" ht="27" customHeight="1">
      <c r="A146" s="716"/>
      <c r="B146" s="717"/>
      <c r="C146" s="718"/>
      <c r="D146" s="599" t="s">
        <v>5450</v>
      </c>
      <c r="E146" s="599"/>
      <c r="F146" s="600">
        <f>(7.74+1.94)*1</f>
        <v>9.68</v>
      </c>
      <c r="G146" s="877"/>
      <c r="H146" s="720"/>
      <c r="I146" s="721"/>
      <c r="J146" s="850"/>
      <c r="U146" s="724"/>
      <c r="W146" s="724"/>
    </row>
    <row r="147" spans="1:23" s="612" customFormat="1" ht="13.5" customHeight="1">
      <c r="A147" s="608">
        <v>30</v>
      </c>
      <c r="B147" s="557">
        <v>271</v>
      </c>
      <c r="C147" s="557" t="s">
        <v>2411</v>
      </c>
      <c r="D147" s="557" t="s">
        <v>5451</v>
      </c>
      <c r="E147" s="557" t="s">
        <v>49</v>
      </c>
      <c r="F147" s="573">
        <f>ROUND(SUM(F148),3)</f>
        <v>1</v>
      </c>
      <c r="G147" s="288"/>
      <c r="H147" s="568">
        <f t="shared" ref="H147" si="26">ROUND(F147*G147,2)</f>
        <v>0</v>
      </c>
      <c r="I147" s="613" t="s">
        <v>112</v>
      </c>
      <c r="J147" s="378"/>
    </row>
    <row r="148" spans="1:23" s="612" customFormat="1" ht="13.5" customHeight="1">
      <c r="A148" s="608"/>
      <c r="B148" s="557"/>
      <c r="C148" s="599"/>
      <c r="D148" s="599" t="s">
        <v>1879</v>
      </c>
      <c r="E148" s="599"/>
      <c r="F148" s="600">
        <v>1</v>
      </c>
      <c r="G148" s="290"/>
      <c r="H148" s="614"/>
      <c r="I148" s="613"/>
    </row>
    <row r="149" spans="1:23" s="612" customFormat="1" ht="13.5" customHeight="1">
      <c r="A149" s="608"/>
      <c r="B149" s="608"/>
      <c r="C149" s="616" t="s">
        <v>356</v>
      </c>
      <c r="D149" s="616" t="s">
        <v>357</v>
      </c>
      <c r="E149" s="616"/>
      <c r="F149" s="617"/>
      <c r="G149" s="303"/>
      <c r="H149" s="828">
        <f>SUM(H150:H153)</f>
        <v>0</v>
      </c>
      <c r="I149" s="619"/>
    </row>
    <row r="150" spans="1:23" s="612" customFormat="1" ht="13.5" customHeight="1">
      <c r="A150" s="658" t="s">
        <v>5452</v>
      </c>
      <c r="B150" s="659" t="s">
        <v>2416</v>
      </c>
      <c r="C150" s="565">
        <v>998276101</v>
      </c>
      <c r="D150" s="557" t="s">
        <v>2418</v>
      </c>
      <c r="E150" s="557" t="s">
        <v>175</v>
      </c>
      <c r="F150" s="573">
        <f>ROUND(SUM(F151),3)</f>
        <v>36.223999999999997</v>
      </c>
      <c r="G150" s="288"/>
      <c r="H150" s="568">
        <f t="shared" ref="H150" si="27">ROUND(F150*G150,2)</f>
        <v>0</v>
      </c>
      <c r="I150" s="613" t="s">
        <v>137</v>
      </c>
    </row>
    <row r="151" spans="1:23" s="612" customFormat="1" ht="13.5" customHeight="1">
      <c r="A151" s="658"/>
      <c r="B151" s="659"/>
      <c r="C151" s="565"/>
      <c r="D151" s="719" t="s">
        <v>5453</v>
      </c>
      <c r="E151" s="557"/>
      <c r="F151" s="623">
        <v>36.223999999999997</v>
      </c>
      <c r="G151" s="288"/>
      <c r="H151" s="609"/>
      <c r="I151" s="613"/>
      <c r="J151" s="660"/>
    </row>
    <row r="152" spans="1:23" s="612" customFormat="1" ht="13.5" customHeight="1">
      <c r="A152" s="608">
        <v>32</v>
      </c>
      <c r="B152" s="557" t="s">
        <v>362</v>
      </c>
      <c r="C152" s="557" t="s">
        <v>2424</v>
      </c>
      <c r="D152" s="557" t="s">
        <v>2425</v>
      </c>
      <c r="E152" s="557" t="s">
        <v>69</v>
      </c>
      <c r="F152" s="573">
        <f>ROUND(SUM(F153),3)</f>
        <v>10</v>
      </c>
      <c r="G152" s="288"/>
      <c r="H152" s="568">
        <f t="shared" ref="H152" si="28">ROUND(F152*G152,2)</f>
        <v>0</v>
      </c>
      <c r="I152" s="561" t="s">
        <v>137</v>
      </c>
      <c r="J152" s="661"/>
      <c r="K152" s="662"/>
      <c r="L152" s="663"/>
    </row>
    <row r="153" spans="1:23" s="612" customFormat="1" ht="27" customHeight="1">
      <c r="A153" s="608"/>
      <c r="B153" s="557"/>
      <c r="C153" s="622"/>
      <c r="D153" s="599" t="s">
        <v>365</v>
      </c>
      <c r="E153" s="622"/>
      <c r="F153" s="623">
        <v>10</v>
      </c>
      <c r="G153" s="311"/>
      <c r="H153" s="664"/>
      <c r="I153" s="625"/>
      <c r="J153" s="665"/>
      <c r="K153" s="663"/>
      <c r="L153" s="663"/>
    </row>
    <row r="154" spans="1:23" s="612" customFormat="1" ht="21" customHeight="1">
      <c r="A154" s="608"/>
      <c r="B154" s="608"/>
      <c r="C154" s="616" t="s">
        <v>846</v>
      </c>
      <c r="D154" s="616" t="s">
        <v>847</v>
      </c>
      <c r="E154" s="616"/>
      <c r="F154" s="617"/>
      <c r="G154" s="303"/>
      <c r="H154" s="828">
        <f>H155</f>
        <v>0</v>
      </c>
      <c r="I154" s="625"/>
      <c r="J154" s="661"/>
    </row>
    <row r="155" spans="1:23" s="612" customFormat="1" ht="13.5" customHeight="1">
      <c r="A155" s="608"/>
      <c r="B155" s="608"/>
      <c r="C155" s="616" t="s">
        <v>1910</v>
      </c>
      <c r="D155" s="616" t="s">
        <v>1911</v>
      </c>
      <c r="E155" s="616"/>
      <c r="F155" s="617"/>
      <c r="G155" s="303"/>
      <c r="H155" s="828">
        <f>SUM(H156:H166)</f>
        <v>0</v>
      </c>
      <c r="I155" s="619"/>
      <c r="J155" s="661"/>
    </row>
    <row r="156" spans="1:23" s="612" customFormat="1" ht="13.5" customHeight="1">
      <c r="A156" s="608">
        <v>33</v>
      </c>
      <c r="B156" s="659" t="s">
        <v>5063</v>
      </c>
      <c r="C156" s="557">
        <v>230170003</v>
      </c>
      <c r="D156" s="557" t="s">
        <v>6272</v>
      </c>
      <c r="E156" s="557" t="s">
        <v>49</v>
      </c>
      <c r="F156" s="566">
        <f>ROUND(SUM(F158:F159),3)</f>
        <v>2</v>
      </c>
      <c r="G156" s="288"/>
      <c r="H156" s="568">
        <f t="shared" ref="H156" si="29">ROUND(F156*G156,2)</f>
        <v>0</v>
      </c>
      <c r="I156" s="613" t="s">
        <v>137</v>
      </c>
      <c r="J156" s="661"/>
    </row>
    <row r="157" spans="1:23" s="612" customFormat="1" ht="13.5" customHeight="1">
      <c r="A157" s="608"/>
      <c r="B157" s="659"/>
      <c r="C157" s="557"/>
      <c r="D157" s="599" t="s">
        <v>6270</v>
      </c>
      <c r="E157" s="557"/>
      <c r="F157" s="851"/>
      <c r="G157" s="288"/>
      <c r="H157" s="609"/>
      <c r="I157" s="613"/>
      <c r="J157" s="661"/>
    </row>
    <row r="158" spans="1:23" s="612" customFormat="1" ht="13.5" customHeight="1">
      <c r="A158" s="608"/>
      <c r="B158" s="608"/>
      <c r="C158" s="599"/>
      <c r="D158" s="599" t="s">
        <v>6273</v>
      </c>
      <c r="E158" s="599"/>
      <c r="F158" s="623">
        <v>1</v>
      </c>
      <c r="G158" s="290"/>
      <c r="H158" s="614"/>
      <c r="I158" s="852"/>
      <c r="J158" s="661"/>
    </row>
    <row r="159" spans="1:23" s="612" customFormat="1" ht="13.5" customHeight="1">
      <c r="A159" s="608"/>
      <c r="B159" s="608"/>
      <c r="C159" s="599"/>
      <c r="D159" s="599" t="s">
        <v>6274</v>
      </c>
      <c r="E159" s="599"/>
      <c r="F159" s="623">
        <v>1</v>
      </c>
      <c r="G159" s="290"/>
      <c r="H159" s="614"/>
      <c r="I159" s="852"/>
      <c r="J159" s="661"/>
    </row>
    <row r="160" spans="1:23" s="612" customFormat="1" ht="13.5" customHeight="1">
      <c r="A160" s="608"/>
      <c r="B160" s="608"/>
      <c r="C160" s="599"/>
      <c r="D160" s="599" t="s">
        <v>5068</v>
      </c>
      <c r="E160" s="599"/>
      <c r="F160" s="623"/>
      <c r="G160" s="290"/>
      <c r="H160" s="614"/>
      <c r="I160" s="852"/>
      <c r="J160" s="661"/>
    </row>
    <row r="161" spans="1:10" s="612" customFormat="1" ht="13.5" customHeight="1">
      <c r="A161" s="608">
        <v>34</v>
      </c>
      <c r="B161" s="659" t="s">
        <v>5063</v>
      </c>
      <c r="C161" s="557">
        <v>230170013</v>
      </c>
      <c r="D161" s="557" t="s">
        <v>6275</v>
      </c>
      <c r="E161" s="557" t="s">
        <v>141</v>
      </c>
      <c r="F161" s="566">
        <f>ROUND(SUM(F163:F164),3)</f>
        <v>19.36</v>
      </c>
      <c r="G161" s="288"/>
      <c r="H161" s="568">
        <f t="shared" ref="H161" si="30">ROUND(F161*G161,2)</f>
        <v>0</v>
      </c>
      <c r="I161" s="613" t="s">
        <v>137</v>
      </c>
      <c r="J161" s="661"/>
    </row>
    <row r="162" spans="1:10" s="612" customFormat="1" ht="13.5" customHeight="1">
      <c r="A162" s="608"/>
      <c r="B162" s="659"/>
      <c r="C162" s="557"/>
      <c r="D162" s="599" t="s">
        <v>6271</v>
      </c>
      <c r="E162" s="557"/>
      <c r="F162" s="851"/>
      <c r="G162" s="288"/>
      <c r="H162" s="609"/>
      <c r="I162" s="613"/>
      <c r="J162" s="661"/>
    </row>
    <row r="163" spans="1:10" s="612" customFormat="1" ht="27" customHeight="1">
      <c r="A163" s="608"/>
      <c r="B163" s="608"/>
      <c r="C163" s="599"/>
      <c r="D163" s="599" t="s">
        <v>6276</v>
      </c>
      <c r="E163" s="599"/>
      <c r="F163" s="623">
        <f>(7.74+1.94)</f>
        <v>9.68</v>
      </c>
      <c r="G163" s="290"/>
      <c r="H163" s="614"/>
      <c r="I163" s="852"/>
      <c r="J163" s="661"/>
    </row>
    <row r="164" spans="1:10" s="612" customFormat="1" ht="27" customHeight="1">
      <c r="A164" s="608"/>
      <c r="B164" s="608"/>
      <c r="C164" s="599"/>
      <c r="D164" s="599" t="s">
        <v>6277</v>
      </c>
      <c r="E164" s="599"/>
      <c r="F164" s="623">
        <f>(7.74+1.94)</f>
        <v>9.68</v>
      </c>
      <c r="G164" s="290"/>
      <c r="H164" s="614"/>
      <c r="I164" s="852"/>
      <c r="J164" s="661"/>
    </row>
    <row r="165" spans="1:10" s="612" customFormat="1" ht="13.5" customHeight="1">
      <c r="A165" s="608">
        <v>35</v>
      </c>
      <c r="B165" s="557" t="s">
        <v>362</v>
      </c>
      <c r="C165" s="557" t="s">
        <v>2424</v>
      </c>
      <c r="D165" s="557" t="s">
        <v>2425</v>
      </c>
      <c r="E165" s="557" t="s">
        <v>69</v>
      </c>
      <c r="F165" s="566">
        <f>ROUND(SUM(F166),3)</f>
        <v>5</v>
      </c>
      <c r="G165" s="288"/>
      <c r="H165" s="568">
        <f t="shared" ref="H165" si="31">ROUND(F165*G165,2)</f>
        <v>0</v>
      </c>
      <c r="I165" s="613" t="s">
        <v>137</v>
      </c>
      <c r="J165" s="661"/>
    </row>
    <row r="166" spans="1:10" s="612" customFormat="1" ht="27" customHeight="1">
      <c r="A166" s="608"/>
      <c r="B166" s="557"/>
      <c r="C166" s="622"/>
      <c r="D166" s="599" t="s">
        <v>5073</v>
      </c>
      <c r="E166" s="622"/>
      <c r="F166" s="623">
        <v>5</v>
      </c>
      <c r="G166" s="311"/>
      <c r="H166" s="664"/>
      <c r="I166" s="625"/>
      <c r="J166" s="661"/>
    </row>
    <row r="167" spans="1:10" ht="21" customHeight="1">
      <c r="A167" s="853"/>
      <c r="B167" s="854"/>
      <c r="C167" s="854"/>
      <c r="D167" s="854" t="s">
        <v>0</v>
      </c>
      <c r="E167" s="854"/>
      <c r="F167" s="855"/>
      <c r="G167" s="856"/>
      <c r="H167" s="856">
        <f>H154+H8</f>
        <v>0</v>
      </c>
      <c r="I167" s="562"/>
    </row>
    <row r="168" spans="1:10">
      <c r="A168" s="857"/>
      <c r="B168" s="857"/>
      <c r="C168" s="858"/>
      <c r="D168" s="858"/>
      <c r="E168" s="859"/>
      <c r="F168" s="860"/>
      <c r="G168" s="861"/>
      <c r="H168" s="861"/>
      <c r="I168" s="862"/>
    </row>
    <row r="169" spans="1:10" ht="13.5" customHeight="1">
      <c r="A169" s="5276" t="s">
        <v>862</v>
      </c>
      <c r="B169" s="5277"/>
      <c r="C169" s="5278"/>
      <c r="D169" s="863" t="s">
        <v>5455</v>
      </c>
      <c r="E169" s="864"/>
      <c r="F169" s="865"/>
      <c r="G169" s="866"/>
      <c r="H169" s="867">
        <f>H167</f>
        <v>0</v>
      </c>
      <c r="I169" s="868"/>
    </row>
    <row r="170" spans="1:10" ht="13.5" customHeight="1">
      <c r="A170" s="869"/>
      <c r="B170" s="870"/>
      <c r="C170" s="870"/>
      <c r="D170" s="871"/>
      <c r="E170" s="872"/>
      <c r="F170" s="873"/>
      <c r="G170" s="874"/>
      <c r="H170" s="875"/>
      <c r="I170" s="562"/>
    </row>
    <row r="171" spans="1:10" ht="13.5" customHeight="1">
      <c r="A171" s="689" t="s">
        <v>1</v>
      </c>
      <c r="B171" s="689"/>
      <c r="C171" s="689"/>
      <c r="D171" s="689"/>
      <c r="E171" s="689"/>
      <c r="F171" s="876"/>
      <c r="G171" s="689"/>
      <c r="H171" s="689"/>
      <c r="I171" s="689"/>
    </row>
    <row r="172" spans="1:10" ht="27" customHeight="1">
      <c r="A172" s="5159" t="s">
        <v>864</v>
      </c>
      <c r="B172" s="5159"/>
      <c r="C172" s="5159"/>
      <c r="D172" s="5159"/>
      <c r="E172" s="5159"/>
      <c r="F172" s="5159"/>
      <c r="G172" s="5159"/>
      <c r="H172" s="689"/>
      <c r="I172" s="562"/>
    </row>
    <row r="173" spans="1:10" ht="93.75" customHeight="1">
      <c r="A173" s="5159" t="s">
        <v>104</v>
      </c>
      <c r="B173" s="5159"/>
      <c r="C173" s="5159"/>
      <c r="D173" s="5159"/>
      <c r="E173" s="5159"/>
      <c r="F173" s="5159"/>
      <c r="G173" s="5159"/>
      <c r="H173" s="689"/>
      <c r="I173" s="689"/>
    </row>
    <row r="174" spans="1:10" ht="13.5" customHeight="1">
      <c r="A174" s="5159" t="s">
        <v>105</v>
      </c>
      <c r="B174" s="5159"/>
      <c r="C174" s="5159"/>
      <c r="D174" s="5159"/>
      <c r="E174" s="5159"/>
      <c r="F174" s="5159"/>
      <c r="G174" s="5159"/>
      <c r="H174" s="691"/>
      <c r="I174" s="691"/>
    </row>
    <row r="175" spans="1:10" ht="13.5" customHeight="1">
      <c r="A175" s="5159" t="s">
        <v>106</v>
      </c>
      <c r="B175" s="5159"/>
      <c r="C175" s="5159"/>
      <c r="D175" s="5159"/>
      <c r="E175" s="5159"/>
      <c r="F175" s="5159"/>
      <c r="G175" s="5159"/>
      <c r="H175" s="691"/>
      <c r="I175" s="691"/>
    </row>
    <row r="176" spans="1:10" ht="40.5" customHeight="1">
      <c r="A176" s="5156" t="s">
        <v>865</v>
      </c>
      <c r="B176" s="5156"/>
      <c r="C176" s="5156"/>
      <c r="D176" s="5156"/>
      <c r="E176" s="5156"/>
      <c r="F176" s="5156"/>
      <c r="G176" s="5156"/>
      <c r="I176" s="562"/>
    </row>
    <row r="177" spans="1:9" s="695" customFormat="1" ht="94.5" customHeight="1">
      <c r="A177" s="5156" t="s">
        <v>1013</v>
      </c>
      <c r="B177" s="5156"/>
      <c r="C177" s="5156"/>
      <c r="D177" s="5156"/>
      <c r="E177" s="5156"/>
      <c r="F177" s="5156"/>
      <c r="G177" s="5156"/>
      <c r="H177" s="693"/>
      <c r="I177" s="694"/>
    </row>
  </sheetData>
  <sheetProtection algorithmName="SHA-512" hashValue="DUty6Oz50bQZlNcboroHonBI1c61vilApcEgK1vUA7U/9YwnnkZc0kKNeYdwyKzVpIIJzoU7PkElieEUQ9AFEQ==" saltValue="Vcnn0I44hvsYcabiU9fOmg==" spinCount="100000" sheet="1" objects="1" scenarios="1"/>
  <mergeCells count="10">
    <mergeCell ref="A174:G174"/>
    <mergeCell ref="A175:G175"/>
    <mergeCell ref="A176:G176"/>
    <mergeCell ref="A177:G177"/>
    <mergeCell ref="A2:D2"/>
    <mergeCell ref="A3:D3"/>
    <mergeCell ref="A4:D4"/>
    <mergeCell ref="A169:C169"/>
    <mergeCell ref="A172:G172"/>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282C-F52F-49EE-A312-C6EA9603B142}">
  <sheetPr>
    <tabColor rgb="FFFF00FF"/>
    <pageSetUpPr fitToPage="1"/>
  </sheetPr>
  <dimension ref="A1:IV83"/>
  <sheetViews>
    <sheetView zoomScaleNormal="100" workbookViewId="0"/>
  </sheetViews>
  <sheetFormatPr defaultRowHeight="15"/>
  <cols>
    <col min="1" max="1" width="4.83203125" style="541" customWidth="1"/>
    <col min="2" max="2" width="5" style="541" customWidth="1"/>
    <col min="3" max="3" width="16.83203125" style="541" customWidth="1"/>
    <col min="4" max="4" width="75.83203125" style="541" customWidth="1"/>
    <col min="5" max="5" width="7.83203125" style="541" customWidth="1"/>
    <col min="6" max="6" width="11.83203125" style="541" customWidth="1"/>
    <col min="7" max="7" width="13.6640625" style="541" customWidth="1"/>
    <col min="8" max="8" width="18.33203125" style="541" customWidth="1"/>
    <col min="9" max="9" width="20.1640625" style="541" customWidth="1"/>
    <col min="10" max="10" width="17" style="541" bestFit="1" customWidth="1"/>
    <col min="11" max="11" width="15.5" style="541" customWidth="1"/>
    <col min="12" max="12" width="9.33203125" style="541"/>
    <col min="13" max="13" width="13.83203125" style="541" customWidth="1"/>
    <col min="14" max="16384" width="9.33203125" style="541"/>
  </cols>
  <sheetData>
    <row r="1" spans="1:20" ht="21" customHeight="1">
      <c r="A1" s="1" t="s">
        <v>2760</v>
      </c>
      <c r="B1" s="28"/>
      <c r="C1" s="28"/>
      <c r="D1" s="111"/>
      <c r="E1" s="111"/>
      <c r="F1" s="111"/>
      <c r="G1" s="111"/>
      <c r="H1" s="111"/>
      <c r="I1" s="111"/>
    </row>
    <row r="2" spans="1:20" s="542" customFormat="1" ht="13.5" customHeight="1">
      <c r="A2" s="5193" t="s">
        <v>1639</v>
      </c>
      <c r="B2" s="5229"/>
      <c r="C2" s="5229"/>
      <c r="D2" s="5229"/>
      <c r="E2" s="5193"/>
      <c r="F2" s="5229"/>
      <c r="G2" s="5229"/>
      <c r="H2" s="5229"/>
    </row>
    <row r="3" spans="1:20" s="543" customFormat="1" ht="13.5" customHeight="1">
      <c r="A3" s="5228" t="s">
        <v>1647</v>
      </c>
      <c r="B3" s="5274"/>
      <c r="C3" s="5274"/>
      <c r="D3" s="5274"/>
    </row>
    <row r="4" spans="1:20" ht="13.5" customHeight="1">
      <c r="A4" s="5193" t="s">
        <v>5345</v>
      </c>
      <c r="B4" s="5275"/>
      <c r="C4" s="5275"/>
      <c r="D4" s="5275"/>
      <c r="E4" s="544"/>
      <c r="F4" s="545"/>
      <c r="G4" s="545"/>
      <c r="H4" s="542"/>
      <c r="I4" s="542"/>
    </row>
    <row r="5" spans="1:20">
      <c r="A5" s="545"/>
      <c r="B5" s="545"/>
      <c r="C5" s="545"/>
      <c r="D5" s="546"/>
      <c r="E5" s="547"/>
      <c r="F5" s="545"/>
      <c r="G5" s="545"/>
      <c r="H5" s="545"/>
      <c r="I5" s="548"/>
    </row>
    <row r="6" spans="1:20" ht="22.5">
      <c r="A6" s="549" t="s">
        <v>118</v>
      </c>
      <c r="B6" s="549" t="s">
        <v>119</v>
      </c>
      <c r="C6" s="549" t="s">
        <v>120</v>
      </c>
      <c r="D6" s="549" t="s">
        <v>121</v>
      </c>
      <c r="E6" s="549" t="s">
        <v>122</v>
      </c>
      <c r="F6" s="549" t="s">
        <v>123</v>
      </c>
      <c r="G6" s="549" t="s">
        <v>124</v>
      </c>
      <c r="H6" s="550" t="s">
        <v>2</v>
      </c>
      <c r="I6" s="551" t="s">
        <v>46</v>
      </c>
    </row>
    <row r="7" spans="1:20">
      <c r="A7" s="549" t="s">
        <v>125</v>
      </c>
      <c r="B7" s="549" t="s">
        <v>126</v>
      </c>
      <c r="C7" s="549">
        <v>3</v>
      </c>
      <c r="D7" s="549">
        <v>4</v>
      </c>
      <c r="E7" s="549">
        <v>5</v>
      </c>
      <c r="F7" s="549">
        <v>6</v>
      </c>
      <c r="G7" s="549">
        <v>7</v>
      </c>
      <c r="H7" s="550">
        <v>8</v>
      </c>
      <c r="I7" s="551">
        <v>9</v>
      </c>
    </row>
    <row r="8" spans="1:20" ht="21" customHeight="1">
      <c r="A8" s="552"/>
      <c r="B8" s="553"/>
      <c r="C8" s="553" t="s">
        <v>132</v>
      </c>
      <c r="D8" s="553" t="s">
        <v>133</v>
      </c>
      <c r="E8" s="553"/>
      <c r="F8" s="554"/>
      <c r="G8" s="555"/>
      <c r="H8" s="555">
        <f>H9+H49+H69</f>
        <v>0</v>
      </c>
      <c r="I8" s="542"/>
    </row>
    <row r="9" spans="1:20" s="562" customFormat="1" ht="13.5" customHeight="1">
      <c r="A9" s="556"/>
      <c r="B9" s="557" t="s">
        <v>1645</v>
      </c>
      <c r="C9" s="558" t="s">
        <v>125</v>
      </c>
      <c r="D9" s="558" t="s">
        <v>134</v>
      </c>
      <c r="E9" s="558"/>
      <c r="F9" s="559"/>
      <c r="G9" s="560"/>
      <c r="H9" s="560">
        <f>SUM(H10:H48)</f>
        <v>0</v>
      </c>
      <c r="I9" s="561"/>
      <c r="L9" s="563"/>
    </row>
    <row r="10" spans="1:20" s="571" customFormat="1" ht="13.5" customHeight="1">
      <c r="A10" s="564">
        <v>1</v>
      </c>
      <c r="B10" s="565" t="s">
        <v>135</v>
      </c>
      <c r="C10" s="565">
        <v>115101201</v>
      </c>
      <c r="D10" s="565" t="s">
        <v>136</v>
      </c>
      <c r="E10" s="565" t="s">
        <v>69</v>
      </c>
      <c r="F10" s="566">
        <v>24</v>
      </c>
      <c r="G10" s="307"/>
      <c r="H10" s="568">
        <f t="shared" ref="H10:H16" si="0">ROUND(F10*G10,2)</f>
        <v>0</v>
      </c>
      <c r="I10" s="561" t="s">
        <v>137</v>
      </c>
      <c r="J10" s="569"/>
      <c r="K10" s="570"/>
      <c r="L10" s="570"/>
      <c r="M10" s="570"/>
      <c r="N10" s="570"/>
      <c r="O10" s="570"/>
      <c r="P10" s="467"/>
      <c r="Q10" s="562"/>
      <c r="R10" s="569"/>
      <c r="S10" s="569"/>
      <c r="T10" s="569"/>
    </row>
    <row r="11" spans="1:20" s="571" customFormat="1" ht="13.5" customHeight="1">
      <c r="A11" s="564">
        <v>2</v>
      </c>
      <c r="B11" s="565" t="s">
        <v>135</v>
      </c>
      <c r="C11" s="565">
        <v>115101301</v>
      </c>
      <c r="D11" s="565" t="s">
        <v>138</v>
      </c>
      <c r="E11" s="565" t="s">
        <v>139</v>
      </c>
      <c r="F11" s="566">
        <v>3</v>
      </c>
      <c r="G11" s="307"/>
      <c r="H11" s="568">
        <f t="shared" si="0"/>
        <v>0</v>
      </c>
      <c r="I11" s="561" t="s">
        <v>137</v>
      </c>
      <c r="J11" s="569"/>
      <c r="K11" s="570"/>
      <c r="L11" s="570"/>
      <c r="M11" s="570"/>
      <c r="N11" s="570"/>
      <c r="O11" s="570"/>
      <c r="P11" s="467"/>
      <c r="Q11" s="562"/>
      <c r="R11" s="569"/>
      <c r="S11" s="569"/>
      <c r="T11" s="569"/>
    </row>
    <row r="12" spans="1:20" s="571" customFormat="1" ht="13.5" customHeight="1">
      <c r="A12" s="564">
        <v>3</v>
      </c>
      <c r="B12" s="565" t="s">
        <v>135</v>
      </c>
      <c r="C12" s="565">
        <v>119001402</v>
      </c>
      <c r="D12" s="565" t="s">
        <v>140</v>
      </c>
      <c r="E12" s="565" t="s">
        <v>141</v>
      </c>
      <c r="F12" s="566">
        <v>5</v>
      </c>
      <c r="G12" s="307"/>
      <c r="H12" s="568">
        <f t="shared" si="0"/>
        <v>0</v>
      </c>
      <c r="I12" s="561" t="s">
        <v>137</v>
      </c>
      <c r="J12" s="569"/>
      <c r="K12" s="570"/>
      <c r="L12" s="570"/>
      <c r="M12" s="570"/>
      <c r="N12" s="570"/>
      <c r="O12" s="570"/>
      <c r="P12" s="467"/>
      <c r="Q12" s="562"/>
      <c r="R12" s="569"/>
      <c r="S12" s="569"/>
      <c r="T12" s="569"/>
    </row>
    <row r="13" spans="1:20" s="571" customFormat="1" ht="13.5" customHeight="1">
      <c r="A13" s="564">
        <v>4</v>
      </c>
      <c r="B13" s="565" t="s">
        <v>135</v>
      </c>
      <c r="C13" s="565">
        <v>119001406</v>
      </c>
      <c r="D13" s="565" t="s">
        <v>142</v>
      </c>
      <c r="E13" s="565" t="s">
        <v>141</v>
      </c>
      <c r="F13" s="566">
        <v>5</v>
      </c>
      <c r="G13" s="307"/>
      <c r="H13" s="568">
        <f t="shared" si="0"/>
        <v>0</v>
      </c>
      <c r="I13" s="561" t="s">
        <v>137</v>
      </c>
      <c r="J13" s="569"/>
      <c r="K13" s="570"/>
      <c r="L13" s="570"/>
      <c r="M13" s="570"/>
      <c r="N13" s="570"/>
      <c r="O13" s="570"/>
      <c r="P13" s="467"/>
      <c r="Q13" s="562"/>
      <c r="R13" s="569"/>
      <c r="S13" s="569"/>
      <c r="T13" s="569"/>
    </row>
    <row r="14" spans="1:20" s="571" customFormat="1" ht="13.5" customHeight="1">
      <c r="A14" s="564">
        <v>5</v>
      </c>
      <c r="B14" s="565" t="s">
        <v>135</v>
      </c>
      <c r="C14" s="565">
        <v>119001412</v>
      </c>
      <c r="D14" s="565" t="s">
        <v>143</v>
      </c>
      <c r="E14" s="565" t="s">
        <v>141</v>
      </c>
      <c r="F14" s="566">
        <v>5</v>
      </c>
      <c r="G14" s="307"/>
      <c r="H14" s="568">
        <f t="shared" si="0"/>
        <v>0</v>
      </c>
      <c r="I14" s="561" t="s">
        <v>137</v>
      </c>
      <c r="J14" s="569"/>
      <c r="K14" s="570"/>
      <c r="L14" s="570"/>
      <c r="M14" s="570"/>
      <c r="N14" s="570"/>
      <c r="O14" s="570"/>
      <c r="P14" s="467"/>
      <c r="Q14" s="562"/>
      <c r="R14" s="569"/>
      <c r="S14" s="569"/>
      <c r="T14" s="569"/>
    </row>
    <row r="15" spans="1:20" s="571" customFormat="1" ht="13.5" customHeight="1">
      <c r="A15" s="564">
        <v>6</v>
      </c>
      <c r="B15" s="565" t="s">
        <v>135</v>
      </c>
      <c r="C15" s="565">
        <v>119001423</v>
      </c>
      <c r="D15" s="565" t="s">
        <v>5346</v>
      </c>
      <c r="E15" s="565" t="s">
        <v>141</v>
      </c>
      <c r="F15" s="566">
        <v>12</v>
      </c>
      <c r="G15" s="307"/>
      <c r="H15" s="568">
        <f t="shared" si="0"/>
        <v>0</v>
      </c>
      <c r="I15" s="561" t="s">
        <v>137</v>
      </c>
      <c r="J15" s="569"/>
      <c r="K15" s="570"/>
      <c r="L15" s="570"/>
      <c r="M15" s="570"/>
      <c r="N15" s="570"/>
      <c r="O15" s="570"/>
      <c r="P15" s="467"/>
      <c r="Q15" s="562"/>
      <c r="R15" s="569"/>
      <c r="S15" s="569"/>
      <c r="T15" s="569"/>
    </row>
    <row r="16" spans="1:20" s="562" customFormat="1" ht="27" customHeight="1">
      <c r="A16" s="556">
        <v>7</v>
      </c>
      <c r="B16" s="572" t="s">
        <v>135</v>
      </c>
      <c r="C16" s="565" t="s">
        <v>4252</v>
      </c>
      <c r="D16" s="565" t="s">
        <v>4253</v>
      </c>
      <c r="E16" s="565" t="s">
        <v>49</v>
      </c>
      <c r="F16" s="573">
        <f>ROUND(SUM(F17),3)</f>
        <v>1</v>
      </c>
      <c r="G16" s="307"/>
      <c r="H16" s="568">
        <f t="shared" si="0"/>
        <v>0</v>
      </c>
      <c r="I16" s="561" t="s">
        <v>112</v>
      </c>
      <c r="J16" s="574"/>
    </row>
    <row r="17" spans="1:23" s="562" customFormat="1" ht="40.5" customHeight="1">
      <c r="A17" s="556"/>
      <c r="B17" s="572"/>
      <c r="C17" s="565"/>
      <c r="D17" s="575" t="s">
        <v>4254</v>
      </c>
      <c r="E17" s="565"/>
      <c r="F17" s="576">
        <v>1</v>
      </c>
      <c r="G17" s="307"/>
      <c r="H17" s="567"/>
      <c r="I17" s="561"/>
      <c r="J17" s="577"/>
    </row>
    <row r="18" spans="1:23" s="562" customFormat="1" ht="40.5" customHeight="1">
      <c r="A18" s="578"/>
      <c r="B18" s="565"/>
      <c r="C18" s="565"/>
      <c r="D18" s="575" t="s">
        <v>4255</v>
      </c>
      <c r="E18" s="565"/>
      <c r="F18" s="579"/>
      <c r="G18" s="307"/>
      <c r="H18" s="567"/>
      <c r="I18" s="580"/>
      <c r="J18" s="574"/>
    </row>
    <row r="19" spans="1:23" s="562" customFormat="1" ht="27" customHeight="1">
      <c r="A19" s="556">
        <v>8</v>
      </c>
      <c r="B19" s="572" t="s">
        <v>135</v>
      </c>
      <c r="C19" s="565" t="s">
        <v>4256</v>
      </c>
      <c r="D19" s="565" t="s">
        <v>4257</v>
      </c>
      <c r="E19" s="565" t="s">
        <v>49</v>
      </c>
      <c r="F19" s="573">
        <f>ROUND(SUM(F20),3)</f>
        <v>1</v>
      </c>
      <c r="G19" s="307"/>
      <c r="H19" s="568">
        <f t="shared" ref="H19" si="1">ROUND(F19*G19,2)</f>
        <v>0</v>
      </c>
      <c r="I19" s="561" t="s">
        <v>112</v>
      </c>
      <c r="J19" s="574"/>
    </row>
    <row r="20" spans="1:23" s="562" customFormat="1" ht="27" customHeight="1">
      <c r="A20" s="556"/>
      <c r="B20" s="572"/>
      <c r="C20" s="565"/>
      <c r="D20" s="575" t="s">
        <v>4258</v>
      </c>
      <c r="E20" s="565"/>
      <c r="F20" s="576">
        <v>1</v>
      </c>
      <c r="G20" s="307"/>
      <c r="H20" s="567"/>
      <c r="I20" s="561"/>
      <c r="J20" s="577"/>
    </row>
    <row r="21" spans="1:23" s="562" customFormat="1" ht="13.5" customHeight="1">
      <c r="A21" s="556"/>
      <c r="B21" s="572"/>
      <c r="C21" s="565"/>
      <c r="D21" s="575" t="s">
        <v>4259</v>
      </c>
      <c r="E21" s="565"/>
      <c r="F21" s="576"/>
      <c r="G21" s="307"/>
      <c r="H21" s="567"/>
      <c r="I21" s="561"/>
      <c r="J21" s="577"/>
    </row>
    <row r="22" spans="1:23" s="593" customFormat="1" ht="67.5" customHeight="1">
      <c r="A22" s="581"/>
      <c r="B22" s="582"/>
      <c r="C22" s="583"/>
      <c r="D22" s="584" t="s">
        <v>310</v>
      </c>
      <c r="E22" s="585"/>
      <c r="F22" s="586"/>
      <c r="G22" s="696"/>
      <c r="H22" s="587"/>
      <c r="I22" s="588"/>
      <c r="J22" s="589"/>
      <c r="K22" s="590"/>
      <c r="L22" s="591"/>
      <c r="M22" s="592"/>
    </row>
    <row r="23" spans="1:23" s="571" customFormat="1" ht="27" customHeight="1">
      <c r="A23" s="564">
        <v>9</v>
      </c>
      <c r="B23" s="565" t="s">
        <v>135</v>
      </c>
      <c r="C23" s="565">
        <v>132212222</v>
      </c>
      <c r="D23" s="565" t="s">
        <v>4260</v>
      </c>
      <c r="E23" s="565" t="s">
        <v>146</v>
      </c>
      <c r="F23" s="573">
        <f>ROUND(SUM(F25),3)</f>
        <v>5.6429999999999998</v>
      </c>
      <c r="G23" s="307"/>
      <c r="H23" s="568">
        <f t="shared" ref="H23" si="2">ROUND(F23*G23,2)</f>
        <v>0</v>
      </c>
      <c r="I23" s="561" t="s">
        <v>137</v>
      </c>
      <c r="J23" s="594"/>
      <c r="K23" s="570"/>
      <c r="L23" s="570"/>
      <c r="M23" s="570"/>
      <c r="N23" s="570"/>
      <c r="O23" s="570"/>
      <c r="P23" s="467"/>
      <c r="Q23" s="562"/>
      <c r="R23" s="569"/>
      <c r="S23" s="569"/>
      <c r="T23" s="569"/>
    </row>
    <row r="24" spans="1:23" s="604" customFormat="1" ht="13.5" customHeight="1">
      <c r="A24" s="595"/>
      <c r="B24" s="596"/>
      <c r="C24" s="597"/>
      <c r="D24" s="598" t="s">
        <v>5347</v>
      </c>
      <c r="E24" s="599"/>
      <c r="F24" s="600"/>
      <c r="G24" s="289"/>
      <c r="H24" s="601"/>
      <c r="I24" s="602"/>
      <c r="J24" s="603"/>
      <c r="U24" s="605"/>
      <c r="W24" s="605"/>
    </row>
    <row r="25" spans="1:23" s="604" customFormat="1" ht="13.5" customHeight="1">
      <c r="A25" s="595"/>
      <c r="B25" s="596"/>
      <c r="C25" s="597"/>
      <c r="D25" s="599" t="s">
        <v>5348</v>
      </c>
      <c r="E25" s="599"/>
      <c r="F25" s="600">
        <f>(57*1.1*1.8)*0.05</f>
        <v>5.6430000000000007</v>
      </c>
      <c r="G25" s="289"/>
      <c r="H25" s="601"/>
      <c r="I25" s="602"/>
      <c r="J25" s="606"/>
      <c r="U25" s="605"/>
      <c r="W25" s="605"/>
    </row>
    <row r="26" spans="1:23" s="604" customFormat="1" ht="27" customHeight="1">
      <c r="A26" s="595"/>
      <c r="B26" s="596"/>
      <c r="C26" s="597"/>
      <c r="D26" s="597" t="s">
        <v>4323</v>
      </c>
      <c r="E26" s="597"/>
      <c r="F26" s="607"/>
      <c r="G26" s="289"/>
      <c r="H26" s="601"/>
      <c r="I26" s="602"/>
      <c r="J26" s="606"/>
      <c r="U26" s="605"/>
      <c r="W26" s="605"/>
    </row>
    <row r="27" spans="1:23" s="612" customFormat="1" ht="27" customHeight="1">
      <c r="A27" s="608">
        <v>10</v>
      </c>
      <c r="B27" s="557" t="s">
        <v>135</v>
      </c>
      <c r="C27" s="557">
        <v>132254203</v>
      </c>
      <c r="D27" s="557" t="s">
        <v>5349</v>
      </c>
      <c r="E27" s="557" t="s">
        <v>146</v>
      </c>
      <c r="F27" s="573">
        <f>ROUND(SUM(F29),3)</f>
        <v>56.43</v>
      </c>
      <c r="G27" s="288"/>
      <c r="H27" s="568">
        <f t="shared" ref="H27" si="3">ROUND(F27*G27,2)</f>
        <v>0</v>
      </c>
      <c r="I27" s="561" t="s">
        <v>137</v>
      </c>
      <c r="J27" s="610"/>
      <c r="K27" s="611"/>
    </row>
    <row r="28" spans="1:23" s="604" customFormat="1" ht="13.5" customHeight="1">
      <c r="A28" s="595"/>
      <c r="B28" s="596"/>
      <c r="C28" s="597"/>
      <c r="D28" s="598" t="s">
        <v>5350</v>
      </c>
      <c r="E28" s="599"/>
      <c r="F28" s="600"/>
      <c r="G28" s="289"/>
      <c r="H28" s="601"/>
      <c r="I28" s="602"/>
      <c r="J28" s="603"/>
      <c r="K28" s="611"/>
      <c r="U28" s="605"/>
      <c r="W28" s="605"/>
    </row>
    <row r="29" spans="1:23" s="604" customFormat="1" ht="13.5" customHeight="1">
      <c r="A29" s="595"/>
      <c r="B29" s="596"/>
      <c r="C29" s="597"/>
      <c r="D29" s="599" t="s">
        <v>5351</v>
      </c>
      <c r="E29" s="599"/>
      <c r="F29" s="600">
        <f>(57*1.1*1.8)*0.5</f>
        <v>56.430000000000007</v>
      </c>
      <c r="G29" s="289"/>
      <c r="H29" s="601"/>
      <c r="I29" s="602"/>
      <c r="J29" s="606"/>
      <c r="U29" s="605"/>
      <c r="W29" s="605"/>
    </row>
    <row r="30" spans="1:23" s="604" customFormat="1" ht="27" customHeight="1">
      <c r="A30" s="595"/>
      <c r="B30" s="596"/>
      <c r="C30" s="597"/>
      <c r="D30" s="597" t="s">
        <v>4323</v>
      </c>
      <c r="E30" s="597"/>
      <c r="F30" s="607"/>
      <c r="G30" s="289"/>
      <c r="H30" s="601"/>
      <c r="I30" s="602"/>
      <c r="J30" s="606"/>
      <c r="U30" s="605"/>
      <c r="W30" s="605"/>
    </row>
    <row r="31" spans="1:23" s="604" customFormat="1" ht="27" customHeight="1">
      <c r="A31" s="608">
        <v>11</v>
      </c>
      <c r="B31" s="557" t="s">
        <v>135</v>
      </c>
      <c r="C31" s="557">
        <v>132312222</v>
      </c>
      <c r="D31" s="557" t="s">
        <v>4387</v>
      </c>
      <c r="E31" s="557" t="s">
        <v>146</v>
      </c>
      <c r="F31" s="573">
        <f>ROUND(SUM(F33),3)</f>
        <v>5.6429999999999998</v>
      </c>
      <c r="G31" s="288"/>
      <c r="H31" s="568">
        <f t="shared" ref="H31" si="4">ROUND(F31*G31,2)</f>
        <v>0</v>
      </c>
      <c r="I31" s="561" t="s">
        <v>137</v>
      </c>
      <c r="J31" s="606"/>
      <c r="U31" s="605"/>
      <c r="W31" s="605"/>
    </row>
    <row r="32" spans="1:23" s="604" customFormat="1" ht="13.5" customHeight="1">
      <c r="A32" s="595"/>
      <c r="B32" s="596"/>
      <c r="C32" s="597"/>
      <c r="D32" s="598" t="s">
        <v>5347</v>
      </c>
      <c r="E32" s="599"/>
      <c r="F32" s="600"/>
      <c r="G32" s="289"/>
      <c r="H32" s="601"/>
      <c r="I32" s="602"/>
      <c r="J32" s="603"/>
      <c r="U32" s="605"/>
      <c r="W32" s="605"/>
    </row>
    <row r="33" spans="1:23" s="604" customFormat="1" ht="13.5" customHeight="1">
      <c r="A33" s="595"/>
      <c r="B33" s="596"/>
      <c r="C33" s="597"/>
      <c r="D33" s="599" t="s">
        <v>5348</v>
      </c>
      <c r="E33" s="599"/>
      <c r="F33" s="600">
        <f>(57*1.1*1.8)*0.05</f>
        <v>5.6430000000000007</v>
      </c>
      <c r="G33" s="289"/>
      <c r="H33" s="601"/>
      <c r="I33" s="602"/>
      <c r="J33" s="606"/>
      <c r="U33" s="605"/>
      <c r="W33" s="605"/>
    </row>
    <row r="34" spans="1:23" s="604" customFormat="1" ht="27" customHeight="1">
      <c r="A34" s="595"/>
      <c r="B34" s="596"/>
      <c r="C34" s="597"/>
      <c r="D34" s="597" t="s">
        <v>4323</v>
      </c>
      <c r="E34" s="597"/>
      <c r="F34" s="607"/>
      <c r="G34" s="289"/>
      <c r="H34" s="601"/>
      <c r="I34" s="602"/>
      <c r="J34" s="606"/>
      <c r="U34" s="605"/>
      <c r="W34" s="605"/>
    </row>
    <row r="35" spans="1:23" s="612" customFormat="1" ht="27" customHeight="1">
      <c r="A35" s="608">
        <v>12</v>
      </c>
      <c r="B35" s="557" t="s">
        <v>135</v>
      </c>
      <c r="C35" s="557">
        <v>132354202</v>
      </c>
      <c r="D35" s="557" t="s">
        <v>5352</v>
      </c>
      <c r="E35" s="557" t="s">
        <v>146</v>
      </c>
      <c r="F35" s="573">
        <f>ROUND(SUM(F37),3)</f>
        <v>45.143999999999998</v>
      </c>
      <c r="G35" s="288"/>
      <c r="H35" s="568">
        <f t="shared" ref="H35" si="5">ROUND(F35*G35,2)</f>
        <v>0</v>
      </c>
      <c r="I35" s="561" t="s">
        <v>137</v>
      </c>
    </row>
    <row r="36" spans="1:23" s="604" customFormat="1" ht="13.5" customHeight="1">
      <c r="A36" s="595"/>
      <c r="B36" s="596"/>
      <c r="C36" s="597"/>
      <c r="D36" s="598" t="s">
        <v>5353</v>
      </c>
      <c r="E36" s="599"/>
      <c r="F36" s="600"/>
      <c r="G36" s="289"/>
      <c r="H36" s="601"/>
      <c r="I36" s="602"/>
      <c r="J36" s="603"/>
      <c r="U36" s="605"/>
      <c r="W36" s="605"/>
    </row>
    <row r="37" spans="1:23" s="604" customFormat="1" ht="13.5" customHeight="1">
      <c r="A37" s="595"/>
      <c r="B37" s="596"/>
      <c r="C37" s="597"/>
      <c r="D37" s="599" t="s">
        <v>5354</v>
      </c>
      <c r="E37" s="599"/>
      <c r="F37" s="600">
        <f>(57*1.1*1.8)*0.4</f>
        <v>45.144000000000005</v>
      </c>
      <c r="G37" s="289"/>
      <c r="H37" s="601"/>
      <c r="I37" s="602"/>
      <c r="J37" s="606"/>
      <c r="U37" s="605"/>
      <c r="W37" s="605"/>
    </row>
    <row r="38" spans="1:23" s="604" customFormat="1" ht="27" customHeight="1">
      <c r="A38" s="595"/>
      <c r="B38" s="596"/>
      <c r="C38" s="597"/>
      <c r="D38" s="597" t="s">
        <v>4323</v>
      </c>
      <c r="E38" s="597"/>
      <c r="F38" s="607"/>
      <c r="G38" s="289"/>
      <c r="H38" s="601"/>
      <c r="I38" s="602"/>
      <c r="J38" s="606"/>
      <c r="U38" s="605"/>
      <c r="W38" s="605"/>
    </row>
    <row r="39" spans="1:23" s="612" customFormat="1" ht="13.5" customHeight="1">
      <c r="A39" s="608">
        <v>13</v>
      </c>
      <c r="B39" s="557" t="s">
        <v>135</v>
      </c>
      <c r="C39" s="557">
        <v>139001101</v>
      </c>
      <c r="D39" s="557" t="s">
        <v>160</v>
      </c>
      <c r="E39" s="557" t="s">
        <v>146</v>
      </c>
      <c r="F39" s="573">
        <f>ROUND(SUM(F40),3)</f>
        <v>16.928999999999998</v>
      </c>
      <c r="G39" s="288"/>
      <c r="H39" s="568">
        <f t="shared" ref="H39" si="6">ROUND(F39*G39,2)</f>
        <v>0</v>
      </c>
      <c r="I39" s="613" t="s">
        <v>137</v>
      </c>
    </row>
    <row r="40" spans="1:23" s="612" customFormat="1" ht="13.5" customHeight="1">
      <c r="A40" s="608"/>
      <c r="B40" s="557"/>
      <c r="C40" s="599"/>
      <c r="D40" s="599" t="s">
        <v>5355</v>
      </c>
      <c r="E40" s="599"/>
      <c r="F40" s="600">
        <f>(5.643+56.43+5.643+45.144)*0.15</f>
        <v>16.928999999999998</v>
      </c>
      <c r="G40" s="290"/>
      <c r="H40" s="614"/>
      <c r="I40" s="613"/>
    </row>
    <row r="41" spans="1:23" s="612" customFormat="1" ht="13.5" customHeight="1">
      <c r="A41" s="608">
        <v>14</v>
      </c>
      <c r="B41" s="557" t="s">
        <v>135</v>
      </c>
      <c r="C41" s="557">
        <v>151101101</v>
      </c>
      <c r="D41" s="557" t="s">
        <v>2371</v>
      </c>
      <c r="E41" s="557" t="s">
        <v>163</v>
      </c>
      <c r="F41" s="573">
        <f>ROUND(SUM(F43),3)</f>
        <v>85.5</v>
      </c>
      <c r="G41" s="288"/>
      <c r="H41" s="568">
        <f t="shared" ref="H41" si="7">ROUND(F41*G41,2)</f>
        <v>0</v>
      </c>
      <c r="I41" s="613" t="s">
        <v>137</v>
      </c>
    </row>
    <row r="42" spans="1:23" s="604" customFormat="1" ht="13.5" customHeight="1">
      <c r="A42" s="595"/>
      <c r="B42" s="596"/>
      <c r="C42" s="597"/>
      <c r="D42" s="598" t="s">
        <v>5356</v>
      </c>
      <c r="E42" s="599"/>
      <c r="F42" s="600"/>
      <c r="G42" s="289"/>
      <c r="H42" s="601"/>
      <c r="I42" s="602"/>
      <c r="J42" s="603"/>
      <c r="U42" s="605"/>
      <c r="W42" s="605"/>
    </row>
    <row r="43" spans="1:23" s="604" customFormat="1" ht="13.5" customHeight="1">
      <c r="A43" s="595"/>
      <c r="B43" s="596"/>
      <c r="C43" s="597"/>
      <c r="D43" s="598" t="s">
        <v>5458</v>
      </c>
      <c r="E43" s="599"/>
      <c r="F43" s="600">
        <f>((57*1.5)*2)*0.5</f>
        <v>85.5</v>
      </c>
      <c r="G43" s="289"/>
      <c r="H43" s="601"/>
      <c r="I43" s="602"/>
      <c r="J43" s="603"/>
      <c r="U43" s="605"/>
      <c r="W43" s="605"/>
    </row>
    <row r="44" spans="1:23" s="612" customFormat="1" ht="13.5" customHeight="1">
      <c r="A44" s="608">
        <v>15</v>
      </c>
      <c r="B44" s="557" t="s">
        <v>135</v>
      </c>
      <c r="C44" s="557">
        <v>151101111</v>
      </c>
      <c r="D44" s="557" t="s">
        <v>2378</v>
      </c>
      <c r="E44" s="557" t="s">
        <v>163</v>
      </c>
      <c r="F44" s="615">
        <f>F41</f>
        <v>85.5</v>
      </c>
      <c r="G44" s="288"/>
      <c r="H44" s="568">
        <f t="shared" ref="H44:H45" si="8">ROUND(F44*G44,2)</f>
        <v>0</v>
      </c>
      <c r="I44" s="613" t="s">
        <v>137</v>
      </c>
    </row>
    <row r="45" spans="1:23" s="612" customFormat="1" ht="13.5" customHeight="1">
      <c r="A45" s="608">
        <v>16</v>
      </c>
      <c r="B45" s="557" t="s">
        <v>135</v>
      </c>
      <c r="C45" s="557">
        <v>174151101</v>
      </c>
      <c r="D45" s="557" t="s">
        <v>4579</v>
      </c>
      <c r="E45" s="557" t="s">
        <v>146</v>
      </c>
      <c r="F45" s="573">
        <f>ROUND(SUM(F47),3)</f>
        <v>111.375</v>
      </c>
      <c r="G45" s="288"/>
      <c r="H45" s="568">
        <f t="shared" si="8"/>
        <v>0</v>
      </c>
      <c r="I45" s="613" t="s">
        <v>137</v>
      </c>
    </row>
    <row r="46" spans="1:23" s="604" customFormat="1" ht="13.5" customHeight="1">
      <c r="A46" s="595"/>
      <c r="B46" s="596"/>
      <c r="C46" s="597"/>
      <c r="D46" s="598" t="s">
        <v>5357</v>
      </c>
      <c r="E46" s="599"/>
      <c r="F46" s="600"/>
      <c r="G46" s="289"/>
      <c r="H46" s="601"/>
      <c r="I46" s="602"/>
      <c r="J46" s="603"/>
      <c r="U46" s="605"/>
      <c r="W46" s="605"/>
    </row>
    <row r="47" spans="1:23" s="604" customFormat="1" ht="13.5" customHeight="1">
      <c r="A47" s="595"/>
      <c r="B47" s="596"/>
      <c r="C47" s="597"/>
      <c r="D47" s="598" t="s">
        <v>5358</v>
      </c>
      <c r="E47" s="599"/>
      <c r="F47" s="600">
        <f>(55*1.35*1.5)</f>
        <v>111.375</v>
      </c>
      <c r="G47" s="289"/>
      <c r="H47" s="601"/>
      <c r="I47" s="602"/>
      <c r="J47" s="603"/>
      <c r="U47" s="605"/>
      <c r="W47" s="605"/>
    </row>
    <row r="48" spans="1:23" s="604" customFormat="1" ht="13.5" customHeight="1">
      <c r="A48" s="595"/>
      <c r="B48" s="596"/>
      <c r="C48" s="597"/>
      <c r="D48" s="598" t="s">
        <v>5359</v>
      </c>
      <c r="E48" s="599"/>
      <c r="F48" s="600"/>
      <c r="G48" s="289"/>
      <c r="H48" s="601"/>
      <c r="I48" s="602"/>
      <c r="J48" s="603"/>
      <c r="U48" s="605"/>
      <c r="W48" s="605"/>
    </row>
    <row r="49" spans="1:256" s="612" customFormat="1" ht="13.5" customHeight="1">
      <c r="A49" s="608"/>
      <c r="B49" s="608"/>
      <c r="C49" s="616">
        <v>8</v>
      </c>
      <c r="D49" s="616" t="s">
        <v>1646</v>
      </c>
      <c r="E49" s="616"/>
      <c r="F49" s="617"/>
      <c r="G49" s="350"/>
      <c r="H49" s="618">
        <f>SUM(H50:H68)</f>
        <v>0</v>
      </c>
      <c r="I49" s="619"/>
    </row>
    <row r="50" spans="1:256" s="612" customFormat="1" ht="13.5" customHeight="1">
      <c r="A50" s="608">
        <v>17</v>
      </c>
      <c r="B50" s="557">
        <v>271</v>
      </c>
      <c r="C50" s="557" t="s">
        <v>5360</v>
      </c>
      <c r="D50" s="557" t="s">
        <v>5361</v>
      </c>
      <c r="E50" s="557" t="s">
        <v>141</v>
      </c>
      <c r="F50" s="573">
        <f>ROUND(SUM(F52),3)</f>
        <v>114</v>
      </c>
      <c r="G50" s="301"/>
      <c r="H50" s="568">
        <f t="shared" ref="H50" si="9">ROUND(F50*G50,2)</f>
        <v>0</v>
      </c>
      <c r="I50" s="613" t="s">
        <v>111</v>
      </c>
      <c r="J50" s="621"/>
      <c r="K50" s="621"/>
      <c r="L50" s="621"/>
      <c r="M50" s="621"/>
      <c r="N50" s="621"/>
      <c r="O50" s="621"/>
      <c r="P50" s="621"/>
      <c r="Q50" s="621"/>
    </row>
    <row r="51" spans="1:256" s="612" customFormat="1" ht="27" customHeight="1">
      <c r="A51" s="608"/>
      <c r="B51" s="557"/>
      <c r="C51" s="622"/>
      <c r="D51" s="599" t="s">
        <v>5362</v>
      </c>
      <c r="E51" s="622"/>
      <c r="F51" s="623"/>
      <c r="G51" s="349"/>
      <c r="H51" s="624"/>
      <c r="I51" s="625"/>
      <c r="J51" s="626"/>
      <c r="K51" s="627"/>
      <c r="L51" s="628"/>
      <c r="M51" s="628"/>
      <c r="N51" s="628"/>
      <c r="O51" s="627"/>
      <c r="P51" s="627"/>
      <c r="Q51" s="627"/>
      <c r="R51" s="627"/>
      <c r="S51" s="627"/>
      <c r="T51" s="627"/>
      <c r="U51" s="627"/>
      <c r="V51" s="627"/>
    </row>
    <row r="52" spans="1:256" s="612" customFormat="1" ht="13.5" customHeight="1">
      <c r="A52" s="608"/>
      <c r="B52" s="557"/>
      <c r="C52" s="622"/>
      <c r="D52" s="599" t="s">
        <v>5363</v>
      </c>
      <c r="E52" s="622"/>
      <c r="F52" s="623">
        <f>(57)*2</f>
        <v>114</v>
      </c>
      <c r="G52" s="349"/>
      <c r="H52" s="624"/>
      <c r="I52" s="625"/>
      <c r="J52" s="626"/>
      <c r="K52" s="627"/>
      <c r="L52" s="628"/>
      <c r="M52" s="628"/>
      <c r="N52" s="628"/>
      <c r="O52" s="627"/>
      <c r="P52" s="627"/>
      <c r="Q52" s="627"/>
      <c r="R52" s="627"/>
      <c r="S52" s="627"/>
      <c r="T52" s="627"/>
      <c r="U52" s="627"/>
      <c r="V52" s="627"/>
    </row>
    <row r="53" spans="1:256" s="612" customFormat="1" ht="67.5" customHeight="1">
      <c r="A53" s="629"/>
      <c r="B53" s="630"/>
      <c r="C53" s="631"/>
      <c r="D53" s="584" t="s">
        <v>310</v>
      </c>
      <c r="E53" s="632"/>
      <c r="F53" s="633"/>
      <c r="G53" s="697"/>
      <c r="H53" s="634"/>
      <c r="I53" s="635"/>
      <c r="J53" s="610"/>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c r="DJ53" s="636"/>
      <c r="DK53" s="636"/>
      <c r="DL53" s="636"/>
      <c r="DM53" s="636"/>
      <c r="DN53" s="636"/>
      <c r="DO53" s="636"/>
      <c r="DP53" s="636"/>
      <c r="DQ53" s="636"/>
      <c r="DR53" s="636"/>
      <c r="DS53" s="636"/>
      <c r="DT53" s="636"/>
      <c r="DU53" s="636"/>
      <c r="DV53" s="636"/>
      <c r="DW53" s="636"/>
      <c r="DX53" s="636"/>
      <c r="DY53" s="636"/>
      <c r="DZ53" s="636"/>
      <c r="EA53" s="636"/>
      <c r="EB53" s="636"/>
      <c r="EC53" s="636"/>
      <c r="ED53" s="636"/>
      <c r="EE53" s="636"/>
      <c r="EF53" s="636"/>
      <c r="EG53" s="636"/>
      <c r="EH53" s="636"/>
      <c r="EI53" s="636"/>
      <c r="EJ53" s="636"/>
      <c r="EK53" s="636"/>
      <c r="EL53" s="636"/>
      <c r="EM53" s="636"/>
      <c r="EN53" s="636"/>
      <c r="EO53" s="636"/>
      <c r="EP53" s="636"/>
      <c r="EQ53" s="636"/>
      <c r="ER53" s="636"/>
      <c r="ES53" s="636"/>
      <c r="ET53" s="636"/>
      <c r="EU53" s="636"/>
      <c r="EV53" s="636"/>
      <c r="EW53" s="636"/>
      <c r="EX53" s="636"/>
      <c r="EY53" s="636"/>
      <c r="EZ53" s="636"/>
      <c r="FA53" s="636"/>
      <c r="FB53" s="636"/>
      <c r="FC53" s="636"/>
      <c r="FD53" s="636"/>
      <c r="FE53" s="636"/>
      <c r="FF53" s="636"/>
      <c r="FG53" s="636"/>
      <c r="FH53" s="636"/>
      <c r="FI53" s="636"/>
      <c r="FJ53" s="636"/>
      <c r="FK53" s="636"/>
      <c r="FL53" s="636"/>
      <c r="FM53" s="636"/>
      <c r="FN53" s="636"/>
      <c r="FO53" s="636"/>
      <c r="FP53" s="636"/>
      <c r="FQ53" s="636"/>
      <c r="FR53" s="636"/>
      <c r="FS53" s="636"/>
      <c r="FT53" s="636"/>
      <c r="FU53" s="636"/>
      <c r="FV53" s="636"/>
      <c r="FW53" s="636"/>
      <c r="FX53" s="636"/>
      <c r="FY53" s="636"/>
      <c r="FZ53" s="636"/>
      <c r="GA53" s="636"/>
      <c r="GB53" s="636"/>
      <c r="GC53" s="636"/>
      <c r="GD53" s="636"/>
      <c r="GE53" s="636"/>
      <c r="GF53" s="636"/>
      <c r="GG53" s="636"/>
      <c r="GH53" s="636"/>
      <c r="GI53" s="636"/>
      <c r="GJ53" s="636"/>
      <c r="GK53" s="636"/>
      <c r="GL53" s="636"/>
      <c r="GM53" s="636"/>
      <c r="GN53" s="636"/>
      <c r="GO53" s="636"/>
      <c r="GP53" s="636"/>
      <c r="GQ53" s="636"/>
      <c r="GR53" s="636"/>
      <c r="GS53" s="636"/>
      <c r="GT53" s="636"/>
      <c r="GU53" s="636"/>
      <c r="GV53" s="636"/>
      <c r="GW53" s="636"/>
      <c r="GX53" s="636"/>
      <c r="GY53" s="636"/>
      <c r="GZ53" s="636"/>
      <c r="HA53" s="636"/>
      <c r="HB53" s="636"/>
      <c r="HC53" s="636"/>
      <c r="HD53" s="636"/>
      <c r="HE53" s="636"/>
      <c r="HF53" s="636"/>
      <c r="HG53" s="636"/>
      <c r="HH53" s="636"/>
      <c r="HI53" s="636"/>
      <c r="HJ53" s="636"/>
      <c r="HK53" s="636"/>
      <c r="HL53" s="636"/>
      <c r="HM53" s="636"/>
      <c r="HN53" s="636"/>
      <c r="HO53" s="636"/>
      <c r="HP53" s="636"/>
      <c r="HQ53" s="636"/>
      <c r="HR53" s="636"/>
      <c r="HS53" s="636"/>
      <c r="HT53" s="636"/>
      <c r="HU53" s="636"/>
      <c r="HV53" s="636"/>
      <c r="HW53" s="636"/>
      <c r="HX53" s="636"/>
      <c r="HY53" s="636"/>
      <c r="HZ53" s="636"/>
      <c r="IA53" s="636"/>
      <c r="IB53" s="636"/>
      <c r="IC53" s="636"/>
      <c r="ID53" s="636"/>
      <c r="IE53" s="636"/>
      <c r="IF53" s="636"/>
      <c r="IG53" s="636"/>
      <c r="IH53" s="636"/>
      <c r="II53" s="636"/>
      <c r="IJ53" s="636"/>
      <c r="IK53" s="636"/>
      <c r="IL53" s="636"/>
      <c r="IM53" s="636"/>
      <c r="IN53" s="636"/>
      <c r="IO53" s="636"/>
      <c r="IP53" s="636"/>
      <c r="IQ53" s="636"/>
      <c r="IR53" s="636"/>
      <c r="IS53" s="636"/>
      <c r="IT53" s="636"/>
      <c r="IU53" s="636"/>
      <c r="IV53" s="636"/>
    </row>
    <row r="54" spans="1:256" s="612" customFormat="1" ht="13.5" customHeight="1">
      <c r="A54" s="608">
        <v>18</v>
      </c>
      <c r="B54" s="557">
        <v>271</v>
      </c>
      <c r="C54" s="557" t="s">
        <v>5364</v>
      </c>
      <c r="D54" s="557" t="s">
        <v>5365</v>
      </c>
      <c r="E54" s="557" t="s">
        <v>49</v>
      </c>
      <c r="F54" s="573">
        <f>ROUND(SUM(F55),3)</f>
        <v>1</v>
      </c>
      <c r="G54" s="301"/>
      <c r="H54" s="568">
        <f t="shared" ref="H54" si="10">ROUND(F54*G54,2)</f>
        <v>0</v>
      </c>
      <c r="I54" s="613" t="s">
        <v>111</v>
      </c>
      <c r="J54" s="621"/>
      <c r="K54" s="621"/>
      <c r="L54" s="621"/>
      <c r="M54" s="621"/>
      <c r="N54" s="621"/>
      <c r="O54" s="621"/>
      <c r="P54" s="621"/>
      <c r="Q54" s="621"/>
    </row>
    <row r="55" spans="1:256" s="612" customFormat="1" ht="13.5" customHeight="1">
      <c r="A55" s="608"/>
      <c r="B55" s="557"/>
      <c r="C55" s="622"/>
      <c r="D55" s="599" t="s">
        <v>5366</v>
      </c>
      <c r="E55" s="622"/>
      <c r="F55" s="623">
        <v>1</v>
      </c>
      <c r="G55" s="349"/>
      <c r="H55" s="624"/>
      <c r="I55" s="625"/>
      <c r="K55" s="637"/>
    </row>
    <row r="56" spans="1:256" s="612" customFormat="1" ht="27" customHeight="1">
      <c r="A56" s="608"/>
      <c r="B56" s="557"/>
      <c r="C56" s="622"/>
      <c r="D56" s="599" t="s">
        <v>5367</v>
      </c>
      <c r="E56" s="622"/>
      <c r="F56" s="623"/>
      <c r="G56" s="349"/>
      <c r="H56" s="624"/>
      <c r="I56" s="625"/>
      <c r="K56" s="637"/>
    </row>
    <row r="57" spans="1:256" s="612" customFormat="1" ht="40.5" customHeight="1">
      <c r="A57" s="608"/>
      <c r="B57" s="557"/>
      <c r="C57" s="622"/>
      <c r="D57" s="599" t="s">
        <v>5368</v>
      </c>
      <c r="E57" s="622"/>
      <c r="F57" s="623"/>
      <c r="G57" s="349"/>
      <c r="H57" s="624"/>
      <c r="I57" s="625"/>
      <c r="K57" s="637"/>
    </row>
    <row r="58" spans="1:256" s="612" customFormat="1" ht="67.5" customHeight="1">
      <c r="A58" s="629"/>
      <c r="B58" s="630"/>
      <c r="C58" s="631"/>
      <c r="D58" s="584" t="s">
        <v>310</v>
      </c>
      <c r="E58" s="632"/>
      <c r="F58" s="633"/>
      <c r="G58" s="697"/>
      <c r="H58" s="634"/>
      <c r="I58" s="635"/>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c r="CA58" s="636"/>
      <c r="CB58" s="636"/>
      <c r="CC58" s="636"/>
      <c r="CD58" s="636"/>
      <c r="CE58" s="636"/>
      <c r="CF58" s="636"/>
      <c r="CG58" s="636"/>
      <c r="CH58" s="636"/>
      <c r="CI58" s="636"/>
      <c r="CJ58" s="636"/>
      <c r="CK58" s="636"/>
      <c r="CL58" s="636"/>
      <c r="CM58" s="636"/>
      <c r="CN58" s="636"/>
      <c r="CO58" s="636"/>
      <c r="CP58" s="636"/>
      <c r="CQ58" s="636"/>
      <c r="CR58" s="636"/>
      <c r="CS58" s="636"/>
      <c r="CT58" s="636"/>
      <c r="CU58" s="636"/>
      <c r="CV58" s="636"/>
      <c r="CW58" s="636"/>
      <c r="CX58" s="636"/>
      <c r="CY58" s="636"/>
      <c r="CZ58" s="636"/>
      <c r="DA58" s="636"/>
      <c r="DB58" s="636"/>
      <c r="DC58" s="636"/>
      <c r="DD58" s="636"/>
      <c r="DE58" s="636"/>
      <c r="DF58" s="636"/>
      <c r="DG58" s="636"/>
      <c r="DH58" s="636"/>
      <c r="DI58" s="636"/>
      <c r="DJ58" s="636"/>
      <c r="DK58" s="636"/>
      <c r="DL58" s="636"/>
      <c r="DM58" s="636"/>
      <c r="DN58" s="636"/>
      <c r="DO58" s="636"/>
      <c r="DP58" s="636"/>
      <c r="DQ58" s="636"/>
      <c r="DR58" s="636"/>
      <c r="DS58" s="636"/>
      <c r="DT58" s="636"/>
      <c r="DU58" s="636"/>
      <c r="DV58" s="636"/>
      <c r="DW58" s="636"/>
      <c r="DX58" s="636"/>
      <c r="DY58" s="636"/>
      <c r="DZ58" s="636"/>
      <c r="EA58" s="636"/>
      <c r="EB58" s="636"/>
      <c r="EC58" s="636"/>
      <c r="ED58" s="636"/>
      <c r="EE58" s="636"/>
      <c r="EF58" s="636"/>
      <c r="EG58" s="636"/>
      <c r="EH58" s="636"/>
      <c r="EI58" s="636"/>
      <c r="EJ58" s="636"/>
      <c r="EK58" s="636"/>
      <c r="EL58" s="636"/>
      <c r="EM58" s="636"/>
      <c r="EN58" s="636"/>
      <c r="EO58" s="636"/>
      <c r="EP58" s="636"/>
      <c r="EQ58" s="636"/>
      <c r="ER58" s="636"/>
      <c r="ES58" s="636"/>
      <c r="ET58" s="636"/>
      <c r="EU58" s="636"/>
      <c r="EV58" s="636"/>
      <c r="EW58" s="636"/>
      <c r="EX58" s="636"/>
      <c r="EY58" s="636"/>
      <c r="EZ58" s="636"/>
      <c r="FA58" s="636"/>
      <c r="FB58" s="636"/>
      <c r="FC58" s="636"/>
      <c r="FD58" s="636"/>
      <c r="FE58" s="636"/>
      <c r="FF58" s="636"/>
      <c r="FG58" s="636"/>
      <c r="FH58" s="636"/>
      <c r="FI58" s="636"/>
      <c r="FJ58" s="636"/>
      <c r="FK58" s="636"/>
      <c r="FL58" s="636"/>
      <c r="FM58" s="636"/>
      <c r="FN58" s="636"/>
      <c r="FO58" s="636"/>
      <c r="FP58" s="636"/>
      <c r="FQ58" s="636"/>
      <c r="FR58" s="636"/>
      <c r="FS58" s="636"/>
      <c r="FT58" s="636"/>
      <c r="FU58" s="636"/>
      <c r="FV58" s="636"/>
      <c r="FW58" s="636"/>
      <c r="FX58" s="636"/>
      <c r="FY58" s="636"/>
      <c r="FZ58" s="636"/>
      <c r="GA58" s="636"/>
      <c r="GB58" s="636"/>
      <c r="GC58" s="636"/>
      <c r="GD58" s="636"/>
      <c r="GE58" s="636"/>
      <c r="GF58" s="636"/>
      <c r="GG58" s="636"/>
      <c r="GH58" s="636"/>
      <c r="GI58" s="636"/>
      <c r="GJ58" s="636"/>
      <c r="GK58" s="636"/>
      <c r="GL58" s="636"/>
      <c r="GM58" s="636"/>
      <c r="GN58" s="636"/>
      <c r="GO58" s="636"/>
      <c r="GP58" s="636"/>
      <c r="GQ58" s="636"/>
      <c r="GR58" s="636"/>
      <c r="GS58" s="636"/>
      <c r="GT58" s="636"/>
      <c r="GU58" s="636"/>
      <c r="GV58" s="636"/>
      <c r="GW58" s="636"/>
      <c r="GX58" s="636"/>
      <c r="GY58" s="636"/>
      <c r="GZ58" s="636"/>
      <c r="HA58" s="636"/>
      <c r="HB58" s="636"/>
      <c r="HC58" s="636"/>
      <c r="HD58" s="636"/>
      <c r="HE58" s="636"/>
      <c r="HF58" s="636"/>
      <c r="HG58" s="636"/>
      <c r="HH58" s="636"/>
      <c r="HI58" s="636"/>
      <c r="HJ58" s="636"/>
      <c r="HK58" s="636"/>
      <c r="HL58" s="636"/>
      <c r="HM58" s="636"/>
      <c r="HN58" s="636"/>
      <c r="HO58" s="636"/>
      <c r="HP58" s="636"/>
      <c r="HQ58" s="636"/>
      <c r="HR58" s="636"/>
      <c r="HS58" s="636"/>
      <c r="HT58" s="636"/>
      <c r="HU58" s="636"/>
      <c r="HV58" s="636"/>
      <c r="HW58" s="636"/>
      <c r="HX58" s="636"/>
      <c r="HY58" s="636"/>
      <c r="HZ58" s="636"/>
      <c r="IA58" s="636"/>
      <c r="IB58" s="636"/>
      <c r="IC58" s="636"/>
      <c r="ID58" s="636"/>
      <c r="IE58" s="636"/>
      <c r="IF58" s="636"/>
      <c r="IG58" s="636"/>
      <c r="IH58" s="636"/>
      <c r="II58" s="636"/>
      <c r="IJ58" s="636"/>
      <c r="IK58" s="636"/>
      <c r="IL58" s="636"/>
      <c r="IM58" s="636"/>
      <c r="IN58" s="636"/>
      <c r="IO58" s="636"/>
      <c r="IP58" s="636"/>
      <c r="IQ58" s="636"/>
      <c r="IR58" s="636"/>
      <c r="IS58" s="636"/>
      <c r="IT58" s="636"/>
      <c r="IU58" s="636"/>
      <c r="IV58" s="636"/>
    </row>
    <row r="59" spans="1:256" s="612" customFormat="1" ht="13.5" customHeight="1">
      <c r="A59" s="608">
        <v>19</v>
      </c>
      <c r="B59" s="557">
        <v>271</v>
      </c>
      <c r="C59" s="557" t="s">
        <v>5198</v>
      </c>
      <c r="D59" s="557" t="s">
        <v>5369</v>
      </c>
      <c r="E59" s="557" t="s">
        <v>141</v>
      </c>
      <c r="F59" s="573">
        <f>ROUND(SUM(F61:F62),3)</f>
        <v>171</v>
      </c>
      <c r="G59" s="301"/>
      <c r="H59" s="568">
        <f t="shared" ref="H59" si="11">ROUND(F59*G59,2)</f>
        <v>0</v>
      </c>
      <c r="I59" s="613" t="s">
        <v>111</v>
      </c>
      <c r="J59" s="638"/>
      <c r="K59" s="639"/>
      <c r="L59" s="640"/>
      <c r="M59" s="641"/>
      <c r="N59" s="641"/>
      <c r="O59" s="642"/>
      <c r="P59" s="643"/>
      <c r="Q59" s="644"/>
      <c r="R59" s="645"/>
      <c r="S59" s="645"/>
      <c r="T59" s="646"/>
      <c r="U59" s="647"/>
      <c r="V59" s="648"/>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7"/>
      <c r="BR59" s="647"/>
      <c r="BS59" s="647"/>
      <c r="BT59" s="647"/>
      <c r="BU59" s="647"/>
      <c r="BV59" s="647"/>
      <c r="BW59" s="647"/>
      <c r="BX59" s="647"/>
      <c r="BY59" s="647"/>
      <c r="BZ59" s="647"/>
      <c r="CA59" s="647"/>
      <c r="CB59" s="647"/>
      <c r="CC59" s="647"/>
      <c r="CD59" s="647"/>
      <c r="CE59" s="647"/>
      <c r="CF59" s="647"/>
      <c r="CG59" s="647"/>
      <c r="CH59" s="647"/>
      <c r="CI59" s="647"/>
      <c r="CJ59" s="647"/>
      <c r="CK59" s="647"/>
      <c r="CL59" s="647"/>
      <c r="CM59" s="647"/>
      <c r="CN59" s="647"/>
      <c r="CO59" s="647"/>
      <c r="CP59" s="647"/>
      <c r="CQ59" s="647"/>
      <c r="CR59" s="647"/>
      <c r="CS59" s="647"/>
      <c r="CT59" s="647"/>
      <c r="CU59" s="647"/>
      <c r="CV59" s="647"/>
      <c r="CW59" s="647"/>
      <c r="CX59" s="647"/>
      <c r="CY59" s="647"/>
      <c r="CZ59" s="647"/>
      <c r="DA59" s="647"/>
      <c r="DB59" s="647"/>
      <c r="DC59" s="647"/>
      <c r="DD59" s="647"/>
      <c r="DE59" s="647"/>
      <c r="DF59" s="647"/>
      <c r="DG59" s="647"/>
      <c r="DH59" s="647"/>
      <c r="DI59" s="647"/>
      <c r="DJ59" s="647"/>
      <c r="DK59" s="647"/>
      <c r="DL59" s="647"/>
      <c r="DM59" s="647"/>
      <c r="DN59" s="647"/>
      <c r="DO59" s="647"/>
      <c r="DP59" s="647"/>
      <c r="DQ59" s="647"/>
      <c r="DR59" s="647"/>
      <c r="DS59" s="647"/>
      <c r="DT59" s="647"/>
      <c r="DU59" s="647"/>
      <c r="DV59" s="647"/>
      <c r="DW59" s="647"/>
      <c r="DX59" s="647"/>
      <c r="DY59" s="647"/>
      <c r="DZ59" s="647"/>
      <c r="EA59" s="647"/>
      <c r="EB59" s="647"/>
      <c r="EC59" s="647"/>
      <c r="ED59" s="647"/>
      <c r="EE59" s="647"/>
      <c r="EF59" s="647"/>
      <c r="EG59" s="647"/>
      <c r="EH59" s="647"/>
      <c r="EI59" s="647"/>
      <c r="EJ59" s="647"/>
      <c r="EK59" s="647"/>
      <c r="EL59" s="647"/>
      <c r="EM59" s="647"/>
      <c r="EN59" s="647"/>
      <c r="EO59" s="647"/>
      <c r="EP59" s="647"/>
      <c r="EQ59" s="647"/>
      <c r="ER59" s="647"/>
      <c r="ES59" s="647"/>
      <c r="ET59" s="647"/>
      <c r="EU59" s="647"/>
      <c r="EV59" s="647"/>
      <c r="EW59" s="647"/>
      <c r="EX59" s="647"/>
      <c r="EY59" s="647"/>
      <c r="EZ59" s="647"/>
      <c r="FA59" s="647"/>
      <c r="FB59" s="647"/>
      <c r="FC59" s="647"/>
      <c r="FD59" s="647"/>
      <c r="FE59" s="647"/>
      <c r="FF59" s="647"/>
      <c r="FG59" s="647"/>
      <c r="FH59" s="647"/>
      <c r="FI59" s="647"/>
      <c r="FJ59" s="647"/>
      <c r="FK59" s="647"/>
      <c r="FL59" s="647"/>
      <c r="FM59" s="647"/>
      <c r="FN59" s="647"/>
      <c r="FO59" s="647"/>
      <c r="FP59" s="647"/>
      <c r="FQ59" s="647"/>
      <c r="FR59" s="647"/>
      <c r="FS59" s="647"/>
      <c r="FT59" s="647"/>
      <c r="FU59" s="647"/>
      <c r="FV59" s="647"/>
      <c r="FW59" s="647"/>
      <c r="FX59" s="647"/>
      <c r="FY59" s="647"/>
      <c r="FZ59" s="647"/>
      <c r="GA59" s="647"/>
      <c r="GB59" s="647"/>
      <c r="GC59" s="647"/>
      <c r="GD59" s="647"/>
      <c r="GE59" s="647"/>
      <c r="GF59" s="647"/>
      <c r="GG59" s="647"/>
      <c r="GH59" s="647"/>
      <c r="GI59" s="647"/>
      <c r="GJ59" s="647"/>
      <c r="GK59" s="647"/>
      <c r="GL59" s="647"/>
      <c r="GM59" s="647"/>
      <c r="GN59" s="647"/>
      <c r="GO59" s="647"/>
      <c r="GP59" s="647"/>
      <c r="GQ59" s="647"/>
      <c r="GR59" s="647"/>
      <c r="GS59" s="647"/>
      <c r="GT59" s="647"/>
      <c r="GU59" s="647"/>
      <c r="GV59" s="647"/>
      <c r="GW59" s="647"/>
      <c r="GX59" s="647"/>
      <c r="GY59" s="647"/>
      <c r="GZ59" s="647"/>
      <c r="HA59" s="647"/>
      <c r="HB59" s="647"/>
      <c r="HC59" s="647"/>
      <c r="HD59" s="647"/>
      <c r="HE59" s="647"/>
      <c r="HF59" s="647"/>
      <c r="HG59" s="647"/>
      <c r="HH59" s="647"/>
      <c r="HI59" s="647"/>
      <c r="HJ59" s="647"/>
      <c r="HK59" s="647"/>
      <c r="HL59" s="647"/>
      <c r="HM59" s="647"/>
      <c r="HN59" s="647"/>
      <c r="HO59" s="647"/>
      <c r="HP59" s="647"/>
      <c r="HQ59" s="647"/>
      <c r="HR59" s="647"/>
      <c r="HS59" s="647"/>
      <c r="HT59" s="647"/>
      <c r="HU59" s="647"/>
      <c r="HV59" s="647"/>
      <c r="HW59" s="647"/>
      <c r="HX59" s="647"/>
      <c r="HY59" s="647"/>
      <c r="HZ59" s="647"/>
      <c r="IA59" s="647"/>
      <c r="IB59" s="647"/>
      <c r="IC59" s="647"/>
      <c r="ID59" s="647"/>
      <c r="IE59" s="647"/>
      <c r="IF59" s="647"/>
      <c r="IG59" s="647"/>
      <c r="IH59" s="647"/>
      <c r="II59" s="647"/>
      <c r="IJ59" s="647"/>
      <c r="IK59" s="647"/>
      <c r="IL59" s="647"/>
      <c r="IM59" s="647"/>
      <c r="IN59" s="647"/>
      <c r="IO59" s="647"/>
      <c r="IP59" s="647"/>
      <c r="IQ59" s="647"/>
      <c r="IR59" s="647"/>
      <c r="IS59" s="647"/>
      <c r="IT59" s="647"/>
      <c r="IU59" s="647"/>
      <c r="IV59" s="647"/>
    </row>
    <row r="60" spans="1:256" s="612" customFormat="1" ht="13.5" customHeight="1">
      <c r="A60" s="608"/>
      <c r="B60" s="557"/>
      <c r="C60" s="557"/>
      <c r="D60" s="599" t="s">
        <v>5200</v>
      </c>
      <c r="E60" s="557"/>
      <c r="F60" s="600"/>
      <c r="G60" s="301"/>
      <c r="H60" s="620"/>
      <c r="I60" s="649"/>
      <c r="J60" s="638"/>
      <c r="K60" s="650"/>
      <c r="L60" s="641"/>
      <c r="M60" s="641"/>
      <c r="N60" s="641"/>
      <c r="O60" s="642"/>
      <c r="P60" s="643"/>
      <c r="Q60" s="644"/>
      <c r="R60" s="645"/>
      <c r="S60" s="651"/>
      <c r="T60" s="646"/>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647"/>
      <c r="CA60" s="647"/>
      <c r="CB60" s="647"/>
      <c r="CC60" s="647"/>
      <c r="CD60" s="647"/>
      <c r="CE60" s="647"/>
      <c r="CF60" s="647"/>
      <c r="CG60" s="647"/>
      <c r="CH60" s="647"/>
      <c r="CI60" s="647"/>
      <c r="CJ60" s="647"/>
      <c r="CK60" s="647"/>
      <c r="CL60" s="647"/>
      <c r="CM60" s="647"/>
      <c r="CN60" s="647"/>
      <c r="CO60" s="647"/>
      <c r="CP60" s="647"/>
      <c r="CQ60" s="647"/>
      <c r="CR60" s="647"/>
      <c r="CS60" s="647"/>
      <c r="CT60" s="647"/>
      <c r="CU60" s="647"/>
      <c r="CV60" s="647"/>
      <c r="CW60" s="647"/>
      <c r="CX60" s="647"/>
      <c r="CY60" s="647"/>
      <c r="CZ60" s="647"/>
      <c r="DA60" s="647"/>
      <c r="DB60" s="647"/>
      <c r="DC60" s="647"/>
      <c r="DD60" s="647"/>
      <c r="DE60" s="647"/>
      <c r="DF60" s="647"/>
      <c r="DG60" s="647"/>
      <c r="DH60" s="647"/>
      <c r="DI60" s="647"/>
      <c r="DJ60" s="647"/>
      <c r="DK60" s="647"/>
      <c r="DL60" s="647"/>
      <c r="DM60" s="647"/>
      <c r="DN60" s="647"/>
      <c r="DO60" s="647"/>
      <c r="DP60" s="647"/>
      <c r="DQ60" s="647"/>
      <c r="DR60" s="647"/>
      <c r="DS60" s="647"/>
      <c r="DT60" s="647"/>
      <c r="DU60" s="647"/>
      <c r="DV60" s="647"/>
      <c r="DW60" s="647"/>
      <c r="DX60" s="647"/>
      <c r="DY60" s="647"/>
      <c r="DZ60" s="647"/>
      <c r="EA60" s="647"/>
      <c r="EB60" s="647"/>
      <c r="EC60" s="647"/>
      <c r="ED60" s="647"/>
      <c r="EE60" s="647"/>
      <c r="EF60" s="647"/>
      <c r="EG60" s="647"/>
      <c r="EH60" s="647"/>
      <c r="EI60" s="647"/>
      <c r="EJ60" s="647"/>
      <c r="EK60" s="647"/>
      <c r="EL60" s="647"/>
      <c r="EM60" s="647"/>
      <c r="EN60" s="647"/>
      <c r="EO60" s="647"/>
      <c r="EP60" s="647"/>
      <c r="EQ60" s="647"/>
      <c r="ER60" s="647"/>
      <c r="ES60" s="647"/>
      <c r="ET60" s="647"/>
      <c r="EU60" s="647"/>
      <c r="EV60" s="647"/>
      <c r="EW60" s="647"/>
      <c r="EX60" s="647"/>
      <c r="EY60" s="647"/>
      <c r="EZ60" s="647"/>
      <c r="FA60" s="647"/>
      <c r="FB60" s="647"/>
      <c r="FC60" s="647"/>
      <c r="FD60" s="647"/>
      <c r="FE60" s="647"/>
      <c r="FF60" s="647"/>
      <c r="FG60" s="647"/>
      <c r="FH60" s="647"/>
      <c r="FI60" s="647"/>
      <c r="FJ60" s="647"/>
      <c r="FK60" s="647"/>
      <c r="FL60" s="647"/>
      <c r="FM60" s="647"/>
      <c r="FN60" s="647"/>
      <c r="FO60" s="647"/>
      <c r="FP60" s="647"/>
      <c r="FQ60" s="647"/>
      <c r="FR60" s="647"/>
      <c r="FS60" s="647"/>
      <c r="FT60" s="647"/>
      <c r="FU60" s="647"/>
      <c r="FV60" s="647"/>
      <c r="FW60" s="647"/>
      <c r="FX60" s="647"/>
      <c r="FY60" s="647"/>
      <c r="FZ60" s="647"/>
      <c r="GA60" s="647"/>
      <c r="GB60" s="647"/>
      <c r="GC60" s="647"/>
      <c r="GD60" s="647"/>
      <c r="GE60" s="647"/>
      <c r="GF60" s="647"/>
      <c r="GG60" s="647"/>
      <c r="GH60" s="647"/>
      <c r="GI60" s="647"/>
      <c r="GJ60" s="647"/>
      <c r="GK60" s="647"/>
      <c r="GL60" s="647"/>
      <c r="GM60" s="647"/>
      <c r="GN60" s="647"/>
      <c r="GO60" s="647"/>
      <c r="GP60" s="647"/>
      <c r="GQ60" s="647"/>
      <c r="GR60" s="647"/>
      <c r="GS60" s="647"/>
      <c r="GT60" s="647"/>
      <c r="GU60" s="647"/>
      <c r="GV60" s="647"/>
      <c r="GW60" s="647"/>
      <c r="GX60" s="647"/>
      <c r="GY60" s="647"/>
      <c r="GZ60" s="647"/>
      <c r="HA60" s="647"/>
      <c r="HB60" s="647"/>
      <c r="HC60" s="647"/>
      <c r="HD60" s="647"/>
      <c r="HE60" s="647"/>
      <c r="HF60" s="647"/>
      <c r="HG60" s="647"/>
      <c r="HH60" s="647"/>
      <c r="HI60" s="647"/>
      <c r="HJ60" s="647"/>
      <c r="HK60" s="647"/>
      <c r="HL60" s="647"/>
      <c r="HM60" s="647"/>
      <c r="HN60" s="647"/>
      <c r="HO60" s="647"/>
      <c r="HP60" s="647"/>
      <c r="HQ60" s="647"/>
      <c r="HR60" s="647"/>
      <c r="HS60" s="647"/>
      <c r="HT60" s="647"/>
      <c r="HU60" s="647"/>
      <c r="HV60" s="647"/>
      <c r="HW60" s="647"/>
      <c r="HX60" s="647"/>
      <c r="HY60" s="647"/>
      <c r="HZ60" s="647"/>
      <c r="IA60" s="647"/>
      <c r="IB60" s="647"/>
      <c r="IC60" s="647"/>
      <c r="ID60" s="647"/>
      <c r="IE60" s="647"/>
      <c r="IF60" s="647"/>
      <c r="IG60" s="647"/>
      <c r="IH60" s="647"/>
      <c r="II60" s="647"/>
      <c r="IJ60" s="647"/>
      <c r="IK60" s="647"/>
      <c r="IL60" s="647"/>
      <c r="IM60" s="647"/>
      <c r="IN60" s="647"/>
      <c r="IO60" s="647"/>
      <c r="IP60" s="647"/>
      <c r="IQ60" s="647"/>
      <c r="IR60" s="647"/>
      <c r="IS60" s="647"/>
      <c r="IT60" s="647"/>
      <c r="IU60" s="647"/>
      <c r="IV60" s="647"/>
    </row>
    <row r="61" spans="1:256" s="562" customFormat="1" ht="13.5" customHeight="1">
      <c r="A61" s="652"/>
      <c r="B61" s="653"/>
      <c r="C61" s="654"/>
      <c r="D61" s="575" t="s">
        <v>5370</v>
      </c>
      <c r="E61" s="575"/>
      <c r="F61" s="576">
        <f>(57)*2</f>
        <v>114</v>
      </c>
      <c r="G61" s="370"/>
      <c r="H61" s="655"/>
      <c r="I61" s="656"/>
      <c r="J61" s="638"/>
    </row>
    <row r="62" spans="1:256" s="562" customFormat="1" ht="13.5" customHeight="1">
      <c r="A62" s="652"/>
      <c r="B62" s="653"/>
      <c r="C62" s="654"/>
      <c r="D62" s="575" t="s">
        <v>5371</v>
      </c>
      <c r="E62" s="575"/>
      <c r="F62" s="576">
        <f>(57)*1</f>
        <v>57</v>
      </c>
      <c r="G62" s="370"/>
      <c r="H62" s="655"/>
      <c r="I62" s="656"/>
      <c r="J62" s="657"/>
    </row>
    <row r="63" spans="1:256" s="612" customFormat="1" ht="67.5" customHeight="1">
      <c r="A63" s="608"/>
      <c r="B63" s="557"/>
      <c r="C63" s="557"/>
      <c r="D63" s="584" t="s">
        <v>310</v>
      </c>
      <c r="E63" s="557"/>
      <c r="F63" s="600"/>
      <c r="G63" s="301"/>
      <c r="H63" s="620"/>
      <c r="I63" s="649"/>
      <c r="J63" s="650"/>
      <c r="K63" s="650"/>
      <c r="L63" s="641"/>
      <c r="M63" s="641"/>
      <c r="N63" s="641"/>
      <c r="O63" s="642"/>
      <c r="P63" s="643"/>
      <c r="Q63" s="644"/>
      <c r="R63" s="645"/>
      <c r="S63" s="645"/>
      <c r="T63" s="646"/>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647"/>
      <c r="CA63" s="647"/>
      <c r="CB63" s="647"/>
      <c r="CC63" s="647"/>
      <c r="CD63" s="647"/>
      <c r="CE63" s="647"/>
      <c r="CF63" s="647"/>
      <c r="CG63" s="647"/>
      <c r="CH63" s="647"/>
      <c r="CI63" s="647"/>
      <c r="CJ63" s="647"/>
      <c r="CK63" s="647"/>
      <c r="CL63" s="647"/>
      <c r="CM63" s="647"/>
      <c r="CN63" s="647"/>
      <c r="CO63" s="647"/>
      <c r="CP63" s="647"/>
      <c r="CQ63" s="647"/>
      <c r="CR63" s="647"/>
      <c r="CS63" s="647"/>
      <c r="CT63" s="647"/>
      <c r="CU63" s="647"/>
      <c r="CV63" s="647"/>
      <c r="CW63" s="647"/>
      <c r="CX63" s="647"/>
      <c r="CY63" s="647"/>
      <c r="CZ63" s="647"/>
      <c r="DA63" s="647"/>
      <c r="DB63" s="647"/>
      <c r="DC63" s="647"/>
      <c r="DD63" s="647"/>
      <c r="DE63" s="647"/>
      <c r="DF63" s="647"/>
      <c r="DG63" s="647"/>
      <c r="DH63" s="647"/>
      <c r="DI63" s="647"/>
      <c r="DJ63" s="647"/>
      <c r="DK63" s="647"/>
      <c r="DL63" s="647"/>
      <c r="DM63" s="647"/>
      <c r="DN63" s="647"/>
      <c r="DO63" s="647"/>
      <c r="DP63" s="647"/>
      <c r="DQ63" s="647"/>
      <c r="DR63" s="647"/>
      <c r="DS63" s="647"/>
      <c r="DT63" s="647"/>
      <c r="DU63" s="647"/>
      <c r="DV63" s="647"/>
      <c r="DW63" s="647"/>
      <c r="DX63" s="647"/>
      <c r="DY63" s="647"/>
      <c r="DZ63" s="647"/>
      <c r="EA63" s="647"/>
      <c r="EB63" s="647"/>
      <c r="EC63" s="647"/>
      <c r="ED63" s="647"/>
      <c r="EE63" s="647"/>
      <c r="EF63" s="647"/>
      <c r="EG63" s="647"/>
      <c r="EH63" s="647"/>
      <c r="EI63" s="647"/>
      <c r="EJ63" s="647"/>
      <c r="EK63" s="647"/>
      <c r="EL63" s="647"/>
      <c r="EM63" s="647"/>
      <c r="EN63" s="647"/>
      <c r="EO63" s="647"/>
      <c r="EP63" s="647"/>
      <c r="EQ63" s="647"/>
      <c r="ER63" s="647"/>
      <c r="ES63" s="647"/>
      <c r="ET63" s="647"/>
      <c r="EU63" s="647"/>
      <c r="EV63" s="647"/>
      <c r="EW63" s="647"/>
      <c r="EX63" s="647"/>
      <c r="EY63" s="647"/>
      <c r="EZ63" s="647"/>
      <c r="FA63" s="647"/>
      <c r="FB63" s="647"/>
      <c r="FC63" s="647"/>
      <c r="FD63" s="647"/>
      <c r="FE63" s="647"/>
      <c r="FF63" s="647"/>
      <c r="FG63" s="647"/>
      <c r="FH63" s="647"/>
      <c r="FI63" s="647"/>
      <c r="FJ63" s="647"/>
      <c r="FK63" s="647"/>
      <c r="FL63" s="647"/>
      <c r="FM63" s="647"/>
      <c r="FN63" s="647"/>
      <c r="FO63" s="647"/>
      <c r="FP63" s="647"/>
      <c r="FQ63" s="647"/>
      <c r="FR63" s="647"/>
      <c r="FS63" s="647"/>
      <c r="FT63" s="647"/>
      <c r="FU63" s="647"/>
      <c r="FV63" s="647"/>
      <c r="FW63" s="647"/>
      <c r="FX63" s="647"/>
      <c r="FY63" s="647"/>
      <c r="FZ63" s="647"/>
      <c r="GA63" s="647"/>
      <c r="GB63" s="647"/>
      <c r="GC63" s="647"/>
      <c r="GD63" s="647"/>
      <c r="GE63" s="647"/>
      <c r="GF63" s="647"/>
      <c r="GG63" s="647"/>
      <c r="GH63" s="647"/>
      <c r="GI63" s="647"/>
      <c r="GJ63" s="647"/>
      <c r="GK63" s="647"/>
      <c r="GL63" s="647"/>
      <c r="GM63" s="647"/>
      <c r="GN63" s="647"/>
      <c r="GO63" s="647"/>
      <c r="GP63" s="647"/>
      <c r="GQ63" s="647"/>
      <c r="GR63" s="647"/>
      <c r="GS63" s="647"/>
      <c r="GT63" s="647"/>
      <c r="GU63" s="647"/>
      <c r="GV63" s="647"/>
      <c r="GW63" s="647"/>
      <c r="GX63" s="647"/>
      <c r="GY63" s="647"/>
      <c r="GZ63" s="647"/>
      <c r="HA63" s="647"/>
      <c r="HB63" s="647"/>
      <c r="HC63" s="647"/>
      <c r="HD63" s="647"/>
      <c r="HE63" s="647"/>
      <c r="HF63" s="647"/>
      <c r="HG63" s="647"/>
      <c r="HH63" s="647"/>
      <c r="HI63" s="647"/>
      <c r="HJ63" s="647"/>
      <c r="HK63" s="647"/>
      <c r="HL63" s="647"/>
      <c r="HM63" s="647"/>
      <c r="HN63" s="647"/>
      <c r="HO63" s="647"/>
      <c r="HP63" s="647"/>
      <c r="HQ63" s="647"/>
      <c r="HR63" s="647"/>
      <c r="HS63" s="647"/>
      <c r="HT63" s="647"/>
      <c r="HU63" s="647"/>
      <c r="HV63" s="647"/>
      <c r="HW63" s="647"/>
      <c r="HX63" s="647"/>
      <c r="HY63" s="647"/>
      <c r="HZ63" s="647"/>
      <c r="IA63" s="647"/>
      <c r="IB63" s="647"/>
      <c r="IC63" s="647"/>
      <c r="ID63" s="647"/>
      <c r="IE63" s="647"/>
      <c r="IF63" s="647"/>
      <c r="IG63" s="647"/>
      <c r="IH63" s="647"/>
      <c r="II63" s="647"/>
      <c r="IJ63" s="647"/>
      <c r="IK63" s="647"/>
      <c r="IL63" s="647"/>
      <c r="IM63" s="647"/>
      <c r="IN63" s="647"/>
      <c r="IO63" s="647"/>
      <c r="IP63" s="647"/>
      <c r="IQ63" s="647"/>
      <c r="IR63" s="647"/>
      <c r="IS63" s="647"/>
      <c r="IT63" s="647"/>
      <c r="IU63" s="647"/>
      <c r="IV63" s="647"/>
    </row>
    <row r="64" spans="1:256" s="612" customFormat="1" ht="13.5" customHeight="1">
      <c r="A64" s="608">
        <v>20</v>
      </c>
      <c r="B64" s="557">
        <v>271</v>
      </c>
      <c r="C64" s="557" t="s">
        <v>5203</v>
      </c>
      <c r="D64" s="557" t="s">
        <v>5372</v>
      </c>
      <c r="E64" s="557" t="s">
        <v>141</v>
      </c>
      <c r="F64" s="573">
        <f>ROUND(SUM(F66:F67),3)</f>
        <v>114</v>
      </c>
      <c r="G64" s="301"/>
      <c r="H64" s="568">
        <f t="shared" ref="H64" si="12">ROUND(F64*G64,2)</f>
        <v>0</v>
      </c>
      <c r="I64" s="613" t="s">
        <v>111</v>
      </c>
      <c r="T64" s="646"/>
      <c r="U64" s="647"/>
      <c r="V64" s="648"/>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47"/>
      <c r="CD64" s="647"/>
      <c r="CE64" s="647"/>
      <c r="CF64" s="647"/>
      <c r="CG64" s="647"/>
      <c r="CH64" s="647"/>
      <c r="CI64" s="647"/>
      <c r="CJ64" s="647"/>
      <c r="CK64" s="647"/>
      <c r="CL64" s="647"/>
      <c r="CM64" s="647"/>
      <c r="CN64" s="647"/>
      <c r="CO64" s="647"/>
      <c r="CP64" s="647"/>
      <c r="CQ64" s="647"/>
      <c r="CR64" s="647"/>
      <c r="CS64" s="647"/>
      <c r="CT64" s="647"/>
      <c r="CU64" s="647"/>
      <c r="CV64" s="647"/>
      <c r="CW64" s="647"/>
      <c r="CX64" s="647"/>
      <c r="CY64" s="647"/>
      <c r="CZ64" s="647"/>
      <c r="DA64" s="647"/>
      <c r="DB64" s="647"/>
      <c r="DC64" s="647"/>
      <c r="DD64" s="647"/>
      <c r="DE64" s="647"/>
      <c r="DF64" s="647"/>
      <c r="DG64" s="647"/>
      <c r="DH64" s="647"/>
      <c r="DI64" s="647"/>
      <c r="DJ64" s="647"/>
      <c r="DK64" s="647"/>
      <c r="DL64" s="647"/>
      <c r="DM64" s="647"/>
      <c r="DN64" s="647"/>
      <c r="DO64" s="647"/>
      <c r="DP64" s="647"/>
      <c r="DQ64" s="647"/>
      <c r="DR64" s="647"/>
      <c r="DS64" s="647"/>
      <c r="DT64" s="647"/>
      <c r="DU64" s="647"/>
      <c r="DV64" s="647"/>
      <c r="DW64" s="647"/>
      <c r="DX64" s="647"/>
      <c r="DY64" s="647"/>
      <c r="DZ64" s="647"/>
      <c r="EA64" s="647"/>
      <c r="EB64" s="647"/>
      <c r="EC64" s="647"/>
      <c r="ED64" s="647"/>
      <c r="EE64" s="647"/>
      <c r="EF64" s="647"/>
      <c r="EG64" s="647"/>
      <c r="EH64" s="647"/>
      <c r="EI64" s="647"/>
      <c r="EJ64" s="647"/>
      <c r="EK64" s="647"/>
      <c r="EL64" s="647"/>
      <c r="EM64" s="647"/>
      <c r="EN64" s="647"/>
      <c r="EO64" s="647"/>
      <c r="EP64" s="647"/>
      <c r="EQ64" s="647"/>
      <c r="ER64" s="647"/>
      <c r="ES64" s="647"/>
      <c r="ET64" s="647"/>
      <c r="EU64" s="647"/>
      <c r="EV64" s="647"/>
      <c r="EW64" s="647"/>
      <c r="EX64" s="647"/>
      <c r="EY64" s="647"/>
      <c r="EZ64" s="647"/>
      <c r="FA64" s="647"/>
      <c r="FB64" s="647"/>
      <c r="FC64" s="647"/>
      <c r="FD64" s="647"/>
      <c r="FE64" s="647"/>
      <c r="FF64" s="647"/>
      <c r="FG64" s="647"/>
      <c r="FH64" s="647"/>
      <c r="FI64" s="647"/>
      <c r="FJ64" s="647"/>
      <c r="FK64" s="647"/>
      <c r="FL64" s="647"/>
      <c r="FM64" s="647"/>
      <c r="FN64" s="647"/>
      <c r="FO64" s="647"/>
      <c r="FP64" s="647"/>
      <c r="FQ64" s="647"/>
      <c r="FR64" s="647"/>
      <c r="FS64" s="647"/>
      <c r="FT64" s="647"/>
      <c r="FU64" s="647"/>
      <c r="FV64" s="647"/>
      <c r="FW64" s="647"/>
      <c r="FX64" s="647"/>
      <c r="FY64" s="647"/>
      <c r="FZ64" s="647"/>
      <c r="GA64" s="647"/>
      <c r="GB64" s="647"/>
      <c r="GC64" s="647"/>
      <c r="GD64" s="647"/>
      <c r="GE64" s="647"/>
      <c r="GF64" s="647"/>
      <c r="GG64" s="647"/>
      <c r="GH64" s="647"/>
      <c r="GI64" s="647"/>
      <c r="GJ64" s="647"/>
      <c r="GK64" s="647"/>
      <c r="GL64" s="647"/>
      <c r="GM64" s="647"/>
      <c r="GN64" s="647"/>
      <c r="GO64" s="647"/>
      <c r="GP64" s="647"/>
      <c r="GQ64" s="647"/>
      <c r="GR64" s="647"/>
      <c r="GS64" s="647"/>
      <c r="GT64" s="647"/>
      <c r="GU64" s="647"/>
      <c r="GV64" s="647"/>
      <c r="GW64" s="647"/>
      <c r="GX64" s="647"/>
      <c r="GY64" s="647"/>
      <c r="GZ64" s="647"/>
      <c r="HA64" s="647"/>
      <c r="HB64" s="647"/>
      <c r="HC64" s="647"/>
      <c r="HD64" s="647"/>
      <c r="HE64" s="647"/>
      <c r="HF64" s="647"/>
      <c r="HG64" s="647"/>
      <c r="HH64" s="647"/>
      <c r="HI64" s="647"/>
      <c r="HJ64" s="647"/>
      <c r="HK64" s="647"/>
      <c r="HL64" s="647"/>
      <c r="HM64" s="647"/>
      <c r="HN64" s="647"/>
      <c r="HO64" s="647"/>
      <c r="HP64" s="647"/>
      <c r="HQ64" s="647"/>
      <c r="HR64" s="647"/>
      <c r="HS64" s="647"/>
      <c r="HT64" s="647"/>
      <c r="HU64" s="647"/>
      <c r="HV64" s="647"/>
      <c r="HW64" s="647"/>
      <c r="HX64" s="647"/>
      <c r="HY64" s="647"/>
      <c r="HZ64" s="647"/>
      <c r="IA64" s="647"/>
      <c r="IB64" s="647"/>
      <c r="IC64" s="647"/>
      <c r="ID64" s="647"/>
      <c r="IE64" s="647"/>
      <c r="IF64" s="647"/>
      <c r="IG64" s="647"/>
      <c r="IH64" s="647"/>
      <c r="II64" s="647"/>
      <c r="IJ64" s="647"/>
      <c r="IK64" s="647"/>
      <c r="IL64" s="647"/>
      <c r="IM64" s="647"/>
      <c r="IN64" s="647"/>
      <c r="IO64" s="647"/>
      <c r="IP64" s="647"/>
      <c r="IQ64" s="647"/>
      <c r="IR64" s="647"/>
      <c r="IS64" s="647"/>
      <c r="IT64" s="647"/>
      <c r="IU64" s="647"/>
      <c r="IV64" s="647"/>
    </row>
    <row r="65" spans="1:256" s="612" customFormat="1" ht="27" customHeight="1">
      <c r="A65" s="608"/>
      <c r="B65" s="557"/>
      <c r="C65" s="557"/>
      <c r="D65" s="599" t="s">
        <v>5373</v>
      </c>
      <c r="E65" s="557"/>
      <c r="F65" s="600"/>
      <c r="G65" s="301"/>
      <c r="H65" s="620"/>
      <c r="I65" s="649"/>
      <c r="J65" s="638"/>
      <c r="K65" s="650"/>
      <c r="L65" s="641"/>
      <c r="M65" s="641"/>
      <c r="N65" s="641"/>
      <c r="O65" s="642"/>
      <c r="P65" s="643"/>
      <c r="Q65" s="644"/>
      <c r="R65" s="645"/>
      <c r="S65" s="651"/>
      <c r="T65" s="646"/>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47"/>
      <c r="CD65" s="647"/>
      <c r="CE65" s="647"/>
      <c r="CF65" s="647"/>
      <c r="CG65" s="647"/>
      <c r="CH65" s="647"/>
      <c r="CI65" s="647"/>
      <c r="CJ65" s="647"/>
      <c r="CK65" s="647"/>
      <c r="CL65" s="647"/>
      <c r="CM65" s="647"/>
      <c r="CN65" s="647"/>
      <c r="CO65" s="647"/>
      <c r="CP65" s="647"/>
      <c r="CQ65" s="647"/>
      <c r="CR65" s="647"/>
      <c r="CS65" s="647"/>
      <c r="CT65" s="647"/>
      <c r="CU65" s="647"/>
      <c r="CV65" s="647"/>
      <c r="CW65" s="647"/>
      <c r="CX65" s="647"/>
      <c r="CY65" s="647"/>
      <c r="CZ65" s="647"/>
      <c r="DA65" s="647"/>
      <c r="DB65" s="647"/>
      <c r="DC65" s="647"/>
      <c r="DD65" s="647"/>
      <c r="DE65" s="647"/>
      <c r="DF65" s="647"/>
      <c r="DG65" s="647"/>
      <c r="DH65" s="647"/>
      <c r="DI65" s="647"/>
      <c r="DJ65" s="647"/>
      <c r="DK65" s="647"/>
      <c r="DL65" s="647"/>
      <c r="DM65" s="647"/>
      <c r="DN65" s="647"/>
      <c r="DO65" s="647"/>
      <c r="DP65" s="647"/>
      <c r="DQ65" s="647"/>
      <c r="DR65" s="647"/>
      <c r="DS65" s="647"/>
      <c r="DT65" s="647"/>
      <c r="DU65" s="647"/>
      <c r="DV65" s="647"/>
      <c r="DW65" s="647"/>
      <c r="DX65" s="647"/>
      <c r="DY65" s="647"/>
      <c r="DZ65" s="647"/>
      <c r="EA65" s="647"/>
      <c r="EB65" s="647"/>
      <c r="EC65" s="647"/>
      <c r="ED65" s="647"/>
      <c r="EE65" s="647"/>
      <c r="EF65" s="647"/>
      <c r="EG65" s="647"/>
      <c r="EH65" s="647"/>
      <c r="EI65" s="647"/>
      <c r="EJ65" s="647"/>
      <c r="EK65" s="647"/>
      <c r="EL65" s="647"/>
      <c r="EM65" s="647"/>
      <c r="EN65" s="647"/>
      <c r="EO65" s="647"/>
      <c r="EP65" s="647"/>
      <c r="EQ65" s="647"/>
      <c r="ER65" s="647"/>
      <c r="ES65" s="647"/>
      <c r="ET65" s="647"/>
      <c r="EU65" s="647"/>
      <c r="EV65" s="647"/>
      <c r="EW65" s="647"/>
      <c r="EX65" s="647"/>
      <c r="EY65" s="647"/>
      <c r="EZ65" s="647"/>
      <c r="FA65" s="647"/>
      <c r="FB65" s="647"/>
      <c r="FC65" s="647"/>
      <c r="FD65" s="647"/>
      <c r="FE65" s="647"/>
      <c r="FF65" s="647"/>
      <c r="FG65" s="647"/>
      <c r="FH65" s="647"/>
      <c r="FI65" s="647"/>
      <c r="FJ65" s="647"/>
      <c r="FK65" s="647"/>
      <c r="FL65" s="647"/>
      <c r="FM65" s="647"/>
      <c r="FN65" s="647"/>
      <c r="FO65" s="647"/>
      <c r="FP65" s="647"/>
      <c r="FQ65" s="647"/>
      <c r="FR65" s="647"/>
      <c r="FS65" s="647"/>
      <c r="FT65" s="647"/>
      <c r="FU65" s="647"/>
      <c r="FV65" s="647"/>
      <c r="FW65" s="647"/>
      <c r="FX65" s="647"/>
      <c r="FY65" s="647"/>
      <c r="FZ65" s="647"/>
      <c r="GA65" s="647"/>
      <c r="GB65" s="647"/>
      <c r="GC65" s="647"/>
      <c r="GD65" s="647"/>
      <c r="GE65" s="647"/>
      <c r="GF65" s="647"/>
      <c r="GG65" s="647"/>
      <c r="GH65" s="647"/>
      <c r="GI65" s="647"/>
      <c r="GJ65" s="647"/>
      <c r="GK65" s="647"/>
      <c r="GL65" s="647"/>
      <c r="GM65" s="647"/>
      <c r="GN65" s="647"/>
      <c r="GO65" s="647"/>
      <c r="GP65" s="647"/>
      <c r="GQ65" s="647"/>
      <c r="GR65" s="647"/>
      <c r="GS65" s="647"/>
      <c r="GT65" s="647"/>
      <c r="GU65" s="647"/>
      <c r="GV65" s="647"/>
      <c r="GW65" s="647"/>
      <c r="GX65" s="647"/>
      <c r="GY65" s="647"/>
      <c r="GZ65" s="647"/>
      <c r="HA65" s="647"/>
      <c r="HB65" s="647"/>
      <c r="HC65" s="647"/>
      <c r="HD65" s="647"/>
      <c r="HE65" s="647"/>
      <c r="HF65" s="647"/>
      <c r="HG65" s="647"/>
      <c r="HH65" s="647"/>
      <c r="HI65" s="647"/>
      <c r="HJ65" s="647"/>
      <c r="HK65" s="647"/>
      <c r="HL65" s="647"/>
      <c r="HM65" s="647"/>
      <c r="HN65" s="647"/>
      <c r="HO65" s="647"/>
      <c r="HP65" s="647"/>
      <c r="HQ65" s="647"/>
      <c r="HR65" s="647"/>
      <c r="HS65" s="647"/>
      <c r="HT65" s="647"/>
      <c r="HU65" s="647"/>
      <c r="HV65" s="647"/>
      <c r="HW65" s="647"/>
      <c r="HX65" s="647"/>
      <c r="HY65" s="647"/>
      <c r="HZ65" s="647"/>
      <c r="IA65" s="647"/>
      <c r="IB65" s="647"/>
      <c r="IC65" s="647"/>
      <c r="ID65" s="647"/>
      <c r="IE65" s="647"/>
      <c r="IF65" s="647"/>
      <c r="IG65" s="647"/>
      <c r="IH65" s="647"/>
      <c r="II65" s="647"/>
      <c r="IJ65" s="647"/>
      <c r="IK65" s="647"/>
      <c r="IL65" s="647"/>
      <c r="IM65" s="647"/>
      <c r="IN65" s="647"/>
      <c r="IO65" s="647"/>
      <c r="IP65" s="647"/>
      <c r="IQ65" s="647"/>
      <c r="IR65" s="647"/>
      <c r="IS65" s="647"/>
      <c r="IT65" s="647"/>
      <c r="IU65" s="647"/>
      <c r="IV65" s="647"/>
    </row>
    <row r="66" spans="1:256" s="562" customFormat="1" ht="13.5" customHeight="1">
      <c r="A66" s="652"/>
      <c r="B66" s="653"/>
      <c r="C66" s="654"/>
      <c r="D66" s="575" t="s">
        <v>5374</v>
      </c>
      <c r="E66" s="575"/>
      <c r="F66" s="576">
        <f>(57)*1</f>
        <v>57</v>
      </c>
      <c r="G66" s="370"/>
      <c r="H66" s="655"/>
      <c r="I66" s="656"/>
      <c r="J66" s="638"/>
      <c r="K66" s="650"/>
      <c r="L66" s="641"/>
      <c r="M66" s="641"/>
      <c r="N66" s="641"/>
      <c r="O66" s="642"/>
      <c r="P66" s="643"/>
      <c r="Q66" s="644"/>
      <c r="R66" s="645"/>
      <c r="S66" s="645"/>
    </row>
    <row r="67" spans="1:256" s="562" customFormat="1" ht="13.5" customHeight="1">
      <c r="A67" s="652"/>
      <c r="B67" s="653"/>
      <c r="C67" s="654"/>
      <c r="D67" s="575" t="s">
        <v>5375</v>
      </c>
      <c r="E67" s="575"/>
      <c r="F67" s="576">
        <v>57</v>
      </c>
      <c r="G67" s="370"/>
      <c r="H67" s="655"/>
      <c r="I67" s="656"/>
      <c r="J67" s="657"/>
    </row>
    <row r="68" spans="1:256" s="612" customFormat="1" ht="67.5" customHeight="1">
      <c r="A68" s="608"/>
      <c r="B68" s="557"/>
      <c r="C68" s="557"/>
      <c r="D68" s="584" t="s">
        <v>310</v>
      </c>
      <c r="E68" s="557"/>
      <c r="F68" s="600"/>
      <c r="G68" s="301"/>
      <c r="H68" s="620"/>
      <c r="I68" s="649"/>
      <c r="J68" s="650"/>
      <c r="K68" s="650"/>
      <c r="L68" s="641"/>
      <c r="M68" s="641"/>
      <c r="N68" s="641"/>
      <c r="O68" s="642"/>
      <c r="P68" s="643"/>
      <c r="Q68" s="644"/>
      <c r="R68" s="645"/>
      <c r="S68" s="645"/>
      <c r="T68" s="646"/>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c r="BX68" s="647"/>
      <c r="BY68" s="647"/>
      <c r="BZ68" s="647"/>
      <c r="CA68" s="647"/>
      <c r="CB68" s="647"/>
      <c r="CC68" s="647"/>
      <c r="CD68" s="647"/>
      <c r="CE68" s="647"/>
      <c r="CF68" s="647"/>
      <c r="CG68" s="647"/>
      <c r="CH68" s="647"/>
      <c r="CI68" s="647"/>
      <c r="CJ68" s="647"/>
      <c r="CK68" s="647"/>
      <c r="CL68" s="647"/>
      <c r="CM68" s="647"/>
      <c r="CN68" s="647"/>
      <c r="CO68" s="647"/>
      <c r="CP68" s="647"/>
      <c r="CQ68" s="647"/>
      <c r="CR68" s="647"/>
      <c r="CS68" s="647"/>
      <c r="CT68" s="647"/>
      <c r="CU68" s="647"/>
      <c r="CV68" s="647"/>
      <c r="CW68" s="647"/>
      <c r="CX68" s="647"/>
      <c r="CY68" s="647"/>
      <c r="CZ68" s="647"/>
      <c r="DA68" s="647"/>
      <c r="DB68" s="647"/>
      <c r="DC68" s="647"/>
      <c r="DD68" s="647"/>
      <c r="DE68" s="647"/>
      <c r="DF68" s="647"/>
      <c r="DG68" s="647"/>
      <c r="DH68" s="647"/>
      <c r="DI68" s="647"/>
      <c r="DJ68" s="647"/>
      <c r="DK68" s="647"/>
      <c r="DL68" s="647"/>
      <c r="DM68" s="647"/>
      <c r="DN68" s="647"/>
      <c r="DO68" s="647"/>
      <c r="DP68" s="647"/>
      <c r="DQ68" s="647"/>
      <c r="DR68" s="647"/>
      <c r="DS68" s="647"/>
      <c r="DT68" s="647"/>
      <c r="DU68" s="647"/>
      <c r="DV68" s="647"/>
      <c r="DW68" s="647"/>
      <c r="DX68" s="647"/>
      <c r="DY68" s="647"/>
      <c r="DZ68" s="647"/>
      <c r="EA68" s="647"/>
      <c r="EB68" s="647"/>
      <c r="EC68" s="647"/>
      <c r="ED68" s="647"/>
      <c r="EE68" s="647"/>
      <c r="EF68" s="647"/>
      <c r="EG68" s="647"/>
      <c r="EH68" s="647"/>
      <c r="EI68" s="647"/>
      <c r="EJ68" s="647"/>
      <c r="EK68" s="647"/>
      <c r="EL68" s="647"/>
      <c r="EM68" s="647"/>
      <c r="EN68" s="647"/>
      <c r="EO68" s="647"/>
      <c r="EP68" s="647"/>
      <c r="EQ68" s="647"/>
      <c r="ER68" s="647"/>
      <c r="ES68" s="647"/>
      <c r="ET68" s="647"/>
      <c r="EU68" s="647"/>
      <c r="EV68" s="647"/>
      <c r="EW68" s="647"/>
      <c r="EX68" s="647"/>
      <c r="EY68" s="647"/>
      <c r="EZ68" s="647"/>
      <c r="FA68" s="647"/>
      <c r="FB68" s="647"/>
      <c r="FC68" s="647"/>
      <c r="FD68" s="647"/>
      <c r="FE68" s="647"/>
      <c r="FF68" s="647"/>
      <c r="FG68" s="647"/>
      <c r="FH68" s="647"/>
      <c r="FI68" s="647"/>
      <c r="FJ68" s="647"/>
      <c r="FK68" s="647"/>
      <c r="FL68" s="647"/>
      <c r="FM68" s="647"/>
      <c r="FN68" s="647"/>
      <c r="FO68" s="647"/>
      <c r="FP68" s="647"/>
      <c r="FQ68" s="647"/>
      <c r="FR68" s="647"/>
      <c r="FS68" s="647"/>
      <c r="FT68" s="647"/>
      <c r="FU68" s="647"/>
      <c r="FV68" s="647"/>
      <c r="FW68" s="647"/>
      <c r="FX68" s="647"/>
      <c r="FY68" s="647"/>
      <c r="FZ68" s="647"/>
      <c r="GA68" s="647"/>
      <c r="GB68" s="647"/>
      <c r="GC68" s="647"/>
      <c r="GD68" s="647"/>
      <c r="GE68" s="647"/>
      <c r="GF68" s="647"/>
      <c r="GG68" s="647"/>
      <c r="GH68" s="647"/>
      <c r="GI68" s="647"/>
      <c r="GJ68" s="647"/>
      <c r="GK68" s="647"/>
      <c r="GL68" s="647"/>
      <c r="GM68" s="647"/>
      <c r="GN68" s="647"/>
      <c r="GO68" s="647"/>
      <c r="GP68" s="647"/>
      <c r="GQ68" s="647"/>
      <c r="GR68" s="647"/>
      <c r="GS68" s="647"/>
      <c r="GT68" s="647"/>
      <c r="GU68" s="647"/>
      <c r="GV68" s="647"/>
      <c r="GW68" s="647"/>
      <c r="GX68" s="647"/>
      <c r="GY68" s="647"/>
      <c r="GZ68" s="647"/>
      <c r="HA68" s="647"/>
      <c r="HB68" s="647"/>
      <c r="HC68" s="647"/>
      <c r="HD68" s="647"/>
      <c r="HE68" s="647"/>
      <c r="HF68" s="647"/>
      <c r="HG68" s="647"/>
      <c r="HH68" s="647"/>
      <c r="HI68" s="647"/>
      <c r="HJ68" s="647"/>
      <c r="HK68" s="647"/>
      <c r="HL68" s="647"/>
      <c r="HM68" s="647"/>
      <c r="HN68" s="647"/>
      <c r="HO68" s="647"/>
      <c r="HP68" s="647"/>
      <c r="HQ68" s="647"/>
      <c r="HR68" s="647"/>
      <c r="HS68" s="647"/>
      <c r="HT68" s="647"/>
      <c r="HU68" s="647"/>
      <c r="HV68" s="647"/>
      <c r="HW68" s="647"/>
      <c r="HX68" s="647"/>
      <c r="HY68" s="647"/>
      <c r="HZ68" s="647"/>
      <c r="IA68" s="647"/>
      <c r="IB68" s="647"/>
      <c r="IC68" s="647"/>
      <c r="ID68" s="647"/>
      <c r="IE68" s="647"/>
      <c r="IF68" s="647"/>
      <c r="IG68" s="647"/>
      <c r="IH68" s="647"/>
      <c r="II68" s="647"/>
      <c r="IJ68" s="647"/>
      <c r="IK68" s="647"/>
      <c r="IL68" s="647"/>
      <c r="IM68" s="647"/>
      <c r="IN68" s="647"/>
      <c r="IO68" s="647"/>
      <c r="IP68" s="647"/>
      <c r="IQ68" s="647"/>
      <c r="IR68" s="647"/>
      <c r="IS68" s="647"/>
      <c r="IT68" s="647"/>
      <c r="IU68" s="647"/>
      <c r="IV68" s="647"/>
    </row>
    <row r="69" spans="1:256" s="612" customFormat="1" ht="13.5" customHeight="1">
      <c r="A69" s="608"/>
      <c r="B69" s="608"/>
      <c r="C69" s="616" t="s">
        <v>356</v>
      </c>
      <c r="D69" s="616" t="s">
        <v>357</v>
      </c>
      <c r="E69" s="616"/>
      <c r="F69" s="617"/>
      <c r="G69" s="350"/>
      <c r="H69" s="618">
        <f>SUM(H70:H72)</f>
        <v>0</v>
      </c>
      <c r="I69" s="619"/>
    </row>
    <row r="70" spans="1:256" s="612" customFormat="1" ht="13.5" customHeight="1">
      <c r="A70" s="658" t="s">
        <v>211</v>
      </c>
      <c r="B70" s="659" t="s">
        <v>2416</v>
      </c>
      <c r="C70" s="565">
        <v>998272201</v>
      </c>
      <c r="D70" s="557" t="s">
        <v>5376</v>
      </c>
      <c r="E70" s="557" t="s">
        <v>175</v>
      </c>
      <c r="F70" s="615">
        <v>0.96699999999999997</v>
      </c>
      <c r="G70" s="288"/>
      <c r="H70" s="568">
        <f t="shared" ref="H70:H71" si="13">ROUND(F70*G70,2)</f>
        <v>0</v>
      </c>
      <c r="I70" s="613" t="s">
        <v>137</v>
      </c>
      <c r="J70" s="660"/>
    </row>
    <row r="71" spans="1:256" s="612" customFormat="1" ht="13.5" customHeight="1">
      <c r="A71" s="608">
        <v>22</v>
      </c>
      <c r="B71" s="557" t="s">
        <v>362</v>
      </c>
      <c r="C71" s="557" t="s">
        <v>2424</v>
      </c>
      <c r="D71" s="557" t="s">
        <v>2425</v>
      </c>
      <c r="E71" s="557" t="s">
        <v>69</v>
      </c>
      <c r="F71" s="573">
        <f>ROUND(SUM(F72),3)</f>
        <v>5</v>
      </c>
      <c r="G71" s="288"/>
      <c r="H71" s="568">
        <f t="shared" si="13"/>
        <v>0</v>
      </c>
      <c r="I71" s="613" t="s">
        <v>137</v>
      </c>
      <c r="J71" s="661"/>
      <c r="K71" s="662"/>
      <c r="L71" s="663"/>
    </row>
    <row r="72" spans="1:256" s="612" customFormat="1" ht="27" customHeight="1">
      <c r="A72" s="608"/>
      <c r="B72" s="557"/>
      <c r="C72" s="622"/>
      <c r="D72" s="599" t="s">
        <v>365</v>
      </c>
      <c r="E72" s="622"/>
      <c r="F72" s="623">
        <v>5</v>
      </c>
      <c r="G72" s="311"/>
      <c r="H72" s="664"/>
      <c r="I72" s="625"/>
      <c r="J72" s="665"/>
      <c r="K72" s="663"/>
      <c r="L72" s="663"/>
    </row>
    <row r="73" spans="1:256" ht="21" customHeight="1">
      <c r="A73" s="666"/>
      <c r="B73" s="667"/>
      <c r="C73" s="667"/>
      <c r="D73" s="667" t="s">
        <v>0</v>
      </c>
      <c r="E73" s="667"/>
      <c r="F73" s="668"/>
      <c r="G73" s="669"/>
      <c r="H73" s="669">
        <f>H8</f>
        <v>0</v>
      </c>
      <c r="I73" s="542"/>
    </row>
    <row r="74" spans="1:256">
      <c r="A74" s="670"/>
      <c r="B74" s="670"/>
      <c r="C74" s="671"/>
      <c r="D74" s="671"/>
      <c r="E74" s="672"/>
      <c r="F74" s="673"/>
      <c r="G74" s="674"/>
      <c r="H74" s="674"/>
      <c r="I74" s="675"/>
    </row>
    <row r="75" spans="1:256" ht="13.5" customHeight="1">
      <c r="A75" s="5279" t="s">
        <v>862</v>
      </c>
      <c r="B75" s="5280"/>
      <c r="C75" s="5281"/>
      <c r="D75" s="676" t="s">
        <v>5454</v>
      </c>
      <c r="E75" s="677"/>
      <c r="F75" s="678"/>
      <c r="G75" s="679"/>
      <c r="H75" s="680">
        <f>H73</f>
        <v>0</v>
      </c>
      <c r="I75" s="681"/>
    </row>
    <row r="76" spans="1:256" ht="13.5" customHeight="1">
      <c r="A76" s="682"/>
      <c r="B76" s="683"/>
      <c r="C76" s="683"/>
      <c r="D76" s="684"/>
      <c r="E76" s="685"/>
      <c r="F76" s="686"/>
      <c r="G76" s="687"/>
      <c r="H76" s="688"/>
      <c r="I76" s="542"/>
    </row>
    <row r="77" spans="1:256" ht="13.5" customHeight="1">
      <c r="A77" s="689" t="s">
        <v>1</v>
      </c>
      <c r="B77" s="689"/>
      <c r="C77" s="689"/>
      <c r="D77" s="689"/>
      <c r="E77" s="689"/>
      <c r="F77" s="689"/>
      <c r="G77" s="689"/>
      <c r="H77" s="689"/>
      <c r="I77" s="689"/>
    </row>
    <row r="78" spans="1:256" ht="27" customHeight="1">
      <c r="A78" s="5159" t="s">
        <v>864</v>
      </c>
      <c r="B78" s="5159"/>
      <c r="C78" s="5159"/>
      <c r="D78" s="5159"/>
      <c r="E78" s="5159"/>
      <c r="F78" s="5159"/>
      <c r="G78" s="5159"/>
      <c r="H78" s="689"/>
      <c r="I78" s="542"/>
    </row>
    <row r="79" spans="1:256" ht="93.75" customHeight="1">
      <c r="A79" s="5159" t="s">
        <v>104</v>
      </c>
      <c r="B79" s="5159"/>
      <c r="C79" s="5159"/>
      <c r="D79" s="5159"/>
      <c r="E79" s="5159"/>
      <c r="F79" s="5159"/>
      <c r="G79" s="5159"/>
      <c r="H79" s="689"/>
      <c r="I79" s="689"/>
    </row>
    <row r="80" spans="1:256" ht="13.5" customHeight="1">
      <c r="A80" s="5159" t="s">
        <v>105</v>
      </c>
      <c r="B80" s="5159"/>
      <c r="C80" s="5159"/>
      <c r="D80" s="5159"/>
      <c r="E80" s="5159"/>
      <c r="F80" s="5159"/>
      <c r="G80" s="5159"/>
      <c r="H80" s="691"/>
      <c r="I80" s="691"/>
    </row>
    <row r="81" spans="1:9" ht="13.5" customHeight="1">
      <c r="A81" s="5159" t="s">
        <v>106</v>
      </c>
      <c r="B81" s="5159"/>
      <c r="C81" s="5159"/>
      <c r="D81" s="5159"/>
      <c r="E81" s="5159"/>
      <c r="F81" s="5159"/>
      <c r="G81" s="5159"/>
      <c r="H81" s="691"/>
      <c r="I81" s="691"/>
    </row>
    <row r="82" spans="1:9" s="692" customFormat="1" ht="40.5" customHeight="1">
      <c r="A82" s="5156" t="s">
        <v>865</v>
      </c>
      <c r="B82" s="5156"/>
      <c r="C82" s="5156"/>
      <c r="D82" s="5156"/>
      <c r="E82" s="5156"/>
      <c r="F82" s="5156"/>
      <c r="G82" s="5156"/>
      <c r="I82" s="562"/>
    </row>
    <row r="83" spans="1:9" s="695" customFormat="1" ht="94.5" customHeight="1">
      <c r="A83" s="5156" t="s">
        <v>1013</v>
      </c>
      <c r="B83" s="5156"/>
      <c r="C83" s="5156"/>
      <c r="D83" s="5156"/>
      <c r="E83" s="5156"/>
      <c r="F83" s="5156"/>
      <c r="G83" s="5156"/>
      <c r="H83" s="693"/>
      <c r="I83" s="694"/>
    </row>
  </sheetData>
  <sheetProtection algorithmName="SHA-512" hashValue="VC5uRS0DFidwpnqtZTnATF2ytWWLK6mgbDDWpNs/y9kPaI2pK8drKSvFw4dF2CTOxTO185aQsYZoEcW7Eophmw==" saltValue="NmcSoU9ZeUgkXKY05RClUA==" spinCount="100000" sheet="1" objects="1" scenarios="1"/>
  <mergeCells count="11">
    <mergeCell ref="A78:G78"/>
    <mergeCell ref="A2:D2"/>
    <mergeCell ref="E2:H2"/>
    <mergeCell ref="A3:D3"/>
    <mergeCell ref="A4:D4"/>
    <mergeCell ref="A75:C75"/>
    <mergeCell ref="A79:G79"/>
    <mergeCell ref="A80:G80"/>
    <mergeCell ref="A81:G81"/>
    <mergeCell ref="A82:G82"/>
    <mergeCell ref="A83:G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DD99-B326-4448-96AD-BC766D384D24}">
  <sheetPr>
    <tabColor theme="1"/>
    <pageSetUpPr fitToPage="1"/>
  </sheetPr>
  <dimension ref="B2:R39"/>
  <sheetViews>
    <sheetView zoomScaleNormal="100" workbookViewId="0"/>
  </sheetViews>
  <sheetFormatPr defaultRowHeight="13.5" customHeight="1"/>
  <sheetData>
    <row r="2" spans="2:18" ht="13.5" customHeight="1">
      <c r="B2" s="148" t="s">
        <v>6305</v>
      </c>
      <c r="R2" s="148"/>
    </row>
    <row r="39" spans="2:2" ht="13.5" customHeight="1">
      <c r="B39" s="148" t="s">
        <v>6306</v>
      </c>
    </row>
  </sheetData>
  <pageMargins left="0.7" right="0.7" top="0.78740157499999996" bottom="0.78740157499999996"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59</vt:i4>
      </vt:variant>
    </vt:vector>
  </HeadingPairs>
  <TitlesOfParts>
    <vt:vector size="99" baseType="lpstr">
      <vt:lpstr>KL</vt:lpstr>
      <vt:lpstr>VRN</vt:lpstr>
      <vt:lpstr>D.1.1. ASŘ - BOURACÍ PRÁCE</vt:lpstr>
      <vt:lpstr>REKAPITULACE - NS</vt:lpstr>
      <vt:lpstr>D.1.1. ASŘ - NOVÝ STAV</vt:lpstr>
      <vt:lpstr>D.1.1. VÝPIS DVEŘÍ</vt:lpstr>
      <vt:lpstr>D.1.1.c.02 - VÝPIS OKEN</vt:lpstr>
      <vt:lpstr>D.1.1.c.04. VÝPIS TRUHLÁŘ.</vt:lpstr>
      <vt:lpstr>D.1.1.c.05. VÝPIS ZÁMEČN. VÝR.</vt:lpstr>
      <vt:lpstr>D.1.1.c.06. VÝPIS KLEMP.</vt:lpstr>
      <vt:lpstr>D.1.1.c.07 VÝPIS OSTAT.</vt:lpstr>
      <vt:lpstr>D.1.4.1. ZTI</vt:lpstr>
      <vt:lpstr>D.1.4.1.b.08. - REKAPITULACE</vt:lpstr>
      <vt:lpstr>D.1.4.1.b.08. AREÁL. KANALIZACE</vt:lpstr>
      <vt:lpstr>D.1.4.1.b.08. AREÁL. KANAL - BP</vt:lpstr>
      <vt:lpstr>D.1.4.1.b.08. AREÁLOVÝ VODOVOD</vt:lpstr>
      <vt:lpstr>D.1.4.1.b.09. AKUMULAČNÍ NÁDRŽ</vt:lpstr>
      <vt:lpstr>D.1.4.1.b.10. ODLUČOVAČ TUKU</vt:lpstr>
      <vt:lpstr>D.1.4.2. ODBĚR. PLYN. ZAŘÍZ.</vt:lpstr>
      <vt:lpstr>D.1.4.3. VZDUCHOTECHNIKA</vt:lpstr>
      <vt:lpstr>D.1.4.4. VYTÁPENÍ</vt:lpstr>
      <vt:lpstr>D.1.4.6. MĚŘENÍ A REGULACE</vt:lpstr>
      <vt:lpstr>D.1.4.7. SILNOPROUD</vt:lpstr>
      <vt:lpstr>D.1.4.7.b.08. - REKAPITULACE</vt:lpstr>
      <vt:lpstr>D.1.4.7.b.08 AREÁL ELE-TRA. A1</vt:lpstr>
      <vt:lpstr>D.1.4.7.b.08 AREÁL ELE-TRA. A2</vt:lpstr>
      <vt:lpstr>D.1.4.7.b.08 AREÁL ELE-TRA. A3</vt:lpstr>
      <vt:lpstr>D.1.4.8. EL. KOMUNIKACE</vt:lpstr>
      <vt:lpstr>D.1.4.8.b.04 - REKAPITULACE</vt:lpstr>
      <vt:lpstr>D.1.4.8.b.04 AREÁL ELE-TRA. A1</vt:lpstr>
      <vt:lpstr>D.1.4.8.b.04 AREÁL ELE-TRA. A2</vt:lpstr>
      <vt:lpstr>D.1.4.8.b.04 AREÁL ELE-TRA. A3</vt:lpstr>
      <vt:lpstr>D.1.4.10.1. REKAPITULACE</vt:lpstr>
      <vt:lpstr>D.1.4.10.1. SADOVÉ ÚPRAVY</vt:lpstr>
      <vt:lpstr>D.1.4.10. OPLOCENÍ</vt:lpstr>
      <vt:lpstr>D.1.4.10.2. POZEMNÍ KOMUNIKACE</vt:lpstr>
      <vt:lpstr>D.2.2. REKAPITULACE</vt:lpstr>
      <vt:lpstr>D.2.2. AREÁL. TEPLOVOD</vt:lpstr>
      <vt:lpstr>D.2.2. AREÁL. TEPLOVOD-BP</vt:lpstr>
      <vt:lpstr>Foto</vt:lpstr>
      <vt:lpstr>KL!CelkemObjekty</vt:lpstr>
      <vt:lpstr>KL!dadresa</vt:lpstr>
      <vt:lpstr>KL!DIČ</vt:lpstr>
      <vt:lpstr>KL!IČO</vt:lpstr>
      <vt:lpstr>KL!NazevObjektu</vt:lpstr>
      <vt:lpstr>KL!NazevStavby</vt:lpstr>
      <vt:lpstr>'D.1.4.6. MĚŘENÍ A REGULACE'!Názvy_tisku</vt:lpstr>
      <vt:lpstr>KL!Objednatel</vt:lpstr>
      <vt:lpstr>KL!Objekt</vt:lpstr>
      <vt:lpstr>'D.1.1. ASŘ - BOURACÍ PRÁCE'!Oblast_tisku</vt:lpstr>
      <vt:lpstr>'D.1.1. ASŘ - NOVÝ STAV'!Oblast_tisku</vt:lpstr>
      <vt:lpstr>'D.1.1. VÝPIS DVEŘÍ'!Oblast_tisku</vt:lpstr>
      <vt:lpstr>'D.1.1.c.02 - VÝPIS OKEN'!Oblast_tisku</vt:lpstr>
      <vt:lpstr>'D.1.1.c.04. VÝPIS TRUHLÁŘ.'!Oblast_tisku</vt:lpstr>
      <vt:lpstr>'D.1.1.c.05. VÝPIS ZÁMEČN. VÝR.'!Oblast_tisku</vt:lpstr>
      <vt:lpstr>'D.1.1.c.06. VÝPIS KLEMP.'!Oblast_tisku</vt:lpstr>
      <vt:lpstr>'D.1.1.c.07 VÝPIS OSTAT.'!Oblast_tisku</vt:lpstr>
      <vt:lpstr>'D.1.4.1. ZTI'!Oblast_tisku</vt:lpstr>
      <vt:lpstr>'D.1.4.1.b.08. - REKAPITULACE'!Oblast_tisku</vt:lpstr>
      <vt:lpstr>'D.1.4.1.b.08. AREÁL. KANAL - BP'!Oblast_tisku</vt:lpstr>
      <vt:lpstr>'D.1.4.1.b.08. AREÁL. KANALIZACE'!Oblast_tisku</vt:lpstr>
      <vt:lpstr>'D.1.4.1.b.08. AREÁLOVÝ VODOVOD'!Oblast_tisku</vt:lpstr>
      <vt:lpstr>'D.1.4.1.b.09. AKUMULAČNÍ NÁDRŽ'!Oblast_tisku</vt:lpstr>
      <vt:lpstr>'D.1.4.1.b.10. ODLUČOVAČ TUKU'!Oblast_tisku</vt:lpstr>
      <vt:lpstr>'D.1.4.10. OPLOCENÍ'!Oblast_tisku</vt:lpstr>
      <vt:lpstr>'D.1.4.10.1. REKAPITULACE'!Oblast_tisku</vt:lpstr>
      <vt:lpstr>'D.1.4.10.1. SADOVÉ ÚPRAVY'!Oblast_tisku</vt:lpstr>
      <vt:lpstr>'D.1.4.10.2. POZEMNÍ KOMUNIKACE'!Oblast_tisku</vt:lpstr>
      <vt:lpstr>'D.1.4.2. ODBĚR. PLYN. ZAŘÍZ.'!Oblast_tisku</vt:lpstr>
      <vt:lpstr>'D.1.4.3. VZDUCHOTECHNIKA'!Oblast_tisku</vt:lpstr>
      <vt:lpstr>'D.1.4.4. VYTÁPENÍ'!Oblast_tisku</vt:lpstr>
      <vt:lpstr>'D.1.4.6. MĚŘENÍ A REGULACE'!Oblast_tisku</vt:lpstr>
      <vt:lpstr>'D.1.4.7. SILNOPROUD'!Oblast_tisku</vt:lpstr>
      <vt:lpstr>'D.1.4.7.b.08 AREÁL ELE-TRA. A1'!Oblast_tisku</vt:lpstr>
      <vt:lpstr>'D.1.4.7.b.08 AREÁL ELE-TRA. A2'!Oblast_tisku</vt:lpstr>
      <vt:lpstr>'D.1.4.7.b.08 AREÁL ELE-TRA. A3'!Oblast_tisku</vt:lpstr>
      <vt:lpstr>'D.1.4.7.b.08. - REKAPITULACE'!Oblast_tisku</vt:lpstr>
      <vt:lpstr>'D.1.4.8. EL. KOMUNIKACE'!Oblast_tisku</vt:lpstr>
      <vt:lpstr>'D.1.4.8.b.04 - REKAPITULACE'!Oblast_tisku</vt:lpstr>
      <vt:lpstr>'D.1.4.8.b.04 AREÁL ELE-TRA. A1'!Oblast_tisku</vt:lpstr>
      <vt:lpstr>'D.1.4.8.b.04 AREÁL ELE-TRA. A2'!Oblast_tisku</vt:lpstr>
      <vt:lpstr>'D.1.4.8.b.04 AREÁL ELE-TRA. A3'!Oblast_tisku</vt:lpstr>
      <vt:lpstr>'D.2.2. AREÁL. TEPLOVOD'!Oblast_tisku</vt:lpstr>
      <vt:lpstr>'D.2.2. AREÁL. TEPLOVOD-BP'!Oblast_tisku</vt:lpstr>
      <vt:lpstr>'D.2.2. REKAPITULACE'!Oblast_tisku</vt:lpstr>
      <vt:lpstr>Foto!Oblast_tisku</vt:lpstr>
      <vt:lpstr>KL!Oblast_tisku</vt:lpstr>
      <vt:lpstr>'REKAPITULACE - NS'!Oblast_tisku</vt:lpstr>
      <vt:lpstr>VRN!Oblast_tisku</vt:lpstr>
      <vt:lpstr>KL!oico</vt:lpstr>
      <vt:lpstr>'D.1.1.c.02 - VÝPIS OKEN'!Print_Area</vt:lpstr>
      <vt:lpstr>'D.1.1.c.04. VÝPIS TRUHLÁŘ.'!Print_Area</vt:lpstr>
      <vt:lpstr>'D.1.1.c.06. VÝPIS KLEMP.'!Print_Area</vt:lpstr>
      <vt:lpstr>'D.1.4.1.b.08. AREÁL. KANALIZACE'!Print_Area</vt:lpstr>
      <vt:lpstr>KL!Print_Area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2024-02-22T15:39:50Z</cp:lastPrinted>
  <dcterms:created xsi:type="dcterms:W3CDTF">2013-10-14T10:08:08Z</dcterms:created>
  <dcterms:modified xsi:type="dcterms:W3CDTF">2024-06-27T06:11:01Z</dcterms:modified>
</cp:coreProperties>
</file>